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8865" yWindow="465" windowWidth="29040" windowHeight="16440" tabRatio="827"/>
  </bookViews>
  <sheets>
    <sheet name="Index" sheetId="18" r:id="rId1"/>
    <sheet name="Tech Cat basic plant" sheetId="10" r:id="rId2"/>
    <sheet name="Tech Cat add straw" sheetId="11" r:id="rId3"/>
    <sheet name="Tech Cat add ind org waste" sheetId="16" r:id="rId4"/>
    <sheet name="Tech Cat Biogas, upgrading" sheetId="17" r:id="rId5"/>
  </sheet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39" i="17" l="1"/>
  <c r="AA18" i="17"/>
  <c r="AA37" i="17"/>
  <c r="Z37" i="17"/>
  <c r="Y18" i="17"/>
  <c r="Y37" i="17"/>
  <c r="X37" i="17"/>
  <c r="AA33" i="17"/>
  <c r="Z33" i="17"/>
  <c r="Y33" i="17"/>
  <c r="X33" i="17"/>
  <c r="AE28" i="17"/>
  <c r="AE32" i="17"/>
  <c r="AD28" i="17"/>
  <c r="AD32" i="17"/>
  <c r="AC28" i="17"/>
  <c r="AC32" i="17"/>
  <c r="AB28" i="17"/>
  <c r="AB32" i="17"/>
  <c r="Y28" i="17"/>
  <c r="Z28" i="17"/>
  <c r="AA28" i="17"/>
  <c r="AA32" i="17"/>
  <c r="Z32" i="17"/>
  <c r="Y32" i="17"/>
  <c r="X32" i="17"/>
  <c r="AE27" i="17"/>
  <c r="AE31" i="17"/>
  <c r="AD27" i="17"/>
  <c r="AD31" i="17"/>
  <c r="AC27" i="17"/>
  <c r="AC31" i="17"/>
  <c r="AB27" i="17"/>
  <c r="AB31" i="17"/>
  <c r="Y27" i="17"/>
  <c r="Z27" i="17"/>
  <c r="AA27" i="17"/>
  <c r="AA31" i="17"/>
  <c r="Z31" i="17"/>
  <c r="Y31" i="17"/>
  <c r="X31" i="17"/>
  <c r="AE30" i="17"/>
  <c r="AD30" i="17"/>
  <c r="AC30" i="17"/>
  <c r="AB30" i="17"/>
  <c r="AA30" i="17"/>
  <c r="Z30" i="17"/>
  <c r="Y30" i="17"/>
  <c r="X30" i="17"/>
  <c r="Y24" i="17"/>
  <c r="Z24" i="17"/>
  <c r="AA24" i="17"/>
  <c r="Y23" i="17"/>
  <c r="Z23" i="17"/>
  <c r="AA23" i="17"/>
  <c r="Y22" i="17"/>
  <c r="Z22" i="17"/>
  <c r="AA22" i="17"/>
  <c r="Y21" i="17"/>
  <c r="Z21" i="17"/>
  <c r="AA21" i="17"/>
  <c r="AA17" i="17"/>
  <c r="X17" i="17"/>
  <c r="Y17" i="17"/>
  <c r="Y14" i="17"/>
  <c r="Z14" i="17"/>
  <c r="AA14" i="17"/>
  <c r="C7" i="17"/>
  <c r="X6" i="17"/>
  <c r="X13" i="17"/>
  <c r="Y13" i="17"/>
  <c r="Z13" i="17"/>
  <c r="AA13" i="17"/>
  <c r="Y12" i="17"/>
  <c r="Z12" i="17"/>
  <c r="AA12" i="17"/>
  <c r="AE12" i="17"/>
  <c r="AD12" i="17"/>
  <c r="AC12" i="17"/>
  <c r="AB12" i="17"/>
  <c r="X8" i="17"/>
  <c r="Y8" i="17"/>
  <c r="Z8" i="17"/>
  <c r="AA8" i="17"/>
  <c r="Y6" i="17"/>
  <c r="Z6" i="17"/>
  <c r="AA6" i="17"/>
  <c r="X3" i="17"/>
  <c r="C3" i="17"/>
  <c r="G32" i="16"/>
  <c r="F32" i="16"/>
  <c r="E32" i="16"/>
  <c r="D32" i="16"/>
  <c r="L32" i="11"/>
  <c r="K32" i="11"/>
  <c r="J32" i="11"/>
  <c r="I32" i="11"/>
  <c r="J33" i="10"/>
  <c r="I33" i="10"/>
  <c r="H33" i="10"/>
  <c r="G33" i="10"/>
  <c r="G33" i="16"/>
  <c r="G30" i="16"/>
  <c r="G29" i="16"/>
  <c r="F33" i="16"/>
  <c r="E33" i="16"/>
  <c r="D33" i="16"/>
  <c r="J33" i="11"/>
  <c r="J30" i="11"/>
  <c r="J29" i="11"/>
  <c r="L33" i="11"/>
  <c r="K33" i="11"/>
  <c r="I33" i="11"/>
  <c r="E30" i="16"/>
  <c r="E29" i="16"/>
  <c r="D30" i="16"/>
  <c r="D29" i="16"/>
  <c r="F30" i="16"/>
  <c r="F29" i="16"/>
  <c r="K30" i="11"/>
  <c r="K29" i="11"/>
  <c r="I30" i="11"/>
  <c r="I29" i="11"/>
  <c r="L30" i="11"/>
  <c r="L29" i="11"/>
  <c r="J31" i="10"/>
  <c r="J30" i="10"/>
  <c r="I31" i="10"/>
  <c r="I30" i="10"/>
  <c r="H31" i="10"/>
  <c r="H30" i="10"/>
  <c r="G31" i="10"/>
  <c r="G30" i="10"/>
  <c r="N14" i="10"/>
  <c r="M14" i="10"/>
  <c r="L14" i="10"/>
  <c r="K14" i="10"/>
  <c r="N12" i="10"/>
  <c r="M12" i="10"/>
  <c r="L12" i="10"/>
  <c r="K12" i="10"/>
  <c r="N33" i="10"/>
  <c r="N31" i="10"/>
  <c r="N30" i="10"/>
  <c r="K33" i="10"/>
  <c r="K31" i="10"/>
  <c r="K30" i="10"/>
  <c r="M33" i="10"/>
  <c r="M31" i="10"/>
  <c r="M30" i="10"/>
  <c r="L33" i="10"/>
  <c r="L31" i="10"/>
  <c r="L30" i="10"/>
  <c r="G37" i="11"/>
  <c r="J37" i="11"/>
  <c r="K37" i="11"/>
  <c r="I37" i="11"/>
  <c r="L37" i="11"/>
</calcChain>
</file>

<file path=xl/sharedStrings.xml><?xml version="1.0" encoding="utf-8"?>
<sst xmlns="http://schemas.openxmlformats.org/spreadsheetml/2006/main" count="471" uniqueCount="245">
  <si>
    <t xml:space="preserve">Technology </t>
  </si>
  <si>
    <t>Technology</t>
  </si>
  <si>
    <t>Uncertainty (2020)</t>
  </si>
  <si>
    <t>Uncertainty (2050)</t>
  </si>
  <si>
    <t>Note</t>
  </si>
  <si>
    <t>Ref</t>
  </si>
  <si>
    <t>Lower</t>
  </si>
  <si>
    <t>Upper</t>
  </si>
  <si>
    <t>A</t>
  </si>
  <si>
    <t>Technical lifetime (years)</t>
  </si>
  <si>
    <t>Construction time (years)</t>
  </si>
  <si>
    <t xml:space="preserve">Financial data                                 </t>
  </si>
  <si>
    <t xml:space="preserve"> - of which equipment</t>
  </si>
  <si>
    <t>-</t>
  </si>
  <si>
    <t xml:space="preserve"> - of which installation</t>
  </si>
  <si>
    <t>B</t>
  </si>
  <si>
    <t>Notes:</t>
  </si>
  <si>
    <t>C</t>
  </si>
  <si>
    <t>D</t>
  </si>
  <si>
    <t>E</t>
  </si>
  <si>
    <t>F</t>
  </si>
  <si>
    <t>Biogas plant, basic configuration</t>
  </si>
  <si>
    <t xml:space="preserve"> - of which proces electricity</t>
  </si>
  <si>
    <t>A B</t>
  </si>
  <si>
    <t>G</t>
  </si>
  <si>
    <t>H</t>
  </si>
  <si>
    <t>A C</t>
  </si>
  <si>
    <t>Energy/technical data</t>
  </si>
  <si>
    <t>- Inputs</t>
  </si>
  <si>
    <t>- Outputs</t>
  </si>
  <si>
    <t>Biogas (GJ/ton input)</t>
  </si>
  <si>
    <t>A, E</t>
  </si>
  <si>
    <t>Biogas (%)</t>
  </si>
  <si>
    <t>For compatibility with the template the energy of the biogas output is assumed to be 100%. (For most of the input material a calorific value is not relevant)</t>
  </si>
  <si>
    <t>Learning curve effects have been assumed 2015-2020: 10% reductions, 2020-2030: 10% reductions, 2030-2050: 10% reductions</t>
  </si>
  <si>
    <t>Learning curve effects have been assumed 2015-2020: 5% reductions, 2020-2030: 5% reductions, 2030-2050: 5% reductions</t>
  </si>
  <si>
    <t>I</t>
  </si>
  <si>
    <t>J</t>
  </si>
  <si>
    <t>Calculated with a constant production 8760 hours per year</t>
  </si>
  <si>
    <t>Additional process heat (% of additional output)</t>
  </si>
  <si>
    <t>Biogas production, (MJ/S heating value)</t>
  </si>
  <si>
    <t>9</t>
  </si>
  <si>
    <t>8/13</t>
  </si>
  <si>
    <t>Typical capacity (tons/year input)</t>
  </si>
  <si>
    <t>Biomass (tons/year)</t>
  </si>
  <si>
    <t>Specific investment (mio €/MW output)</t>
  </si>
  <si>
    <t>Total O&amp;M (€/MW/year)</t>
  </si>
  <si>
    <t>5/9</t>
  </si>
  <si>
    <t>8/5</t>
  </si>
  <si>
    <t xml:space="preserve"> 8/5</t>
  </si>
  <si>
    <t>Forced outage (%)</t>
  </si>
  <si>
    <t>Planned outage (days per year)</t>
  </si>
  <si>
    <t>A H C</t>
  </si>
  <si>
    <t>The investment includes a straw fired boiler for process heat.</t>
  </si>
  <si>
    <t>Auxilliary electricity input (kWh/ton straw)</t>
  </si>
  <si>
    <t>Aux. electricity (% of output energy)</t>
  </si>
  <si>
    <t>Aux. electricity (kWh/ton input)</t>
  </si>
  <si>
    <t>Aux. process heat (% of output energy)</t>
  </si>
  <si>
    <t>Aux. process heat (kWh/ton input))</t>
  </si>
  <si>
    <t>Auxilliary process heat (kWh/ton straw input)</t>
  </si>
  <si>
    <t>Biogas (% of total input)</t>
  </si>
  <si>
    <t>Straw input (tons per year)</t>
  </si>
  <si>
    <t>Residual organic material</t>
  </si>
  <si>
    <t>Investment in straw preparation equipment (57 Eur/ton/year) and proportional share of basic plant included. Biogas processing time is 25 days</t>
  </si>
  <si>
    <t>Investment (€/MW)</t>
  </si>
  <si>
    <t>Investment (€/ton straw input/year)</t>
  </si>
  <si>
    <t>Total O&amp;M (€/ton straw input/year)</t>
  </si>
  <si>
    <t>All O&amp;M considered fixed, assuming 8760 hours operation per year. Does not include fuel for process heat, electricity, biomass purchase and transport, see e.g. [5] and [8]. O&amp;M costs for straw processing equipment, 10 Eur/ton/year, and proportional share of basic plant included.</t>
  </si>
  <si>
    <t>Biogas (GJ/ton straw input)</t>
  </si>
  <si>
    <t>Learning curve effects have not been considered. Will depend on actrual deployment of technology.</t>
  </si>
  <si>
    <t>AEH</t>
  </si>
  <si>
    <t>AFH</t>
  </si>
  <si>
    <t>Ind. organic waste input (tons per year)</t>
  </si>
  <si>
    <t>Biogas (GJ/ton ind. org. waste  input)</t>
  </si>
  <si>
    <t>AEG</t>
  </si>
  <si>
    <t>AFG</t>
  </si>
  <si>
    <t>ACG</t>
  </si>
  <si>
    <t>Technology Specific data</t>
  </si>
  <si>
    <t>12</t>
  </si>
  <si>
    <t>A D I</t>
  </si>
  <si>
    <t>Biogas plant, additional straw input in the feedstock mix</t>
  </si>
  <si>
    <t>Biogas from additional straw (MW output)</t>
  </si>
  <si>
    <t>The energy content of residual organic material has not been evaluated due to lack of sources.</t>
  </si>
  <si>
    <t>Auxilliary electricity input (% of additional output)</t>
  </si>
  <si>
    <t>5/8/9</t>
  </si>
  <si>
    <t>Biogas plant, additional industrial organic waste in the feedstock mix</t>
  </si>
  <si>
    <t>Aux. electricity (% of additional output)</t>
  </si>
  <si>
    <t>5</t>
  </si>
  <si>
    <t>Aux. electricity (kWh/ton waste input)</t>
  </si>
  <si>
    <t>Aux. process heat (% of additional output)</t>
  </si>
  <si>
    <t>Aux. process heat (kWh/ton waste input))</t>
  </si>
  <si>
    <t>Investment (€/MW output)</t>
  </si>
  <si>
    <t>Investment (€/ton waste input / year)</t>
  </si>
  <si>
    <t>Total O&amp;M (€/ton waste input/year)</t>
  </si>
  <si>
    <t>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</si>
  <si>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Values are assumed valid for adding a smaller part of straw to a total plant. Maximum share not assessed.</t>
  </si>
  <si>
    <t>For compatibility with the template the energy of the biogas output is assumed to be 100%. (For the input material a calorific value is not relevant)</t>
  </si>
  <si>
    <t>The value will vary with the quality of the input. Assumed average value used corresponding to 320 Nm3 CH4 / ton VS, TS 42%, vs/ts 90%. [8].</t>
  </si>
  <si>
    <t xml:space="preserve">All O&amp;M considered fixed, assuming 8760 hours operation per year. Does not include fuel for process heat, electricity, biomass purchase and transport, see e.g. [5] and [8]. </t>
  </si>
  <si>
    <t>- of which O&amp;M, excl el. and heat (€/(ton input/year))</t>
  </si>
  <si>
    <t>- of which electricity (€/(ton input/year))</t>
  </si>
  <si>
    <t>- of which heat (€/(ton input/year))</t>
  </si>
  <si>
    <t>K</t>
  </si>
  <si>
    <t>Biomass</t>
  </si>
  <si>
    <t>Share, 2015</t>
  </si>
  <si>
    <t>Manure (pig and cattle)</t>
  </si>
  <si>
    <t>Deep bed material</t>
  </si>
  <si>
    <t>Manure, stable</t>
  </si>
  <si>
    <t>Straw</t>
  </si>
  <si>
    <t>Industrial organic waste</t>
  </si>
  <si>
    <t>Household waste</t>
  </si>
  <si>
    <t>Energy crops</t>
  </si>
  <si>
    <t>Other</t>
  </si>
  <si>
    <t>Price per ton (€), incl transport</t>
  </si>
  <si>
    <t>Straw input (% of additional output)</t>
  </si>
  <si>
    <t>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</si>
  <si>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The cost of auxiliary electricity consumption is calculated using the following electricity prices in €/MWh: 2015: 63, 2020: 69, 2030: 101, 2050: 117. These prices include production costs and transport tariffs, but not any taxes or subsidies for renewable energy.</t>
  </si>
  <si>
    <t>125-200%</t>
  </si>
  <si>
    <t>L</t>
  </si>
  <si>
    <t xml:space="preserve">The conversion efficiency  depends on the specific types of industrial waste used at the biogas plants. </t>
  </si>
  <si>
    <t>Fatty biomasses may be converted with high efficiences (&gt;70 %) whereas for example the conversion of protein rich biomasses is closer to 50 %.</t>
  </si>
  <si>
    <t>All O&amp;M considered fixed, assuming 8760 hours operation per year. Does not include costs for biomass purchase and transport. Data for biomass included in biogas plant, basic configuration, 2015, is inluded below. Source: Reference [5].</t>
  </si>
  <si>
    <t>Share, 2020</t>
  </si>
  <si>
    <t>Methane emission (Nm3 CH4/ton input/year)</t>
  </si>
  <si>
    <t>Typical total plant size (MW output)</t>
  </si>
  <si>
    <t xml:space="preserve">  Total O&amp;M (€/(ton input/year))</t>
  </si>
  <si>
    <t>Methane emission (Nm3 CH4 input/year)</t>
  </si>
  <si>
    <t>Ind. organic waste input (% of additional output)</t>
  </si>
  <si>
    <t>Biogas from additional ind. organic waste (MW output)</t>
  </si>
  <si>
    <t>Corresponding to 2% of the produced biogas, wit lower value 0.8% and upper value 4.2%. This will vary and can be reduced.</t>
  </si>
  <si>
    <t>A calorific value of methane of 35.9 MJ/Nm3 is used. The input material composition and the output is assumed constant after 2020.</t>
  </si>
  <si>
    <t>Values are assumed valid for a range 200,000 - 400,000 tons per year</t>
  </si>
  <si>
    <t>The production, investment- and operation costs are based on a plant with a yearly input of 365,000 tons and a mix of available feedstock sources as described in [9] and [8], but excluding straw, energy crops, garden waste and aquatic biomass. The available feedstock composition for 2015 is obtained by interpolation of 2012 and 2020 potentials. The feedstock composition after 2020 is assumed constant.
The output of a specific plant will vary depending on the actual feedstock composition.</t>
  </si>
  <si>
    <t>Biogas, upgrading</t>
  </si>
  <si>
    <t>Biogas upgrading</t>
  </si>
  <si>
    <t>Energy/technical data, upgrading plant</t>
  </si>
  <si>
    <t>Input capacity</t>
  </si>
  <si>
    <t>Typical total size (MJ output/s)</t>
  </si>
  <si>
    <t>A G</t>
  </si>
  <si>
    <t>Capacity, (Nm3 CH4/h)</t>
  </si>
  <si>
    <t>Typical total size (Nm3 biogas/h)</t>
  </si>
  <si>
    <t>1/4</t>
  </si>
  <si>
    <t>Capacity (Nm3 biomethane/h)</t>
  </si>
  <si>
    <t>Capacity, (MJ/S)</t>
  </si>
  <si>
    <t>Methane slip / emission, %</t>
  </si>
  <si>
    <t>2</t>
  </si>
  <si>
    <t>Biogas (% of biogas input)</t>
  </si>
  <si>
    <t>Electricity input, upgrading, kWh/Nm3 CH4</t>
  </si>
  <si>
    <t>A H</t>
  </si>
  <si>
    <t>3/5</t>
  </si>
  <si>
    <t>Auxilliary electricity for upgrading (% of biogas input)</t>
  </si>
  <si>
    <t>A D J</t>
  </si>
  <si>
    <t>1/2/4/7</t>
  </si>
  <si>
    <t>Electricity input, compression kWh/Nm3 CH4</t>
  </si>
  <si>
    <t>3</t>
  </si>
  <si>
    <t>Auxilliary electricity for compression (% of biogas input)</t>
  </si>
  <si>
    <t>A F</t>
  </si>
  <si>
    <t>2/4</t>
  </si>
  <si>
    <t>Heat input, kWh/Nm3 CH4</t>
  </si>
  <si>
    <t>1/3/5</t>
  </si>
  <si>
    <t>Heat (% of biogas input)</t>
  </si>
  <si>
    <t xml:space="preserve"> </t>
  </si>
  <si>
    <t>Conversion efficiency, gross, %</t>
  </si>
  <si>
    <t>2/5</t>
  </si>
  <si>
    <t>CO2 removal, %</t>
  </si>
  <si>
    <t>Availability, %</t>
  </si>
  <si>
    <t>Biomethane (% of biogas input)</t>
  </si>
  <si>
    <t>Planned outage (weeks per year)</t>
  </si>
  <si>
    <t>Waste gas (% of biogas input)</t>
  </si>
  <si>
    <t>Waste heat (% of biogas input)</t>
  </si>
  <si>
    <t>Forced outage (weeks per year)</t>
  </si>
  <si>
    <t>Space requirement (1000m2/Nm3 CH4/h)</t>
  </si>
  <si>
    <t>Regulation ability</t>
  </si>
  <si>
    <t>Primary regulation (% per 30 seconds)</t>
  </si>
  <si>
    <t>N/A</t>
  </si>
  <si>
    <t>Secondary regulation (% per minute)</t>
  </si>
  <si>
    <t>Minimum load (% of full load)</t>
  </si>
  <si>
    <t>Warm start-up time (hours)</t>
  </si>
  <si>
    <t>Specific investment, upgrading and methane reduction (€/MJ/s input)</t>
  </si>
  <si>
    <t>C D</t>
  </si>
  <si>
    <t>1/2/5/7</t>
  </si>
  <si>
    <t>Cold start-up time (hours)</t>
  </si>
  <si>
    <t>Specific investment, grid injection at 40bar  (€/MJ/s input)</t>
  </si>
  <si>
    <t>Environment</t>
  </si>
  <si>
    <r>
      <t>SO</t>
    </r>
    <r>
      <rPr>
        <vertAlign val="subscript"/>
        <sz val="9"/>
        <rFont val="Arial"/>
        <family val="2"/>
      </rPr>
      <t>2</t>
    </r>
    <r>
      <rPr>
        <sz val="9"/>
        <rFont val="Arial"/>
        <family val="2"/>
      </rPr>
      <t xml:space="preserve"> (g per GJ biogas fuel)</t>
    </r>
  </si>
  <si>
    <t>Fixed O&amp;M  (€/MJ/s input / year)</t>
  </si>
  <si>
    <r>
      <t>SO</t>
    </r>
    <r>
      <rPr>
        <vertAlign val="subscript"/>
        <sz val="9"/>
        <rFont val="Arial"/>
        <family val="2"/>
      </rPr>
      <t>2</t>
    </r>
    <r>
      <rPr>
        <sz val="9"/>
        <rFont val="Arial"/>
        <family val="2"/>
      </rPr>
      <t xml:space="preserve"> (degree of desulphuring, %) </t>
    </r>
  </si>
  <si>
    <t>- of which fixed O&amp;M costs upgrading and methane reduction, excl. el.  (€/MJ/s input / year)</t>
  </si>
  <si>
    <r>
      <t>NO</t>
    </r>
    <r>
      <rPr>
        <vertAlign val="subscript"/>
        <sz val="9"/>
        <rFont val="Arial"/>
        <family val="2"/>
      </rPr>
      <t>X</t>
    </r>
    <r>
      <rPr>
        <sz val="9"/>
        <rFont val="Arial"/>
        <family val="2"/>
      </rPr>
      <t xml:space="preserve"> (g per GJ fuel) </t>
    </r>
  </si>
  <si>
    <t>- of which fixed O&amp;M costs grid injection, excl. el.  (€/MJ/s input / year)</t>
  </si>
  <si>
    <t>CH4 (g per GJ fuel)</t>
  </si>
  <si>
    <t>Variable O&amp;M ((€/GJ input)</t>
  </si>
  <si>
    <t>N2O (g per GJ fuel)</t>
  </si>
  <si>
    <t>- of which electricity (€/GJ input)</t>
  </si>
  <si>
    <t>2/4/7</t>
  </si>
  <si>
    <t>Nominal investment, upgrading and methane reduction(€/Nm3 CH4/h)</t>
  </si>
  <si>
    <t>A D</t>
  </si>
  <si>
    <t>1/2/5</t>
  </si>
  <si>
    <t>Technology specific data</t>
  </si>
  <si>
    <t>Nominal investment, grid injection (€/Nm3 CH4/h)</t>
  </si>
  <si>
    <t>Methane slip / emission (%)</t>
  </si>
  <si>
    <t>Nominal investment, pipeline to gas grid</t>
  </si>
  <si>
    <t>Total O&amp;M (€/Nm3 CH4/h)</t>
  </si>
  <si>
    <t>- of which fixed O&amp;M costs, excl. el. (€/Nm3 CH4/h)</t>
  </si>
  <si>
    <t>1/2/5;</t>
  </si>
  <si>
    <t>- of which electricity (€/Nm3 CH4/h)</t>
  </si>
  <si>
    <t>A C E</t>
  </si>
  <si>
    <t>References:</t>
  </si>
  <si>
    <t>Technology Data for Energy Plants – Generation of Electricity and District Heating, Energy Storage and Energy Carrier Generation and Conversion. Energistyrelsen May 2012, certain updates in October 2013, and January 2014.</t>
  </si>
  <si>
    <t>"Technology Data for Energy Plants – Generation of Electricity and District Heating, Energy Storage and Energy Carrier Generation and Conversion.", certain updates in October 2013, and January 2014, Danish Energy Agency, May 2012.</t>
  </si>
  <si>
    <t xml:space="preserve">Biogas upgrading – Review of commercial technologies. SGC Rapport 2013:270. SGC, 2013 </t>
  </si>
  <si>
    <t>"Biogas upgrading – Review of commercial technologies", SGC Rapport 2013:270, SGC, 2013 .</t>
  </si>
  <si>
    <t>Biogas upgrading technologies – developments and innovations. IEA Bioenergy, Task 37 – Energy from biogas and landfill gas. IEA, 2009</t>
  </si>
  <si>
    <t>"Biogas upgrading technologies – developments and innovations, Task 37 – Energy from biogas and landfill gas". IEA Bioenergy, 2009.</t>
  </si>
  <si>
    <t>Anvendelse af biogas til el- og varmeproduktion, analyser for Biogas Taskforce. Ea Energianalyse, 2014</t>
  </si>
  <si>
    <t>”Anvendelse af biogas til el- og varmeproduktion”, Ea Energianalyse, 2014.</t>
  </si>
  <si>
    <t>Biometan Regioner - Introduktion til produktion af biometan fra biogas, Biomethane Regions ??</t>
  </si>
  <si>
    <t>”Introduktion til produktion af biometan fra biogas”, Biometan Regioner, 2013.</t>
  </si>
  <si>
    <t xml:space="preserve">Corresponding to 1. 000 Nm3 biogas input, assuming a methane content of the raw biogas of 60% and an average gross conversion efficiency of approx. 98%. </t>
  </si>
  <si>
    <t>Corresponding to 1.000 Nm3 biogas input, assuming a methane content of the raw biogas of 60% and an average gross conversion efficiency of approx. 98,5%.</t>
  </si>
  <si>
    <t>Values are assumed valid for a range 300-700 Nm3 biomethane per hour</t>
  </si>
  <si>
    <t>Values are assumed valid for a range 500-1,500 Nm3 biomethane per hour</t>
  </si>
  <si>
    <t>Values include the grid injection facility</t>
  </si>
  <si>
    <t>Values include upgrading, methane reduction and grid injection facilities</t>
  </si>
  <si>
    <t>Based on a water-scrubber based plant, alternative technologies have similar values.</t>
  </si>
  <si>
    <t>Based on a water-scrubber technology based plant, alternative technologies have comparable values in terms of total upgrading costs.
For a plant of double capacity (2000 Nm3/h) the realtive price is expected to be 20-25% lower [1,3]</t>
  </si>
  <si>
    <t>An electricity price of 694 kr/MWh is assumed (process electricity)</t>
  </si>
  <si>
    <t>The cost of auxiliary electricity consumption is calculated using the following electricity prices in €/MWh: 2015: 63, 2020: 69, 2030: 101, 2050: 117.  These prices include production costs and transport tariffs, but not any taxes or subsidies for renewable energy.</t>
  </si>
  <si>
    <t>Injection in natural gas grid at 40 bar</t>
  </si>
  <si>
    <t>Based on a lower calorfic value of 36 MJ/Nm3</t>
  </si>
  <si>
    <t>Based on a lower calorfic value of 36 MJ/Nm3 and 8760 hours per year</t>
  </si>
  <si>
    <t>Assuming 20 km pipeline at 120.000 Euro per km</t>
  </si>
  <si>
    <t>O&amp;M costs are estimated to 2.5% of investment per year, in accodance with [2]</t>
  </si>
  <si>
    <t xml:space="preserve">I </t>
  </si>
  <si>
    <t>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</si>
  <si>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Assuming that, by 2030, one or more of the newer and currently less developled technologies (e.g. cryogenic and membrane technologies) will take over.</t>
  </si>
  <si>
    <t>This can lead to a 50% reduction of the electricity consumption, which is already achievable today with the amine scrubbing technology.</t>
  </si>
  <si>
    <t xml:space="preserve">Technology Data for Energy Carrier Generation and Conversion June 2017
</t>
  </si>
  <si>
    <t>"Udvikling og effektivisering af biogasproduktionen I Danmark – Delrapport 1 og 2”, Danish Energy Agency Biogas Taskforce 2015.</t>
  </si>
  <si>
    <t>”Anvendelse af biogas til el- og varmeproduktion, analyser for Biogas Taskforce”, Ea Energianalyse, 2014</t>
  </si>
  <si>
    <t>"Biomasse til biogasanlæg i Danmark - på kort og langt sigt", Agrotech, November 2013</t>
  </si>
  <si>
    <t>”Miljøeffekter af metanlækage på biogasanlæg”, Agrotek, 2015</t>
  </si>
  <si>
    <t>“Biogas upgrading – Technical review, Energiforsk report 2016:275, Energiforsk AB, 2016.</t>
  </si>
  <si>
    <t xml:space="preserve">“Biogas upgrading – Review of commercial technologies”, SGC Rapport 2013:270, SGC, 2013. </t>
  </si>
  <si>
    <t xml:space="preserve">“Biogas upgrading technologies – developments and innovations. Task 37 – Energy from biogas and landfill gas”, Petersson &amp; Wellinger, IEA Bioenergy, 2009.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</si>
</sst>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_ * #,##0_ ;_ * \-#,##0_ ;_ * &quot;-&quot;??_ ;_ @_ "/>
    <numFmt numFmtId="165" formatCode="0.0"/>
    <numFmt numFmtId="166" formatCode="0.0%"/>
    <numFmt numFmtId="167" formatCode="_ * #,##0.0_ ;_ * \-#,##0.0_ ;_ * &quot;-&quot;??_ ;_ @_ "/>
    <numFmt numFmtId="168" formatCode="0_)"/>
    <numFmt numFmtId="169" formatCode="0.000"/>
    <numFmt numFmtId="170" formatCode="#,##0.0"/>
  </numFmts>
  <fonts count="25" x14ac:knownFonts="1">
    <font>
      <sz val="11"/>
      <color theme="1"/>
      <name val="Calibri"/>
      <family val="2"/>
      <scheme val="minor"/>
    </font>
    <font>
      <sz val="12"/>
      <color theme="1"/>
      <name val="Calibri"/>
      <family val="2"/>
      <scheme val="minor"/>
    </font>
    <font>
      <sz val="11"/>
      <color theme="1"/>
      <name val="Calibri"/>
      <family val="2"/>
      <scheme val="minor"/>
    </font>
    <font>
      <sz val="9"/>
      <name val="Arial"/>
      <family val="2"/>
    </font>
    <font>
      <b/>
      <sz val="16"/>
      <color theme="1"/>
      <name val="Arial"/>
      <family val="2"/>
    </font>
    <font>
      <b/>
      <sz val="12"/>
      <name val="Arial"/>
      <family val="2"/>
    </font>
    <font>
      <sz val="12"/>
      <color theme="1"/>
      <name val="Calibri"/>
      <family val="2"/>
      <scheme val="minor"/>
    </font>
    <font>
      <b/>
      <sz val="10"/>
      <name val="Arial"/>
      <family val="2"/>
    </font>
    <font>
      <sz val="10"/>
      <name val="Arial"/>
      <family val="2"/>
    </font>
    <font>
      <b/>
      <sz val="9"/>
      <name val="Arial"/>
      <family val="2"/>
    </font>
    <font>
      <sz val="9"/>
      <color theme="1"/>
      <name val="Calibri"/>
      <family val="2"/>
      <scheme val="minor"/>
    </font>
    <font>
      <b/>
      <i/>
      <sz val="9"/>
      <name val="Arial"/>
      <family val="2"/>
    </font>
    <font>
      <b/>
      <i/>
      <sz val="10"/>
      <name val="Arial"/>
      <family val="2"/>
    </font>
    <font>
      <sz val="10"/>
      <color theme="1"/>
      <name val="Calibri"/>
      <family val="2"/>
      <scheme val="minor"/>
    </font>
    <font>
      <u/>
      <sz val="11"/>
      <color theme="10"/>
      <name val="Calibri"/>
      <family val="2"/>
      <scheme val="minor"/>
    </font>
    <font>
      <sz val="8"/>
      <name val="Times"/>
      <family val="1"/>
    </font>
    <font>
      <sz val="9"/>
      <color theme="1"/>
      <name val="Arial"/>
      <family val="2"/>
    </font>
    <font>
      <sz val="11"/>
      <color theme="1"/>
      <name val="Arial"/>
      <family val="2"/>
    </font>
    <font>
      <vertAlign val="subscript"/>
      <sz val="9"/>
      <name val="Arial"/>
      <family val="2"/>
    </font>
    <font>
      <sz val="9"/>
      <color indexed="8"/>
      <name val="Arial"/>
      <family val="2"/>
    </font>
    <font>
      <sz val="12"/>
      <color theme="1"/>
      <name val="Times New Roman"/>
      <family val="1"/>
    </font>
    <font>
      <u/>
      <sz val="10"/>
      <color indexed="12"/>
      <name val="Arial"/>
      <family val="2"/>
    </font>
    <font>
      <u/>
      <sz val="9"/>
      <color indexed="12"/>
      <name val="Arial"/>
      <family val="2"/>
    </font>
    <font>
      <b/>
      <sz val="16"/>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5">
    <border>
      <left/>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s>
  <cellStyleXfs count="8">
    <xf numFmtId="0" fontId="0"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4" fillId="0" borderId="0" applyNumberFormat="0" applyFill="0" applyBorder="0" applyAlignment="0" applyProtection="0"/>
    <xf numFmtId="168" fontId="15" fillId="0" borderId="0"/>
    <xf numFmtId="168" fontId="15" fillId="0" borderId="0"/>
    <xf numFmtId="0" fontId="21" fillId="0" borderId="0" applyNumberFormat="0" applyFill="0" applyBorder="0" applyAlignment="0" applyProtection="0">
      <alignment vertical="top"/>
      <protection locked="0"/>
    </xf>
  </cellStyleXfs>
  <cellXfs count="320">
    <xf numFmtId="0" fontId="0" fillId="0" borderId="0" xfId="0"/>
    <xf numFmtId="0" fontId="0" fillId="0" borderId="0" xfId="0" applyFill="1"/>
    <xf numFmtId="0" fontId="0" fillId="0" borderId="0" xfId="0" applyBorder="1"/>
    <xf numFmtId="166" fontId="0" fillId="0" borderId="0" xfId="2" applyNumberFormat="1" applyFont="1" applyBorder="1"/>
    <xf numFmtId="164" fontId="0" fillId="0" borderId="0" xfId="0" applyNumberFormat="1" applyBorder="1"/>
    <xf numFmtId="0" fontId="0" fillId="0" borderId="0" xfId="0" applyBorder="1" applyAlignment="1">
      <alignment horizontal="center"/>
    </xf>
    <xf numFmtId="0" fontId="3" fillId="2" borderId="0" xfId="0" applyFont="1" applyFill="1"/>
    <xf numFmtId="0" fontId="4" fillId="2" borderId="0" xfId="0" applyFont="1" applyFill="1"/>
    <xf numFmtId="0" fontId="3" fillId="0" borderId="0" xfId="0" applyFont="1"/>
    <xf numFmtId="0" fontId="7" fillId="2" borderId="10" xfId="0" applyFont="1" applyFill="1" applyBorder="1" applyAlignment="1">
      <alignment vertical="top" wrapText="1"/>
    </xf>
    <xf numFmtId="0" fontId="3" fillId="2" borderId="6" xfId="0" applyFont="1" applyFill="1" applyBorder="1" applyAlignment="1">
      <alignment vertical="top" wrapText="1"/>
    </xf>
    <xf numFmtId="0" fontId="7" fillId="2" borderId="3" xfId="0" applyFont="1" applyFill="1" applyBorder="1" applyAlignment="1">
      <alignment horizontal="center" vertical="top" wrapText="1"/>
    </xf>
    <xf numFmtId="0" fontId="3" fillId="2" borderId="10" xfId="0" applyFont="1" applyFill="1" applyBorder="1" applyAlignment="1">
      <alignment vertical="top" wrapText="1"/>
    </xf>
    <xf numFmtId="0" fontId="3" fillId="2" borderId="3"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0" xfId="0" applyFont="1" applyFill="1" applyBorder="1"/>
    <xf numFmtId="0" fontId="7" fillId="2" borderId="4" xfId="0" applyFont="1" applyFill="1" applyBorder="1" applyAlignment="1">
      <alignment vertical="top" wrapText="1"/>
    </xf>
    <xf numFmtId="0" fontId="3" fillId="2" borderId="3" xfId="0" quotePrefix="1" applyFont="1" applyFill="1" applyBorder="1" applyAlignment="1">
      <alignment horizontal="center" vertical="top" wrapText="1"/>
    </xf>
    <xf numFmtId="165" fontId="3" fillId="2" borderId="3" xfId="0" applyNumberFormat="1" applyFont="1" applyFill="1" applyBorder="1" applyAlignment="1">
      <alignment horizontal="center" vertical="top" wrapText="1"/>
    </xf>
    <xf numFmtId="0" fontId="9" fillId="2" borderId="0" xfId="0" applyFont="1" applyFill="1"/>
    <xf numFmtId="0" fontId="3" fillId="2" borderId="0" xfId="0" applyFont="1" applyFill="1" applyAlignment="1">
      <alignment vertical="top" wrapText="1"/>
    </xf>
    <xf numFmtId="43" fontId="3" fillId="0" borderId="0" xfId="1" applyFont="1"/>
    <xf numFmtId="43" fontId="0" fillId="0" borderId="0" xfId="1" applyFont="1"/>
    <xf numFmtId="1" fontId="9" fillId="2" borderId="0" xfId="0" applyNumberFormat="1" applyFont="1" applyFill="1" applyAlignment="1">
      <alignment vertical="top"/>
    </xf>
    <xf numFmtId="0" fontId="9" fillId="2" borderId="0" xfId="0" applyFont="1" applyFill="1" applyAlignment="1">
      <alignment vertical="top" wrapText="1"/>
    </xf>
    <xf numFmtId="0" fontId="3" fillId="2" borderId="0" xfId="0" applyFont="1" applyFill="1" applyAlignment="1">
      <alignment horizontal="right" vertical="top"/>
    </xf>
    <xf numFmtId="0" fontId="3" fillId="3" borderId="6" xfId="0" applyFont="1" applyFill="1" applyBorder="1" applyAlignment="1">
      <alignment vertical="top" wrapText="1"/>
    </xf>
    <xf numFmtId="165" fontId="3" fillId="0" borderId="10" xfId="0" applyNumberFormat="1" applyFont="1" applyFill="1" applyBorder="1" applyAlignment="1">
      <alignment horizontal="center" vertical="top" wrapText="1"/>
    </xf>
    <xf numFmtId="0" fontId="3" fillId="0" borderId="10" xfId="0" applyFont="1" applyFill="1" applyBorder="1" applyAlignment="1">
      <alignment horizontal="center" vertical="top" wrapText="1"/>
    </xf>
    <xf numFmtId="2" fontId="3" fillId="2" borderId="10" xfId="0" applyNumberFormat="1" applyFont="1" applyFill="1" applyBorder="1" applyAlignment="1">
      <alignment horizontal="center" vertical="top" wrapText="1"/>
    </xf>
    <xf numFmtId="0" fontId="3" fillId="0" borderId="10" xfId="0" applyFont="1" applyFill="1" applyBorder="1" applyAlignment="1">
      <alignment vertical="top" wrapText="1"/>
    </xf>
    <xf numFmtId="0" fontId="3" fillId="0" borderId="6" xfId="0" applyFont="1" applyFill="1" applyBorder="1" applyAlignment="1">
      <alignment vertical="top" wrapText="1"/>
    </xf>
    <xf numFmtId="9" fontId="3" fillId="0" borderId="10" xfId="2" applyFont="1" applyFill="1" applyBorder="1" applyAlignment="1">
      <alignment horizontal="center" vertical="top" wrapText="1"/>
    </xf>
    <xf numFmtId="165" fontId="0" fillId="0" borderId="0" xfId="0" applyNumberFormat="1" applyBorder="1"/>
    <xf numFmtId="10" fontId="0" fillId="0" borderId="0" xfId="2" applyNumberFormat="1" applyFont="1" applyBorder="1"/>
    <xf numFmtId="0" fontId="0" fillId="3" borderId="0" xfId="0" applyFill="1"/>
    <xf numFmtId="43" fontId="3" fillId="2" borderId="0" xfId="1" applyFont="1" applyFill="1" applyBorder="1" applyAlignment="1">
      <alignment vertical="top" wrapText="1"/>
    </xf>
    <xf numFmtId="0" fontId="7" fillId="2" borderId="7" xfId="0" applyFont="1" applyFill="1" applyBorder="1" applyAlignment="1">
      <alignment vertical="top" wrapText="1"/>
    </xf>
    <xf numFmtId="0" fontId="7" fillId="2" borderId="8" xfId="0" applyFont="1" applyFill="1" applyBorder="1" applyAlignment="1">
      <alignment vertical="top" wrapText="1"/>
    </xf>
    <xf numFmtId="0" fontId="7" fillId="2" borderId="9" xfId="0" applyFont="1" applyFill="1" applyBorder="1" applyAlignment="1">
      <alignment vertical="top" wrapText="1"/>
    </xf>
    <xf numFmtId="0" fontId="11" fillId="2" borderId="10" xfId="0" quotePrefix="1" applyFont="1" applyFill="1" applyBorder="1" applyAlignment="1">
      <alignment vertical="top" wrapText="1"/>
    </xf>
    <xf numFmtId="0" fontId="11" fillId="0" borderId="10" xfId="0" quotePrefix="1" applyFont="1" applyFill="1" applyBorder="1" applyAlignment="1">
      <alignment vertical="top" wrapText="1"/>
    </xf>
    <xf numFmtId="167" fontId="3" fillId="0" borderId="10" xfId="1" applyNumberFormat="1" applyFont="1" applyFill="1" applyBorder="1" applyAlignment="1">
      <alignment vertical="top" wrapText="1"/>
    </xf>
    <xf numFmtId="0" fontId="0" fillId="0" borderId="10" xfId="0" applyFill="1" applyBorder="1" applyAlignment="1">
      <alignment vertical="top" wrapText="1"/>
    </xf>
    <xf numFmtId="0" fontId="3" fillId="0" borderId="10" xfId="0" applyFont="1" applyFill="1" applyBorder="1"/>
    <xf numFmtId="0" fontId="3" fillId="0" borderId="10" xfId="0" quotePrefix="1" applyFont="1" applyFill="1" applyBorder="1" applyAlignment="1">
      <alignment vertical="top" wrapText="1"/>
    </xf>
    <xf numFmtId="16" fontId="3" fillId="0" borderId="10" xfId="0" applyNumberFormat="1" applyFont="1" applyFill="1" applyBorder="1" applyAlignment="1">
      <alignment horizontal="center" vertical="top" wrapText="1"/>
    </xf>
    <xf numFmtId="16" fontId="3" fillId="2" borderId="10" xfId="0" applyNumberFormat="1" applyFont="1" applyFill="1" applyBorder="1" applyAlignment="1">
      <alignment horizontal="center" vertical="top" wrapText="1"/>
    </xf>
    <xf numFmtId="1" fontId="3" fillId="2" borderId="10" xfId="0" applyNumberFormat="1" applyFont="1" applyFill="1" applyBorder="1" applyAlignment="1">
      <alignment horizontal="center" vertical="top" wrapText="1"/>
    </xf>
    <xf numFmtId="3" fontId="3" fillId="0" borderId="10" xfId="0" applyNumberFormat="1" applyFont="1" applyBorder="1"/>
    <xf numFmtId="0" fontId="3" fillId="2" borderId="0" xfId="0" applyFont="1" applyFill="1" applyBorder="1" applyAlignment="1">
      <alignment horizontal="center" vertical="top"/>
    </xf>
    <xf numFmtId="2" fontId="3" fillId="2" borderId="0" xfId="0" applyNumberFormat="1" applyFont="1" applyFill="1" applyBorder="1" applyAlignment="1">
      <alignment horizontal="center" vertical="top"/>
    </xf>
    <xf numFmtId="1" fontId="3" fillId="0" borderId="10" xfId="0" applyNumberFormat="1" applyFont="1" applyBorder="1" applyAlignment="1">
      <alignment horizontal="center" vertical="top"/>
    </xf>
    <xf numFmtId="0" fontId="8" fillId="0" borderId="10" xfId="0" applyFont="1" applyFill="1" applyBorder="1" applyAlignment="1">
      <alignment vertical="top" wrapText="1"/>
    </xf>
    <xf numFmtId="0" fontId="0" fillId="0" borderId="10" xfId="0" applyBorder="1"/>
    <xf numFmtId="16" fontId="3" fillId="2" borderId="10" xfId="0" quotePrefix="1" applyNumberFormat="1" applyFont="1" applyFill="1" applyBorder="1" applyAlignment="1">
      <alignment horizontal="center" vertical="top" wrapText="1"/>
    </xf>
    <xf numFmtId="0" fontId="0" fillId="0" borderId="10" xfId="0" applyBorder="1" applyAlignment="1">
      <alignment horizontal="center"/>
    </xf>
    <xf numFmtId="166" fontId="3" fillId="0" borderId="10" xfId="2" applyNumberFormat="1" applyFont="1" applyFill="1" applyBorder="1" applyAlignment="1">
      <alignment vertical="top" wrapText="1"/>
    </xf>
    <xf numFmtId="0" fontId="9" fillId="2" borderId="0" xfId="0" applyFont="1" applyFill="1" applyBorder="1" applyAlignment="1">
      <alignment vertical="top" wrapText="1"/>
    </xf>
    <xf numFmtId="165" fontId="3" fillId="2" borderId="10" xfId="0" applyNumberFormat="1" applyFont="1" applyFill="1" applyBorder="1" applyAlignment="1">
      <alignment horizontal="center" vertical="top"/>
    </xf>
    <xf numFmtId="0" fontId="3" fillId="2" borderId="10" xfId="0" applyFont="1" applyFill="1" applyBorder="1" applyAlignment="1">
      <alignment horizontal="center" vertical="top"/>
    </xf>
    <xf numFmtId="0" fontId="7" fillId="2" borderId="10" xfId="0" applyFont="1" applyFill="1" applyBorder="1" applyAlignment="1">
      <alignment vertical="top"/>
    </xf>
    <xf numFmtId="1" fontId="3" fillId="2" borderId="0" xfId="0" applyNumberFormat="1" applyFont="1" applyFill="1" applyBorder="1" applyAlignment="1">
      <alignment vertical="top"/>
    </xf>
    <xf numFmtId="1" fontId="3" fillId="2" borderId="0" xfId="1" applyNumberFormat="1" applyFont="1" applyFill="1" applyBorder="1" applyAlignment="1">
      <alignment vertical="top"/>
    </xf>
    <xf numFmtId="0" fontId="3" fillId="2" borderId="0" xfId="0" applyFont="1" applyFill="1" applyBorder="1" applyAlignment="1">
      <alignment horizontal="right" vertical="top"/>
    </xf>
    <xf numFmtId="4" fontId="3" fillId="2" borderId="10" xfId="0" applyNumberFormat="1" applyFont="1" applyFill="1" applyBorder="1" applyAlignment="1">
      <alignment horizontal="center" vertical="top" wrapText="1"/>
    </xf>
    <xf numFmtId="3" fontId="3" fillId="2" borderId="10" xfId="0" applyNumberFormat="1" applyFont="1" applyFill="1" applyBorder="1" applyAlignment="1">
      <alignment horizontal="center" vertical="top" wrapText="1"/>
    </xf>
    <xf numFmtId="3" fontId="3" fillId="0" borderId="10" xfId="0" applyNumberFormat="1" applyFont="1" applyFill="1" applyBorder="1" applyAlignment="1">
      <alignment horizontal="center" vertical="top" wrapText="1"/>
    </xf>
    <xf numFmtId="165" fontId="3" fillId="0" borderId="10" xfId="0" applyNumberFormat="1" applyFont="1" applyBorder="1" applyAlignment="1">
      <alignment horizontal="center" vertical="top"/>
    </xf>
    <xf numFmtId="164" fontId="3" fillId="0" borderId="10" xfId="1" applyNumberFormat="1" applyFont="1" applyFill="1" applyBorder="1" applyAlignment="1">
      <alignment vertical="top" wrapText="1"/>
    </xf>
    <xf numFmtId="0" fontId="8" fillId="0" borderId="10" xfId="0" applyFont="1" applyFill="1" applyBorder="1" applyAlignment="1">
      <alignment horizontal="left" vertical="top" wrapText="1" indent="1"/>
    </xf>
    <xf numFmtId="9" fontId="3" fillId="0" borderId="10" xfId="0" applyNumberFormat="1" applyFont="1" applyFill="1" applyBorder="1" applyAlignment="1">
      <alignment horizontal="center" vertical="top" wrapText="1"/>
    </xf>
    <xf numFmtId="9" fontId="3" fillId="0" borderId="10" xfId="2" applyFont="1" applyFill="1" applyBorder="1" applyAlignment="1">
      <alignment vertical="top" wrapText="1"/>
    </xf>
    <xf numFmtId="0" fontId="3" fillId="2" borderId="0" xfId="0" applyFont="1" applyFill="1" applyBorder="1" applyAlignment="1">
      <alignment vertical="top" wrapText="1"/>
    </xf>
    <xf numFmtId="164" fontId="3" fillId="0" borderId="10" xfId="1" applyNumberFormat="1" applyFont="1" applyBorder="1" applyAlignment="1">
      <alignment horizontal="center" vertical="top"/>
    </xf>
    <xf numFmtId="164" fontId="3" fillId="0" borderId="10" xfId="1" applyNumberFormat="1" applyFont="1" applyFill="1" applyBorder="1" applyAlignment="1">
      <alignment horizontal="center" vertical="top" wrapText="1"/>
    </xf>
    <xf numFmtId="0" fontId="3" fillId="0" borderId="0" xfId="0" applyFont="1" applyFill="1" applyBorder="1" applyAlignment="1">
      <alignment vertical="top" wrapText="1"/>
    </xf>
    <xf numFmtId="0" fontId="3" fillId="2" borderId="0" xfId="0" applyFont="1" applyFill="1" applyBorder="1" applyAlignment="1">
      <alignment horizontal="center" vertical="top" wrapText="1"/>
    </xf>
    <xf numFmtId="1" fontId="3" fillId="2" borderId="0" xfId="0" quotePrefix="1" applyNumberFormat="1" applyFont="1" applyFill="1" applyBorder="1" applyAlignment="1">
      <alignment horizontal="center" vertical="top" wrapText="1"/>
    </xf>
    <xf numFmtId="49" fontId="3" fillId="2" borderId="10" xfId="0" applyNumberFormat="1" applyFont="1" applyFill="1" applyBorder="1" applyAlignment="1">
      <alignment horizontal="center" vertical="top" wrapText="1"/>
    </xf>
    <xf numFmtId="165" fontId="3" fillId="0" borderId="0" xfId="0" applyNumberFormat="1" applyFont="1" applyBorder="1" applyAlignment="1">
      <alignment horizontal="center" vertical="top"/>
    </xf>
    <xf numFmtId="0" fontId="7" fillId="2" borderId="10" xfId="0" applyFont="1" applyFill="1" applyBorder="1" applyAlignment="1">
      <alignment horizontal="center" vertical="top" wrapText="1"/>
    </xf>
    <xf numFmtId="0" fontId="0" fillId="0" borderId="10" xfId="0" applyBorder="1" applyAlignment="1">
      <alignment horizontal="center"/>
    </xf>
    <xf numFmtId="49" fontId="3" fillId="2" borderId="3" xfId="0" quotePrefix="1" applyNumberFormat="1" applyFont="1" applyFill="1" applyBorder="1" applyAlignment="1">
      <alignment horizontal="center" vertical="top" wrapText="1"/>
    </xf>
    <xf numFmtId="0" fontId="3" fillId="2" borderId="1" xfId="0" applyFont="1" applyFill="1" applyBorder="1" applyAlignment="1">
      <alignment vertical="top" wrapText="1"/>
    </xf>
    <xf numFmtId="0" fontId="3" fillId="2" borderId="0" xfId="0" applyFont="1" applyFill="1" applyBorder="1" applyAlignment="1">
      <alignment vertical="top" wrapText="1"/>
    </xf>
    <xf numFmtId="0" fontId="3" fillId="2" borderId="5" xfId="0" applyFont="1" applyFill="1" applyBorder="1" applyAlignment="1">
      <alignment vertical="top" wrapText="1"/>
    </xf>
    <xf numFmtId="0" fontId="3" fillId="2" borderId="5" xfId="0" applyFont="1" applyFill="1" applyBorder="1" applyAlignment="1">
      <alignment horizontal="center" vertical="top" wrapText="1"/>
    </xf>
    <xf numFmtId="0" fontId="0" fillId="0" borderId="10" xfId="0" applyBorder="1" applyAlignment="1">
      <alignment horizontal="left" indent="1"/>
    </xf>
    <xf numFmtId="2" fontId="3" fillId="0" borderId="10" xfId="0" applyNumberFormat="1" applyFont="1" applyFill="1" applyBorder="1" applyAlignment="1">
      <alignment horizontal="center" vertical="top" wrapText="1"/>
    </xf>
    <xf numFmtId="1" fontId="9" fillId="2" borderId="0" xfId="0" applyNumberFormat="1" applyFont="1" applyFill="1" applyBorder="1" applyAlignment="1">
      <alignment vertical="top"/>
    </xf>
    <xf numFmtId="165" fontId="3" fillId="3" borderId="10" xfId="0" applyNumberFormat="1" applyFont="1" applyFill="1" applyBorder="1" applyAlignment="1">
      <alignment horizontal="center" vertical="top"/>
    </xf>
    <xf numFmtId="165" fontId="3" fillId="3" borderId="10" xfId="0" applyNumberFormat="1" applyFont="1" applyFill="1" applyBorder="1" applyAlignment="1">
      <alignment horizontal="center" vertical="top" wrapText="1"/>
    </xf>
    <xf numFmtId="10" fontId="3" fillId="0" borderId="10" xfId="0" applyNumberFormat="1" applyFont="1" applyFill="1" applyBorder="1" applyAlignment="1">
      <alignment horizontal="center" vertical="top" wrapText="1"/>
    </xf>
    <xf numFmtId="164" fontId="3" fillId="0" borderId="10" xfId="1" applyNumberFormat="1" applyFont="1" applyFill="1" applyBorder="1" applyAlignment="1">
      <alignment horizontal="center" vertical="top"/>
    </xf>
    <xf numFmtId="2" fontId="3" fillId="0" borderId="10" xfId="0" applyNumberFormat="1" applyFont="1" applyFill="1" applyBorder="1" applyAlignment="1">
      <alignment horizontal="center" vertical="top"/>
    </xf>
    <xf numFmtId="165" fontId="3" fillId="0" borderId="10" xfId="0" applyNumberFormat="1" applyFont="1" applyFill="1" applyBorder="1" applyAlignment="1">
      <alignment horizontal="center" vertical="top"/>
    </xf>
    <xf numFmtId="0" fontId="3" fillId="0" borderId="10" xfId="0" applyFont="1" applyFill="1" applyBorder="1" applyAlignment="1">
      <alignment horizontal="left" vertical="top" wrapText="1" indent="1"/>
    </xf>
    <xf numFmtId="0" fontId="8" fillId="2" borderId="10" xfId="0" applyFont="1" applyFill="1" applyBorder="1" applyAlignment="1">
      <alignment vertical="top" wrapText="1"/>
    </xf>
    <xf numFmtId="0" fontId="12" fillId="2" borderId="10" xfId="0" quotePrefix="1" applyFont="1" applyFill="1" applyBorder="1" applyAlignment="1">
      <alignment vertical="top" wrapText="1"/>
    </xf>
    <xf numFmtId="0" fontId="12" fillId="0" borderId="10" xfId="0" quotePrefix="1" applyFont="1" applyFill="1" applyBorder="1" applyAlignment="1">
      <alignment vertical="top" wrapText="1"/>
    </xf>
    <xf numFmtId="0" fontId="8" fillId="0" borderId="10" xfId="0" quotePrefix="1" applyFont="1" applyFill="1" applyBorder="1" applyAlignment="1">
      <alignment vertical="top" wrapText="1"/>
    </xf>
    <xf numFmtId="0" fontId="9" fillId="3" borderId="6" xfId="0" applyFont="1" applyFill="1" applyBorder="1" applyAlignment="1">
      <alignment vertical="top" wrapText="1"/>
    </xf>
    <xf numFmtId="0" fontId="9" fillId="0" borderId="6" xfId="0" applyFont="1" applyFill="1" applyBorder="1" applyAlignment="1">
      <alignment vertical="top" wrapText="1"/>
    </xf>
    <xf numFmtId="0" fontId="3" fillId="0" borderId="0" xfId="0" applyFont="1" applyAlignment="1">
      <alignment horizontal="right"/>
    </xf>
    <xf numFmtId="43" fontId="3" fillId="2" borderId="0" xfId="1" applyFont="1" applyFill="1" applyBorder="1" applyAlignment="1">
      <alignment vertical="top" wrapText="1"/>
    </xf>
    <xf numFmtId="0" fontId="3" fillId="2" borderId="0" xfId="0" applyFont="1" applyFill="1" applyBorder="1" applyAlignment="1">
      <alignment vertical="top" wrapText="1"/>
    </xf>
    <xf numFmtId="9" fontId="3" fillId="0" borderId="10" xfId="2" applyNumberFormat="1" applyFont="1" applyFill="1" applyBorder="1" applyAlignment="1">
      <alignment vertical="top" wrapText="1"/>
    </xf>
    <xf numFmtId="10" fontId="3" fillId="0" borderId="10" xfId="2" applyNumberFormat="1" applyFont="1" applyFill="1" applyBorder="1" applyAlignment="1">
      <alignment vertical="top" wrapText="1"/>
    </xf>
    <xf numFmtId="43" fontId="3" fillId="0" borderId="10" xfId="1" applyFont="1" applyFill="1" applyBorder="1" applyAlignment="1">
      <alignment vertical="top" wrapText="1"/>
    </xf>
    <xf numFmtId="0" fontId="13" fillId="0" borderId="10" xfId="0" applyFont="1" applyBorder="1"/>
    <xf numFmtId="0" fontId="7" fillId="0" borderId="10" xfId="0" applyFont="1" applyFill="1" applyBorder="1" applyAlignment="1">
      <alignment vertical="top" wrapText="1"/>
    </xf>
    <xf numFmtId="49" fontId="3" fillId="2" borderId="10" xfId="0" quotePrefix="1" applyNumberFormat="1" applyFont="1" applyFill="1" applyBorder="1" applyAlignment="1">
      <alignment horizontal="center" vertical="top" wrapText="1"/>
    </xf>
    <xf numFmtId="0" fontId="9" fillId="0" borderId="10" xfId="0" applyFont="1" applyFill="1" applyBorder="1" applyAlignment="1">
      <alignment vertical="top" wrapText="1"/>
    </xf>
    <xf numFmtId="0" fontId="7" fillId="2" borderId="0" xfId="0" applyFont="1" applyFill="1" applyBorder="1" applyAlignment="1">
      <alignment vertical="top" wrapText="1"/>
    </xf>
    <xf numFmtId="2" fontId="0" fillId="0" borderId="0" xfId="0" applyNumberFormat="1" applyBorder="1"/>
    <xf numFmtId="0" fontId="11" fillId="2" borderId="0" xfId="0" quotePrefix="1" applyFont="1" applyFill="1" applyBorder="1" applyAlignment="1">
      <alignment vertical="top" wrapText="1"/>
    </xf>
    <xf numFmtId="0" fontId="8" fillId="0" borderId="0" xfId="0" applyFont="1" applyFill="1" applyBorder="1" applyAlignment="1">
      <alignment vertical="top" wrapText="1"/>
    </xf>
    <xf numFmtId="0" fontId="8" fillId="0" borderId="0" xfId="0" applyFont="1" applyFill="1" applyBorder="1" applyAlignment="1">
      <alignment horizontal="left" vertical="top" wrapText="1" indent="1"/>
    </xf>
    <xf numFmtId="0" fontId="0" fillId="0" borderId="0" xfId="0" applyBorder="1" applyAlignment="1">
      <alignment horizontal="left" indent="1"/>
    </xf>
    <xf numFmtId="0" fontId="11" fillId="0" borderId="0" xfId="0" quotePrefix="1" applyFont="1" applyFill="1" applyBorder="1" applyAlignment="1">
      <alignment vertical="top" wrapText="1"/>
    </xf>
    <xf numFmtId="0" fontId="3" fillId="0" borderId="0" xfId="0" quotePrefix="1" applyFont="1" applyFill="1" applyBorder="1" applyAlignment="1">
      <alignment vertical="top" wrapText="1"/>
    </xf>
    <xf numFmtId="164" fontId="3" fillId="2" borderId="0" xfId="0" applyNumberFormat="1" applyFont="1" applyFill="1" applyBorder="1" applyAlignment="1">
      <alignment vertical="top" wrapText="1"/>
    </xf>
    <xf numFmtId="43" fontId="0" fillId="0" borderId="0" xfId="0" applyNumberFormat="1" applyBorder="1"/>
    <xf numFmtId="43" fontId="0" fillId="0" borderId="0" xfId="1" applyFont="1" applyBorder="1"/>
    <xf numFmtId="0" fontId="7" fillId="2" borderId="0" xfId="0" applyFont="1" applyFill="1" applyBorder="1" applyAlignment="1">
      <alignment horizontal="center" vertical="top" wrapText="1"/>
    </xf>
    <xf numFmtId="165" fontId="3" fillId="0" borderId="0" xfId="0" applyNumberFormat="1" applyFont="1" applyFill="1" applyBorder="1" applyAlignment="1">
      <alignment horizontal="center" vertical="top" wrapText="1"/>
    </xf>
    <xf numFmtId="49" fontId="3" fillId="2" borderId="0" xfId="0" applyNumberFormat="1" applyFont="1" applyFill="1" applyBorder="1" applyAlignment="1">
      <alignment horizontal="center" vertical="top" wrapText="1"/>
    </xf>
    <xf numFmtId="3" fontId="3" fillId="0" borderId="0" xfId="0" applyNumberFormat="1" applyFont="1" applyBorder="1"/>
    <xf numFmtId="0" fontId="3" fillId="0" borderId="0" xfId="0" applyFont="1" applyFill="1" applyBorder="1" applyAlignment="1">
      <alignment horizontal="center" vertical="top" wrapText="1"/>
    </xf>
    <xf numFmtId="9" fontId="3" fillId="0" borderId="0" xfId="2" applyFont="1" applyFill="1" applyBorder="1" applyAlignment="1">
      <alignment vertical="top" wrapText="1"/>
    </xf>
    <xf numFmtId="9" fontId="3" fillId="0" borderId="0" xfId="0" applyNumberFormat="1" applyFont="1" applyFill="1" applyBorder="1" applyAlignment="1">
      <alignment horizontal="center" vertical="top" wrapText="1"/>
    </xf>
    <xf numFmtId="167" fontId="3" fillId="0" borderId="0" xfId="1" applyNumberFormat="1" applyFont="1" applyFill="1" applyBorder="1" applyAlignment="1">
      <alignment vertical="top" wrapText="1"/>
    </xf>
    <xf numFmtId="0" fontId="0" fillId="0" borderId="0" xfId="0" applyFill="1" applyBorder="1" applyAlignment="1">
      <alignment vertical="top" wrapText="1"/>
    </xf>
    <xf numFmtId="0" fontId="3" fillId="0" borderId="0" xfId="0" applyFont="1" applyFill="1" applyBorder="1"/>
    <xf numFmtId="164" fontId="3" fillId="0" borderId="0" xfId="1" applyNumberFormat="1" applyFont="1" applyFill="1" applyBorder="1" applyAlignment="1">
      <alignment vertical="top" wrapText="1"/>
    </xf>
    <xf numFmtId="16" fontId="3" fillId="0" borderId="0" xfId="0" applyNumberFormat="1" applyFont="1" applyFill="1" applyBorder="1" applyAlignment="1">
      <alignment horizontal="center" vertical="top" wrapText="1"/>
    </xf>
    <xf numFmtId="43" fontId="3" fillId="0" borderId="0" xfId="1" applyNumberFormat="1" applyFont="1" applyFill="1" applyBorder="1" applyAlignment="1">
      <alignment vertical="top" wrapText="1"/>
    </xf>
    <xf numFmtId="4" fontId="3" fillId="2" borderId="0" xfId="0" applyNumberFormat="1" applyFont="1" applyFill="1" applyBorder="1" applyAlignment="1">
      <alignment horizontal="center" vertical="top" wrapText="1"/>
    </xf>
    <xf numFmtId="4" fontId="0" fillId="0" borderId="0" xfId="0" applyNumberFormat="1" applyFill="1" applyBorder="1" applyAlignment="1">
      <alignment horizontal="center" vertical="top" wrapText="1"/>
    </xf>
    <xf numFmtId="43" fontId="3" fillId="0" borderId="0" xfId="0" applyNumberFormat="1" applyFont="1" applyFill="1" applyBorder="1" applyAlignment="1">
      <alignment horizontal="center" vertical="top" wrapText="1"/>
    </xf>
    <xf numFmtId="3" fontId="3" fillId="2" borderId="0" xfId="0" applyNumberFormat="1" applyFont="1" applyFill="1" applyBorder="1" applyAlignment="1">
      <alignment horizontal="center" vertical="top" wrapText="1"/>
    </xf>
    <xf numFmtId="3" fontId="3" fillId="0" borderId="0" xfId="0" applyNumberFormat="1" applyFont="1" applyFill="1" applyBorder="1" applyAlignment="1">
      <alignment horizontal="center" vertical="top" wrapText="1"/>
    </xf>
    <xf numFmtId="2" fontId="3" fillId="0" borderId="0" xfId="0" applyNumberFormat="1" applyFont="1" applyFill="1" applyBorder="1" applyAlignment="1">
      <alignment horizontal="center" vertical="top" wrapText="1"/>
    </xf>
    <xf numFmtId="16" fontId="3" fillId="2" borderId="0" xfId="0" applyNumberFormat="1" applyFont="1" applyFill="1" applyBorder="1" applyAlignment="1">
      <alignment horizontal="center" vertical="top" wrapText="1"/>
    </xf>
    <xf numFmtId="1" fontId="3" fillId="0" borderId="0" xfId="0" applyNumberFormat="1" applyFont="1" applyBorder="1" applyAlignment="1">
      <alignment horizontal="center" vertical="top"/>
    </xf>
    <xf numFmtId="164" fontId="3" fillId="0" borderId="0" xfId="1" applyNumberFormat="1" applyFont="1" applyBorder="1" applyAlignment="1">
      <alignment horizontal="center" vertical="top"/>
    </xf>
    <xf numFmtId="16" fontId="3" fillId="2" borderId="0" xfId="0" quotePrefix="1" applyNumberFormat="1" applyFont="1" applyFill="1" applyBorder="1" applyAlignment="1">
      <alignment horizontal="center" vertical="top" wrapText="1"/>
    </xf>
    <xf numFmtId="165" fontId="3" fillId="0" borderId="0" xfId="0" applyNumberFormat="1" applyFont="1" applyFill="1" applyBorder="1" applyAlignment="1">
      <alignment horizontal="center" vertical="top"/>
    </xf>
    <xf numFmtId="49" fontId="3" fillId="2" borderId="0" xfId="0" quotePrefix="1" applyNumberFormat="1" applyFont="1" applyFill="1" applyBorder="1" applyAlignment="1">
      <alignment horizontal="center" vertical="top" wrapText="1"/>
    </xf>
    <xf numFmtId="0" fontId="9" fillId="0" borderId="0" xfId="0" applyFont="1" applyFill="1" applyBorder="1" applyAlignment="1">
      <alignment vertical="top" wrapText="1"/>
    </xf>
    <xf numFmtId="0" fontId="7" fillId="2" borderId="0" xfId="0" applyFont="1" applyFill="1" applyBorder="1" applyAlignment="1">
      <alignment vertical="top"/>
    </xf>
    <xf numFmtId="2" fontId="3" fillId="0" borderId="0" xfId="0" applyNumberFormat="1" applyFont="1" applyFill="1" applyBorder="1" applyAlignment="1">
      <alignment horizontal="center" vertical="top"/>
    </xf>
    <xf numFmtId="16" fontId="3" fillId="2" borderId="3" xfId="0" quotePrefix="1" applyNumberFormat="1" applyFont="1" applyFill="1" applyBorder="1" applyAlignment="1">
      <alignment horizontal="center" vertical="top" wrapText="1"/>
    </xf>
    <xf numFmtId="0" fontId="3" fillId="0" borderId="6" xfId="0" quotePrefix="1" applyFont="1" applyFill="1" applyBorder="1" applyAlignment="1">
      <alignment vertical="top" wrapText="1"/>
    </xf>
    <xf numFmtId="0" fontId="0" fillId="0" borderId="0" xfId="0" applyBorder="1"/>
    <xf numFmtId="0" fontId="3" fillId="0" borderId="0" xfId="0" applyFont="1"/>
    <xf numFmtId="0" fontId="3" fillId="2" borderId="10" xfId="0" applyFont="1" applyFill="1" applyBorder="1" applyAlignment="1">
      <alignment horizontal="center" vertical="top" wrapText="1"/>
    </xf>
    <xf numFmtId="0" fontId="3" fillId="2" borderId="10" xfId="0" quotePrefix="1" applyFont="1" applyFill="1" applyBorder="1" applyAlignment="1">
      <alignment horizontal="center" vertical="top" wrapText="1"/>
    </xf>
    <xf numFmtId="165" fontId="3" fillId="0" borderId="10" xfId="0" applyNumberFormat="1" applyFont="1" applyFill="1" applyBorder="1" applyAlignment="1">
      <alignment horizontal="center" vertical="top" wrapText="1"/>
    </xf>
    <xf numFmtId="2" fontId="3" fillId="2" borderId="10" xfId="0" applyNumberFormat="1" applyFont="1" applyFill="1" applyBorder="1" applyAlignment="1">
      <alignment horizontal="center" vertical="top" wrapText="1"/>
    </xf>
    <xf numFmtId="1" fontId="3" fillId="2" borderId="10" xfId="0" applyNumberFormat="1" applyFont="1" applyFill="1" applyBorder="1" applyAlignment="1">
      <alignment horizontal="center" vertical="top" wrapText="1"/>
    </xf>
    <xf numFmtId="3" fontId="3" fillId="0" borderId="10" xfId="0" applyNumberFormat="1" applyFont="1" applyBorder="1"/>
    <xf numFmtId="0" fontId="0" fillId="0" borderId="10" xfId="0" applyBorder="1"/>
    <xf numFmtId="0" fontId="7" fillId="2" borderId="10" xfId="0" applyFont="1" applyFill="1" applyBorder="1" applyAlignment="1">
      <alignment vertical="top"/>
    </xf>
    <xf numFmtId="0" fontId="3" fillId="2" borderId="0" xfId="0" applyFont="1" applyFill="1" applyBorder="1" applyAlignment="1">
      <alignment horizontal="right" vertical="top"/>
    </xf>
    <xf numFmtId="0" fontId="3" fillId="2" borderId="0" xfId="0" applyFont="1" applyFill="1" applyBorder="1" applyAlignment="1">
      <alignment vertical="top" wrapText="1"/>
    </xf>
    <xf numFmtId="164" fontId="3" fillId="0" borderId="10" xfId="1" applyNumberFormat="1" applyFont="1" applyBorder="1" applyAlignment="1">
      <alignment horizontal="center" vertical="top"/>
    </xf>
    <xf numFmtId="164" fontId="3" fillId="0" borderId="10" xfId="1" applyNumberFormat="1" applyFont="1" applyFill="1" applyBorder="1" applyAlignment="1">
      <alignment horizontal="center" vertical="top"/>
    </xf>
    <xf numFmtId="2" fontId="3" fillId="0" borderId="10" xfId="0" applyNumberFormat="1" applyFont="1" applyFill="1" applyBorder="1" applyAlignment="1">
      <alignment horizontal="center" vertical="top"/>
    </xf>
    <xf numFmtId="165" fontId="3" fillId="0" borderId="10" xfId="0" applyNumberFormat="1" applyFont="1" applyFill="1" applyBorder="1" applyAlignment="1">
      <alignment horizontal="center" vertical="top"/>
    </xf>
    <xf numFmtId="0" fontId="3" fillId="0" borderId="6" xfId="0" quotePrefix="1" applyFont="1" applyFill="1" applyBorder="1" applyAlignment="1">
      <alignment vertical="top" wrapText="1"/>
    </xf>
    <xf numFmtId="0" fontId="3" fillId="0" borderId="0" xfId="0" applyFont="1" applyAlignment="1">
      <alignment horizontal="right" vertical="top"/>
    </xf>
    <xf numFmtId="166" fontId="0" fillId="0" borderId="10" xfId="2" applyNumberFormat="1" applyFont="1" applyBorder="1"/>
    <xf numFmtId="0" fontId="0" fillId="0" borderId="0" xfId="0"/>
    <xf numFmtId="0" fontId="0" fillId="0" borderId="10" xfId="0" applyBorder="1" applyAlignment="1">
      <alignment wrapText="1"/>
    </xf>
    <xf numFmtId="0" fontId="0" fillId="0" borderId="10" xfId="0" applyBorder="1" applyAlignment="1">
      <alignment horizontal="center" wrapText="1"/>
    </xf>
    <xf numFmtId="2" fontId="0" fillId="0" borderId="10" xfId="0" applyNumberFormat="1" applyBorder="1"/>
    <xf numFmtId="165" fontId="0" fillId="0" borderId="10" xfId="0" applyNumberFormat="1" applyBorder="1"/>
    <xf numFmtId="1" fontId="3" fillId="0" borderId="10" xfId="0" applyNumberFormat="1" applyFont="1" applyFill="1" applyBorder="1" applyAlignment="1">
      <alignment horizontal="center" vertical="top"/>
    </xf>
    <xf numFmtId="1" fontId="7" fillId="0" borderId="10" xfId="0" applyNumberFormat="1" applyFont="1" applyFill="1" applyBorder="1" applyAlignment="1">
      <alignment vertical="top" wrapText="1"/>
    </xf>
    <xf numFmtId="0" fontId="0" fillId="0" borderId="0" xfId="0"/>
    <xf numFmtId="0" fontId="0" fillId="0" borderId="0" xfId="0" applyBorder="1"/>
    <xf numFmtId="0" fontId="0" fillId="0" borderId="0" xfId="0"/>
    <xf numFmtId="43" fontId="3" fillId="2" borderId="0" xfId="1" applyFont="1" applyFill="1" applyBorder="1" applyAlignment="1">
      <alignment vertical="top" wrapText="1"/>
    </xf>
    <xf numFmtId="0" fontId="3" fillId="2" borderId="0" xfId="0" applyFont="1" applyFill="1" applyBorder="1" applyAlignment="1">
      <alignment vertical="top" wrapText="1"/>
    </xf>
    <xf numFmtId="0" fontId="7" fillId="2" borderId="10" xfId="0" applyFont="1" applyFill="1" applyBorder="1" applyAlignment="1">
      <alignment horizontal="center" vertical="top" wrapText="1"/>
    </xf>
    <xf numFmtId="0" fontId="16" fillId="0" borderId="10" xfId="0" applyFont="1" applyBorder="1"/>
    <xf numFmtId="0" fontId="16" fillId="0" borderId="10" xfId="0" applyFont="1" applyBorder="1" applyAlignment="1">
      <alignment horizontal="left" indent="1"/>
    </xf>
    <xf numFmtId="9" fontId="3" fillId="0" borderId="10" xfId="2" applyNumberFormat="1" applyFont="1" applyFill="1" applyBorder="1" applyAlignment="1">
      <alignment horizontal="right" vertical="top" wrapText="1"/>
    </xf>
    <xf numFmtId="0" fontId="16" fillId="0" borderId="0" xfId="0" applyFont="1" applyAlignment="1">
      <alignment horizontal="left" vertical="top" wrapText="1"/>
    </xf>
    <xf numFmtId="0" fontId="17" fillId="0" borderId="0" xfId="0" applyFont="1"/>
    <xf numFmtId="167" fontId="3" fillId="0" borderId="10" xfId="1" applyNumberFormat="1" applyFont="1" applyFill="1" applyBorder="1" applyAlignment="1">
      <alignment horizontal="center" vertical="top"/>
    </xf>
    <xf numFmtId="0" fontId="16" fillId="0" borderId="0" xfId="0" applyFont="1" applyAlignment="1">
      <alignment horizontal="left" vertical="top"/>
    </xf>
    <xf numFmtId="0" fontId="17" fillId="0" borderId="0" xfId="0" applyFont="1" applyBorder="1"/>
    <xf numFmtId="0" fontId="3" fillId="2" borderId="0" xfId="0" applyFont="1" applyFill="1" applyBorder="1" applyAlignment="1">
      <alignment vertical="top" wrapText="1"/>
    </xf>
    <xf numFmtId="166" fontId="0" fillId="0" borderId="0" xfId="0" applyNumberFormat="1"/>
    <xf numFmtId="0" fontId="16" fillId="0" borderId="0" xfId="0" applyFont="1" applyAlignment="1">
      <alignment horizontal="left" vertical="top" wrapText="1"/>
    </xf>
    <xf numFmtId="0" fontId="17" fillId="0" borderId="0" xfId="0" applyFont="1" applyAlignment="1">
      <alignment horizontal="left" vertical="top" wrapText="1"/>
    </xf>
    <xf numFmtId="0" fontId="0" fillId="2" borderId="8" xfId="0" applyFill="1" applyBorder="1" applyAlignment="1">
      <alignment horizontal="center" vertical="top" wrapText="1"/>
    </xf>
    <xf numFmtId="0" fontId="0" fillId="2" borderId="9" xfId="0" applyFill="1" applyBorder="1" applyAlignment="1">
      <alignment horizontal="center" vertical="top" wrapText="1"/>
    </xf>
    <xf numFmtId="0" fontId="3" fillId="2" borderId="0" xfId="0" applyFont="1" applyFill="1" applyBorder="1" applyAlignment="1">
      <alignment vertical="top" wrapText="1"/>
    </xf>
    <xf numFmtId="0" fontId="7" fillId="2" borderId="10" xfId="0" applyFont="1" applyFill="1" applyBorder="1" applyAlignment="1">
      <alignment horizontal="center" vertical="top" wrapText="1"/>
    </xf>
    <xf numFmtId="169" fontId="0" fillId="0" borderId="0" xfId="0" applyNumberFormat="1"/>
    <xf numFmtId="0" fontId="7" fillId="2" borderId="11" xfId="0" applyFont="1" applyFill="1" applyBorder="1" applyAlignment="1">
      <alignment vertical="top" wrapText="1"/>
    </xf>
    <xf numFmtId="0" fontId="7" fillId="2" borderId="12" xfId="0" applyFont="1" applyFill="1" applyBorder="1" applyAlignment="1">
      <alignment vertical="top" wrapText="1"/>
    </xf>
    <xf numFmtId="0" fontId="7" fillId="2" borderId="13" xfId="0" applyFont="1" applyFill="1" applyBorder="1" applyAlignment="1">
      <alignment vertical="top" wrapText="1"/>
    </xf>
    <xf numFmtId="0" fontId="7" fillId="2" borderId="3" xfId="0" applyFont="1" applyFill="1" applyBorder="1" applyAlignment="1">
      <alignment vertical="top" wrapText="1"/>
    </xf>
    <xf numFmtId="49" fontId="3" fillId="2" borderId="3" xfId="0" applyNumberFormat="1" applyFont="1" applyFill="1" applyBorder="1" applyAlignment="1">
      <alignment horizontal="center" vertical="top" wrapText="1"/>
    </xf>
    <xf numFmtId="164" fontId="3" fillId="2" borderId="10" xfId="0" applyNumberFormat="1" applyFont="1" applyFill="1" applyBorder="1" applyAlignment="1">
      <alignment horizontal="center" vertical="top" wrapText="1"/>
    </xf>
    <xf numFmtId="2" fontId="3" fillId="2" borderId="10" xfId="0" applyNumberFormat="1" applyFont="1" applyFill="1" applyBorder="1" applyAlignment="1">
      <alignment horizontal="center" vertical="top"/>
    </xf>
    <xf numFmtId="0" fontId="9" fillId="2" borderId="10" xfId="0" applyFont="1" applyFill="1" applyBorder="1" applyAlignment="1">
      <alignment vertical="top" wrapText="1"/>
    </xf>
    <xf numFmtId="9" fontId="3" fillId="2" borderId="10" xfId="0" applyNumberFormat="1" applyFont="1" applyFill="1" applyBorder="1" applyAlignment="1">
      <alignment horizontal="center" vertical="top" wrapText="1"/>
    </xf>
    <xf numFmtId="166" fontId="3" fillId="2" borderId="10" xfId="0" applyNumberFormat="1" applyFont="1" applyFill="1" applyBorder="1" applyAlignment="1">
      <alignment horizontal="center" vertical="top" wrapText="1"/>
    </xf>
    <xf numFmtId="1" fontId="3" fillId="2" borderId="10" xfId="0" quotePrefix="1" applyNumberFormat="1" applyFont="1" applyFill="1" applyBorder="1" applyAlignment="1">
      <alignment horizontal="center" vertical="top" wrapText="1"/>
    </xf>
    <xf numFmtId="0" fontId="3" fillId="2" borderId="0" xfId="0" quotePrefix="1" applyFont="1" applyFill="1" applyBorder="1" applyAlignment="1">
      <alignment horizontal="center" vertical="top" wrapText="1"/>
    </xf>
    <xf numFmtId="165" fontId="3" fillId="2" borderId="0" xfId="0" applyNumberFormat="1" applyFont="1" applyFill="1" applyBorder="1" applyAlignment="1">
      <alignment horizontal="center" vertical="top" wrapText="1"/>
    </xf>
    <xf numFmtId="0" fontId="3" fillId="2" borderId="14" xfId="0" applyFont="1" applyFill="1" applyBorder="1" applyAlignment="1">
      <alignment vertical="top" wrapText="1"/>
    </xf>
    <xf numFmtId="1" fontId="3" fillId="2" borderId="0" xfId="0" applyNumberFormat="1" applyFont="1" applyFill="1" applyAlignment="1">
      <alignment vertical="top"/>
    </xf>
    <xf numFmtId="1" fontId="3" fillId="2" borderId="0" xfId="1" applyNumberFormat="1" applyFont="1" applyFill="1" applyAlignment="1">
      <alignment vertical="top"/>
    </xf>
    <xf numFmtId="0" fontId="19" fillId="2" borderId="0" xfId="0" applyFont="1" applyFill="1" applyAlignment="1">
      <alignment vertical="top" wrapText="1"/>
    </xf>
    <xf numFmtId="0" fontId="0" fillId="2" borderId="0" xfId="0" applyFill="1" applyAlignment="1">
      <alignment vertical="top" wrapText="1"/>
    </xf>
    <xf numFmtId="0" fontId="3" fillId="2" borderId="0" xfId="0" applyFont="1" applyFill="1" applyAlignment="1">
      <alignment vertical="top"/>
    </xf>
    <xf numFmtId="0" fontId="22" fillId="2" borderId="0" xfId="7" applyFont="1" applyFill="1" applyAlignment="1" applyProtection="1">
      <alignment vertical="top" wrapText="1"/>
    </xf>
    <xf numFmtId="0" fontId="0" fillId="2" borderId="0" xfId="0" applyFill="1"/>
    <xf numFmtId="3" fontId="3" fillId="2" borderId="10" xfId="0" applyNumberFormat="1" applyFont="1" applyFill="1" applyBorder="1" applyAlignment="1">
      <alignment horizontal="center"/>
    </xf>
    <xf numFmtId="3" fontId="3" fillId="2" borderId="7" xfId="0" applyNumberFormat="1" applyFont="1" applyFill="1" applyBorder="1" applyAlignment="1">
      <alignment horizontal="center" vertical="top" wrapText="1"/>
    </xf>
    <xf numFmtId="0" fontId="10" fillId="2" borderId="10" xfId="0" applyFont="1" applyFill="1" applyBorder="1"/>
    <xf numFmtId="0" fontId="0" fillId="2" borderId="10" xfId="0" applyFill="1" applyBorder="1"/>
    <xf numFmtId="0" fontId="3" fillId="2" borderId="10" xfId="0" applyFont="1" applyFill="1" applyBorder="1"/>
    <xf numFmtId="2" fontId="3" fillId="2" borderId="10" xfId="0" applyNumberFormat="1" applyFont="1" applyFill="1" applyBorder="1" applyAlignment="1">
      <alignment horizontal="center"/>
    </xf>
    <xf numFmtId="1" fontId="3" fillId="2" borderId="0" xfId="0" applyNumberFormat="1" applyFont="1" applyFill="1" applyAlignment="1">
      <alignment horizontal="center"/>
    </xf>
    <xf numFmtId="9" fontId="3" fillId="2" borderId="10" xfId="2" applyFont="1" applyFill="1" applyBorder="1" applyAlignment="1">
      <alignment horizontal="center" vertical="top" wrapText="1"/>
    </xf>
    <xf numFmtId="170" fontId="3" fillId="2" borderId="10" xfId="0" applyNumberFormat="1" applyFont="1" applyFill="1" applyBorder="1" applyAlignment="1">
      <alignment horizontal="center" vertical="top" wrapText="1"/>
    </xf>
    <xf numFmtId="165" fontId="3" fillId="2" borderId="10" xfId="0" applyNumberFormat="1" applyFont="1" applyFill="1" applyBorder="1" applyAlignment="1">
      <alignment horizontal="center" vertical="top" wrapText="1"/>
    </xf>
    <xf numFmtId="166" fontId="3" fillId="2" borderId="10" xfId="2" applyNumberFormat="1" applyFont="1" applyFill="1" applyBorder="1" applyAlignment="1">
      <alignment horizontal="center" vertical="top" wrapText="1"/>
    </xf>
    <xf numFmtId="0" fontId="0" fillId="2" borderId="10" xfId="0" applyFill="1" applyBorder="1" applyAlignment="1">
      <alignment horizontal="center"/>
    </xf>
    <xf numFmtId="9" fontId="3" fillId="2" borderId="10" xfId="2" applyFont="1" applyFill="1" applyBorder="1" applyAlignment="1">
      <alignment vertical="top" wrapText="1"/>
    </xf>
    <xf numFmtId="167" fontId="3" fillId="2" borderId="10" xfId="1" applyNumberFormat="1" applyFont="1" applyFill="1" applyBorder="1" applyAlignment="1">
      <alignment vertical="top" wrapText="1"/>
    </xf>
    <xf numFmtId="0" fontId="3" fillId="2" borderId="10" xfId="0" applyFont="1" applyFill="1" applyBorder="1" applyAlignment="1">
      <alignment horizontal="center"/>
    </xf>
    <xf numFmtId="0" fontId="3" fillId="2" borderId="10" xfId="0" quotePrefix="1" applyFont="1" applyFill="1" applyBorder="1" applyAlignment="1">
      <alignment vertical="top" wrapText="1"/>
    </xf>
    <xf numFmtId="166" fontId="3" fillId="2" borderId="10" xfId="2" applyNumberFormat="1" applyFont="1" applyFill="1" applyBorder="1" applyAlignment="1">
      <alignment vertical="top" wrapText="1"/>
    </xf>
    <xf numFmtId="9" fontId="3" fillId="2" borderId="10" xfId="1" applyNumberFormat="1" applyFont="1" applyFill="1" applyBorder="1" applyAlignment="1">
      <alignment vertical="top" wrapText="1"/>
    </xf>
    <xf numFmtId="166" fontId="3" fillId="2" borderId="10" xfId="1" applyNumberFormat="1" applyFont="1" applyFill="1" applyBorder="1" applyAlignment="1">
      <alignment vertical="top" wrapText="1"/>
    </xf>
    <xf numFmtId="0" fontId="0" fillId="2" borderId="10" xfId="0" applyFill="1" applyBorder="1" applyAlignment="1">
      <alignment vertical="top" wrapText="1"/>
    </xf>
    <xf numFmtId="164" fontId="3" fillId="2" borderId="10" xfId="1" applyNumberFormat="1" applyFont="1" applyFill="1" applyBorder="1" applyAlignment="1">
      <alignment horizontal="center" vertical="top"/>
    </xf>
    <xf numFmtId="43" fontId="0" fillId="2" borderId="0" xfId="0" applyNumberFormat="1" applyFill="1"/>
    <xf numFmtId="1" fontId="0" fillId="2" borderId="0" xfId="0" applyNumberFormat="1" applyFill="1"/>
    <xf numFmtId="43" fontId="0" fillId="2" borderId="0" xfId="1" applyFont="1" applyFill="1"/>
    <xf numFmtId="1" fontId="3" fillId="2" borderId="10" xfId="0" applyNumberFormat="1" applyFont="1" applyFill="1" applyBorder="1" applyAlignment="1">
      <alignment horizontal="center" vertical="top"/>
    </xf>
    <xf numFmtId="0" fontId="7" fillId="2" borderId="2" xfId="0" applyFont="1" applyFill="1" applyBorder="1" applyAlignment="1">
      <alignment vertical="top" wrapText="1"/>
    </xf>
    <xf numFmtId="164" fontId="3" fillId="2" borderId="10" xfId="1" applyNumberFormat="1" applyFont="1" applyFill="1" applyBorder="1" applyAlignment="1">
      <alignment horizontal="center" vertical="top" wrapText="1"/>
    </xf>
    <xf numFmtId="43" fontId="3" fillId="2" borderId="10" xfId="1" applyNumberFormat="1" applyFont="1" applyFill="1" applyBorder="1" applyAlignment="1">
      <alignment horizontal="center" vertical="top" wrapText="1"/>
    </xf>
    <xf numFmtId="169" fontId="3" fillId="2" borderId="3" xfId="0" applyNumberFormat="1" applyFont="1" applyFill="1" applyBorder="1" applyAlignment="1">
      <alignment horizontal="center" vertical="top" wrapText="1"/>
    </xf>
    <xf numFmtId="2" fontId="3" fillId="2" borderId="3" xfId="0" applyNumberFormat="1" applyFont="1" applyFill="1" applyBorder="1" applyAlignment="1">
      <alignment horizontal="center" vertical="top" wrapText="1"/>
    </xf>
    <xf numFmtId="2" fontId="0" fillId="2" borderId="0" xfId="0" applyNumberFormat="1" applyFill="1"/>
    <xf numFmtId="169" fontId="3" fillId="2" borderId="10" xfId="0" applyNumberFormat="1" applyFont="1" applyFill="1" applyBorder="1" applyAlignment="1">
      <alignment horizontal="center" vertical="top" wrapText="1"/>
    </xf>
    <xf numFmtId="43" fontId="3" fillId="2" borderId="3" xfId="0" applyNumberFormat="1" applyFont="1" applyFill="1" applyBorder="1" applyAlignment="1">
      <alignment horizontal="center" vertical="top" wrapText="1"/>
    </xf>
    <xf numFmtId="0" fontId="3" fillId="2" borderId="6" xfId="0" quotePrefix="1" applyFont="1" applyFill="1" applyBorder="1" applyAlignment="1">
      <alignment vertical="top" wrapText="1"/>
    </xf>
    <xf numFmtId="43" fontId="3" fillId="2" borderId="10" xfId="0" applyNumberFormat="1" applyFont="1" applyFill="1" applyBorder="1" applyAlignment="1">
      <alignment horizontal="center" vertical="top" wrapText="1"/>
    </xf>
    <xf numFmtId="43" fontId="3" fillId="2" borderId="0" xfId="0" applyNumberFormat="1" applyFont="1" applyFill="1"/>
    <xf numFmtId="43" fontId="3" fillId="2" borderId="3" xfId="0" quotePrefix="1" applyNumberFormat="1" applyFont="1" applyFill="1" applyBorder="1" applyAlignment="1">
      <alignment horizontal="center" vertical="top" wrapText="1"/>
    </xf>
    <xf numFmtId="0" fontId="3" fillId="2" borderId="0" xfId="0" applyFont="1" applyFill="1" applyAlignment="1">
      <alignment horizontal="left" vertical="top"/>
    </xf>
    <xf numFmtId="43" fontId="3" fillId="2" borderId="0" xfId="1" applyFont="1" applyFill="1"/>
    <xf numFmtId="0" fontId="16" fillId="2" borderId="0" xfId="0" applyFont="1" applyFill="1"/>
    <xf numFmtId="0" fontId="20" fillId="2" borderId="0" xfId="0" applyFont="1" applyFill="1"/>
    <xf numFmtId="165" fontId="3" fillId="2" borderId="0" xfId="0" applyNumberFormat="1" applyFont="1" applyFill="1"/>
    <xf numFmtId="2" fontId="3" fillId="2" borderId="0" xfId="0" applyNumberFormat="1" applyFont="1" applyFill="1"/>
    <xf numFmtId="0" fontId="23" fillId="2" borderId="0" xfId="0" applyFont="1" applyFill="1" applyAlignment="1"/>
    <xf numFmtId="0" fontId="0" fillId="0" borderId="0" xfId="0" applyAlignment="1">
      <alignment horizontal="left" vertical="center"/>
    </xf>
    <xf numFmtId="0" fontId="0" fillId="0" borderId="0" xfId="0" applyAlignment="1">
      <alignment horizontal="left" vertical="center"/>
    </xf>
    <xf numFmtId="0" fontId="16" fillId="0" borderId="0" xfId="0" applyFont="1" applyAlignment="1">
      <alignment horizontal="left" vertical="top" wrapText="1"/>
    </xf>
    <xf numFmtId="0" fontId="17" fillId="0" borderId="0" xfId="0" applyFont="1" applyAlignment="1">
      <alignment horizontal="left" vertical="top" wrapText="1"/>
    </xf>
    <xf numFmtId="43" fontId="3" fillId="2" borderId="0" xfId="1" applyFont="1" applyFill="1" applyBorder="1" applyAlignment="1">
      <alignment vertical="top" wrapText="1"/>
    </xf>
    <xf numFmtId="0" fontId="0" fillId="0" borderId="0" xfId="0" applyAlignment="1"/>
    <xf numFmtId="0" fontId="5" fillId="2" borderId="0" xfId="0" applyFont="1" applyFill="1" applyAlignment="1">
      <alignment wrapText="1"/>
    </xf>
    <xf numFmtId="0" fontId="6" fillId="2" borderId="0" xfId="0" applyFont="1" applyFill="1" applyAlignment="1"/>
    <xf numFmtId="0" fontId="7" fillId="2" borderId="7" xfId="0" applyFont="1" applyFill="1" applyBorder="1" applyAlignment="1">
      <alignment horizontal="center" vertical="top" wrapText="1"/>
    </xf>
    <xf numFmtId="0" fontId="0" fillId="2" borderId="8" xfId="0" applyFill="1" applyBorder="1" applyAlignment="1">
      <alignment horizontal="center" vertical="top" wrapText="1"/>
    </xf>
    <xf numFmtId="0" fontId="0" fillId="2" borderId="9" xfId="0" applyFill="1" applyBorder="1" applyAlignment="1">
      <alignment horizontal="center" vertical="top" wrapText="1"/>
    </xf>
    <xf numFmtId="0" fontId="7" fillId="2" borderId="9" xfId="0" applyFont="1" applyFill="1" applyBorder="1" applyAlignment="1">
      <alignment horizontal="center" vertical="top" wrapText="1"/>
    </xf>
    <xf numFmtId="0" fontId="3" fillId="2" borderId="0" xfId="0" applyFont="1" applyFill="1" applyBorder="1" applyAlignment="1">
      <alignment vertical="top" wrapText="1"/>
    </xf>
    <xf numFmtId="0" fontId="10" fillId="0" borderId="0" xfId="0" applyFont="1" applyBorder="1" applyAlignment="1">
      <alignment vertical="top" wrapText="1"/>
    </xf>
    <xf numFmtId="0" fontId="16" fillId="0" borderId="0" xfId="0" applyFont="1" applyAlignment="1"/>
    <xf numFmtId="0" fontId="17" fillId="0" borderId="0" xfId="0" applyFont="1" applyAlignment="1"/>
    <xf numFmtId="49" fontId="3" fillId="2" borderId="0" xfId="1" applyNumberFormat="1" applyFont="1" applyFill="1" applyBorder="1" applyAlignment="1">
      <alignment vertical="top" wrapText="1"/>
    </xf>
    <xf numFmtId="49" fontId="0" fillId="0" borderId="0" xfId="0" applyNumberFormat="1" applyBorder="1" applyAlignment="1">
      <alignment vertical="top" wrapText="1"/>
    </xf>
    <xf numFmtId="0" fontId="0" fillId="0" borderId="0" xfId="0" applyAlignment="1">
      <alignment vertical="top" wrapText="1"/>
    </xf>
    <xf numFmtId="0" fontId="9" fillId="2" borderId="0" xfId="0" applyFont="1" applyFill="1" applyBorder="1" applyAlignment="1">
      <alignment vertical="top" wrapText="1"/>
    </xf>
    <xf numFmtId="0" fontId="24" fillId="0" borderId="0" xfId="0" applyFont="1" applyBorder="1" applyAlignment="1">
      <alignment vertical="top" wrapText="1"/>
    </xf>
    <xf numFmtId="0" fontId="0" fillId="0" borderId="0" xfId="0" applyBorder="1" applyAlignment="1">
      <alignment vertical="top"/>
    </xf>
    <xf numFmtId="0" fontId="0" fillId="0" borderId="0" xfId="0" applyAlignment="1">
      <alignment vertical="top"/>
    </xf>
    <xf numFmtId="0" fontId="7" fillId="2" borderId="10" xfId="0" applyFont="1" applyFill="1" applyBorder="1" applyAlignment="1">
      <alignment horizontal="center" vertical="top" wrapText="1"/>
    </xf>
    <xf numFmtId="0" fontId="0" fillId="2" borderId="10" xfId="0" applyFill="1" applyBorder="1" applyAlignment="1">
      <alignment horizontal="center" vertical="top" wrapText="1"/>
    </xf>
    <xf numFmtId="4" fontId="3" fillId="0" borderId="10" xfId="0" applyNumberFormat="1" applyFont="1" applyBorder="1" applyAlignment="1">
      <alignment horizontal="center"/>
    </xf>
    <xf numFmtId="4" fontId="0" fillId="0" borderId="10" xfId="0" applyNumberFormat="1" applyBorder="1" applyAlignment="1">
      <alignment horizontal="center"/>
    </xf>
    <xf numFmtId="9" fontId="3" fillId="0" borderId="10" xfId="2" applyFont="1" applyBorder="1" applyAlignment="1">
      <alignment horizontal="center"/>
    </xf>
    <xf numFmtId="9" fontId="0" fillId="0" borderId="10" xfId="2" applyFont="1" applyBorder="1" applyAlignment="1">
      <alignment horizontal="center"/>
    </xf>
    <xf numFmtId="0" fontId="7"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7" fillId="2" borderId="8" xfId="0" applyFont="1" applyFill="1" applyBorder="1" applyAlignment="1">
      <alignment horizontal="center" vertical="top" wrapText="1"/>
    </xf>
    <xf numFmtId="9" fontId="3" fillId="0" borderId="7" xfId="2" applyFont="1" applyBorder="1" applyAlignment="1">
      <alignment horizontal="center"/>
    </xf>
    <xf numFmtId="9" fontId="3" fillId="0" borderId="8" xfId="2" applyFont="1" applyBorder="1" applyAlignment="1">
      <alignment horizontal="center"/>
    </xf>
    <xf numFmtId="9" fontId="3" fillId="0" borderId="9" xfId="2" applyFont="1" applyBorder="1" applyAlignment="1">
      <alignment horizontal="center"/>
    </xf>
    <xf numFmtId="0" fontId="0" fillId="2" borderId="0" xfId="0" applyFill="1" applyAlignment="1">
      <alignment horizontal="left" vertical="center"/>
    </xf>
    <xf numFmtId="49" fontId="3" fillId="2" borderId="0" xfId="1" quotePrefix="1" applyNumberFormat="1" applyFont="1" applyFill="1" applyBorder="1" applyAlignment="1">
      <alignment vertical="top" wrapText="1"/>
    </xf>
    <xf numFmtId="0" fontId="0" fillId="2" borderId="0" xfId="0" applyFill="1" applyAlignment="1"/>
    <xf numFmtId="49" fontId="3" fillId="2" borderId="0" xfId="1" quotePrefix="1" applyNumberFormat="1" applyFont="1" applyFill="1" applyBorder="1" applyAlignment="1">
      <alignment horizontal="left" vertical="top" wrapText="1"/>
    </xf>
    <xf numFmtId="0" fontId="0" fillId="2" borderId="0" xfId="0" applyFill="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wrapText="1"/>
    </xf>
    <xf numFmtId="0" fontId="3" fillId="2" borderId="1" xfId="0" applyFont="1" applyFill="1" applyBorder="1" applyAlignment="1">
      <alignment vertical="top" wrapText="1"/>
    </xf>
    <xf numFmtId="0" fontId="10" fillId="2" borderId="0" xfId="0" applyFont="1" applyFill="1" applyAlignment="1">
      <alignment vertical="top" wrapText="1"/>
    </xf>
    <xf numFmtId="3" fontId="3" fillId="2" borderId="7" xfId="0" applyNumberFormat="1" applyFont="1" applyFill="1" applyBorder="1" applyAlignment="1">
      <alignment horizontal="center" vertical="top" wrapText="1"/>
    </xf>
    <xf numFmtId="0" fontId="3" fillId="2" borderId="8" xfId="0" applyFont="1" applyFill="1" applyBorder="1" applyAlignment="1">
      <alignment horizontal="center" vertical="top" wrapText="1"/>
    </xf>
    <xf numFmtId="0" fontId="7" fillId="2" borderId="7" xfId="0" applyFont="1" applyFill="1" applyBorder="1" applyAlignment="1">
      <alignment vertical="top" wrapText="1"/>
    </xf>
    <xf numFmtId="0" fontId="7" fillId="2" borderId="8" xfId="0" applyFont="1" applyFill="1" applyBorder="1" applyAlignment="1">
      <alignment vertical="top" wrapText="1"/>
    </xf>
    <xf numFmtId="0" fontId="7" fillId="2" borderId="9" xfId="0" applyFont="1" applyFill="1" applyBorder="1" applyAlignment="1">
      <alignment vertical="top" wrapText="1"/>
    </xf>
    <xf numFmtId="0" fontId="1" fillId="2" borderId="0" xfId="0" applyFont="1" applyFill="1" applyAlignment="1"/>
  </cellXfs>
  <cellStyles count="8">
    <cellStyle name="Comma 2" xfId="3"/>
    <cellStyle name="Komma" xfId="1" builtinId="3"/>
    <cellStyle name="Link" xfId="7" builtinId="8"/>
    <cellStyle name="Link 2" xfId="4"/>
    <cellStyle name="Normal" xfId="0" builtinId="0"/>
    <cellStyle name="Normal 2" xfId="5"/>
    <cellStyle name="Normal 3" xfId="6"/>
    <cellStyle name="Procent" xfId="2" builtinId="5"/>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0</xdr:colOff>
      <xdr:row>27</xdr:row>
      <xdr:rowOff>0</xdr:rowOff>
    </xdr:to>
    <xdr:sp macro="" textlink="">
      <xdr:nvSpPr>
        <xdr:cNvPr id="2" name="Tekstboks 2"/>
        <xdr:cNvSpPr txBox="1"/>
      </xdr:nvSpPr>
      <xdr:spPr>
        <a:xfrm>
          <a:off x="673100" y="838200"/>
          <a:ext cx="6057900" cy="457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baseline="0"/>
            <a:t>INDEX:</a:t>
          </a:r>
          <a:endParaRPr lang="da-DK" sz="1100"/>
        </a:p>
        <a:p>
          <a:pPr marL="171450" lvl="0" indent="-171450">
            <a:buFont typeface="Arial" panose="020B0604020202020204" pitchFamily="34" charset="0"/>
            <a:buChar char="•"/>
          </a:pPr>
          <a:r>
            <a:rPr lang="en-US" sz="1100" b="1">
              <a:solidFill>
                <a:schemeClr val="dk1"/>
              </a:solidFill>
              <a:effectLst/>
              <a:latin typeface="+mn-lt"/>
              <a:ea typeface="+mn-ea"/>
              <a:cs typeface="+mn-cs"/>
            </a:rPr>
            <a:t>1 Biogas Plant</a:t>
          </a:r>
        </a:p>
        <a:p>
          <a:pPr marL="0" lvl="0" indent="0">
            <a:buFont typeface="Arial" panose="020B0604020202020204" pitchFamily="34" charset="0"/>
            <a:buNone/>
          </a:pPr>
          <a:r>
            <a:rPr lang="da-DK" sz="1100" baseline="0">
              <a:solidFill>
                <a:schemeClr val="dk1"/>
              </a:solidFill>
              <a:effectLst/>
              <a:latin typeface="+mn-lt"/>
              <a:ea typeface="+mn-ea"/>
              <a:cs typeface="+mn-cs"/>
            </a:rPr>
            <a:t>           - Biogas plant, basic configuration</a:t>
          </a:r>
        </a:p>
        <a:p>
          <a:pPr marL="0" lvl="0" indent="0">
            <a:buFont typeface="Arial" panose="020B0604020202020204" pitchFamily="34" charset="0"/>
            <a:buNone/>
          </a:pPr>
          <a:r>
            <a:rPr lang="da-DK" sz="1100" baseline="0">
              <a:solidFill>
                <a:schemeClr val="dk1"/>
              </a:solidFill>
              <a:effectLst/>
              <a:latin typeface="+mn-lt"/>
              <a:ea typeface="+mn-ea"/>
              <a:cs typeface="+mn-cs"/>
            </a:rPr>
            <a:t>           - Biogas plant, additional straw input in the feedstock mix</a:t>
          </a:r>
        </a:p>
        <a:p>
          <a:pPr marL="0" lvl="0" indent="0">
            <a:buFont typeface="Arial" panose="020B0604020202020204" pitchFamily="34" charset="0"/>
            <a:buNone/>
          </a:pPr>
          <a:r>
            <a:rPr lang="da-DK" sz="1100" baseline="0">
              <a:solidFill>
                <a:schemeClr val="dk1"/>
              </a:solidFill>
              <a:effectLst/>
              <a:latin typeface="+mn-lt"/>
              <a:ea typeface="+mn-ea"/>
              <a:cs typeface="+mn-cs"/>
            </a:rPr>
            <a:t>           - Biogas plant, additional industrial organic waste in the feedstock mix</a:t>
          </a:r>
          <a:endParaRPr lang="da-DK" sz="1100">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2</a:t>
          </a:r>
          <a:r>
            <a:rPr lang="en-US" sz="1100" b="1" baseline="0">
              <a:solidFill>
                <a:schemeClr val="dk1"/>
              </a:solidFill>
              <a:effectLst/>
              <a:latin typeface="+mn-lt"/>
              <a:ea typeface="+mn-ea"/>
              <a:cs typeface="+mn-cs"/>
            </a:rPr>
            <a:t> Biogas Upgrading</a:t>
          </a: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
  <sheetViews>
    <sheetView tabSelected="1" workbookViewId="0">
      <selection activeCell="P25" sqref="P25"/>
    </sheetView>
  </sheetViews>
  <sheetFormatPr defaultColWidth="10.85546875" defaultRowHeight="15" x14ac:dyDescent="0.25"/>
  <cols>
    <col min="1" max="16384" width="10.85546875" style="225"/>
  </cols>
  <sheetData>
    <row r="2" spans="2:10" ht="21" customHeight="1" x14ac:dyDescent="0.25">
      <c r="B2" s="269" t="s">
        <v>237</v>
      </c>
      <c r="C2" s="269"/>
      <c r="D2" s="269"/>
      <c r="E2" s="269"/>
      <c r="F2" s="269"/>
      <c r="G2" s="269"/>
      <c r="H2" s="269"/>
      <c r="I2" s="269"/>
      <c r="J2" s="2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U80"/>
  <sheetViews>
    <sheetView showGridLines="0" zoomScaleNormal="100" workbookViewId="0">
      <selection activeCell="F4" sqref="F4"/>
    </sheetView>
  </sheetViews>
  <sheetFormatPr defaultColWidth="8.85546875" defaultRowHeight="15" x14ac:dyDescent="0.25"/>
  <cols>
    <col min="1" max="1" width="4.42578125" style="8" customWidth="1"/>
    <col min="2" max="2" width="1" customWidth="1"/>
    <col min="3" max="5" width="9.140625" hidden="1" customWidth="1"/>
    <col min="6" max="6" width="43.42578125" customWidth="1"/>
    <col min="7" max="7" width="9" customWidth="1"/>
    <col min="8" max="8" width="9.140625" customWidth="1"/>
    <col min="9" max="9" width="8.28515625" customWidth="1"/>
    <col min="10" max="13" width="8.42578125" customWidth="1"/>
    <col min="14" max="14" width="8.140625" customWidth="1"/>
    <col min="15" max="15" width="6.42578125" customWidth="1"/>
    <col min="16" max="16" width="9.85546875" customWidth="1"/>
  </cols>
  <sheetData>
    <row r="1" spans="6:21" ht="36.75" customHeight="1" x14ac:dyDescent="0.2">
      <c r="F1" s="7" t="s">
        <v>0</v>
      </c>
      <c r="G1" s="276" t="s">
        <v>21</v>
      </c>
      <c r="H1" s="277"/>
      <c r="I1" s="277"/>
      <c r="J1" s="277"/>
      <c r="K1" s="277"/>
      <c r="L1" s="277"/>
      <c r="M1" s="277"/>
      <c r="N1" s="277"/>
      <c r="O1" s="277"/>
      <c r="P1" s="6"/>
    </row>
    <row r="2" spans="6:21" x14ac:dyDescent="0.2">
      <c r="F2" s="2"/>
      <c r="G2" s="2"/>
      <c r="H2" s="2"/>
      <c r="I2" s="2"/>
      <c r="J2" s="2"/>
      <c r="K2" s="2"/>
      <c r="L2" s="2"/>
    </row>
    <row r="3" spans="6:21" ht="15" customHeight="1" x14ac:dyDescent="0.2">
      <c r="F3" s="9" t="s">
        <v>1</v>
      </c>
      <c r="G3" s="278" t="s">
        <v>21</v>
      </c>
      <c r="H3" s="279"/>
      <c r="I3" s="279"/>
      <c r="J3" s="279"/>
      <c r="K3" s="279"/>
      <c r="L3" s="279"/>
      <c r="M3" s="279"/>
      <c r="N3" s="279"/>
      <c r="O3" s="279"/>
      <c r="P3" s="280"/>
    </row>
    <row r="4" spans="6:21" ht="25.5" customHeight="1" x14ac:dyDescent="0.2">
      <c r="F4" s="10"/>
      <c r="G4" s="11">
        <v>2015</v>
      </c>
      <c r="H4" s="11">
        <v>2020</v>
      </c>
      <c r="I4" s="11">
        <v>2030</v>
      </c>
      <c r="J4" s="11">
        <v>2050</v>
      </c>
      <c r="K4" s="278" t="s">
        <v>2</v>
      </c>
      <c r="L4" s="281"/>
      <c r="M4" s="278" t="s">
        <v>3</v>
      </c>
      <c r="N4" s="281"/>
      <c r="O4" s="11" t="s">
        <v>4</v>
      </c>
      <c r="P4" s="11" t="s">
        <v>5</v>
      </c>
    </row>
    <row r="5" spans="6:21" ht="15" customHeight="1" x14ac:dyDescent="0.2">
      <c r="F5" s="38" t="s">
        <v>27</v>
      </c>
      <c r="G5" s="39"/>
      <c r="H5" s="39"/>
      <c r="I5" s="39"/>
      <c r="J5" s="39"/>
      <c r="K5" s="39" t="s">
        <v>6</v>
      </c>
      <c r="L5" s="39" t="s">
        <v>7</v>
      </c>
      <c r="M5" s="39" t="s">
        <v>6</v>
      </c>
      <c r="N5" s="39" t="s">
        <v>7</v>
      </c>
      <c r="O5" s="39"/>
      <c r="P5" s="40"/>
    </row>
    <row r="6" spans="6:21" ht="15" hidden="1" customHeight="1" x14ac:dyDescent="0.2">
      <c r="F6" s="87" t="s">
        <v>43</v>
      </c>
      <c r="K6" s="88"/>
      <c r="L6" s="88"/>
      <c r="M6" s="88"/>
      <c r="N6" s="88"/>
    </row>
    <row r="7" spans="6:21" ht="15" customHeight="1" x14ac:dyDescent="0.2">
      <c r="F7" s="12" t="s">
        <v>124</v>
      </c>
      <c r="G7" s="28">
        <v>9.2417432910061201</v>
      </c>
      <c r="H7" s="28">
        <v>8.6829269484640879</v>
      </c>
      <c r="I7" s="28">
        <v>8.6829269484640879</v>
      </c>
      <c r="J7" s="28">
        <v>8.6829269484640879</v>
      </c>
      <c r="K7" s="28">
        <v>8.3175689619055078</v>
      </c>
      <c r="L7" s="28">
        <v>9.5512196433104979</v>
      </c>
      <c r="M7" s="28">
        <v>8.3175689619055078</v>
      </c>
      <c r="N7" s="28">
        <v>9.5512196433104979</v>
      </c>
      <c r="O7" s="14" t="s">
        <v>8</v>
      </c>
      <c r="P7" s="80"/>
    </row>
    <row r="8" spans="6:21" x14ac:dyDescent="0.2">
      <c r="F8" s="55"/>
      <c r="G8" s="55"/>
      <c r="H8" s="55"/>
      <c r="I8" s="14"/>
      <c r="J8" s="14"/>
      <c r="K8" s="14"/>
      <c r="L8" s="14"/>
      <c r="M8" s="14"/>
      <c r="N8" s="14"/>
      <c r="O8" s="14"/>
      <c r="P8" s="14"/>
    </row>
    <row r="9" spans="6:21" x14ac:dyDescent="0.2">
      <c r="F9" s="41" t="s">
        <v>28</v>
      </c>
      <c r="G9" s="14"/>
      <c r="H9" s="14"/>
      <c r="I9" s="14"/>
      <c r="J9" s="14"/>
      <c r="K9" s="14"/>
      <c r="L9" s="14"/>
      <c r="M9" s="14"/>
      <c r="N9" s="14"/>
      <c r="O9" s="14"/>
      <c r="P9" s="14"/>
    </row>
    <row r="10" spans="6:21" ht="15" customHeight="1" x14ac:dyDescent="0.2">
      <c r="F10" s="31" t="s">
        <v>44</v>
      </c>
      <c r="G10" s="50">
        <v>365000</v>
      </c>
      <c r="H10" s="50">
        <v>365000</v>
      </c>
      <c r="I10" s="50">
        <v>365000</v>
      </c>
      <c r="J10" s="50">
        <v>365000</v>
      </c>
      <c r="K10" s="163">
        <v>365000</v>
      </c>
      <c r="L10" s="163">
        <v>365000</v>
      </c>
      <c r="M10" s="163">
        <v>365000</v>
      </c>
      <c r="N10" s="163">
        <v>365000</v>
      </c>
      <c r="O10" s="14" t="s">
        <v>23</v>
      </c>
      <c r="P10" s="80" t="s">
        <v>84</v>
      </c>
      <c r="S10" s="184"/>
      <c r="T10" s="184"/>
      <c r="U10" s="184"/>
    </row>
    <row r="11" spans="6:21" ht="15" customHeight="1" x14ac:dyDescent="0.2">
      <c r="F11" s="54" t="s">
        <v>55</v>
      </c>
      <c r="G11" s="28">
        <v>3.6969498399920031</v>
      </c>
      <c r="H11" s="28">
        <v>3.8195864970641451</v>
      </c>
      <c r="I11" s="28">
        <v>3.8195864970641451</v>
      </c>
      <c r="J11" s="28">
        <v>3.8195864970641451</v>
      </c>
      <c r="K11" s="28">
        <v>1.9194756290809074</v>
      </c>
      <c r="L11" s="28">
        <v>6.7181647017831763</v>
      </c>
      <c r="M11" s="28">
        <v>1.9194756290809074</v>
      </c>
      <c r="N11" s="28">
        <v>6.7181647017831763</v>
      </c>
      <c r="O11" s="29" t="s">
        <v>8</v>
      </c>
      <c r="P11" s="80" t="s">
        <v>84</v>
      </c>
    </row>
    <row r="12" spans="6:21" ht="15" customHeight="1" x14ac:dyDescent="0.2">
      <c r="F12" s="71" t="s">
        <v>56</v>
      </c>
      <c r="G12" s="28">
        <v>8.1999027314237374</v>
      </c>
      <c r="H12" s="28">
        <v>7.9596457265634744</v>
      </c>
      <c r="I12" s="28">
        <v>7.9596457265634744</v>
      </c>
      <c r="J12" s="28">
        <v>7.9596457265634744</v>
      </c>
      <c r="K12" s="28">
        <f>K11*G12/G11</f>
        <v>4.257432244153974</v>
      </c>
      <c r="L12" s="160">
        <f t="shared" ref="L12:N12" si="0">L11*H12/H11</f>
        <v>14</v>
      </c>
      <c r="M12" s="160">
        <f t="shared" si="0"/>
        <v>4</v>
      </c>
      <c r="N12" s="160">
        <f t="shared" si="0"/>
        <v>14</v>
      </c>
      <c r="O12" s="29"/>
      <c r="P12" s="80"/>
      <c r="R12" s="204"/>
    </row>
    <row r="13" spans="6:21" ht="15" customHeight="1" x14ac:dyDescent="0.2">
      <c r="F13" s="55" t="s">
        <v>57</v>
      </c>
      <c r="G13" s="28">
        <v>8.3858637444973674</v>
      </c>
      <c r="H13" s="28">
        <v>8.9255616752262199</v>
      </c>
      <c r="I13" s="28">
        <v>8.9255616752262199</v>
      </c>
      <c r="J13" s="28">
        <v>8.9255616752262199</v>
      </c>
      <c r="K13" s="28">
        <v>7.1980336090534029</v>
      </c>
      <c r="L13" s="28">
        <v>11.996722681755671</v>
      </c>
      <c r="M13" s="28">
        <v>7.1980336090534029</v>
      </c>
      <c r="N13" s="28">
        <v>11.996722681755671</v>
      </c>
      <c r="O13" s="83" t="s">
        <v>8</v>
      </c>
      <c r="P13" s="80" t="s">
        <v>84</v>
      </c>
    </row>
    <row r="14" spans="6:21" x14ac:dyDescent="0.2">
      <c r="F14" s="89" t="s">
        <v>58</v>
      </c>
      <c r="G14" s="28">
        <v>18.600000000000001</v>
      </c>
      <c r="H14" s="28">
        <v>18.600000000000001</v>
      </c>
      <c r="I14" s="28">
        <v>18.600000000000001</v>
      </c>
      <c r="J14" s="28">
        <v>18.600000000000001</v>
      </c>
      <c r="K14" s="160">
        <f t="shared" ref="K14:N14" si="1">K13*G14/G13</f>
        <v>15.965370915577404</v>
      </c>
      <c r="L14" s="160">
        <f t="shared" si="1"/>
        <v>25</v>
      </c>
      <c r="M14" s="160">
        <f t="shared" si="1"/>
        <v>15</v>
      </c>
      <c r="N14" s="160">
        <f t="shared" si="1"/>
        <v>25</v>
      </c>
      <c r="O14" s="83"/>
      <c r="P14" s="55"/>
    </row>
    <row r="15" spans="6:21" x14ac:dyDescent="0.2">
      <c r="F15" s="31"/>
      <c r="G15" s="73"/>
      <c r="H15" s="73"/>
      <c r="I15" s="73"/>
      <c r="J15" s="73"/>
      <c r="K15" s="72"/>
      <c r="L15" s="72"/>
      <c r="M15" s="29"/>
      <c r="N15" s="29"/>
      <c r="O15" s="29"/>
      <c r="P15" s="29"/>
    </row>
    <row r="16" spans="6:21" x14ac:dyDescent="0.2">
      <c r="F16" s="42" t="s">
        <v>29</v>
      </c>
      <c r="G16" s="43"/>
      <c r="H16" s="43"/>
      <c r="I16" s="44"/>
      <c r="J16" s="44"/>
      <c r="K16" s="29"/>
      <c r="L16" s="29"/>
      <c r="M16" s="29"/>
      <c r="N16" s="29"/>
      <c r="O16" s="29"/>
      <c r="P16" s="45"/>
    </row>
    <row r="17" spans="6:16" x14ac:dyDescent="0.2">
      <c r="F17" s="46" t="s">
        <v>32</v>
      </c>
      <c r="G17" s="169">
        <v>100</v>
      </c>
      <c r="H17" s="169">
        <v>100</v>
      </c>
      <c r="I17" s="169">
        <v>100</v>
      </c>
      <c r="J17" s="169">
        <v>100</v>
      </c>
      <c r="K17" s="169">
        <v>95.792225493464429</v>
      </c>
      <c r="L17" s="169">
        <v>110.00000000000001</v>
      </c>
      <c r="M17" s="193">
        <v>95.792225493464429</v>
      </c>
      <c r="N17" s="193">
        <v>110.00000000000001</v>
      </c>
      <c r="O17" s="29" t="s">
        <v>20</v>
      </c>
      <c r="P17" s="47"/>
    </row>
    <row r="18" spans="6:16" x14ac:dyDescent="0.2">
      <c r="F18" s="31" t="s">
        <v>30</v>
      </c>
      <c r="G18" s="66">
        <v>0.79848662034292872</v>
      </c>
      <c r="H18" s="66">
        <v>0.75020488834729715</v>
      </c>
      <c r="I18" s="66">
        <v>0.75020488834729715</v>
      </c>
      <c r="J18" s="66">
        <v>0.75020488834729715</v>
      </c>
      <c r="K18" s="66">
        <v>0.71863795830863586</v>
      </c>
      <c r="L18" s="66">
        <v>0.82522537718202693</v>
      </c>
      <c r="M18" s="66">
        <v>0.71863795830863586</v>
      </c>
      <c r="N18" s="66">
        <v>0.82522537718202693</v>
      </c>
      <c r="O18" s="29" t="s">
        <v>24</v>
      </c>
      <c r="P18" s="80" t="s">
        <v>41</v>
      </c>
    </row>
    <row r="19" spans="6:16" hidden="1" x14ac:dyDescent="0.2">
      <c r="F19" s="31" t="s">
        <v>40</v>
      </c>
      <c r="G19" s="55"/>
      <c r="H19" s="55"/>
      <c r="I19" s="55"/>
      <c r="J19" s="55"/>
      <c r="K19" s="55"/>
      <c r="L19" s="55"/>
      <c r="M19" s="55"/>
      <c r="N19" s="55"/>
      <c r="O19" s="29" t="s">
        <v>37</v>
      </c>
      <c r="P19" s="45"/>
    </row>
    <row r="20" spans="6:16" x14ac:dyDescent="0.2">
      <c r="F20" s="31"/>
      <c r="G20" s="55"/>
      <c r="H20" s="55"/>
      <c r="I20" s="55"/>
      <c r="J20" s="55"/>
      <c r="K20" s="55"/>
      <c r="L20" s="55"/>
      <c r="M20" s="55"/>
      <c r="N20" s="55"/>
      <c r="O20" s="29"/>
      <c r="P20" s="45"/>
    </row>
    <row r="21" spans="6:16" x14ac:dyDescent="0.2">
      <c r="F21" s="31" t="s">
        <v>50</v>
      </c>
      <c r="G21" s="29">
        <v>0</v>
      </c>
      <c r="H21" s="29">
        <v>0</v>
      </c>
      <c r="I21" s="67">
        <v>0</v>
      </c>
      <c r="J21" s="68">
        <v>0</v>
      </c>
      <c r="K21" s="29"/>
      <c r="L21" s="29"/>
      <c r="M21" s="29"/>
      <c r="N21" s="29"/>
      <c r="O21" s="29"/>
      <c r="P21" s="45"/>
    </row>
    <row r="22" spans="6:16" x14ac:dyDescent="0.2">
      <c r="F22" s="31" t="s">
        <v>51</v>
      </c>
      <c r="G22" s="29">
        <v>10</v>
      </c>
      <c r="H22" s="29">
        <v>10</v>
      </c>
      <c r="I22" s="67">
        <v>10</v>
      </c>
      <c r="J22" s="68">
        <v>10</v>
      </c>
      <c r="K22" s="29"/>
      <c r="L22" s="29"/>
      <c r="M22" s="29"/>
      <c r="N22" s="29"/>
      <c r="O22" s="29"/>
      <c r="P22" s="29"/>
    </row>
    <row r="23" spans="6:16" x14ac:dyDescent="0.2">
      <c r="F23" s="12" t="s">
        <v>9</v>
      </c>
      <c r="G23" s="29">
        <v>20</v>
      </c>
      <c r="H23" s="29">
        <v>20</v>
      </c>
      <c r="I23" s="67">
        <v>20</v>
      </c>
      <c r="J23" s="68">
        <v>20</v>
      </c>
      <c r="K23" s="14"/>
      <c r="L23" s="14"/>
      <c r="M23" s="14"/>
      <c r="N23" s="14"/>
      <c r="O23" s="14"/>
      <c r="P23" s="14"/>
    </row>
    <row r="24" spans="6:16" x14ac:dyDescent="0.2">
      <c r="F24" s="12" t="s">
        <v>10</v>
      </c>
      <c r="G24" s="29">
        <v>1</v>
      </c>
      <c r="H24" s="29">
        <v>1</v>
      </c>
      <c r="I24" s="67">
        <v>1</v>
      </c>
      <c r="J24" s="68">
        <v>1</v>
      </c>
      <c r="K24" s="14"/>
      <c r="L24" s="14"/>
      <c r="M24" s="14"/>
      <c r="N24" s="14"/>
      <c r="O24" s="14"/>
      <c r="P24" s="14"/>
    </row>
    <row r="25" spans="6:16" x14ac:dyDescent="0.2">
      <c r="F25" s="12"/>
      <c r="G25" s="14"/>
      <c r="H25" s="14"/>
      <c r="I25" s="14"/>
      <c r="J25" s="14"/>
      <c r="K25" s="14"/>
      <c r="L25" s="14"/>
      <c r="M25" s="14"/>
      <c r="N25" s="14"/>
      <c r="O25" s="14"/>
      <c r="P25" s="14"/>
    </row>
    <row r="26" spans="6:16" x14ac:dyDescent="0.2">
      <c r="F26" s="9" t="s">
        <v>11</v>
      </c>
      <c r="G26" s="9"/>
      <c r="H26" s="9"/>
      <c r="I26" s="9"/>
      <c r="J26" s="9"/>
      <c r="K26" s="9"/>
      <c r="L26" s="9"/>
      <c r="M26" s="9"/>
      <c r="N26" s="9"/>
      <c r="O26" s="82"/>
      <c r="P26" s="9"/>
    </row>
    <row r="27" spans="6:16" x14ac:dyDescent="0.25">
      <c r="F27" s="12" t="s">
        <v>45</v>
      </c>
      <c r="G27" s="90">
        <v>1.8141415733691493</v>
      </c>
      <c r="H27" s="90">
        <v>1.7106920331911744</v>
      </c>
      <c r="I27" s="90">
        <v>1.5396228298720569</v>
      </c>
      <c r="J27" s="90">
        <v>1.3856605468848513</v>
      </c>
      <c r="K27" s="90">
        <v>1.5396228298720569</v>
      </c>
      <c r="L27" s="90">
        <v>1.9007689257679714</v>
      </c>
      <c r="M27" s="90">
        <v>1.2470944921963663</v>
      </c>
      <c r="N27" s="90">
        <v>1.5396228298720569</v>
      </c>
      <c r="O27" s="14" t="s">
        <v>52</v>
      </c>
      <c r="P27" s="48" t="s">
        <v>49</v>
      </c>
    </row>
    <row r="28" spans="6:16" x14ac:dyDescent="0.2">
      <c r="F28" s="31" t="s">
        <v>12</v>
      </c>
      <c r="G28" s="53" t="s">
        <v>13</v>
      </c>
      <c r="H28" s="53" t="s">
        <v>13</v>
      </c>
      <c r="I28" s="14"/>
      <c r="J28" s="14"/>
      <c r="K28" s="14"/>
      <c r="L28" s="14"/>
      <c r="M28" s="14"/>
      <c r="N28" s="14"/>
      <c r="O28" s="14"/>
      <c r="P28" s="14"/>
    </row>
    <row r="29" spans="6:16" x14ac:dyDescent="0.2">
      <c r="F29" s="12" t="s">
        <v>14</v>
      </c>
      <c r="G29" s="53" t="s">
        <v>13</v>
      </c>
      <c r="H29" s="53" t="s">
        <v>13</v>
      </c>
      <c r="I29" s="14"/>
      <c r="J29" s="14"/>
      <c r="K29" s="14"/>
      <c r="L29" s="14"/>
      <c r="M29" s="14"/>
      <c r="N29" s="14"/>
      <c r="O29" s="14"/>
      <c r="P29" s="14"/>
    </row>
    <row r="30" spans="6:16" x14ac:dyDescent="0.25">
      <c r="F30" s="12" t="s">
        <v>46</v>
      </c>
      <c r="G30" s="168">
        <f>G31*$G$10/G7</f>
        <v>198785.17939696187</v>
      </c>
      <c r="H30" s="168">
        <f t="shared" ref="H30:N30" si="2">H31*$G$10/H7</f>
        <v>194715.0214064848</v>
      </c>
      <c r="I30" s="168">
        <f t="shared" si="2"/>
        <v>197702.43921954936</v>
      </c>
      <c r="J30" s="168">
        <f t="shared" si="2"/>
        <v>195722.30695110411</v>
      </c>
      <c r="K30" s="168">
        <f t="shared" si="2"/>
        <v>154397.58718954289</v>
      </c>
      <c r="L30" s="168">
        <f t="shared" si="2"/>
        <v>245575.03674852804</v>
      </c>
      <c r="M30" s="168">
        <f t="shared" si="2"/>
        <v>150000.99028005442</v>
      </c>
      <c r="N30" s="168">
        <f t="shared" si="2"/>
        <v>252438.88699442198</v>
      </c>
      <c r="O30" s="158"/>
      <c r="P30" s="158"/>
    </row>
    <row r="31" spans="6:16" x14ac:dyDescent="0.25">
      <c r="F31" s="10" t="s">
        <v>125</v>
      </c>
      <c r="G31" s="170">
        <f>SUM(G32:G34)</f>
        <v>5.0332098576529329</v>
      </c>
      <c r="H31" s="170">
        <f t="shared" ref="H31:N31" si="3">SUM(H32:H34)</f>
        <v>4.6320446757291194</v>
      </c>
      <c r="I31" s="170">
        <f t="shared" si="3"/>
        <v>4.7031118829493384</v>
      </c>
      <c r="J31" s="170">
        <f t="shared" si="3"/>
        <v>4.6560068313460325</v>
      </c>
      <c r="K31" s="161">
        <f t="shared" si="3"/>
        <v>3.5183906273995653</v>
      </c>
      <c r="L31" s="161">
        <f t="shared" si="3"/>
        <v>6.4261400408198313</v>
      </c>
      <c r="M31" s="161">
        <f t="shared" si="3"/>
        <v>3.4182015918040287</v>
      </c>
      <c r="N31" s="161">
        <f t="shared" si="3"/>
        <v>6.6057513868398958</v>
      </c>
      <c r="O31" s="14" t="s">
        <v>79</v>
      </c>
      <c r="P31" s="56" t="s">
        <v>48</v>
      </c>
    </row>
    <row r="32" spans="6:16" ht="15.75" customHeight="1" x14ac:dyDescent="0.25">
      <c r="F32" s="155" t="s">
        <v>99</v>
      </c>
      <c r="G32" s="170">
        <v>4.1066159855732369</v>
      </c>
      <c r="H32" s="170">
        <v>3.6728291205962398</v>
      </c>
      <c r="I32" s="170">
        <v>3.4891876645664275</v>
      </c>
      <c r="J32" s="170">
        <v>3.3147282813381058</v>
      </c>
      <c r="K32" s="161">
        <v>2.8146278025529408</v>
      </c>
      <c r="L32" s="161">
        <v>5.0501400408198309</v>
      </c>
      <c r="M32" s="161">
        <v>2.5402015918040286</v>
      </c>
      <c r="N32" s="161">
        <v>4.5577513868398958</v>
      </c>
      <c r="O32" s="158" t="s">
        <v>79</v>
      </c>
      <c r="P32" s="56" t="s">
        <v>48</v>
      </c>
    </row>
    <row r="33" spans="1:16" x14ac:dyDescent="0.25">
      <c r="F33" s="155" t="s">
        <v>100</v>
      </c>
      <c r="G33" s="170">
        <f>G12*0.063</f>
        <v>0.51659387207969543</v>
      </c>
      <c r="H33" s="170">
        <f>H12*0.069</f>
        <v>0.54921555513287978</v>
      </c>
      <c r="I33" s="170">
        <f>I12*0.101</f>
        <v>0.80392421838291095</v>
      </c>
      <c r="J33" s="170">
        <f>J12*0.117</f>
        <v>0.93127855000792659</v>
      </c>
      <c r="K33" s="170">
        <f>K12*0.069</f>
        <v>0.29376282484662425</v>
      </c>
      <c r="L33" s="170">
        <f>L12*0.069</f>
        <v>0.96600000000000008</v>
      </c>
      <c r="M33" s="170">
        <f>M12*0.117</f>
        <v>0.46800000000000003</v>
      </c>
      <c r="N33" s="170">
        <f>N12*0.117</f>
        <v>1.6380000000000001</v>
      </c>
      <c r="O33" s="14" t="s">
        <v>102</v>
      </c>
      <c r="P33" s="154"/>
    </row>
    <row r="34" spans="1:16" x14ac:dyDescent="0.25">
      <c r="F34" s="155" t="s">
        <v>101</v>
      </c>
      <c r="G34" s="170">
        <v>0.41</v>
      </c>
      <c r="H34" s="170">
        <v>0.41</v>
      </c>
      <c r="I34" s="170">
        <v>0.41</v>
      </c>
      <c r="J34" s="170">
        <v>0.41</v>
      </c>
      <c r="K34" s="170">
        <v>0.41</v>
      </c>
      <c r="L34" s="170">
        <v>0.41</v>
      </c>
      <c r="M34" s="170">
        <v>0.41</v>
      </c>
      <c r="N34" s="170">
        <v>0.41</v>
      </c>
      <c r="O34" s="14"/>
      <c r="P34" s="154"/>
    </row>
    <row r="35" spans="1:16" x14ac:dyDescent="0.2">
      <c r="F35" s="10"/>
      <c r="G35" s="75"/>
      <c r="H35" s="168"/>
      <c r="I35" s="168"/>
      <c r="J35" s="168"/>
      <c r="K35" s="75"/>
      <c r="L35" s="75"/>
      <c r="M35" s="75"/>
      <c r="N35" s="75"/>
      <c r="O35" s="14"/>
      <c r="P35" s="154"/>
    </row>
    <row r="36" spans="1:16" x14ac:dyDescent="0.2">
      <c r="F36" s="104" t="s">
        <v>77</v>
      </c>
      <c r="G36" s="97"/>
      <c r="H36" s="97"/>
      <c r="I36" s="97"/>
      <c r="J36" s="97"/>
      <c r="K36" s="62"/>
      <c r="L36" s="62"/>
      <c r="M36" s="55"/>
      <c r="N36" s="55"/>
      <c r="O36" s="83"/>
      <c r="P36" s="84"/>
    </row>
    <row r="37" spans="1:16" x14ac:dyDescent="0.2">
      <c r="F37" s="32" t="s">
        <v>123</v>
      </c>
      <c r="G37" s="96">
        <v>0.44</v>
      </c>
      <c r="H37" s="96">
        <v>0.42</v>
      </c>
      <c r="I37" s="96">
        <v>0.42</v>
      </c>
      <c r="J37" s="96">
        <v>0.42</v>
      </c>
      <c r="K37" s="61">
        <v>0.17</v>
      </c>
      <c r="L37" s="61">
        <v>0.88</v>
      </c>
      <c r="M37" s="61">
        <v>0.17</v>
      </c>
      <c r="N37" s="61">
        <v>0.88</v>
      </c>
      <c r="O37" s="83" t="s">
        <v>37</v>
      </c>
      <c r="P37" s="84" t="s">
        <v>78</v>
      </c>
    </row>
    <row r="38" spans="1:16" ht="16.5" hidden="1" customHeight="1" x14ac:dyDescent="0.2">
      <c r="B38" s="36"/>
      <c r="C38" s="36"/>
      <c r="D38" s="36"/>
      <c r="E38" s="36"/>
      <c r="F38" s="27"/>
      <c r="G38" s="92"/>
      <c r="H38" s="92"/>
      <c r="I38" s="93"/>
      <c r="J38" s="93"/>
      <c r="K38" s="14"/>
      <c r="L38" s="14"/>
      <c r="M38" s="14"/>
      <c r="N38" s="14"/>
      <c r="O38" s="14"/>
      <c r="P38" s="84"/>
    </row>
    <row r="39" spans="1:16" ht="16.5" hidden="1" customHeight="1" x14ac:dyDescent="0.2">
      <c r="F39" s="27"/>
      <c r="G39" s="92"/>
      <c r="H39" s="92"/>
      <c r="I39" s="92"/>
      <c r="J39" s="92"/>
      <c r="K39" s="61"/>
      <c r="L39" s="61"/>
      <c r="M39" s="55"/>
      <c r="N39" s="55"/>
      <c r="O39" s="83"/>
      <c r="P39" s="84"/>
    </row>
    <row r="40" spans="1:16" ht="16.5" hidden="1" customHeight="1" x14ac:dyDescent="0.2">
      <c r="F40" s="103"/>
      <c r="G40" s="92"/>
      <c r="H40" s="92"/>
      <c r="I40" s="92"/>
      <c r="J40" s="92"/>
      <c r="K40" s="62"/>
      <c r="L40" s="62"/>
      <c r="M40" s="55"/>
      <c r="N40" s="55"/>
      <c r="O40" s="83"/>
      <c r="P40" s="84"/>
    </row>
    <row r="41" spans="1:16" ht="15" hidden="1" customHeight="1" x14ac:dyDescent="0.2">
      <c r="F41" s="27"/>
      <c r="G41" s="92"/>
      <c r="H41" s="92"/>
      <c r="I41" s="92"/>
      <c r="J41" s="92"/>
      <c r="K41" s="61"/>
      <c r="L41" s="61"/>
      <c r="M41" s="61"/>
      <c r="N41" s="61"/>
      <c r="O41" s="83"/>
      <c r="P41" s="84"/>
    </row>
    <row r="42" spans="1:16" hidden="1" x14ac:dyDescent="0.2">
      <c r="F42" s="32"/>
      <c r="G42" s="14"/>
      <c r="H42" s="39"/>
      <c r="I42" s="39"/>
      <c r="J42" s="39"/>
      <c r="K42" s="39"/>
      <c r="L42" s="39"/>
      <c r="M42" s="17"/>
      <c r="N42" s="17"/>
      <c r="O42" s="39"/>
      <c r="P42" s="15"/>
    </row>
    <row r="43" spans="1:16" hidden="1" x14ac:dyDescent="0.2">
      <c r="F43" s="32"/>
      <c r="G43" s="14"/>
      <c r="H43" s="14"/>
      <c r="I43" s="14"/>
      <c r="J43" s="14"/>
      <c r="K43" s="14"/>
      <c r="L43" s="14"/>
      <c r="M43" s="13"/>
      <c r="N43" s="13"/>
      <c r="O43" s="14"/>
      <c r="P43" s="15"/>
    </row>
    <row r="44" spans="1:16" hidden="1" x14ac:dyDescent="0.2">
      <c r="F44" s="32"/>
      <c r="G44" s="14"/>
      <c r="H44" s="14"/>
      <c r="I44" s="14"/>
      <c r="J44" s="14"/>
      <c r="K44" s="14"/>
      <c r="L44" s="14"/>
      <c r="M44" s="13"/>
      <c r="N44" s="13"/>
      <c r="O44" s="13"/>
      <c r="P44" s="14"/>
    </row>
    <row r="45" spans="1:16" ht="15" hidden="1" customHeight="1" x14ac:dyDescent="0.2">
      <c r="F45" s="32"/>
      <c r="G45" s="14"/>
      <c r="H45" s="14"/>
      <c r="I45" s="14"/>
      <c r="J45" s="14"/>
      <c r="K45" s="14"/>
      <c r="L45" s="14"/>
      <c r="M45" s="18"/>
      <c r="N45" s="18"/>
      <c r="O45" s="13"/>
      <c r="P45" s="14"/>
    </row>
    <row r="46" spans="1:16" hidden="1" x14ac:dyDescent="0.2">
      <c r="F46" s="32"/>
      <c r="G46" s="14"/>
      <c r="H46" s="14"/>
      <c r="I46" s="14"/>
      <c r="J46" s="14"/>
      <c r="K46" s="14"/>
      <c r="L46" s="14"/>
      <c r="M46" s="19"/>
      <c r="N46" s="19"/>
      <c r="O46" s="13"/>
      <c r="P46" s="14"/>
    </row>
    <row r="47" spans="1:16" hidden="1" x14ac:dyDescent="0.2"/>
    <row r="48" spans="1:16" ht="15" hidden="1" customHeight="1" x14ac:dyDescent="0.2">
      <c r="A48" s="20"/>
      <c r="B48" s="85"/>
      <c r="C48" s="21"/>
      <c r="D48" s="21"/>
      <c r="E48" s="21"/>
      <c r="F48" s="21"/>
      <c r="G48" s="21"/>
      <c r="H48" s="21"/>
      <c r="I48" s="21"/>
      <c r="J48" s="21"/>
      <c r="K48" s="21"/>
      <c r="L48" s="21"/>
    </row>
    <row r="49" spans="1:16" ht="15" hidden="1" customHeight="1" x14ac:dyDescent="0.2">
      <c r="A49" s="63"/>
      <c r="B49" s="86"/>
      <c r="C49" s="86"/>
      <c r="D49" s="86"/>
      <c r="E49" s="86"/>
      <c r="F49" s="282"/>
      <c r="G49" s="282"/>
      <c r="H49" s="282"/>
      <c r="I49" s="282"/>
      <c r="J49" s="282"/>
      <c r="K49" s="282"/>
      <c r="L49" s="282"/>
      <c r="M49" s="282"/>
      <c r="N49" s="282"/>
      <c r="O49" s="282"/>
      <c r="P49" s="282"/>
    </row>
    <row r="50" spans="1:16" ht="15" hidden="1" customHeight="1" x14ac:dyDescent="0.2">
      <c r="A50" s="63"/>
      <c r="B50" s="282"/>
      <c r="C50" s="283"/>
      <c r="D50" s="283"/>
      <c r="E50" s="283"/>
      <c r="F50" s="283"/>
      <c r="G50" s="283"/>
      <c r="H50" s="283"/>
      <c r="I50" s="283"/>
      <c r="J50" s="283"/>
      <c r="K50" s="283"/>
      <c r="L50" s="283"/>
      <c r="M50" s="2"/>
      <c r="N50" s="2"/>
      <c r="O50" s="2"/>
      <c r="P50" s="2"/>
    </row>
    <row r="51" spans="1:16" hidden="1" x14ac:dyDescent="0.2">
      <c r="A51" s="63"/>
      <c r="B51" s="282"/>
      <c r="C51" s="283"/>
      <c r="D51" s="283"/>
      <c r="E51" s="283"/>
      <c r="F51" s="283"/>
      <c r="G51" s="283"/>
      <c r="H51" s="283"/>
      <c r="I51" s="283"/>
      <c r="J51" s="283"/>
      <c r="K51" s="283"/>
      <c r="L51" s="283"/>
      <c r="M51" s="2"/>
      <c r="N51" s="2"/>
      <c r="O51" s="2"/>
      <c r="P51" s="2"/>
    </row>
    <row r="52" spans="1:16" ht="16.5" hidden="1" customHeight="1" x14ac:dyDescent="0.2">
      <c r="A52" s="64"/>
      <c r="B52" s="282"/>
      <c r="C52" s="283"/>
      <c r="D52" s="283"/>
      <c r="E52" s="283"/>
      <c r="F52" s="283"/>
      <c r="G52" s="283"/>
      <c r="H52" s="283"/>
      <c r="I52" s="283"/>
      <c r="J52" s="283"/>
      <c r="K52" s="283"/>
      <c r="L52" s="283"/>
      <c r="M52" s="275"/>
      <c r="N52" s="275"/>
      <c r="O52" s="275"/>
      <c r="P52" s="275"/>
    </row>
    <row r="53" spans="1:16" ht="16.5" hidden="1" customHeight="1" x14ac:dyDescent="0.2">
      <c r="A53" s="63"/>
      <c r="B53" s="282"/>
      <c r="C53" s="283"/>
      <c r="D53" s="283"/>
      <c r="E53" s="283"/>
      <c r="F53" s="283"/>
      <c r="G53" s="283"/>
      <c r="H53" s="283"/>
      <c r="I53" s="283"/>
      <c r="J53" s="283"/>
      <c r="K53" s="283"/>
      <c r="L53" s="283"/>
      <c r="M53" s="275"/>
      <c r="N53" s="275"/>
      <c r="O53" s="275"/>
      <c r="P53" s="275"/>
    </row>
    <row r="54" spans="1:16" ht="17.25" customHeight="1" x14ac:dyDescent="0.2">
      <c r="A54" s="63"/>
      <c r="B54" s="86"/>
      <c r="C54" s="86"/>
      <c r="D54" s="86"/>
      <c r="E54" s="86"/>
      <c r="F54" s="86"/>
      <c r="G54" s="86"/>
      <c r="H54" s="86"/>
      <c r="I54" s="86"/>
      <c r="J54" s="86"/>
      <c r="K54" s="86"/>
      <c r="L54" s="86"/>
      <c r="M54" s="2"/>
      <c r="N54" s="2"/>
      <c r="O54" s="2"/>
      <c r="P54" s="2"/>
    </row>
    <row r="55" spans="1:16" ht="16.5" customHeight="1" x14ac:dyDescent="0.2">
      <c r="A55" s="91" t="s">
        <v>16</v>
      </c>
      <c r="B55" s="86"/>
      <c r="C55" s="59"/>
      <c r="D55" s="59"/>
      <c r="E55" s="59"/>
      <c r="F55" s="59"/>
      <c r="G55" s="59"/>
      <c r="H55" s="59"/>
      <c r="I55" s="59"/>
      <c r="J55" s="59"/>
      <c r="K55" s="59"/>
      <c r="L55" s="59"/>
      <c r="M55" s="2"/>
      <c r="N55" s="2"/>
      <c r="O55" s="2"/>
      <c r="P55" s="2"/>
    </row>
    <row r="56" spans="1:16" ht="54.75" customHeight="1" x14ac:dyDescent="0.2">
      <c r="A56" s="65" t="s">
        <v>8</v>
      </c>
      <c r="B56" s="286" t="s">
        <v>132</v>
      </c>
      <c r="C56" s="286"/>
      <c r="D56" s="286"/>
      <c r="E56" s="286"/>
      <c r="F56" s="286"/>
      <c r="G56" s="286"/>
      <c r="H56" s="286"/>
      <c r="I56" s="286"/>
      <c r="J56" s="286"/>
      <c r="K56" s="286"/>
      <c r="L56" s="286"/>
      <c r="M56" s="286"/>
      <c r="N56" s="286"/>
      <c r="O56" s="286"/>
      <c r="P56" s="286"/>
    </row>
    <row r="57" spans="1:16" x14ac:dyDescent="0.2">
      <c r="A57" s="65" t="s">
        <v>15</v>
      </c>
      <c r="B57" s="274" t="s">
        <v>131</v>
      </c>
      <c r="C57" s="274"/>
      <c r="D57" s="274"/>
      <c r="E57" s="274"/>
      <c r="F57" s="274"/>
      <c r="G57" s="274"/>
      <c r="H57" s="274"/>
      <c r="I57" s="274"/>
      <c r="J57" s="274"/>
      <c r="K57" s="274"/>
      <c r="L57" s="274"/>
      <c r="M57" s="2"/>
      <c r="N57" s="2"/>
      <c r="O57" s="2"/>
      <c r="P57" s="2"/>
    </row>
    <row r="58" spans="1:16" x14ac:dyDescent="0.2">
      <c r="A58" s="65" t="s">
        <v>17</v>
      </c>
      <c r="B58" s="274" t="s">
        <v>53</v>
      </c>
      <c r="C58" s="275"/>
      <c r="D58" s="275"/>
      <c r="E58" s="275"/>
      <c r="F58" s="275"/>
      <c r="G58" s="275"/>
      <c r="H58" s="275"/>
      <c r="I58" s="275"/>
      <c r="J58" s="275"/>
      <c r="K58" s="275"/>
      <c r="L58" s="275"/>
      <c r="M58" s="275"/>
      <c r="N58" s="275"/>
      <c r="O58" s="275"/>
      <c r="P58" s="275"/>
    </row>
    <row r="59" spans="1:16" ht="27.75" customHeight="1" x14ac:dyDescent="0.2">
      <c r="A59" s="65" t="s">
        <v>18</v>
      </c>
      <c r="B59" s="274" t="s">
        <v>121</v>
      </c>
      <c r="C59" s="274"/>
      <c r="D59" s="274"/>
      <c r="E59" s="274"/>
      <c r="F59" s="274"/>
      <c r="G59" s="274"/>
      <c r="H59" s="274"/>
      <c r="I59" s="274"/>
      <c r="J59" s="274"/>
      <c r="K59" s="274"/>
      <c r="L59" s="274"/>
      <c r="M59" s="2"/>
      <c r="N59" s="2"/>
      <c r="O59" s="2"/>
      <c r="P59" s="2"/>
    </row>
    <row r="60" spans="1:16" ht="57.75" customHeight="1" x14ac:dyDescent="0.25">
      <c r="F60" s="164" t="s">
        <v>103</v>
      </c>
      <c r="G60" s="176" t="s">
        <v>104</v>
      </c>
      <c r="H60" s="176" t="s">
        <v>122</v>
      </c>
      <c r="I60" s="177" t="s">
        <v>113</v>
      </c>
      <c r="J60" s="175"/>
      <c r="K60" s="183"/>
      <c r="L60" s="183"/>
      <c r="M60" s="183"/>
      <c r="N60" s="156"/>
    </row>
    <row r="61" spans="1:16" ht="15.75" customHeight="1" x14ac:dyDescent="0.25">
      <c r="F61" s="164" t="s">
        <v>105</v>
      </c>
      <c r="G61" s="174">
        <v>0.79800000000000004</v>
      </c>
      <c r="H61" s="174">
        <v>0.83789139679172331</v>
      </c>
      <c r="I61" s="178">
        <v>3.3557046979865772</v>
      </c>
      <c r="J61" s="175"/>
      <c r="K61" s="183"/>
      <c r="L61" s="183"/>
      <c r="M61" s="183"/>
      <c r="N61" s="156"/>
    </row>
    <row r="62" spans="1:16" ht="13.5" customHeight="1" x14ac:dyDescent="0.25">
      <c r="F62" s="164" t="s">
        <v>106</v>
      </c>
      <c r="G62" s="174">
        <v>0.08</v>
      </c>
      <c r="H62" s="174">
        <v>8.4638327610316366E-2</v>
      </c>
      <c r="I62" s="178">
        <v>6.7114093959731544</v>
      </c>
      <c r="J62" s="175"/>
      <c r="K62" s="183"/>
      <c r="L62" s="183"/>
      <c r="M62" s="183"/>
      <c r="N62" s="156"/>
    </row>
    <row r="63" spans="1:16" ht="15" customHeight="1" x14ac:dyDescent="0.25">
      <c r="F63" s="164" t="s">
        <v>107</v>
      </c>
      <c r="G63" s="174">
        <v>6.0999999999999999E-2</v>
      </c>
      <c r="H63" s="174">
        <v>2.4390632528287944E-3</v>
      </c>
      <c r="I63" s="178">
        <v>6.7114093959731544</v>
      </c>
      <c r="J63" s="175"/>
      <c r="K63" s="183"/>
      <c r="L63" s="183"/>
      <c r="M63" s="183"/>
      <c r="N63" s="156"/>
    </row>
    <row r="64" spans="1:16" x14ac:dyDescent="0.25">
      <c r="F64" s="164" t="s">
        <v>108</v>
      </c>
      <c r="G64" s="174">
        <v>0</v>
      </c>
      <c r="H64" s="174">
        <v>0</v>
      </c>
      <c r="I64" s="179">
        <v>67.382550335570471</v>
      </c>
      <c r="J64" s="175"/>
      <c r="K64" s="183"/>
      <c r="L64" s="183"/>
      <c r="M64" s="183"/>
      <c r="N64" s="156"/>
    </row>
    <row r="65" spans="1:16" ht="16.5" customHeight="1" x14ac:dyDescent="0.25">
      <c r="F65" s="164" t="s">
        <v>109</v>
      </c>
      <c r="G65" s="174">
        <v>0.01</v>
      </c>
      <c r="H65" s="174">
        <v>1.2008799662457062E-2</v>
      </c>
      <c r="I65" s="179">
        <v>40.268456375838923</v>
      </c>
      <c r="J65" s="175"/>
      <c r="K65" s="183"/>
      <c r="L65" s="183"/>
      <c r="M65" s="183"/>
      <c r="N65" s="156"/>
    </row>
    <row r="66" spans="1:16" x14ac:dyDescent="0.25">
      <c r="A66" s="26"/>
      <c r="B66" s="37"/>
      <c r="C66" s="37"/>
      <c r="D66" s="37"/>
      <c r="E66" s="37"/>
      <c r="F66" s="164" t="s">
        <v>110</v>
      </c>
      <c r="G66" s="174">
        <v>1.6E-2</v>
      </c>
      <c r="H66" s="174">
        <v>1.2462465427483218E-2</v>
      </c>
      <c r="I66" s="179">
        <v>18.859060402684563</v>
      </c>
      <c r="J66" s="175"/>
      <c r="K66" s="183"/>
      <c r="L66" s="183"/>
      <c r="M66" s="183"/>
      <c r="N66" s="156"/>
    </row>
    <row r="67" spans="1:16" x14ac:dyDescent="0.25">
      <c r="A67" s="26"/>
      <c r="B67" s="37"/>
      <c r="C67" s="37"/>
      <c r="D67" s="37"/>
      <c r="E67" s="37"/>
      <c r="F67" s="164" t="s">
        <v>111</v>
      </c>
      <c r="G67" s="174">
        <v>0</v>
      </c>
      <c r="H67" s="197">
        <v>0</v>
      </c>
      <c r="I67" s="179">
        <v>34.899328859060404</v>
      </c>
      <c r="J67" s="175"/>
      <c r="K67" s="183"/>
      <c r="L67" s="183"/>
      <c r="M67" s="183"/>
      <c r="N67" s="156"/>
    </row>
    <row r="68" spans="1:16" x14ac:dyDescent="0.25">
      <c r="A68" s="26"/>
      <c r="B68" s="37"/>
      <c r="C68" s="37"/>
      <c r="D68" s="37"/>
      <c r="E68" s="37"/>
      <c r="F68" s="164" t="s">
        <v>112</v>
      </c>
      <c r="G68" s="174">
        <v>3.5000000000000003E-2</v>
      </c>
      <c r="H68" s="174">
        <v>5.0559947255191202E-2</v>
      </c>
      <c r="I68" s="179">
        <v>27.919463087248321</v>
      </c>
      <c r="J68" s="175"/>
      <c r="K68" s="183"/>
      <c r="L68" s="183"/>
      <c r="M68" s="183"/>
      <c r="N68" s="156"/>
    </row>
    <row r="70" spans="1:16" x14ac:dyDescent="0.25">
      <c r="A70" s="65" t="s">
        <v>20</v>
      </c>
      <c r="B70" s="274" t="s">
        <v>33</v>
      </c>
      <c r="C70" s="274"/>
      <c r="D70" s="274"/>
      <c r="E70" s="274"/>
      <c r="F70" s="274"/>
      <c r="G70" s="274"/>
      <c r="H70" s="274"/>
      <c r="I70" s="274"/>
      <c r="J70" s="274"/>
      <c r="K70" s="274"/>
      <c r="L70" s="274"/>
      <c r="M70" s="274"/>
      <c r="N70" s="274"/>
      <c r="O70" s="274"/>
      <c r="P70" s="274"/>
    </row>
    <row r="71" spans="1:16" x14ac:dyDescent="0.25">
      <c r="A71" s="65" t="s">
        <v>24</v>
      </c>
      <c r="B71" s="274" t="s">
        <v>130</v>
      </c>
      <c r="C71" s="274"/>
      <c r="D71" s="274"/>
      <c r="E71" s="274"/>
      <c r="F71" s="274"/>
      <c r="G71" s="274"/>
      <c r="H71" s="274"/>
      <c r="I71" s="274"/>
      <c r="J71" s="274"/>
      <c r="K71" s="274"/>
      <c r="L71" s="274"/>
      <c r="M71" s="274"/>
      <c r="N71" s="274"/>
      <c r="O71" s="274"/>
      <c r="P71" s="274"/>
    </row>
    <row r="72" spans="1:16" x14ac:dyDescent="0.25">
      <c r="A72" s="65" t="s">
        <v>25</v>
      </c>
      <c r="B72" s="274" t="s">
        <v>34</v>
      </c>
      <c r="C72" s="274"/>
      <c r="D72" s="274"/>
      <c r="E72" s="274"/>
      <c r="F72" s="274"/>
      <c r="G72" s="274"/>
      <c r="H72" s="274"/>
      <c r="I72" s="274"/>
      <c r="J72" s="274"/>
      <c r="K72" s="274"/>
      <c r="L72" s="274"/>
      <c r="M72" s="274"/>
      <c r="N72" s="274"/>
      <c r="O72" s="195"/>
      <c r="P72" s="195"/>
    </row>
    <row r="73" spans="1:16" x14ac:dyDescent="0.25">
      <c r="A73" s="65" t="s">
        <v>36</v>
      </c>
      <c r="B73" s="274" t="s">
        <v>35</v>
      </c>
      <c r="C73" s="274"/>
      <c r="D73" s="274"/>
      <c r="E73" s="274"/>
      <c r="F73" s="274"/>
      <c r="G73" s="274"/>
      <c r="H73" s="274"/>
      <c r="I73" s="274"/>
      <c r="J73" s="274"/>
      <c r="K73" s="274"/>
      <c r="L73" s="274"/>
      <c r="M73" s="274"/>
      <c r="N73" s="274"/>
      <c r="O73" s="195"/>
      <c r="P73" s="195"/>
    </row>
    <row r="74" spans="1:16" x14ac:dyDescent="0.25">
      <c r="A74" s="105" t="s">
        <v>37</v>
      </c>
      <c r="B74" s="284" t="s">
        <v>129</v>
      </c>
      <c r="C74" s="285"/>
      <c r="D74" s="285"/>
      <c r="E74" s="285"/>
      <c r="F74" s="285"/>
      <c r="G74" s="285"/>
      <c r="H74" s="285"/>
      <c r="I74" s="285"/>
      <c r="J74" s="285"/>
      <c r="K74" s="285"/>
      <c r="L74" s="285"/>
      <c r="M74" s="285"/>
      <c r="N74" s="285"/>
      <c r="O74" s="192"/>
      <c r="P74" s="192"/>
    </row>
    <row r="75" spans="1:16" ht="37.5" customHeight="1" x14ac:dyDescent="0.25">
      <c r="A75" s="173" t="s">
        <v>102</v>
      </c>
      <c r="B75" s="272" t="s">
        <v>116</v>
      </c>
      <c r="C75" s="273"/>
      <c r="D75" s="273"/>
      <c r="E75" s="273"/>
      <c r="F75" s="273"/>
      <c r="G75" s="273"/>
      <c r="H75" s="273"/>
      <c r="I75" s="273"/>
      <c r="J75" s="273"/>
      <c r="K75" s="273"/>
      <c r="L75" s="273"/>
      <c r="M75" s="273"/>
      <c r="N75" s="273"/>
      <c r="O75" s="192"/>
      <c r="P75" s="192"/>
    </row>
    <row r="76" spans="1:16" s="184" customFormat="1" x14ac:dyDescent="0.25">
      <c r="A76" s="91" t="s">
        <v>207</v>
      </c>
      <c r="B76" s="198"/>
      <c r="C76" s="199"/>
      <c r="D76" s="199"/>
      <c r="E76" s="199"/>
      <c r="F76" s="199"/>
      <c r="G76" s="199"/>
      <c r="H76" s="199"/>
      <c r="I76" s="199"/>
      <c r="J76" s="199"/>
      <c r="K76" s="199"/>
      <c r="L76" s="199"/>
      <c r="M76" s="199"/>
      <c r="N76" s="199"/>
      <c r="O76" s="192"/>
      <c r="P76" s="192"/>
    </row>
    <row r="77" spans="1:16" x14ac:dyDescent="0.25">
      <c r="A77" s="8">
        <v>5</v>
      </c>
      <c r="F77" s="271" t="s">
        <v>238</v>
      </c>
      <c r="G77" s="271"/>
      <c r="H77" s="271"/>
      <c r="I77" s="271"/>
      <c r="J77" s="271"/>
      <c r="K77" s="271"/>
      <c r="L77" s="271"/>
      <c r="M77" s="271"/>
      <c r="N77" s="271"/>
    </row>
    <row r="78" spans="1:16" x14ac:dyDescent="0.25">
      <c r="A78" s="8">
        <v>8</v>
      </c>
      <c r="F78" s="271" t="s">
        <v>239</v>
      </c>
      <c r="G78" s="271"/>
      <c r="H78" s="271"/>
      <c r="I78" s="271"/>
      <c r="J78" s="271"/>
      <c r="K78" s="271"/>
      <c r="L78" s="271"/>
    </row>
    <row r="79" spans="1:16" x14ac:dyDescent="0.25">
      <c r="A79" s="8">
        <v>9</v>
      </c>
      <c r="F79" s="271" t="s">
        <v>240</v>
      </c>
      <c r="G79" s="271"/>
      <c r="H79" s="271"/>
      <c r="I79" s="271"/>
      <c r="J79" s="271"/>
      <c r="K79" s="271"/>
      <c r="L79" s="271"/>
      <c r="M79" s="271"/>
      <c r="N79" s="271"/>
    </row>
    <row r="80" spans="1:16" x14ac:dyDescent="0.25">
      <c r="A80" s="8">
        <v>12</v>
      </c>
      <c r="F80" s="271" t="s">
        <v>241</v>
      </c>
      <c r="G80" s="271"/>
      <c r="H80" s="271"/>
      <c r="I80" s="271"/>
      <c r="J80" s="271"/>
      <c r="K80" s="271"/>
      <c r="L80" s="271"/>
      <c r="M80" s="271"/>
      <c r="N80" s="271"/>
    </row>
  </sheetData>
  <mergeCells count="23">
    <mergeCell ref="B50:L50"/>
    <mergeCell ref="B74:N74"/>
    <mergeCell ref="B59:L59"/>
    <mergeCell ref="B51:L51"/>
    <mergeCell ref="B57:L57"/>
    <mergeCell ref="B53:P53"/>
    <mergeCell ref="B52:P52"/>
    <mergeCell ref="B56:P56"/>
    <mergeCell ref="B70:P70"/>
    <mergeCell ref="B71:P71"/>
    <mergeCell ref="B72:N72"/>
    <mergeCell ref="B73:N73"/>
    <mergeCell ref="G1:O1"/>
    <mergeCell ref="G3:P3"/>
    <mergeCell ref="K4:L4"/>
    <mergeCell ref="M4:N4"/>
    <mergeCell ref="F49:P49"/>
    <mergeCell ref="F80:N80"/>
    <mergeCell ref="B75:N75"/>
    <mergeCell ref="B58:P58"/>
    <mergeCell ref="F77:N77"/>
    <mergeCell ref="F78:L78"/>
    <mergeCell ref="F79:N79"/>
  </mergeCells>
  <pageMargins left="0.25" right="0.25" top="0.75" bottom="0.75" header="0.3" footer="0.3"/>
  <pageSetup paperSize="9" scale="3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X65"/>
  <sheetViews>
    <sheetView showGridLines="0" workbookViewId="0">
      <selection activeCell="F59" sqref="F59"/>
    </sheetView>
  </sheetViews>
  <sheetFormatPr defaultColWidth="8.85546875" defaultRowHeight="15" x14ac:dyDescent="0.25"/>
  <cols>
    <col min="1" max="1" width="4.42578125" style="8" customWidth="1"/>
    <col min="2" max="5" width="0" hidden="1" customWidth="1"/>
    <col min="6" max="6" width="4.42578125" customWidth="1"/>
    <col min="7" max="7" width="1.42578125" hidden="1" customWidth="1"/>
    <col min="8" max="8" width="41.85546875" customWidth="1"/>
    <col min="9" max="9" width="9" customWidth="1"/>
    <col min="10" max="10" width="8.28515625" customWidth="1"/>
    <col min="11" max="11" width="8.42578125" customWidth="1"/>
    <col min="12" max="12" width="10.140625" customWidth="1"/>
    <col min="13" max="13" width="8.85546875" customWidth="1"/>
    <col min="14" max="14" width="9.28515625" customWidth="1"/>
    <col min="15" max="15" width="8.42578125" customWidth="1"/>
    <col min="16" max="16" width="8.140625" customWidth="1"/>
    <col min="17" max="17" width="5.28515625" customWidth="1"/>
    <col min="18" max="18" width="12.85546875" customWidth="1"/>
    <col min="19" max="19" width="13.7109375" customWidth="1"/>
    <col min="23" max="23" width="14.42578125" customWidth="1"/>
  </cols>
  <sheetData>
    <row r="1" spans="6:24" ht="36.75" customHeight="1" x14ac:dyDescent="0.2">
      <c r="F1" s="8"/>
      <c r="H1" s="7" t="s">
        <v>0</v>
      </c>
      <c r="I1" s="276" t="s">
        <v>80</v>
      </c>
      <c r="J1" s="277"/>
      <c r="K1" s="277"/>
      <c r="L1" s="277"/>
      <c r="M1" s="277"/>
      <c r="N1" s="277"/>
      <c r="O1" s="277"/>
      <c r="P1" s="277"/>
      <c r="Q1" s="277"/>
      <c r="R1" s="6"/>
    </row>
    <row r="2" spans="6:24" x14ac:dyDescent="0.2">
      <c r="F2" s="8"/>
      <c r="H2" s="2"/>
      <c r="I2" s="2"/>
      <c r="J2" s="2"/>
      <c r="K2" s="2"/>
      <c r="L2" s="2"/>
      <c r="M2" s="2"/>
      <c r="N2" s="2"/>
    </row>
    <row r="3" spans="6:24" ht="15" customHeight="1" x14ac:dyDescent="0.2">
      <c r="F3" s="8"/>
      <c r="H3" s="9" t="s">
        <v>1</v>
      </c>
      <c r="I3" s="293" t="s">
        <v>80</v>
      </c>
      <c r="J3" s="294"/>
      <c r="K3" s="294"/>
      <c r="L3" s="294"/>
      <c r="M3" s="294"/>
      <c r="N3" s="294"/>
      <c r="O3" s="294"/>
      <c r="P3" s="294"/>
      <c r="Q3" s="294"/>
      <c r="R3" s="294"/>
    </row>
    <row r="4" spans="6:24" ht="25.5" customHeight="1" x14ac:dyDescent="0.2">
      <c r="F4" s="8"/>
      <c r="H4" s="99"/>
      <c r="I4" s="82">
        <v>2015</v>
      </c>
      <c r="J4" s="82">
        <v>2020</v>
      </c>
      <c r="K4" s="82">
        <v>2030</v>
      </c>
      <c r="L4" s="82">
        <v>2050</v>
      </c>
      <c r="M4" s="293" t="s">
        <v>2</v>
      </c>
      <c r="N4" s="293"/>
      <c r="O4" s="293" t="s">
        <v>3</v>
      </c>
      <c r="P4" s="293"/>
      <c r="Q4" s="82" t="s">
        <v>4</v>
      </c>
      <c r="R4" s="82" t="s">
        <v>5</v>
      </c>
      <c r="S4" s="2"/>
      <c r="T4" s="2"/>
      <c r="U4" s="2"/>
      <c r="V4" s="2"/>
      <c r="W4" s="2"/>
      <c r="X4" s="2"/>
    </row>
    <row r="5" spans="6:24" ht="15" customHeight="1" x14ac:dyDescent="0.2">
      <c r="F5" s="8"/>
      <c r="H5" s="9" t="s">
        <v>27</v>
      </c>
      <c r="I5" s="9"/>
      <c r="J5" s="9"/>
      <c r="K5" s="9"/>
      <c r="L5" s="9"/>
      <c r="M5" s="9" t="s">
        <v>6</v>
      </c>
      <c r="N5" s="9" t="s">
        <v>7</v>
      </c>
      <c r="O5" s="9" t="s">
        <v>6</v>
      </c>
      <c r="P5" s="9" t="s">
        <v>7</v>
      </c>
      <c r="Q5" s="9"/>
      <c r="R5" s="9"/>
      <c r="S5" s="34"/>
      <c r="T5" s="34"/>
      <c r="U5" s="34"/>
      <c r="V5" s="34"/>
      <c r="W5" s="115"/>
      <c r="X5" s="2"/>
    </row>
    <row r="6" spans="6:24" ht="15" customHeight="1" x14ac:dyDescent="0.2">
      <c r="F6" s="8"/>
      <c r="H6" s="99" t="s">
        <v>81</v>
      </c>
      <c r="I6" s="295">
        <v>1</v>
      </c>
      <c r="J6" s="296"/>
      <c r="K6" s="296"/>
      <c r="L6" s="296"/>
      <c r="M6" s="14"/>
      <c r="N6" s="14"/>
      <c r="O6" s="14"/>
      <c r="P6" s="14"/>
      <c r="Q6" s="14" t="s">
        <v>23</v>
      </c>
      <c r="R6" s="80"/>
      <c r="S6" s="2"/>
      <c r="T6" s="2"/>
      <c r="U6" s="2"/>
      <c r="V6" s="2"/>
      <c r="W6" s="107"/>
      <c r="X6" s="2"/>
    </row>
    <row r="7" spans="6:24" x14ac:dyDescent="0.2">
      <c r="F7" s="8"/>
      <c r="H7" s="99"/>
      <c r="I7" s="297"/>
      <c r="J7" s="298"/>
      <c r="K7" s="298"/>
      <c r="L7" s="298"/>
      <c r="M7" s="14"/>
      <c r="N7" s="14"/>
      <c r="O7" s="14"/>
      <c r="P7" s="14"/>
      <c r="Q7" s="14"/>
      <c r="R7" s="14"/>
      <c r="S7" s="116"/>
      <c r="T7" s="116"/>
      <c r="U7" s="116"/>
      <c r="V7" s="116"/>
      <c r="W7" s="2"/>
      <c r="X7" s="2"/>
    </row>
    <row r="8" spans="6:24" x14ac:dyDescent="0.2">
      <c r="F8" s="8"/>
      <c r="H8" s="100" t="s">
        <v>28</v>
      </c>
      <c r="I8" s="14"/>
      <c r="J8" s="14"/>
      <c r="K8" s="14"/>
      <c r="L8" s="14"/>
      <c r="M8" s="14"/>
      <c r="N8" s="14"/>
      <c r="O8" s="14"/>
      <c r="P8" s="14"/>
      <c r="Q8" s="14"/>
      <c r="R8" s="14"/>
      <c r="S8" s="2"/>
      <c r="T8" s="2"/>
      <c r="U8" s="2"/>
      <c r="V8" s="2"/>
      <c r="W8" s="117"/>
      <c r="X8" s="2"/>
    </row>
    <row r="9" spans="6:24" ht="15" customHeight="1" x14ac:dyDescent="0.2">
      <c r="F9" s="8"/>
      <c r="H9" s="54" t="s">
        <v>114</v>
      </c>
      <c r="I9" s="108">
        <v>1.9941088796192754</v>
      </c>
      <c r="J9" s="108">
        <v>1.8192614557560789</v>
      </c>
      <c r="K9" s="108">
        <v>1.8192614557560789</v>
      </c>
      <c r="L9" s="108">
        <v>1.8192614557560789</v>
      </c>
      <c r="M9" s="33"/>
      <c r="N9" s="29"/>
      <c r="O9" s="29"/>
      <c r="P9" s="29"/>
      <c r="Q9" s="29" t="s">
        <v>23</v>
      </c>
      <c r="R9" s="80" t="s">
        <v>84</v>
      </c>
      <c r="S9" s="2"/>
      <c r="T9" s="2"/>
      <c r="U9" s="2"/>
      <c r="V9" s="2"/>
      <c r="W9" s="77"/>
      <c r="X9" s="2"/>
    </row>
    <row r="10" spans="6:24" ht="15" customHeight="1" x14ac:dyDescent="0.2">
      <c r="F10" s="8"/>
      <c r="H10" s="71" t="s">
        <v>61</v>
      </c>
      <c r="I10" s="70">
        <v>4336.9805260464464</v>
      </c>
      <c r="J10" s="70">
        <v>3956.7054668085311</v>
      </c>
      <c r="K10" s="70">
        <v>3956.7054668085311</v>
      </c>
      <c r="L10" s="70">
        <v>3956.7054668085311</v>
      </c>
      <c r="M10" s="29"/>
      <c r="N10" s="29"/>
      <c r="O10" s="29"/>
      <c r="P10" s="29"/>
      <c r="Q10" s="29"/>
      <c r="R10" s="55"/>
      <c r="S10" s="2"/>
      <c r="T10" s="2"/>
      <c r="U10" s="2"/>
      <c r="V10" s="2"/>
      <c r="W10" s="77"/>
      <c r="X10" s="2"/>
    </row>
    <row r="11" spans="6:24" ht="15" customHeight="1" x14ac:dyDescent="0.2">
      <c r="F11" s="8"/>
      <c r="H11" s="54" t="s">
        <v>83</v>
      </c>
      <c r="I11" s="109">
        <v>3.1240122282366525E-2</v>
      </c>
      <c r="J11" s="109">
        <v>2.8500926364796616E-2</v>
      </c>
      <c r="K11" s="109">
        <v>2.8500926364796616E-2</v>
      </c>
      <c r="L11" s="109">
        <v>2.8500926364796616E-2</v>
      </c>
      <c r="M11" s="94"/>
      <c r="N11" s="29"/>
      <c r="O11" s="29"/>
      <c r="P11" s="29"/>
      <c r="Q11" s="29"/>
      <c r="R11" s="80" t="s">
        <v>84</v>
      </c>
      <c r="S11" s="2"/>
      <c r="T11" s="2"/>
      <c r="U11" s="2"/>
      <c r="V11" s="2"/>
      <c r="W11" s="77"/>
      <c r="X11" s="2"/>
    </row>
    <row r="12" spans="6:24" x14ac:dyDescent="0.2">
      <c r="F12" s="8"/>
      <c r="H12" s="71" t="s">
        <v>54</v>
      </c>
      <c r="I12" s="110">
        <v>63</v>
      </c>
      <c r="J12" s="110">
        <v>63</v>
      </c>
      <c r="K12" s="110">
        <v>63</v>
      </c>
      <c r="L12" s="110">
        <v>63</v>
      </c>
      <c r="M12" s="29"/>
      <c r="N12" s="29"/>
      <c r="O12" s="29"/>
      <c r="P12" s="29"/>
      <c r="Q12" s="29" t="s">
        <v>8</v>
      </c>
      <c r="R12" s="55"/>
      <c r="S12" s="35"/>
      <c r="T12" s="35"/>
      <c r="U12" s="35"/>
      <c r="V12" s="35"/>
      <c r="W12" s="118"/>
      <c r="X12" s="2"/>
    </row>
    <row r="13" spans="6:24" ht="16.5" customHeight="1" x14ac:dyDescent="0.2">
      <c r="F13" s="8"/>
      <c r="H13" s="54" t="s">
        <v>39</v>
      </c>
      <c r="I13" s="109">
        <v>9.2086572813314966E-3</v>
      </c>
      <c r="J13" s="109">
        <v>8.4012239363742813E-3</v>
      </c>
      <c r="K13" s="109">
        <v>8.4012239363742813E-3</v>
      </c>
      <c r="L13" s="109">
        <v>8.4012239363742813E-3</v>
      </c>
      <c r="M13" s="29"/>
      <c r="N13" s="29"/>
      <c r="O13" s="29"/>
      <c r="P13" s="29"/>
      <c r="Q13" s="29"/>
      <c r="R13" s="80" t="s">
        <v>84</v>
      </c>
      <c r="S13" s="35"/>
      <c r="T13" s="35"/>
      <c r="U13" s="35"/>
      <c r="V13" s="35"/>
      <c r="W13" s="119"/>
      <c r="X13" s="2"/>
    </row>
    <row r="14" spans="6:24" ht="15.75" customHeight="1" x14ac:dyDescent="0.2">
      <c r="F14" s="8"/>
      <c r="H14" s="71" t="s">
        <v>59</v>
      </c>
      <c r="I14" s="110">
        <v>18.600000000000001</v>
      </c>
      <c r="J14" s="110">
        <v>18.600000000000001</v>
      </c>
      <c r="K14" s="110">
        <v>18.600000000000001</v>
      </c>
      <c r="L14" s="110">
        <v>18.600000000000001</v>
      </c>
      <c r="M14" s="55"/>
      <c r="N14" s="55"/>
      <c r="O14" s="55"/>
      <c r="P14" s="55"/>
      <c r="Q14" s="83" t="s">
        <v>8</v>
      </c>
      <c r="R14" s="29"/>
      <c r="S14" s="35"/>
      <c r="T14" s="35"/>
      <c r="U14" s="35"/>
      <c r="V14" s="35"/>
      <c r="W14" s="2"/>
      <c r="X14" s="2"/>
    </row>
    <row r="15" spans="6:24" ht="15" customHeight="1" x14ac:dyDescent="0.2">
      <c r="F15" s="8"/>
      <c r="H15" s="111"/>
      <c r="I15" s="55"/>
      <c r="J15" s="55"/>
      <c r="K15" s="55"/>
      <c r="L15" s="55"/>
      <c r="M15" s="55"/>
      <c r="N15" s="55"/>
      <c r="O15" s="55"/>
      <c r="P15" s="55"/>
      <c r="Q15" s="83"/>
      <c r="R15" s="45"/>
      <c r="S15" s="2"/>
      <c r="T15" s="2"/>
      <c r="U15" s="2"/>
      <c r="V15" s="2"/>
      <c r="W15" s="120"/>
      <c r="X15" s="2"/>
    </row>
    <row r="16" spans="6:24" x14ac:dyDescent="0.2">
      <c r="F16" s="8"/>
      <c r="H16" s="101" t="s">
        <v>29</v>
      </c>
      <c r="I16" s="43"/>
      <c r="J16" s="43"/>
      <c r="K16" s="44"/>
      <c r="L16" s="44"/>
      <c r="M16" s="29"/>
      <c r="N16" s="29"/>
      <c r="O16" s="29"/>
      <c r="P16" s="29"/>
      <c r="Q16" s="29"/>
      <c r="R16" s="47"/>
      <c r="S16" s="2"/>
      <c r="T16" s="2"/>
      <c r="U16" s="2"/>
      <c r="V16" s="2"/>
      <c r="W16" s="121"/>
      <c r="X16" s="2"/>
    </row>
    <row r="17" spans="1:24" x14ac:dyDescent="0.2">
      <c r="F17" s="8"/>
      <c r="H17" s="102" t="s">
        <v>32</v>
      </c>
      <c r="I17" s="58">
        <v>1</v>
      </c>
      <c r="J17" s="58">
        <v>1</v>
      </c>
      <c r="K17" s="58">
        <v>1</v>
      </c>
      <c r="L17" s="58">
        <v>1</v>
      </c>
      <c r="M17" s="29"/>
      <c r="N17" s="29"/>
      <c r="O17" s="29"/>
      <c r="P17" s="29"/>
      <c r="Q17" s="29" t="s">
        <v>26</v>
      </c>
      <c r="R17" s="55"/>
      <c r="S17" s="3"/>
      <c r="T17" s="3"/>
      <c r="U17" s="3"/>
      <c r="V17" s="3"/>
      <c r="W17" s="122"/>
      <c r="X17" s="2"/>
    </row>
    <row r="18" spans="1:24" x14ac:dyDescent="0.2">
      <c r="F18" s="8"/>
      <c r="H18" s="71" t="s">
        <v>68</v>
      </c>
      <c r="I18" s="43">
        <v>7.27</v>
      </c>
      <c r="J18" s="43">
        <v>7.97</v>
      </c>
      <c r="K18" s="43">
        <v>7.97</v>
      </c>
      <c r="L18" s="43">
        <v>7.97</v>
      </c>
      <c r="M18" s="29"/>
      <c r="N18" s="29"/>
      <c r="O18" s="29"/>
      <c r="P18" s="29"/>
      <c r="Q18" s="29" t="s">
        <v>26</v>
      </c>
      <c r="R18" s="80" t="s">
        <v>41</v>
      </c>
      <c r="S18" s="2"/>
      <c r="T18" s="2"/>
      <c r="U18" s="2"/>
      <c r="V18" s="2"/>
      <c r="W18" s="77"/>
      <c r="X18" s="2"/>
    </row>
    <row r="19" spans="1:24" x14ac:dyDescent="0.2">
      <c r="F19" s="8"/>
      <c r="H19" s="54" t="s">
        <v>62</v>
      </c>
      <c r="I19" s="43"/>
      <c r="J19" s="43"/>
      <c r="K19" s="43"/>
      <c r="L19" s="43"/>
      <c r="M19" s="29"/>
      <c r="N19" s="29"/>
      <c r="O19" s="29"/>
      <c r="P19" s="29"/>
      <c r="Q19" s="29" t="s">
        <v>18</v>
      </c>
      <c r="R19" s="45"/>
      <c r="S19" s="2"/>
      <c r="T19" s="2"/>
      <c r="U19" s="2"/>
      <c r="V19" s="2"/>
      <c r="W19" s="2"/>
      <c r="X19" s="2"/>
    </row>
    <row r="20" spans="1:24" x14ac:dyDescent="0.2">
      <c r="F20" s="8"/>
      <c r="H20" s="54"/>
      <c r="I20" s="43"/>
      <c r="J20" s="43"/>
      <c r="K20" s="43"/>
      <c r="L20" s="43"/>
      <c r="M20" s="29"/>
      <c r="N20" s="29"/>
      <c r="O20" s="29"/>
      <c r="P20" s="29"/>
      <c r="Q20" s="29"/>
      <c r="R20" s="45"/>
      <c r="S20" s="2"/>
      <c r="T20" s="2"/>
      <c r="U20" s="2"/>
      <c r="V20" s="2"/>
      <c r="W20" s="77"/>
      <c r="X20" s="2"/>
    </row>
    <row r="21" spans="1:24" x14ac:dyDescent="0.2">
      <c r="F21" s="8"/>
      <c r="H21" s="54" t="s">
        <v>50</v>
      </c>
      <c r="I21" s="29">
        <v>0</v>
      </c>
      <c r="J21" s="29">
        <v>0</v>
      </c>
      <c r="K21" s="67">
        <v>0</v>
      </c>
      <c r="L21" s="68">
        <v>0</v>
      </c>
      <c r="M21" s="29"/>
      <c r="N21" s="29"/>
      <c r="O21" s="29"/>
      <c r="P21" s="29"/>
      <c r="Q21" s="29"/>
      <c r="R21" s="29"/>
      <c r="S21" s="2"/>
      <c r="T21" s="2"/>
      <c r="U21" s="2"/>
      <c r="V21" s="2"/>
      <c r="W21" s="77"/>
      <c r="X21" s="2"/>
    </row>
    <row r="22" spans="1:24" x14ac:dyDescent="0.2">
      <c r="F22" s="8"/>
      <c r="H22" s="54" t="s">
        <v>51</v>
      </c>
      <c r="I22" s="29">
        <v>10</v>
      </c>
      <c r="J22" s="29">
        <v>10</v>
      </c>
      <c r="K22" s="67">
        <v>10</v>
      </c>
      <c r="L22" s="68">
        <v>10</v>
      </c>
      <c r="M22" s="29"/>
      <c r="N22" s="29"/>
      <c r="O22" s="29"/>
      <c r="P22" s="29"/>
      <c r="Q22" s="29"/>
      <c r="R22" s="14"/>
      <c r="S22" s="2"/>
      <c r="T22" s="2"/>
      <c r="U22" s="2"/>
      <c r="V22" s="2"/>
      <c r="W22" s="77"/>
      <c r="X22" s="2"/>
    </row>
    <row r="23" spans="1:24" x14ac:dyDescent="0.2">
      <c r="F23" s="8"/>
      <c r="H23" s="99" t="s">
        <v>9</v>
      </c>
      <c r="I23" s="29">
        <v>20</v>
      </c>
      <c r="J23" s="29">
        <v>20</v>
      </c>
      <c r="K23" s="67">
        <v>20</v>
      </c>
      <c r="L23" s="68">
        <v>20</v>
      </c>
      <c r="M23" s="14"/>
      <c r="N23" s="14"/>
      <c r="O23" s="14"/>
      <c r="P23" s="14"/>
      <c r="Q23" s="14"/>
      <c r="R23" s="14"/>
      <c r="S23" s="2"/>
      <c r="T23" s="2"/>
      <c r="U23" s="2"/>
      <c r="V23" s="2"/>
      <c r="W23" s="107"/>
      <c r="X23" s="2"/>
    </row>
    <row r="24" spans="1:24" x14ac:dyDescent="0.2">
      <c r="F24" s="8"/>
      <c r="H24" s="99" t="s">
        <v>10</v>
      </c>
      <c r="I24" s="29">
        <v>1</v>
      </c>
      <c r="J24" s="29">
        <v>1</v>
      </c>
      <c r="K24" s="67">
        <v>1</v>
      </c>
      <c r="L24" s="68">
        <v>1</v>
      </c>
      <c r="M24" s="14"/>
      <c r="N24" s="14"/>
      <c r="O24" s="14"/>
      <c r="P24" s="14"/>
      <c r="Q24" s="14"/>
      <c r="R24" s="14"/>
      <c r="S24" s="2"/>
      <c r="T24" s="2"/>
      <c r="U24" s="2"/>
      <c r="V24" s="2"/>
      <c r="W24" s="107"/>
      <c r="X24" s="2"/>
    </row>
    <row r="25" spans="1:24" x14ac:dyDescent="0.2">
      <c r="F25" s="8"/>
      <c r="H25" s="99"/>
      <c r="I25" s="14"/>
      <c r="J25" s="14"/>
      <c r="K25" s="14"/>
      <c r="L25" s="14"/>
      <c r="M25" s="14"/>
      <c r="N25" s="14"/>
      <c r="O25" s="14"/>
      <c r="P25" s="14"/>
      <c r="Q25" s="14"/>
      <c r="R25" s="9"/>
      <c r="S25" s="2"/>
      <c r="T25" s="2"/>
      <c r="U25" s="2"/>
      <c r="V25" s="2"/>
      <c r="W25" s="107"/>
      <c r="X25" s="2"/>
    </row>
    <row r="26" spans="1:24" x14ac:dyDescent="0.2">
      <c r="F26" s="8"/>
      <c r="H26" s="112" t="s">
        <v>11</v>
      </c>
      <c r="I26" s="112"/>
      <c r="J26" s="112"/>
      <c r="K26" s="112"/>
      <c r="L26" s="112"/>
      <c r="M26" s="9"/>
      <c r="N26" s="9"/>
      <c r="O26" s="9"/>
      <c r="P26" s="9"/>
      <c r="Q26" s="82"/>
      <c r="R26" s="55"/>
      <c r="S26" s="2"/>
      <c r="T26" s="2"/>
      <c r="U26" s="2"/>
      <c r="V26" s="2"/>
      <c r="W26" s="115"/>
      <c r="X26" s="2"/>
    </row>
    <row r="27" spans="1:24" x14ac:dyDescent="0.25">
      <c r="F27" s="8"/>
      <c r="H27" s="54" t="s">
        <v>64</v>
      </c>
      <c r="I27" s="95">
        <v>407676.16944836598</v>
      </c>
      <c r="J27" s="95">
        <v>371930.31388000195</v>
      </c>
      <c r="K27" s="76">
        <v>371930.31388000195</v>
      </c>
      <c r="L27" s="76">
        <v>371930.31388000195</v>
      </c>
      <c r="M27" s="30"/>
      <c r="N27" s="30"/>
      <c r="O27" s="30"/>
      <c r="P27" s="30"/>
      <c r="Q27" s="14" t="s">
        <v>74</v>
      </c>
      <c r="R27" s="48" t="s">
        <v>49</v>
      </c>
      <c r="S27" s="4"/>
      <c r="T27" s="4"/>
      <c r="U27" s="4"/>
      <c r="V27" s="4"/>
      <c r="W27" s="123"/>
      <c r="X27" s="2"/>
    </row>
    <row r="28" spans="1:24" x14ac:dyDescent="0.25">
      <c r="F28" s="8"/>
      <c r="H28" s="71" t="s">
        <v>65</v>
      </c>
      <c r="I28" s="96">
        <v>94</v>
      </c>
      <c r="J28" s="96">
        <v>94</v>
      </c>
      <c r="K28" s="96">
        <v>94</v>
      </c>
      <c r="L28" s="96">
        <v>94</v>
      </c>
      <c r="M28" s="14"/>
      <c r="N28" s="14"/>
      <c r="O28" s="14"/>
      <c r="P28" s="14"/>
      <c r="Q28" s="14" t="s">
        <v>74</v>
      </c>
      <c r="R28" s="14"/>
      <c r="S28" s="2"/>
      <c r="T28" s="2"/>
      <c r="U28" s="2"/>
      <c r="V28" s="2"/>
      <c r="W28" s="77"/>
      <c r="X28" s="2"/>
    </row>
    <row r="29" spans="1:24" x14ac:dyDescent="0.25">
      <c r="F29" s="8"/>
      <c r="H29" s="54" t="s">
        <v>46</v>
      </c>
      <c r="I29" s="95">
        <f>I30*I10</f>
        <v>47386.621139570423</v>
      </c>
      <c r="J29" s="169">
        <f t="shared" ref="J29:L29" si="0">J30*J10</f>
        <v>44727.302826015723</v>
      </c>
      <c r="K29" s="169">
        <f t="shared" si="0"/>
        <v>52704.021047101713</v>
      </c>
      <c r="L29" s="169">
        <f t="shared" si="0"/>
        <v>56692.380157644715</v>
      </c>
      <c r="M29" s="14"/>
      <c r="N29" s="14"/>
      <c r="O29" s="14"/>
      <c r="P29" s="14"/>
      <c r="Q29" s="14" t="s">
        <v>75</v>
      </c>
      <c r="R29" s="56" t="s">
        <v>48</v>
      </c>
      <c r="S29" s="2"/>
      <c r="T29" s="2"/>
      <c r="U29" s="2"/>
      <c r="V29" s="2"/>
      <c r="W29" s="107"/>
      <c r="X29" s="2"/>
    </row>
    <row r="30" spans="1:24" ht="15" customHeight="1" x14ac:dyDescent="0.25">
      <c r="F30" s="8"/>
      <c r="H30" s="71" t="s">
        <v>66</v>
      </c>
      <c r="I30" s="97">
        <f>SUM(I31:I33)</f>
        <v>10.926177983733686</v>
      </c>
      <c r="J30" s="171">
        <f t="shared" ref="J30:L30" si="1">SUM(J31:J33)</f>
        <v>11.304177983733688</v>
      </c>
      <c r="K30" s="171">
        <f t="shared" si="1"/>
        <v>13.320177983733686</v>
      </c>
      <c r="L30" s="171">
        <f t="shared" si="1"/>
        <v>14.328177983733687</v>
      </c>
      <c r="M30" s="49"/>
      <c r="N30" s="49"/>
      <c r="O30" s="49"/>
      <c r="P30" s="49"/>
      <c r="Q30" s="14" t="s">
        <v>75</v>
      </c>
      <c r="R30" s="113"/>
      <c r="S30" s="2"/>
      <c r="T30" s="2"/>
      <c r="U30" s="2"/>
      <c r="V30" s="2"/>
      <c r="W30" s="107"/>
      <c r="X30" s="2"/>
    </row>
    <row r="31" spans="1:24" s="182" customFormat="1" ht="15" customHeight="1" x14ac:dyDescent="0.25">
      <c r="A31" s="157"/>
      <c r="F31" s="157"/>
      <c r="H31" s="172" t="s">
        <v>99</v>
      </c>
      <c r="I31" s="170">
        <v>6.5471779837336861</v>
      </c>
      <c r="J31" s="170">
        <v>6.5471779837336861</v>
      </c>
      <c r="K31" s="170">
        <v>6.5471779837336861</v>
      </c>
      <c r="L31" s="170">
        <v>6.5471779837336861</v>
      </c>
      <c r="M31" s="162"/>
      <c r="N31" s="162"/>
      <c r="O31" s="162"/>
      <c r="P31" s="162"/>
      <c r="Q31" s="158"/>
      <c r="R31" s="113"/>
      <c r="S31" s="183"/>
      <c r="T31" s="183"/>
      <c r="U31" s="183"/>
      <c r="V31" s="183"/>
      <c r="W31" s="167"/>
      <c r="X31" s="183"/>
    </row>
    <row r="32" spans="1:24" s="182" customFormat="1" ht="15" customHeight="1" x14ac:dyDescent="0.25">
      <c r="A32" s="157"/>
      <c r="F32" s="157"/>
      <c r="H32" s="172" t="s">
        <v>100</v>
      </c>
      <c r="I32" s="170">
        <f>63*I12/1000</f>
        <v>3.9689999999999999</v>
      </c>
      <c r="J32" s="170">
        <f>69*J12/1000</f>
        <v>4.3470000000000004</v>
      </c>
      <c r="K32" s="170">
        <f>101*K12/1000</f>
        <v>6.3630000000000004</v>
      </c>
      <c r="L32" s="170">
        <f>117*L12/1000</f>
        <v>7.3710000000000004</v>
      </c>
      <c r="M32" s="162"/>
      <c r="N32" s="162"/>
      <c r="O32" s="162"/>
      <c r="P32" s="162"/>
      <c r="Q32" s="158" t="s">
        <v>102</v>
      </c>
      <c r="R32" s="113"/>
      <c r="S32" s="183"/>
      <c r="T32" s="183"/>
      <c r="U32" s="183"/>
      <c r="V32" s="183"/>
      <c r="W32" s="167"/>
      <c r="X32" s="183"/>
    </row>
    <row r="33" spans="1:24" s="182" customFormat="1" ht="15" customHeight="1" x14ac:dyDescent="0.25">
      <c r="A33" s="157"/>
      <c r="F33" s="157"/>
      <c r="H33" s="172" t="s">
        <v>101</v>
      </c>
      <c r="I33" s="170">
        <f>0.0220430107526882*I14</f>
        <v>0.41000000000000059</v>
      </c>
      <c r="J33" s="170">
        <f t="shared" ref="J33:L33" si="2">0.0220430107526882*J14</f>
        <v>0.41000000000000059</v>
      </c>
      <c r="K33" s="170">
        <f t="shared" si="2"/>
        <v>0.41000000000000059</v>
      </c>
      <c r="L33" s="170">
        <f t="shared" si="2"/>
        <v>0.41000000000000059</v>
      </c>
      <c r="M33" s="162"/>
      <c r="N33" s="162"/>
      <c r="O33" s="162"/>
      <c r="P33" s="162"/>
      <c r="Q33" s="158"/>
      <c r="R33" s="113"/>
      <c r="S33" s="183"/>
      <c r="T33" s="183"/>
      <c r="U33" s="183"/>
      <c r="V33" s="183"/>
      <c r="W33" s="167"/>
      <c r="X33" s="183"/>
    </row>
    <row r="34" spans="1:24" x14ac:dyDescent="0.2">
      <c r="F34" s="8"/>
      <c r="H34" s="31"/>
      <c r="I34" s="97"/>
      <c r="J34" s="97"/>
      <c r="K34" s="97"/>
      <c r="L34" s="97"/>
      <c r="M34" s="61"/>
      <c r="N34" s="61"/>
      <c r="O34" s="55"/>
      <c r="P34" s="55"/>
      <c r="Q34" s="83"/>
      <c r="R34" s="113"/>
      <c r="S34" s="2"/>
      <c r="T34" s="2"/>
      <c r="U34" s="2"/>
      <c r="V34" s="2"/>
      <c r="W34" s="107"/>
      <c r="X34" s="2"/>
    </row>
    <row r="35" spans="1:24" x14ac:dyDescent="0.2">
      <c r="F35" s="8"/>
      <c r="H35" s="114" t="s">
        <v>77</v>
      </c>
      <c r="I35" s="97"/>
      <c r="J35" s="97"/>
      <c r="K35" s="97"/>
      <c r="L35" s="97"/>
      <c r="M35" s="62"/>
      <c r="N35" s="62"/>
      <c r="O35" s="55"/>
      <c r="P35" s="55"/>
      <c r="Q35" s="83"/>
      <c r="R35" s="113"/>
      <c r="S35" s="2"/>
      <c r="T35" s="2"/>
      <c r="U35" s="2"/>
      <c r="V35" s="2"/>
      <c r="W35" s="107"/>
      <c r="X35" s="2"/>
    </row>
    <row r="36" spans="1:24" ht="16.5" customHeight="1" x14ac:dyDescent="0.2">
      <c r="F36" s="8"/>
      <c r="H36" s="54" t="s">
        <v>126</v>
      </c>
      <c r="I36" s="97">
        <v>4</v>
      </c>
      <c r="J36" s="97">
        <v>4.4000000000000004</v>
      </c>
      <c r="K36" s="97">
        <v>4.4000000000000004</v>
      </c>
      <c r="L36" s="97">
        <v>4.4000000000000004</v>
      </c>
      <c r="M36" s="61">
        <v>1.8</v>
      </c>
      <c r="N36" s="61">
        <v>9.1999999999999993</v>
      </c>
      <c r="O36" s="61">
        <v>1.8</v>
      </c>
      <c r="P36" s="61">
        <v>9.1999999999999993</v>
      </c>
      <c r="Q36" s="83" t="s">
        <v>25</v>
      </c>
      <c r="R36" s="113" t="s">
        <v>78</v>
      </c>
      <c r="S36" s="125"/>
      <c r="T36" s="125"/>
      <c r="U36" s="125"/>
      <c r="V36" s="125"/>
      <c r="W36" s="107"/>
      <c r="X36" s="2"/>
    </row>
    <row r="37" spans="1:24" ht="16.5" hidden="1" customHeight="1" x14ac:dyDescent="0.2">
      <c r="F37" s="8"/>
      <c r="G37" s="1">
        <f>500/7.48</f>
        <v>66.844919786096256</v>
      </c>
      <c r="H37" s="32" t="s">
        <v>22</v>
      </c>
      <c r="I37" s="97" t="e">
        <f>#REF!*100</f>
        <v>#REF!</v>
      </c>
      <c r="J37" s="97" t="e">
        <f>#REF!</f>
        <v>#REF!</v>
      </c>
      <c r="K37" s="97" t="e">
        <f>J37</f>
        <v>#REF!</v>
      </c>
      <c r="L37" s="97" t="e">
        <f>K37</f>
        <v>#REF!</v>
      </c>
      <c r="M37" s="61"/>
      <c r="N37" s="61"/>
      <c r="O37" s="55"/>
      <c r="P37" s="55"/>
      <c r="Q37" s="57" t="s">
        <v>31</v>
      </c>
      <c r="R37" s="84" t="s">
        <v>42</v>
      </c>
      <c r="S37" s="124"/>
      <c r="T37" s="124"/>
      <c r="U37" s="124"/>
      <c r="V37" s="124"/>
      <c r="W37" s="107"/>
      <c r="X37" s="2"/>
    </row>
    <row r="38" spans="1:24" ht="16.5" hidden="1" customHeight="1" x14ac:dyDescent="0.2">
      <c r="F38" s="8"/>
      <c r="H38" s="1"/>
      <c r="I38" s="1"/>
      <c r="J38" s="1"/>
      <c r="K38" s="1"/>
      <c r="L38" s="1"/>
      <c r="S38" s="2"/>
      <c r="T38" s="2"/>
      <c r="U38" s="2"/>
      <c r="V38" s="2"/>
      <c r="W38" s="2"/>
      <c r="X38" s="2"/>
    </row>
    <row r="39" spans="1:24" ht="15" hidden="1" customHeight="1" x14ac:dyDescent="0.2">
      <c r="F39" s="8"/>
      <c r="H39" s="59"/>
      <c r="I39" s="52"/>
      <c r="J39" s="52"/>
      <c r="K39" s="52"/>
      <c r="L39" s="52"/>
      <c r="M39" s="51"/>
      <c r="N39" s="51"/>
      <c r="S39" s="2"/>
      <c r="T39" s="2"/>
      <c r="U39" s="2"/>
      <c r="V39" s="2"/>
      <c r="W39" s="2"/>
      <c r="X39" s="2"/>
    </row>
    <row r="40" spans="1:24" hidden="1" x14ac:dyDescent="0.2">
      <c r="F40" s="282"/>
      <c r="G40" s="283"/>
      <c r="H40" s="283"/>
      <c r="I40" s="283"/>
      <c r="J40" s="283"/>
      <c r="K40" s="283"/>
      <c r="L40" s="283"/>
      <c r="M40" s="283"/>
      <c r="N40" s="283"/>
      <c r="O40" s="74"/>
      <c r="P40" s="63"/>
      <c r="Q40" s="282"/>
      <c r="R40" s="282"/>
      <c r="S40" s="2"/>
      <c r="T40" s="2"/>
      <c r="U40" s="2"/>
      <c r="V40" s="2"/>
      <c r="W40" s="2"/>
      <c r="X40" s="2"/>
    </row>
    <row r="41" spans="1:24" hidden="1" x14ac:dyDescent="0.2">
      <c r="F41" s="63"/>
      <c r="H41" s="282"/>
      <c r="I41" s="283"/>
      <c r="J41" s="283"/>
      <c r="K41" s="283"/>
      <c r="L41" s="283"/>
      <c r="M41" s="283"/>
      <c r="N41" s="283"/>
      <c r="O41" s="283"/>
      <c r="P41" s="283"/>
      <c r="Q41" s="282"/>
      <c r="R41" s="282"/>
      <c r="S41" s="2"/>
      <c r="T41" s="2"/>
      <c r="U41" s="2"/>
      <c r="V41" s="2"/>
      <c r="W41" s="2"/>
      <c r="X41" s="2"/>
    </row>
    <row r="42" spans="1:24" hidden="1" x14ac:dyDescent="0.2">
      <c r="F42" s="64"/>
      <c r="G42" s="282"/>
      <c r="H42" s="283"/>
      <c r="I42" s="283"/>
      <c r="J42" s="283"/>
      <c r="K42" s="283"/>
      <c r="L42" s="283"/>
      <c r="M42" s="283"/>
      <c r="N42" s="283"/>
      <c r="O42" s="283"/>
      <c r="P42" s="63"/>
      <c r="Q42" s="282"/>
      <c r="R42" s="282"/>
      <c r="S42" s="2"/>
      <c r="T42" s="2"/>
      <c r="U42" s="2"/>
      <c r="V42" s="2"/>
      <c r="W42" s="2"/>
      <c r="X42" s="2"/>
    </row>
    <row r="43" spans="1:24" ht="24.75" hidden="1" customHeight="1" x14ac:dyDescent="0.2">
      <c r="F43" s="63"/>
      <c r="H43" s="282"/>
      <c r="I43" s="283"/>
      <c r="J43" s="283"/>
      <c r="K43" s="283"/>
      <c r="L43" s="283"/>
      <c r="M43" s="283"/>
      <c r="N43" s="283"/>
      <c r="O43" s="283"/>
      <c r="P43" s="283"/>
      <c r="Q43" s="282"/>
      <c r="R43" s="282"/>
      <c r="S43" s="2"/>
      <c r="T43" s="2"/>
      <c r="U43" s="2"/>
      <c r="V43" s="2"/>
      <c r="W43" s="2"/>
      <c r="X43" s="2"/>
    </row>
    <row r="44" spans="1:24" ht="15" hidden="1" customHeight="1" x14ac:dyDescent="0.2">
      <c r="F44" s="63"/>
      <c r="G44" s="282"/>
      <c r="H44" s="283"/>
      <c r="I44" s="283"/>
      <c r="J44" s="283"/>
      <c r="K44" s="283"/>
      <c r="L44" s="283"/>
      <c r="M44" s="283"/>
      <c r="N44" s="283"/>
      <c r="O44" s="283"/>
      <c r="P44" s="63"/>
      <c r="Q44" s="282"/>
      <c r="R44" s="282"/>
      <c r="S44" s="2"/>
      <c r="T44" s="2"/>
      <c r="U44" s="2"/>
      <c r="V44" s="2"/>
      <c r="W44" s="2"/>
      <c r="X44" s="2"/>
    </row>
    <row r="45" spans="1:24" hidden="1" x14ac:dyDescent="0.2">
      <c r="G45" s="16"/>
      <c r="Q45" s="282"/>
      <c r="R45" s="282"/>
      <c r="S45" s="2"/>
      <c r="T45" s="2"/>
      <c r="U45" s="2"/>
      <c r="V45" s="2"/>
      <c r="W45" s="2"/>
      <c r="X45" s="2"/>
    </row>
    <row r="46" spans="1:24" ht="15" customHeight="1" x14ac:dyDescent="0.2">
      <c r="F46" s="63"/>
      <c r="G46" s="74"/>
      <c r="H46" s="74"/>
      <c r="I46" s="123"/>
      <c r="J46" s="74"/>
      <c r="K46" s="74"/>
      <c r="L46" s="74"/>
      <c r="M46" s="74"/>
      <c r="N46" s="74"/>
      <c r="O46" s="74"/>
      <c r="P46" s="63"/>
      <c r="Q46" s="282"/>
      <c r="R46" s="282"/>
      <c r="S46" s="2"/>
      <c r="T46" s="2"/>
      <c r="U46" s="2"/>
      <c r="V46" s="2"/>
      <c r="W46" s="2"/>
      <c r="X46" s="2"/>
    </row>
    <row r="47" spans="1:24" ht="15" customHeight="1" x14ac:dyDescent="0.2">
      <c r="F47" s="289" t="s">
        <v>16</v>
      </c>
      <c r="G47" s="290"/>
      <c r="H47" s="59"/>
      <c r="I47" s="59"/>
      <c r="J47" s="59"/>
      <c r="K47" s="59"/>
      <c r="L47" s="59"/>
      <c r="M47" s="59"/>
      <c r="N47" s="59"/>
      <c r="O47" s="59"/>
      <c r="P47" s="63"/>
      <c r="Q47" s="282"/>
      <c r="R47" s="282"/>
      <c r="S47" s="2"/>
      <c r="T47" s="2"/>
      <c r="U47" s="2"/>
      <c r="V47" s="2"/>
      <c r="W47" s="2"/>
      <c r="X47" s="2"/>
    </row>
    <row r="48" spans="1:24" ht="29.25" customHeight="1" x14ac:dyDescent="0.2">
      <c r="F48" s="65" t="s">
        <v>8</v>
      </c>
      <c r="G48" s="286" t="s">
        <v>115</v>
      </c>
      <c r="H48" s="287"/>
      <c r="I48" s="287"/>
      <c r="J48" s="287"/>
      <c r="K48" s="287"/>
      <c r="L48" s="287"/>
      <c r="M48" s="287"/>
      <c r="N48" s="287"/>
      <c r="O48" s="287"/>
      <c r="P48" s="288"/>
      <c r="Q48" s="288"/>
      <c r="R48" s="288"/>
      <c r="S48" s="2"/>
      <c r="T48" s="2"/>
      <c r="U48" s="2"/>
      <c r="V48" s="2"/>
      <c r="W48" s="2"/>
      <c r="X48" s="2"/>
    </row>
    <row r="49" spans="1:24" s="23" customFormat="1" ht="15" customHeight="1" x14ac:dyDescent="0.2">
      <c r="A49" s="22"/>
      <c r="F49" s="65" t="s">
        <v>15</v>
      </c>
      <c r="G49" s="286" t="s">
        <v>95</v>
      </c>
      <c r="H49" s="287"/>
      <c r="I49" s="287"/>
      <c r="J49" s="287"/>
      <c r="K49" s="287"/>
      <c r="L49" s="287"/>
      <c r="M49" s="287"/>
      <c r="N49" s="287"/>
      <c r="O49" s="287"/>
      <c r="P49" s="288"/>
      <c r="Q49" s="288"/>
      <c r="R49" s="288"/>
      <c r="S49" s="125"/>
      <c r="T49" s="125"/>
      <c r="U49" s="125"/>
      <c r="V49" s="125"/>
      <c r="W49" s="125"/>
      <c r="X49" s="125"/>
    </row>
    <row r="50" spans="1:24" ht="17.25" customHeight="1" x14ac:dyDescent="0.2">
      <c r="F50" s="65" t="s">
        <v>17</v>
      </c>
      <c r="G50" s="106" t="s">
        <v>96</v>
      </c>
      <c r="H50" s="274" t="s">
        <v>96</v>
      </c>
      <c r="I50" s="288"/>
      <c r="J50" s="288"/>
      <c r="K50" s="288"/>
      <c r="L50" s="288"/>
      <c r="M50" s="288"/>
      <c r="N50" s="288"/>
      <c r="O50" s="288"/>
      <c r="P50" s="288"/>
      <c r="Q50" s="288"/>
      <c r="R50" s="288"/>
    </row>
    <row r="51" spans="1:24" ht="15" customHeight="1" x14ac:dyDescent="0.2">
      <c r="F51" s="65" t="s">
        <v>18</v>
      </c>
      <c r="H51" s="286" t="s">
        <v>82</v>
      </c>
      <c r="I51" s="287"/>
      <c r="J51" s="287"/>
      <c r="K51" s="287"/>
      <c r="L51" s="287"/>
      <c r="M51" s="287"/>
      <c r="N51" s="287"/>
      <c r="O51" s="287"/>
      <c r="P51" s="287"/>
      <c r="Q51" s="288"/>
      <c r="R51" s="288"/>
    </row>
    <row r="52" spans="1:24" ht="15" customHeight="1" x14ac:dyDescent="0.2">
      <c r="F52" s="65" t="s">
        <v>19</v>
      </c>
      <c r="G52" s="286" t="s">
        <v>63</v>
      </c>
      <c r="H52" s="287"/>
      <c r="I52" s="287"/>
      <c r="J52" s="287"/>
      <c r="K52" s="287"/>
      <c r="L52" s="287"/>
      <c r="M52" s="287"/>
      <c r="N52" s="287"/>
      <c r="O52" s="287"/>
      <c r="P52" s="63"/>
      <c r="Q52" s="282"/>
      <c r="R52" s="282"/>
    </row>
    <row r="53" spans="1:24" ht="39.75" customHeight="1" x14ac:dyDescent="0.2">
      <c r="F53" s="65" t="s">
        <v>20</v>
      </c>
      <c r="G53" s="286" t="s">
        <v>98</v>
      </c>
      <c r="H53" s="287"/>
      <c r="I53" s="287"/>
      <c r="J53" s="287"/>
      <c r="K53" s="287"/>
      <c r="L53" s="287"/>
      <c r="M53" s="287"/>
      <c r="N53" s="287"/>
      <c r="O53" s="287"/>
      <c r="P53" s="288"/>
      <c r="Q53" s="288"/>
      <c r="R53" s="288"/>
    </row>
    <row r="54" spans="1:24" ht="14.25" customHeight="1" x14ac:dyDescent="0.2">
      <c r="F54" s="65" t="s">
        <v>24</v>
      </c>
      <c r="G54" s="282" t="s">
        <v>97</v>
      </c>
      <c r="H54" s="282"/>
      <c r="I54" s="282"/>
      <c r="J54" s="282"/>
      <c r="K54" s="282"/>
      <c r="L54" s="282"/>
      <c r="M54" s="282"/>
      <c r="N54" s="282"/>
      <c r="O54" s="282"/>
      <c r="P54" s="291"/>
      <c r="Q54" s="292"/>
      <c r="R54" s="292"/>
    </row>
    <row r="55" spans="1:24" ht="13.5" customHeight="1" x14ac:dyDescent="0.2">
      <c r="F55" s="65" t="s">
        <v>25</v>
      </c>
      <c r="G55" s="282" t="s">
        <v>69</v>
      </c>
      <c r="H55" s="282"/>
      <c r="I55" s="282"/>
      <c r="J55" s="282"/>
      <c r="K55" s="282"/>
      <c r="L55" s="282"/>
      <c r="M55" s="282"/>
      <c r="N55" s="282"/>
      <c r="O55" s="282"/>
      <c r="P55" s="291"/>
      <c r="Q55" s="2"/>
      <c r="R55" s="2"/>
    </row>
    <row r="56" spans="1:24" ht="20.25" customHeight="1" x14ac:dyDescent="0.2">
      <c r="F56" s="65" t="s">
        <v>37</v>
      </c>
      <c r="G56" s="274" t="s">
        <v>129</v>
      </c>
      <c r="H56" s="274"/>
      <c r="I56" s="274"/>
      <c r="J56" s="274"/>
      <c r="K56" s="274"/>
      <c r="L56" s="274"/>
      <c r="M56" s="274"/>
      <c r="N56" s="274"/>
      <c r="O56" s="274"/>
      <c r="P56" s="2"/>
      <c r="Q56" s="2"/>
      <c r="R56" s="2"/>
    </row>
    <row r="57" spans="1:24" ht="25.5" customHeight="1" x14ac:dyDescent="0.25">
      <c r="F57" s="65" t="s">
        <v>102</v>
      </c>
      <c r="G57" s="272" t="s">
        <v>116</v>
      </c>
      <c r="H57" s="273"/>
      <c r="I57" s="273"/>
      <c r="J57" s="273"/>
      <c r="K57" s="273"/>
      <c r="L57" s="273"/>
      <c r="M57" s="273"/>
      <c r="N57" s="273"/>
      <c r="O57" s="273"/>
      <c r="P57" s="273"/>
      <c r="Q57" s="273"/>
      <c r="R57" s="273"/>
      <c r="S57" s="273"/>
    </row>
    <row r="58" spans="1:24" s="184" customFormat="1" ht="25.5" customHeight="1" x14ac:dyDescent="0.2">
      <c r="A58" s="157"/>
      <c r="F58" s="166"/>
      <c r="G58" s="198"/>
      <c r="H58" s="199"/>
      <c r="I58" s="199"/>
      <c r="J58" s="199"/>
      <c r="K58" s="199"/>
      <c r="L58" s="199"/>
      <c r="M58" s="199"/>
      <c r="N58" s="199"/>
      <c r="O58" s="199"/>
      <c r="P58" s="199"/>
      <c r="Q58" s="199"/>
      <c r="R58" s="199"/>
      <c r="S58" s="199"/>
    </row>
    <row r="59" spans="1:24" x14ac:dyDescent="0.2">
      <c r="F59" s="91" t="s">
        <v>207</v>
      </c>
      <c r="G59" s="25"/>
      <c r="H59" s="25"/>
      <c r="I59" s="25"/>
      <c r="J59" s="25"/>
      <c r="K59" s="25"/>
      <c r="L59" s="25"/>
      <c r="M59" s="25"/>
      <c r="N59" s="25"/>
    </row>
    <row r="60" spans="1:24" ht="15" customHeight="1" x14ac:dyDescent="0.25">
      <c r="A60" s="157"/>
      <c r="B60" s="184"/>
      <c r="C60" s="184"/>
      <c r="D60" s="184"/>
      <c r="E60" s="184"/>
      <c r="F60" s="157">
        <v>5</v>
      </c>
      <c r="G60" s="184"/>
      <c r="H60" s="270" t="s">
        <v>238</v>
      </c>
      <c r="I60" s="270"/>
      <c r="J60" s="270"/>
      <c r="K60" s="270"/>
      <c r="L60" s="270"/>
      <c r="M60" s="270"/>
      <c r="N60" s="270"/>
      <c r="O60" s="270"/>
      <c r="P60" s="270"/>
    </row>
    <row r="61" spans="1:24" ht="15" customHeight="1" x14ac:dyDescent="0.25">
      <c r="A61" s="157"/>
      <c r="B61" s="184"/>
      <c r="C61" s="184"/>
      <c r="D61" s="184"/>
      <c r="E61" s="184"/>
      <c r="F61" s="157">
        <v>8</v>
      </c>
      <c r="G61" s="184"/>
      <c r="H61" s="270" t="s">
        <v>239</v>
      </c>
      <c r="I61" s="270"/>
      <c r="J61" s="270"/>
      <c r="K61" s="270"/>
      <c r="L61" s="270"/>
      <c r="M61" s="270"/>
      <c r="N61" s="270"/>
      <c r="O61" s="184"/>
      <c r="P61" s="184"/>
    </row>
    <row r="62" spans="1:24" ht="15" customHeight="1" x14ac:dyDescent="0.25">
      <c r="A62" s="157"/>
      <c r="B62" s="184"/>
      <c r="C62" s="184"/>
      <c r="D62" s="184"/>
      <c r="E62" s="184"/>
      <c r="F62" s="157">
        <v>9</v>
      </c>
      <c r="G62" s="184"/>
      <c r="H62" s="270" t="s">
        <v>240</v>
      </c>
      <c r="I62" s="270"/>
      <c r="J62" s="270"/>
      <c r="K62" s="270"/>
      <c r="L62" s="270"/>
      <c r="M62" s="270"/>
      <c r="N62" s="270"/>
      <c r="O62" s="270"/>
      <c r="P62" s="270"/>
    </row>
    <row r="63" spans="1:24" ht="15" customHeight="1" x14ac:dyDescent="0.25">
      <c r="A63" s="157"/>
      <c r="B63" s="184"/>
      <c r="C63" s="184"/>
      <c r="D63" s="184"/>
      <c r="E63" s="184"/>
      <c r="F63" s="157">
        <v>12</v>
      </c>
      <c r="G63" s="184"/>
      <c r="H63" s="270" t="s">
        <v>241</v>
      </c>
      <c r="I63" s="270"/>
      <c r="J63" s="270"/>
      <c r="K63" s="270"/>
      <c r="L63" s="270"/>
      <c r="M63" s="270"/>
      <c r="N63" s="270"/>
      <c r="O63" s="270"/>
      <c r="P63" s="270"/>
    </row>
    <row r="64" spans="1:24" x14ac:dyDescent="0.2">
      <c r="F64" s="26"/>
      <c r="G64" s="37"/>
      <c r="H64" s="274"/>
      <c r="I64" s="274"/>
      <c r="J64" s="274"/>
      <c r="K64" s="274"/>
      <c r="L64" s="274"/>
      <c r="M64" s="274"/>
      <c r="N64" s="274"/>
    </row>
    <row r="65" spans="6:14" ht="15" customHeight="1" x14ac:dyDescent="0.2">
      <c r="F65" s="26"/>
      <c r="G65" s="37"/>
      <c r="H65" s="274"/>
      <c r="I65" s="274"/>
      <c r="J65" s="274"/>
      <c r="K65" s="274"/>
      <c r="L65" s="274"/>
      <c r="M65" s="274"/>
      <c r="N65" s="274"/>
    </row>
  </sheetData>
  <mergeCells count="33">
    <mergeCell ref="I1:Q1"/>
    <mergeCell ref="I3:R3"/>
    <mergeCell ref="M4:N4"/>
    <mergeCell ref="O4:P4"/>
    <mergeCell ref="Q46:R46"/>
    <mergeCell ref="Q45:R45"/>
    <mergeCell ref="Q42:R42"/>
    <mergeCell ref="H41:P41"/>
    <mergeCell ref="Q43:R43"/>
    <mergeCell ref="G44:O44"/>
    <mergeCell ref="Q44:R44"/>
    <mergeCell ref="I6:L6"/>
    <mergeCell ref="I7:L7"/>
    <mergeCell ref="Q40:R40"/>
    <mergeCell ref="Q41:R41"/>
    <mergeCell ref="G42:O42"/>
    <mergeCell ref="F40:N40"/>
    <mergeCell ref="F47:G47"/>
    <mergeCell ref="H43:P43"/>
    <mergeCell ref="G56:O56"/>
    <mergeCell ref="G52:O52"/>
    <mergeCell ref="H50:R50"/>
    <mergeCell ref="H51:R51"/>
    <mergeCell ref="G53:R53"/>
    <mergeCell ref="G54:R54"/>
    <mergeCell ref="G55:P55"/>
    <mergeCell ref="G57:S57"/>
    <mergeCell ref="H65:N65"/>
    <mergeCell ref="H64:N64"/>
    <mergeCell ref="Q47:R47"/>
    <mergeCell ref="G48:R48"/>
    <mergeCell ref="G49:R49"/>
    <mergeCell ref="Q52:R52"/>
  </mergeCells>
  <pageMargins left="0.25" right="0.25" top="0.75" bottom="0.75" header="0.3" footer="0.3"/>
  <pageSetup paperSize="9" scale="2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4"/>
  <sheetViews>
    <sheetView showGridLines="0" workbookViewId="0">
      <selection activeCell="A60" sqref="A60"/>
    </sheetView>
  </sheetViews>
  <sheetFormatPr defaultColWidth="8.85546875" defaultRowHeight="15" x14ac:dyDescent="0.25"/>
  <cols>
    <col min="1" max="1" width="4.42578125" customWidth="1"/>
    <col min="2" max="2" width="0" hidden="1" customWidth="1"/>
    <col min="3" max="3" width="44.85546875" customWidth="1"/>
    <col min="4" max="4" width="11.7109375" customWidth="1"/>
    <col min="5" max="5" width="9.85546875" customWidth="1"/>
    <col min="6" max="6" width="10.42578125" customWidth="1"/>
    <col min="7" max="7" width="12.42578125" customWidth="1"/>
    <col min="8" max="8" width="8.85546875" customWidth="1"/>
    <col min="9" max="9" width="9.28515625" customWidth="1"/>
    <col min="10" max="10" width="8.42578125" customWidth="1"/>
    <col min="11" max="11" width="8.140625" customWidth="1"/>
    <col min="12" max="12" width="5.28515625" customWidth="1"/>
    <col min="13" max="13" width="12.85546875" customWidth="1"/>
    <col min="15" max="15" width="41.140625" customWidth="1"/>
  </cols>
  <sheetData>
    <row r="1" spans="1:25" ht="20.25" customHeight="1" x14ac:dyDescent="0.2">
      <c r="A1" s="157"/>
      <c r="B1" s="184"/>
      <c r="C1" s="7" t="s">
        <v>0</v>
      </c>
      <c r="D1" s="276" t="s">
        <v>85</v>
      </c>
      <c r="E1" s="276"/>
      <c r="F1" s="276"/>
      <c r="G1" s="276"/>
      <c r="H1" s="276"/>
      <c r="I1" s="276"/>
      <c r="J1" s="276"/>
      <c r="K1" s="276"/>
      <c r="L1" s="276"/>
      <c r="M1" s="276"/>
      <c r="N1" s="184"/>
      <c r="O1" s="184"/>
    </row>
    <row r="2" spans="1:25" x14ac:dyDescent="0.2">
      <c r="A2" s="157"/>
      <c r="B2" s="184"/>
      <c r="C2" s="183"/>
      <c r="D2" s="183"/>
      <c r="E2" s="183"/>
      <c r="F2" s="183"/>
      <c r="G2" s="183"/>
      <c r="H2" s="183"/>
      <c r="I2" s="183"/>
      <c r="J2" s="184"/>
      <c r="K2" s="184"/>
      <c r="L2" s="184"/>
      <c r="M2" s="184"/>
      <c r="N2" s="184"/>
      <c r="O2" s="184"/>
    </row>
    <row r="3" spans="1:25" ht="15" customHeight="1" x14ac:dyDescent="0.2">
      <c r="A3" s="157"/>
      <c r="B3" s="184"/>
      <c r="C3" s="9" t="s">
        <v>1</v>
      </c>
      <c r="D3" s="278" t="s">
        <v>85</v>
      </c>
      <c r="E3" s="301"/>
      <c r="F3" s="301"/>
      <c r="G3" s="301"/>
      <c r="H3" s="301"/>
      <c r="I3" s="301"/>
      <c r="J3" s="301"/>
      <c r="K3" s="301"/>
      <c r="L3" s="301"/>
      <c r="M3" s="281"/>
      <c r="N3" s="184"/>
      <c r="O3" s="115"/>
      <c r="P3" s="299"/>
      <c r="Q3" s="300"/>
      <c r="R3" s="300"/>
      <c r="S3" s="300"/>
      <c r="T3" s="300"/>
      <c r="U3" s="300"/>
      <c r="V3" s="300"/>
      <c r="W3" s="300"/>
      <c r="X3" s="300"/>
      <c r="Y3" s="300"/>
    </row>
    <row r="4" spans="1:25" ht="15" customHeight="1" x14ac:dyDescent="0.2">
      <c r="A4" s="157"/>
      <c r="B4" s="184"/>
      <c r="C4" s="12"/>
      <c r="D4" s="187">
        <v>2015</v>
      </c>
      <c r="E4" s="187">
        <v>2020</v>
      </c>
      <c r="F4" s="187">
        <v>2030</v>
      </c>
      <c r="G4" s="187">
        <v>2050</v>
      </c>
      <c r="H4" s="278" t="s">
        <v>2</v>
      </c>
      <c r="I4" s="281"/>
      <c r="J4" s="278" t="s">
        <v>3</v>
      </c>
      <c r="K4" s="281"/>
      <c r="L4" s="187" t="s">
        <v>4</v>
      </c>
      <c r="M4" s="187" t="s">
        <v>5</v>
      </c>
      <c r="N4" s="184"/>
      <c r="O4" s="186"/>
      <c r="P4" s="126"/>
      <c r="Q4" s="126"/>
      <c r="R4" s="126"/>
      <c r="S4" s="126"/>
      <c r="T4" s="299"/>
      <c r="U4" s="299"/>
      <c r="V4" s="299"/>
      <c r="W4" s="299"/>
      <c r="X4" s="126"/>
      <c r="Y4" s="126"/>
    </row>
    <row r="5" spans="1:25" x14ac:dyDescent="0.2">
      <c r="A5" s="157"/>
      <c r="B5" s="184"/>
      <c r="C5" s="9" t="s">
        <v>27</v>
      </c>
      <c r="D5" s="9"/>
      <c r="E5" s="9"/>
      <c r="F5" s="9"/>
      <c r="G5" s="9"/>
      <c r="H5" s="9" t="s">
        <v>6</v>
      </c>
      <c r="I5" s="9" t="s">
        <v>7</v>
      </c>
      <c r="J5" s="9" t="s">
        <v>6</v>
      </c>
      <c r="K5" s="9" t="s">
        <v>7</v>
      </c>
      <c r="L5" s="9"/>
      <c r="M5" s="9"/>
      <c r="N5" s="184"/>
      <c r="O5" s="115"/>
      <c r="P5" s="115"/>
      <c r="Q5" s="115"/>
      <c r="R5" s="115"/>
      <c r="S5" s="115"/>
      <c r="T5" s="115"/>
      <c r="U5" s="115"/>
      <c r="V5" s="115"/>
      <c r="W5" s="115"/>
      <c r="X5" s="115"/>
      <c r="Y5" s="115"/>
    </row>
    <row r="6" spans="1:25" s="184" customFormat="1" x14ac:dyDescent="0.2">
      <c r="A6" s="157"/>
      <c r="C6" s="12" t="s">
        <v>128</v>
      </c>
      <c r="D6" s="302">
        <v>1</v>
      </c>
      <c r="E6" s="303"/>
      <c r="F6" s="303"/>
      <c r="G6" s="304"/>
      <c r="H6" s="158"/>
      <c r="I6" s="158"/>
      <c r="J6" s="158"/>
      <c r="K6" s="158"/>
      <c r="L6" s="158" t="s">
        <v>23</v>
      </c>
      <c r="M6" s="158"/>
      <c r="O6" s="196"/>
      <c r="P6" s="127"/>
      <c r="Q6" s="127"/>
      <c r="R6" s="127"/>
      <c r="S6" s="127"/>
      <c r="T6" s="127"/>
      <c r="U6" s="127"/>
      <c r="V6" s="127"/>
      <c r="W6" s="127"/>
      <c r="X6" s="78"/>
      <c r="Y6" s="128"/>
    </row>
    <row r="7" spans="1:25" x14ac:dyDescent="0.2">
      <c r="A7" s="157"/>
      <c r="B7" s="184"/>
      <c r="C7" s="12"/>
      <c r="D7" s="302"/>
      <c r="E7" s="303"/>
      <c r="F7" s="303"/>
      <c r="G7" s="304"/>
      <c r="H7" s="158"/>
      <c r="I7" s="158"/>
      <c r="J7" s="158"/>
      <c r="K7" s="158"/>
      <c r="L7" s="158"/>
      <c r="M7" s="158"/>
      <c r="N7" s="184"/>
      <c r="O7" s="186"/>
      <c r="P7" s="127"/>
      <c r="Q7" s="127"/>
      <c r="R7" s="127"/>
      <c r="S7" s="127"/>
      <c r="T7" s="127"/>
      <c r="U7" s="127"/>
      <c r="V7" s="127"/>
      <c r="W7" s="127"/>
      <c r="X7" s="78"/>
      <c r="Y7" s="128"/>
    </row>
    <row r="8" spans="1:25" x14ac:dyDescent="0.2">
      <c r="A8" s="157"/>
      <c r="B8" s="184"/>
      <c r="C8" s="41" t="s">
        <v>28</v>
      </c>
      <c r="D8" s="158"/>
      <c r="E8" s="158"/>
      <c r="F8" s="158"/>
      <c r="G8" s="158"/>
      <c r="H8" s="158"/>
      <c r="I8" s="158"/>
      <c r="J8" s="158"/>
      <c r="K8" s="158"/>
      <c r="L8" s="158"/>
      <c r="M8" s="158"/>
      <c r="N8" s="184"/>
      <c r="O8" s="183"/>
      <c r="P8" s="2"/>
      <c r="Q8" s="2"/>
      <c r="R8" s="78"/>
      <c r="S8" s="78"/>
      <c r="T8" s="78"/>
      <c r="U8" s="78"/>
      <c r="V8" s="78"/>
      <c r="W8" s="78"/>
      <c r="X8" s="78"/>
      <c r="Y8" s="78"/>
    </row>
    <row r="9" spans="1:25" x14ac:dyDescent="0.2">
      <c r="A9" s="157"/>
      <c r="B9" s="184"/>
      <c r="C9" s="31" t="s">
        <v>127</v>
      </c>
      <c r="D9" s="190" t="s">
        <v>117</v>
      </c>
      <c r="E9" s="190" t="s">
        <v>117</v>
      </c>
      <c r="F9" s="190" t="s">
        <v>117</v>
      </c>
      <c r="G9" s="190" t="s">
        <v>117</v>
      </c>
      <c r="H9" s="29"/>
      <c r="I9" s="29"/>
      <c r="J9" s="29"/>
      <c r="K9" s="29"/>
      <c r="L9" s="29" t="s">
        <v>118</v>
      </c>
      <c r="M9" s="29"/>
      <c r="N9" s="184"/>
      <c r="O9" s="117"/>
      <c r="P9" s="78"/>
      <c r="Q9" s="78"/>
      <c r="R9" s="78"/>
      <c r="S9" s="78"/>
      <c r="T9" s="78"/>
      <c r="U9" s="78"/>
      <c r="V9" s="78"/>
      <c r="W9" s="78"/>
      <c r="X9" s="78"/>
      <c r="Y9" s="78"/>
    </row>
    <row r="10" spans="1:25" x14ac:dyDescent="0.2">
      <c r="A10" s="157"/>
      <c r="B10" s="184"/>
      <c r="C10" s="98" t="s">
        <v>72</v>
      </c>
      <c r="D10" s="70">
        <v>6529.1925465838513</v>
      </c>
      <c r="E10" s="70">
        <v>6529.1925465838513</v>
      </c>
      <c r="F10" s="70">
        <v>6529.1925465838513</v>
      </c>
      <c r="G10" s="70">
        <v>6529.1925465838513</v>
      </c>
      <c r="H10" s="29"/>
      <c r="I10" s="29"/>
      <c r="J10" s="29"/>
      <c r="K10" s="29"/>
      <c r="L10" s="29"/>
      <c r="M10" s="29">
        <v>5</v>
      </c>
      <c r="N10" s="184"/>
      <c r="O10" s="77"/>
      <c r="P10" s="129"/>
      <c r="Q10" s="129"/>
      <c r="R10" s="129"/>
      <c r="S10" s="129"/>
      <c r="T10" s="130"/>
      <c r="U10" s="130"/>
      <c r="V10" s="130"/>
      <c r="W10" s="130"/>
      <c r="X10" s="78"/>
      <c r="Y10" s="128"/>
    </row>
    <row r="11" spans="1:25" x14ac:dyDescent="0.2">
      <c r="A11" s="157"/>
      <c r="B11" s="184"/>
      <c r="C11" s="31" t="s">
        <v>86</v>
      </c>
      <c r="D11" s="109">
        <v>7.6770186335403728E-3</v>
      </c>
      <c r="E11" s="109">
        <v>7.6770186335403728E-3</v>
      </c>
      <c r="F11" s="109">
        <v>7.6770186335403728E-3</v>
      </c>
      <c r="G11" s="109">
        <v>7.6770186335403728E-3</v>
      </c>
      <c r="H11" s="164"/>
      <c r="I11" s="164"/>
      <c r="J11" s="164"/>
      <c r="K11" s="164"/>
      <c r="L11" s="29"/>
      <c r="M11" s="113" t="s">
        <v>87</v>
      </c>
      <c r="N11" s="184"/>
      <c r="O11" s="118"/>
      <c r="P11" s="127"/>
      <c r="Q11" s="127"/>
      <c r="R11" s="127"/>
      <c r="S11" s="127"/>
      <c r="T11" s="127"/>
      <c r="U11" s="127"/>
      <c r="V11" s="127"/>
      <c r="W11" s="127"/>
      <c r="X11" s="130"/>
      <c r="Y11" s="128"/>
    </row>
    <row r="12" spans="1:25" x14ac:dyDescent="0.2">
      <c r="A12" s="157"/>
      <c r="B12" s="184"/>
      <c r="C12" s="98" t="s">
        <v>88</v>
      </c>
      <c r="D12" s="110">
        <v>10.3</v>
      </c>
      <c r="E12" s="110">
        <v>10.3</v>
      </c>
      <c r="F12" s="110">
        <v>10.3</v>
      </c>
      <c r="G12" s="110">
        <v>10.3</v>
      </c>
      <c r="H12" s="164"/>
      <c r="I12" s="164"/>
      <c r="J12" s="164"/>
      <c r="K12" s="164"/>
      <c r="L12" s="29" t="s">
        <v>8</v>
      </c>
      <c r="M12" s="113"/>
      <c r="N12" s="184"/>
      <c r="O12" s="119"/>
      <c r="P12" s="127"/>
      <c r="Q12" s="127"/>
      <c r="R12" s="127"/>
      <c r="S12" s="127"/>
      <c r="T12" s="127"/>
      <c r="U12" s="127"/>
      <c r="V12" s="127"/>
      <c r="W12" s="127"/>
      <c r="X12" s="130"/>
      <c r="Y12" s="128"/>
    </row>
    <row r="13" spans="1:25" x14ac:dyDescent="0.2">
      <c r="A13" s="157"/>
      <c r="B13" s="184"/>
      <c r="C13" s="188" t="s">
        <v>89</v>
      </c>
      <c r="D13" s="109">
        <v>1.3863354037267081E-2</v>
      </c>
      <c r="E13" s="109">
        <v>1.3863354037267081E-2</v>
      </c>
      <c r="F13" s="109">
        <v>1.3863354037267081E-2</v>
      </c>
      <c r="G13" s="109">
        <v>1.3863354037267081E-2</v>
      </c>
      <c r="H13" s="72"/>
      <c r="I13" s="72"/>
      <c r="J13" s="29"/>
      <c r="K13" s="29"/>
      <c r="L13" s="29"/>
      <c r="M13" s="80" t="s">
        <v>87</v>
      </c>
      <c r="N13" s="184"/>
      <c r="O13" s="183"/>
      <c r="P13" s="127"/>
      <c r="Q13" s="127"/>
      <c r="R13" s="127"/>
      <c r="S13" s="127"/>
      <c r="T13" s="127"/>
      <c r="U13" s="127"/>
      <c r="V13" s="127"/>
      <c r="W13" s="127"/>
      <c r="X13" s="5"/>
      <c r="Y13" s="128"/>
    </row>
    <row r="14" spans="1:25" x14ac:dyDescent="0.2">
      <c r="A14" s="157"/>
      <c r="B14" s="184"/>
      <c r="C14" s="189" t="s">
        <v>90</v>
      </c>
      <c r="D14" s="110">
        <v>18.600000000000001</v>
      </c>
      <c r="E14" s="110">
        <v>18.600000000000001</v>
      </c>
      <c r="F14" s="110">
        <v>18.600000000000001</v>
      </c>
      <c r="G14" s="110">
        <v>18.600000000000001</v>
      </c>
      <c r="H14" s="29"/>
      <c r="I14" s="29"/>
      <c r="J14" s="29"/>
      <c r="K14" s="29"/>
      <c r="L14" s="83" t="s">
        <v>8</v>
      </c>
      <c r="M14" s="80"/>
      <c r="N14" s="184"/>
      <c r="O14" s="120"/>
      <c r="P14" s="127"/>
      <c r="Q14" s="127"/>
      <c r="R14" s="127"/>
      <c r="S14" s="127"/>
      <c r="T14" s="2"/>
      <c r="U14" s="2"/>
      <c r="V14" s="2"/>
      <c r="W14" s="2"/>
      <c r="X14" s="5"/>
      <c r="Y14" s="2"/>
    </row>
    <row r="15" spans="1:25" x14ac:dyDescent="0.2">
      <c r="A15" s="157"/>
      <c r="B15" s="184"/>
      <c r="C15" s="164"/>
      <c r="D15" s="164"/>
      <c r="E15" s="164"/>
      <c r="F15" s="164"/>
      <c r="G15" s="164"/>
      <c r="H15" s="29"/>
      <c r="I15" s="29"/>
      <c r="J15" s="29"/>
      <c r="K15" s="29"/>
      <c r="L15" s="83"/>
      <c r="M15" s="164"/>
      <c r="N15" s="184"/>
      <c r="O15" s="77"/>
      <c r="P15" s="131"/>
      <c r="Q15" s="131"/>
      <c r="R15" s="131"/>
      <c r="S15" s="131"/>
      <c r="T15" s="132"/>
      <c r="U15" s="132"/>
      <c r="V15" s="130"/>
      <c r="W15" s="130"/>
      <c r="X15" s="130"/>
      <c r="Y15" s="130"/>
    </row>
    <row r="16" spans="1:25" x14ac:dyDescent="0.2">
      <c r="A16" s="157"/>
      <c r="B16" s="184"/>
      <c r="C16" s="42" t="s">
        <v>29</v>
      </c>
      <c r="D16" s="43"/>
      <c r="E16" s="43"/>
      <c r="F16" s="44"/>
      <c r="G16" s="44"/>
      <c r="H16" s="29"/>
      <c r="I16" s="29"/>
      <c r="J16" s="29"/>
      <c r="K16" s="29"/>
      <c r="L16" s="29"/>
      <c r="M16" s="45"/>
      <c r="N16" s="184"/>
      <c r="O16" s="121"/>
      <c r="P16" s="133"/>
      <c r="Q16" s="133"/>
      <c r="R16" s="134"/>
      <c r="S16" s="134"/>
      <c r="T16" s="130"/>
      <c r="U16" s="130"/>
      <c r="V16" s="130"/>
      <c r="W16" s="130"/>
      <c r="X16" s="130"/>
      <c r="Y16" s="135"/>
    </row>
    <row r="17" spans="1:25" x14ac:dyDescent="0.2">
      <c r="A17" s="157"/>
      <c r="B17" s="184"/>
      <c r="C17" s="46" t="s">
        <v>60</v>
      </c>
      <c r="D17" s="58">
        <v>1</v>
      </c>
      <c r="E17" s="58">
        <v>1</v>
      </c>
      <c r="F17" s="58">
        <v>1</v>
      </c>
      <c r="G17" s="58">
        <v>1</v>
      </c>
      <c r="H17" s="29"/>
      <c r="I17" s="29"/>
      <c r="J17" s="29"/>
      <c r="K17" s="29"/>
      <c r="L17" s="29" t="s">
        <v>26</v>
      </c>
      <c r="M17" s="47"/>
      <c r="N17" s="184"/>
      <c r="O17" s="122"/>
      <c r="P17" s="136"/>
      <c r="Q17" s="136"/>
      <c r="R17" s="136"/>
      <c r="S17" s="136"/>
      <c r="T17" s="136"/>
      <c r="U17" s="136"/>
      <c r="V17" s="133"/>
      <c r="W17" s="133"/>
      <c r="X17" s="130"/>
      <c r="Y17" s="137"/>
    </row>
    <row r="18" spans="1:25" x14ac:dyDescent="0.2">
      <c r="A18" s="157"/>
      <c r="B18" s="184"/>
      <c r="C18" s="31" t="s">
        <v>73</v>
      </c>
      <c r="D18" s="43">
        <v>4.83</v>
      </c>
      <c r="E18" s="43">
        <v>4.83</v>
      </c>
      <c r="F18" s="43">
        <v>4.83</v>
      </c>
      <c r="G18" s="43">
        <v>4.83</v>
      </c>
      <c r="H18" s="29"/>
      <c r="I18" s="29"/>
      <c r="J18" s="29"/>
      <c r="K18" s="29"/>
      <c r="L18" s="29" t="s">
        <v>76</v>
      </c>
      <c r="M18" s="80" t="s">
        <v>47</v>
      </c>
      <c r="N18" s="184"/>
      <c r="O18" s="77"/>
      <c r="P18" s="138"/>
      <c r="Q18" s="138"/>
      <c r="R18" s="139"/>
      <c r="S18" s="140"/>
      <c r="T18" s="141"/>
      <c r="U18" s="141"/>
      <c r="V18" s="133"/>
      <c r="W18" s="133"/>
      <c r="X18" s="130"/>
      <c r="Y18" s="128"/>
    </row>
    <row r="19" spans="1:25" x14ac:dyDescent="0.2">
      <c r="A19" s="157"/>
      <c r="B19" s="184"/>
      <c r="C19" s="31" t="s">
        <v>62</v>
      </c>
      <c r="D19" s="43"/>
      <c r="E19" s="43"/>
      <c r="F19" s="43"/>
      <c r="G19" s="43"/>
      <c r="H19" s="29"/>
      <c r="I19" s="29"/>
      <c r="J19" s="29"/>
      <c r="K19" s="29"/>
      <c r="L19" s="29" t="s">
        <v>18</v>
      </c>
      <c r="M19" s="164"/>
      <c r="N19" s="184"/>
      <c r="O19" s="77"/>
      <c r="P19" s="2"/>
      <c r="Q19" s="2"/>
      <c r="R19" s="2"/>
      <c r="S19" s="2"/>
      <c r="T19" s="2"/>
      <c r="U19" s="2"/>
      <c r="V19" s="2"/>
      <c r="W19" s="2"/>
      <c r="X19" s="130"/>
      <c r="Y19" s="135"/>
    </row>
    <row r="20" spans="1:25" x14ac:dyDescent="0.2">
      <c r="A20" s="157"/>
      <c r="B20" s="184"/>
      <c r="C20" s="31"/>
      <c r="D20" s="43"/>
      <c r="E20" s="43"/>
      <c r="F20" s="43"/>
      <c r="G20" s="43"/>
      <c r="H20" s="158"/>
      <c r="I20" s="158"/>
      <c r="J20" s="158"/>
      <c r="K20" s="158"/>
      <c r="L20" s="29"/>
      <c r="M20" s="45"/>
      <c r="N20" s="184"/>
      <c r="O20" s="77"/>
      <c r="P20" s="2"/>
      <c r="Q20" s="2"/>
      <c r="R20" s="2"/>
      <c r="S20" s="2"/>
      <c r="T20" s="2"/>
      <c r="U20" s="2"/>
      <c r="V20" s="2"/>
      <c r="W20" s="2"/>
      <c r="X20" s="130"/>
      <c r="Y20" s="135"/>
    </row>
    <row r="21" spans="1:25" x14ac:dyDescent="0.2">
      <c r="A21" s="157"/>
      <c r="B21" s="184"/>
      <c r="C21" s="31" t="s">
        <v>50</v>
      </c>
      <c r="D21" s="29">
        <v>0</v>
      </c>
      <c r="E21" s="29">
        <v>0</v>
      </c>
      <c r="F21" s="67">
        <v>0</v>
      </c>
      <c r="G21" s="68">
        <v>0</v>
      </c>
      <c r="H21" s="158"/>
      <c r="I21" s="158"/>
      <c r="J21" s="158"/>
      <c r="K21" s="158"/>
      <c r="L21" s="29"/>
      <c r="M21" s="45"/>
      <c r="N21" s="184"/>
      <c r="O21" s="77"/>
      <c r="P21" s="130"/>
      <c r="Q21" s="130"/>
      <c r="R21" s="142"/>
      <c r="S21" s="143"/>
      <c r="T21" s="130"/>
      <c r="U21" s="130"/>
      <c r="V21" s="130"/>
      <c r="W21" s="130"/>
      <c r="X21" s="130"/>
      <c r="Y21" s="135"/>
    </row>
    <row r="22" spans="1:25" x14ac:dyDescent="0.2">
      <c r="A22" s="157"/>
      <c r="B22" s="184"/>
      <c r="C22" s="31" t="s">
        <v>51</v>
      </c>
      <c r="D22" s="29">
        <v>10</v>
      </c>
      <c r="E22" s="29">
        <v>10</v>
      </c>
      <c r="F22" s="29">
        <v>10</v>
      </c>
      <c r="G22" s="29">
        <v>10</v>
      </c>
      <c r="H22" s="158"/>
      <c r="I22" s="158"/>
      <c r="J22" s="158"/>
      <c r="K22" s="158"/>
      <c r="L22" s="29"/>
      <c r="M22" s="29"/>
      <c r="N22" s="184"/>
      <c r="O22" s="77"/>
      <c r="P22" s="130"/>
      <c r="Q22" s="130"/>
      <c r="R22" s="142"/>
      <c r="S22" s="143"/>
      <c r="T22" s="130"/>
      <c r="U22" s="130"/>
      <c r="V22" s="130"/>
      <c r="W22" s="130"/>
      <c r="X22" s="130"/>
      <c r="Y22" s="130"/>
    </row>
    <row r="23" spans="1:25" x14ac:dyDescent="0.2">
      <c r="A23" s="157"/>
      <c r="B23" s="184"/>
      <c r="C23" s="12" t="s">
        <v>9</v>
      </c>
      <c r="D23" s="29">
        <v>20</v>
      </c>
      <c r="E23" s="29">
        <v>20</v>
      </c>
      <c r="F23" s="67">
        <v>20</v>
      </c>
      <c r="G23" s="68">
        <v>20</v>
      </c>
      <c r="H23" s="158"/>
      <c r="I23" s="158"/>
      <c r="J23" s="158"/>
      <c r="K23" s="158"/>
      <c r="L23" s="158"/>
      <c r="M23" s="158"/>
      <c r="N23" s="184"/>
      <c r="O23" s="186"/>
      <c r="P23" s="130"/>
      <c r="Q23" s="130"/>
      <c r="R23" s="142"/>
      <c r="S23" s="143"/>
      <c r="T23" s="78"/>
      <c r="U23" s="78"/>
      <c r="V23" s="78"/>
      <c r="W23" s="78"/>
      <c r="X23" s="78"/>
      <c r="Y23" s="78"/>
    </row>
    <row r="24" spans="1:25" x14ac:dyDescent="0.2">
      <c r="A24" s="157"/>
      <c r="B24" s="184"/>
      <c r="C24" s="12" t="s">
        <v>10</v>
      </c>
      <c r="D24" s="29">
        <v>1</v>
      </c>
      <c r="E24" s="29">
        <v>1</v>
      </c>
      <c r="F24" s="67">
        <v>1</v>
      </c>
      <c r="G24" s="68">
        <v>1</v>
      </c>
      <c r="H24" s="161"/>
      <c r="I24" s="161"/>
      <c r="J24" s="161"/>
      <c r="K24" s="161"/>
      <c r="L24" s="158"/>
      <c r="M24" s="158"/>
      <c r="N24" s="184"/>
      <c r="O24" s="186"/>
      <c r="P24" s="130"/>
      <c r="Q24" s="130"/>
      <c r="R24" s="142"/>
      <c r="S24" s="143"/>
      <c r="T24" s="78"/>
      <c r="U24" s="78"/>
      <c r="V24" s="78"/>
      <c r="W24" s="78"/>
      <c r="X24" s="78"/>
      <c r="Y24" s="78"/>
    </row>
    <row r="25" spans="1:25" x14ac:dyDescent="0.2">
      <c r="A25" s="157"/>
      <c r="B25" s="184"/>
      <c r="C25" s="12"/>
      <c r="D25" s="158"/>
      <c r="E25" s="158"/>
      <c r="F25" s="158"/>
      <c r="G25" s="158"/>
      <c r="H25" s="158"/>
      <c r="I25" s="158"/>
      <c r="J25" s="158"/>
      <c r="K25" s="158"/>
      <c r="L25" s="158"/>
      <c r="M25" s="158"/>
      <c r="N25" s="184"/>
      <c r="O25" s="186"/>
      <c r="P25" s="78"/>
      <c r="Q25" s="78"/>
      <c r="R25" s="78"/>
      <c r="S25" s="78"/>
      <c r="T25" s="78"/>
      <c r="U25" s="78"/>
      <c r="V25" s="78"/>
      <c r="W25" s="78"/>
      <c r="X25" s="78"/>
      <c r="Y25" s="78"/>
    </row>
    <row r="26" spans="1:25" x14ac:dyDescent="0.2">
      <c r="A26" s="157"/>
      <c r="B26" s="184"/>
      <c r="C26" s="112" t="s">
        <v>11</v>
      </c>
      <c r="D26" s="181"/>
      <c r="E26" s="181"/>
      <c r="F26" s="181"/>
      <c r="G26" s="181"/>
      <c r="H26" s="158"/>
      <c r="I26" s="158"/>
      <c r="J26" s="158"/>
      <c r="K26" s="158"/>
      <c r="L26" s="187"/>
      <c r="M26" s="9"/>
      <c r="N26" s="184"/>
      <c r="O26" s="115"/>
      <c r="P26" s="115"/>
      <c r="Q26" s="115"/>
      <c r="R26" s="115"/>
      <c r="S26" s="115"/>
      <c r="T26" s="115"/>
      <c r="U26" s="115"/>
      <c r="V26" s="115"/>
      <c r="W26" s="115"/>
      <c r="X26" s="126"/>
      <c r="Y26" s="115"/>
    </row>
    <row r="27" spans="1:25" x14ac:dyDescent="0.25">
      <c r="A27" s="157"/>
      <c r="B27" s="184"/>
      <c r="C27" s="31" t="s">
        <v>91</v>
      </c>
      <c r="D27" s="180">
        <v>276050.42016806721</v>
      </c>
      <c r="E27" s="180">
        <v>276050.42016806721</v>
      </c>
      <c r="F27" s="180">
        <v>276050.42016806721</v>
      </c>
      <c r="G27" s="180">
        <v>276050.42016806721</v>
      </c>
      <c r="H27" s="162"/>
      <c r="I27" s="162"/>
      <c r="J27" s="162"/>
      <c r="K27" s="162"/>
      <c r="L27" s="158" t="s">
        <v>70</v>
      </c>
      <c r="M27" s="80" t="s">
        <v>48</v>
      </c>
      <c r="N27" s="184"/>
      <c r="O27" s="186"/>
      <c r="P27" s="144"/>
      <c r="Q27" s="144"/>
      <c r="R27" s="144"/>
      <c r="S27" s="144"/>
      <c r="T27" s="144"/>
      <c r="U27" s="144"/>
      <c r="V27" s="144"/>
      <c r="W27" s="144"/>
      <c r="X27" s="78"/>
      <c r="Y27" s="145"/>
    </row>
    <row r="28" spans="1:25" x14ac:dyDescent="0.25">
      <c r="A28" s="157"/>
      <c r="B28" s="184"/>
      <c r="C28" s="98" t="s">
        <v>92</v>
      </c>
      <c r="D28" s="170">
        <v>42.279411764705877</v>
      </c>
      <c r="E28" s="170">
        <v>42.279411764705877</v>
      </c>
      <c r="F28" s="170">
        <v>42.279411764705877</v>
      </c>
      <c r="G28" s="170">
        <v>42.279411764705877</v>
      </c>
      <c r="H28" s="158"/>
      <c r="I28" s="158"/>
      <c r="J28" s="158"/>
      <c r="K28" s="158"/>
      <c r="L28" s="158" t="s">
        <v>70</v>
      </c>
      <c r="M28" s="159"/>
      <c r="N28" s="184"/>
      <c r="O28" s="77"/>
      <c r="P28" s="146"/>
      <c r="Q28" s="146"/>
      <c r="R28" s="78"/>
      <c r="S28" s="78"/>
      <c r="T28" s="78"/>
      <c r="U28" s="78"/>
      <c r="V28" s="78"/>
      <c r="W28" s="78"/>
      <c r="X28" s="78"/>
      <c r="Y28" s="78"/>
    </row>
    <row r="29" spans="1:25" x14ac:dyDescent="0.25">
      <c r="A29" s="157"/>
      <c r="B29" s="184"/>
      <c r="C29" s="31" t="s">
        <v>46</v>
      </c>
      <c r="D29" s="180">
        <f>D30*D10</f>
        <v>49500.2802219816</v>
      </c>
      <c r="E29" s="180">
        <f t="shared" ref="E29:G29" si="0">E30*E10</f>
        <v>49903.784321360479</v>
      </c>
      <c r="F29" s="180">
        <f t="shared" si="0"/>
        <v>52055.806184714507</v>
      </c>
      <c r="G29" s="180">
        <f t="shared" si="0"/>
        <v>53131.817116391525</v>
      </c>
      <c r="H29" s="61"/>
      <c r="I29" s="61"/>
      <c r="J29" s="164"/>
      <c r="K29" s="164"/>
      <c r="L29" s="158" t="s">
        <v>71</v>
      </c>
      <c r="M29" s="80" t="s">
        <v>48</v>
      </c>
      <c r="N29" s="184"/>
      <c r="O29" s="186"/>
      <c r="P29" s="146"/>
      <c r="Q29" s="146"/>
      <c r="R29" s="78"/>
      <c r="S29" s="78"/>
      <c r="T29" s="78"/>
      <c r="U29" s="78"/>
      <c r="V29" s="78"/>
      <c r="W29" s="78"/>
      <c r="X29" s="78"/>
      <c r="Y29" s="78"/>
    </row>
    <row r="30" spans="1:25" x14ac:dyDescent="0.25">
      <c r="A30" s="157"/>
      <c r="B30" s="184"/>
      <c r="C30" s="98" t="s">
        <v>93</v>
      </c>
      <c r="D30" s="171">
        <f>D31+D32+D33</f>
        <v>7.5813785347593576</v>
      </c>
      <c r="E30" s="171">
        <f t="shared" ref="E30:G30" si="1">E31+E32+E33</f>
        <v>7.6431785347593575</v>
      </c>
      <c r="F30" s="171">
        <f t="shared" si="1"/>
        <v>7.9727785347593567</v>
      </c>
      <c r="G30" s="171">
        <f t="shared" si="1"/>
        <v>8.1375785347593563</v>
      </c>
      <c r="H30" s="165"/>
      <c r="I30" s="165"/>
      <c r="J30" s="164"/>
      <c r="K30" s="164"/>
      <c r="L30" s="158" t="s">
        <v>71</v>
      </c>
      <c r="M30" s="159"/>
      <c r="N30" s="184"/>
      <c r="O30" s="186"/>
      <c r="P30" s="147"/>
      <c r="Q30" s="147"/>
      <c r="R30" s="147"/>
      <c r="S30" s="147"/>
      <c r="T30" s="147"/>
      <c r="U30" s="147"/>
      <c r="V30" s="147"/>
      <c r="W30" s="147"/>
      <c r="X30" s="78"/>
      <c r="Y30" s="148"/>
    </row>
    <row r="31" spans="1:25" s="184" customFormat="1" x14ac:dyDescent="0.25">
      <c r="A31" s="157"/>
      <c r="C31" s="172" t="s">
        <v>99</v>
      </c>
      <c r="D31" s="171">
        <v>6.5224785347593564</v>
      </c>
      <c r="E31" s="171">
        <v>6.5224785347593564</v>
      </c>
      <c r="F31" s="171">
        <v>6.5224785347593564</v>
      </c>
      <c r="G31" s="171">
        <v>6.5224785347593564</v>
      </c>
      <c r="H31" s="165"/>
      <c r="I31" s="165"/>
      <c r="J31" s="164"/>
      <c r="K31" s="164"/>
      <c r="L31" s="158"/>
      <c r="M31" s="159"/>
      <c r="O31" s="186"/>
      <c r="P31" s="147"/>
      <c r="Q31" s="147"/>
      <c r="R31" s="147"/>
      <c r="S31" s="147"/>
      <c r="T31" s="147"/>
      <c r="U31" s="147"/>
      <c r="V31" s="147"/>
      <c r="W31" s="147"/>
      <c r="X31" s="78"/>
      <c r="Y31" s="148"/>
    </row>
    <row r="32" spans="1:25" s="184" customFormat="1" x14ac:dyDescent="0.25">
      <c r="A32" s="157"/>
      <c r="C32" s="172" t="s">
        <v>100</v>
      </c>
      <c r="D32" s="170">
        <f>63*D12/1000</f>
        <v>0.64890000000000014</v>
      </c>
      <c r="E32" s="170">
        <f>69*E12/1000</f>
        <v>0.7107</v>
      </c>
      <c r="F32" s="170">
        <f>101*F12/1000</f>
        <v>1.0403000000000002</v>
      </c>
      <c r="G32" s="170">
        <f>117*G12/1000</f>
        <v>1.2051000000000001</v>
      </c>
      <c r="H32" s="165"/>
      <c r="I32" s="165"/>
      <c r="J32" s="164"/>
      <c r="K32" s="164"/>
      <c r="L32" s="158" t="s">
        <v>102</v>
      </c>
      <c r="M32" s="159"/>
      <c r="O32" s="186"/>
      <c r="P32" s="147"/>
      <c r="Q32" s="147"/>
      <c r="R32" s="147"/>
      <c r="S32" s="147"/>
      <c r="T32" s="147"/>
      <c r="U32" s="147"/>
      <c r="V32" s="147"/>
      <c r="W32" s="147"/>
      <c r="X32" s="78"/>
      <c r="Y32" s="148"/>
    </row>
    <row r="33" spans="1:25" s="184" customFormat="1" x14ac:dyDescent="0.25">
      <c r="A33" s="157"/>
      <c r="C33" s="172" t="s">
        <v>101</v>
      </c>
      <c r="D33" s="170">
        <f>0.0220430107526882*D14</f>
        <v>0.41000000000000059</v>
      </c>
      <c r="E33" s="170">
        <f t="shared" ref="E33:G33" si="2">0.0220430107526882*E14</f>
        <v>0.41000000000000059</v>
      </c>
      <c r="F33" s="170">
        <f t="shared" si="2"/>
        <v>0.41000000000000059</v>
      </c>
      <c r="G33" s="170">
        <f t="shared" si="2"/>
        <v>0.41000000000000059</v>
      </c>
      <c r="H33" s="165"/>
      <c r="I33" s="165"/>
      <c r="J33" s="164"/>
      <c r="K33" s="164"/>
      <c r="L33" s="158"/>
      <c r="M33" s="159"/>
      <c r="O33" s="186"/>
      <c r="P33" s="147"/>
      <c r="Q33" s="147"/>
      <c r="R33" s="147"/>
      <c r="S33" s="147"/>
      <c r="T33" s="147"/>
      <c r="U33" s="147"/>
      <c r="V33" s="147"/>
      <c r="W33" s="147"/>
      <c r="X33" s="78"/>
      <c r="Y33" s="148"/>
    </row>
    <row r="34" spans="1:25" x14ac:dyDescent="0.2">
      <c r="A34" s="157"/>
      <c r="B34" s="36"/>
      <c r="C34" s="12"/>
      <c r="D34" s="69"/>
      <c r="E34" s="69"/>
      <c r="F34" s="60"/>
      <c r="G34" s="60"/>
      <c r="H34" s="61"/>
      <c r="I34" s="61"/>
      <c r="J34" s="164"/>
      <c r="K34" s="164"/>
      <c r="L34" s="83"/>
      <c r="M34" s="80"/>
      <c r="N34" s="184"/>
      <c r="O34" s="77"/>
      <c r="P34" s="149"/>
      <c r="Q34" s="149"/>
      <c r="R34" s="149"/>
      <c r="S34" s="149"/>
      <c r="T34" s="51"/>
      <c r="U34" s="51"/>
      <c r="V34" s="2"/>
      <c r="W34" s="2"/>
      <c r="X34" s="5"/>
      <c r="Y34" s="150"/>
    </row>
    <row r="35" spans="1:25" x14ac:dyDescent="0.2">
      <c r="A35" s="157"/>
      <c r="B35" s="184"/>
      <c r="C35" s="114" t="s">
        <v>77</v>
      </c>
      <c r="D35" s="171"/>
      <c r="E35" s="171"/>
      <c r="F35" s="171"/>
      <c r="G35" s="171"/>
      <c r="H35" s="165"/>
      <c r="I35" s="165"/>
      <c r="J35" s="164"/>
      <c r="K35" s="164"/>
      <c r="L35" s="83"/>
      <c r="M35" s="113"/>
      <c r="N35" s="184"/>
      <c r="O35" s="151"/>
      <c r="P35" s="149"/>
      <c r="Q35" s="149"/>
      <c r="R35" s="149"/>
      <c r="S35" s="149"/>
      <c r="T35" s="152"/>
      <c r="U35" s="152"/>
      <c r="V35" s="2"/>
      <c r="W35" s="2"/>
      <c r="X35" s="5"/>
      <c r="Y35" s="150"/>
    </row>
    <row r="36" spans="1:25" x14ac:dyDescent="0.2">
      <c r="A36" s="157"/>
      <c r="B36" s="184"/>
      <c r="C36" s="31" t="s">
        <v>126</v>
      </c>
      <c r="D36" s="171">
        <v>4</v>
      </c>
      <c r="E36" s="171">
        <v>4.4000000000000004</v>
      </c>
      <c r="F36" s="171">
        <v>4.4000000000000004</v>
      </c>
      <c r="G36" s="171">
        <v>4.4000000000000004</v>
      </c>
      <c r="H36" s="61">
        <v>1.8</v>
      </c>
      <c r="I36" s="61">
        <v>9.1999999999999993</v>
      </c>
      <c r="J36" s="61">
        <v>1.8</v>
      </c>
      <c r="K36" s="61">
        <v>9.1999999999999993</v>
      </c>
      <c r="L36" s="83" t="s">
        <v>25</v>
      </c>
      <c r="M36" s="113" t="s">
        <v>78</v>
      </c>
      <c r="N36" s="184"/>
      <c r="O36" s="77"/>
      <c r="P36" s="153"/>
      <c r="Q36" s="153"/>
      <c r="R36" s="153"/>
      <c r="S36" s="153"/>
      <c r="T36" s="51"/>
      <c r="U36" s="51"/>
      <c r="V36" s="51"/>
      <c r="W36" s="51"/>
      <c r="X36" s="5"/>
      <c r="Y36" s="150"/>
    </row>
    <row r="37" spans="1:25" ht="15" hidden="1" customHeight="1" x14ac:dyDescent="0.2">
      <c r="A37" s="157"/>
      <c r="B37" s="184"/>
      <c r="C37" s="186"/>
      <c r="D37" s="81"/>
      <c r="E37" s="81"/>
      <c r="F37" s="81"/>
      <c r="G37" s="81"/>
      <c r="H37" s="51"/>
      <c r="I37" s="51"/>
      <c r="J37" s="183"/>
      <c r="K37" s="183"/>
      <c r="L37" s="5"/>
      <c r="M37" s="79"/>
      <c r="N37" s="184"/>
      <c r="O37" s="183"/>
      <c r="P37" s="2"/>
      <c r="Q37" s="2"/>
      <c r="R37" s="2"/>
      <c r="S37" s="2"/>
      <c r="T37" s="2"/>
      <c r="U37" s="2"/>
      <c r="V37" s="2"/>
      <c r="W37" s="2"/>
      <c r="X37" s="2"/>
      <c r="Y37" s="2"/>
    </row>
    <row r="38" spans="1:25" ht="15" hidden="1" customHeight="1" x14ac:dyDescent="0.2">
      <c r="A38" s="282"/>
      <c r="B38" s="282"/>
      <c r="C38" s="282"/>
      <c r="D38" s="282"/>
      <c r="E38" s="282"/>
      <c r="F38" s="282"/>
      <c r="G38" s="282"/>
      <c r="H38" s="282"/>
      <c r="I38" s="282"/>
      <c r="J38" s="186"/>
      <c r="K38" s="63"/>
      <c r="L38" s="282"/>
      <c r="M38" s="282"/>
      <c r="N38" s="184"/>
      <c r="O38" s="183"/>
      <c r="P38" s="2"/>
      <c r="Q38" s="2"/>
      <c r="R38" s="2"/>
      <c r="S38" s="2"/>
      <c r="T38" s="2"/>
      <c r="U38" s="2"/>
      <c r="V38" s="2"/>
      <c r="W38" s="2"/>
      <c r="X38" s="2"/>
      <c r="Y38" s="2"/>
    </row>
    <row r="39" spans="1:25" ht="15" hidden="1" customHeight="1" x14ac:dyDescent="0.2">
      <c r="A39" s="63"/>
      <c r="B39" s="184"/>
      <c r="C39" s="282"/>
      <c r="D39" s="282"/>
      <c r="E39" s="282"/>
      <c r="F39" s="282"/>
      <c r="G39" s="282"/>
      <c r="H39" s="282"/>
      <c r="I39" s="282"/>
      <c r="J39" s="282"/>
      <c r="K39" s="282"/>
      <c r="L39" s="282"/>
      <c r="M39" s="282"/>
      <c r="N39" s="184"/>
      <c r="O39" s="183"/>
      <c r="P39" s="2"/>
      <c r="Q39" s="2"/>
      <c r="R39" s="2"/>
      <c r="S39" s="2"/>
      <c r="T39" s="2"/>
      <c r="U39" s="2"/>
      <c r="V39" s="2"/>
      <c r="W39" s="2"/>
      <c r="X39" s="2"/>
      <c r="Y39" s="2"/>
    </row>
    <row r="40" spans="1:25" ht="15" hidden="1" customHeight="1" x14ac:dyDescent="0.2">
      <c r="A40" s="63"/>
      <c r="B40" s="282"/>
      <c r="C40" s="282"/>
      <c r="D40" s="282"/>
      <c r="E40" s="282"/>
      <c r="F40" s="282"/>
      <c r="G40" s="282"/>
      <c r="H40" s="282"/>
      <c r="I40" s="282"/>
      <c r="J40" s="282"/>
      <c r="K40" s="63"/>
      <c r="L40" s="282"/>
      <c r="M40" s="282"/>
      <c r="N40" s="184"/>
      <c r="O40" s="183"/>
      <c r="P40" s="2"/>
      <c r="Q40" s="2"/>
      <c r="R40" s="2"/>
      <c r="S40" s="2"/>
      <c r="T40" s="2"/>
      <c r="U40" s="2"/>
      <c r="V40" s="2"/>
      <c r="W40" s="2"/>
      <c r="X40" s="2"/>
      <c r="Y40" s="2"/>
    </row>
    <row r="41" spans="1:25" ht="15" hidden="1" customHeight="1" x14ac:dyDescent="0.2">
      <c r="A41" s="64"/>
      <c r="B41" s="184"/>
      <c r="C41" s="282"/>
      <c r="D41" s="282"/>
      <c r="E41" s="282"/>
      <c r="F41" s="282"/>
      <c r="G41" s="282"/>
      <c r="H41" s="282"/>
      <c r="I41" s="282"/>
      <c r="J41" s="282"/>
      <c r="K41" s="282"/>
      <c r="L41" s="282"/>
      <c r="M41" s="282"/>
      <c r="N41" s="184"/>
      <c r="O41" s="183"/>
      <c r="P41" s="2"/>
      <c r="Q41" s="2"/>
      <c r="R41" s="2"/>
      <c r="S41" s="2"/>
      <c r="T41" s="2"/>
      <c r="U41" s="2"/>
      <c r="V41" s="2"/>
      <c r="W41" s="2"/>
      <c r="X41" s="2"/>
      <c r="Y41" s="2"/>
    </row>
    <row r="42" spans="1:25" ht="15" hidden="1" customHeight="1" x14ac:dyDescent="0.2">
      <c r="A42" s="64"/>
      <c r="B42" s="282"/>
      <c r="C42" s="282"/>
      <c r="D42" s="282"/>
      <c r="E42" s="282"/>
      <c r="F42" s="282"/>
      <c r="G42" s="282"/>
      <c r="H42" s="282"/>
      <c r="I42" s="282"/>
      <c r="J42" s="282"/>
      <c r="K42" s="63"/>
      <c r="L42" s="282"/>
      <c r="M42" s="282"/>
      <c r="N42" s="184"/>
      <c r="O42" s="183"/>
      <c r="P42" s="2"/>
      <c r="Q42" s="2"/>
      <c r="R42" s="2"/>
      <c r="S42" s="2"/>
      <c r="T42" s="2"/>
      <c r="U42" s="2"/>
      <c r="V42" s="2"/>
      <c r="W42" s="2"/>
      <c r="X42" s="2"/>
      <c r="Y42" s="2"/>
    </row>
    <row r="43" spans="1:25" ht="15" hidden="1" customHeight="1" x14ac:dyDescent="0.2">
      <c r="A43" s="63"/>
      <c r="B43" s="16"/>
      <c r="C43" s="186"/>
      <c r="D43" s="186"/>
      <c r="E43" s="186"/>
      <c r="F43" s="186"/>
      <c r="G43" s="186"/>
      <c r="H43" s="186"/>
      <c r="I43" s="186"/>
      <c r="J43" s="186"/>
      <c r="K43" s="63"/>
      <c r="L43" s="282"/>
      <c r="M43" s="282"/>
      <c r="N43" s="184"/>
      <c r="O43" s="183"/>
      <c r="P43" s="2"/>
      <c r="Q43" s="2"/>
      <c r="R43" s="2"/>
      <c r="S43" s="2"/>
      <c r="T43" s="2"/>
      <c r="U43" s="2"/>
      <c r="V43" s="2"/>
      <c r="W43" s="2"/>
      <c r="X43" s="2"/>
      <c r="Y43" s="2"/>
    </row>
    <row r="44" spans="1:25" ht="15" hidden="1" customHeight="1" x14ac:dyDescent="0.2">
      <c r="A44" s="63"/>
      <c r="B44" s="186"/>
      <c r="C44" s="186"/>
      <c r="D44" s="186"/>
      <c r="E44" s="186"/>
      <c r="F44" s="186"/>
      <c r="G44" s="186"/>
      <c r="H44" s="186"/>
      <c r="I44" s="186"/>
      <c r="J44" s="186"/>
      <c r="K44" s="63"/>
      <c r="L44" s="282"/>
      <c r="M44" s="282"/>
      <c r="N44" s="184"/>
      <c r="O44" s="183"/>
      <c r="P44" s="2"/>
      <c r="Q44" s="2"/>
      <c r="R44" s="2"/>
      <c r="S44" s="2"/>
      <c r="T44" s="2"/>
      <c r="U44" s="2"/>
      <c r="V44" s="2"/>
      <c r="W44" s="2"/>
      <c r="X44" s="2"/>
      <c r="Y44" s="2"/>
    </row>
    <row r="45" spans="1:25" x14ac:dyDescent="0.2">
      <c r="A45" s="282"/>
      <c r="B45" s="282"/>
      <c r="C45" s="59"/>
      <c r="D45" s="59"/>
      <c r="E45" s="59"/>
      <c r="F45" s="59"/>
      <c r="G45" s="59"/>
      <c r="H45" s="59"/>
      <c r="I45" s="59"/>
      <c r="J45" s="59"/>
      <c r="K45" s="63"/>
      <c r="L45" s="282"/>
      <c r="M45" s="282"/>
      <c r="N45" s="184"/>
      <c r="O45" s="183"/>
      <c r="P45" s="2"/>
      <c r="Q45" s="2"/>
      <c r="R45" s="2"/>
      <c r="S45" s="2"/>
      <c r="T45" s="2"/>
      <c r="U45" s="2"/>
      <c r="V45" s="2"/>
      <c r="W45" s="2"/>
      <c r="X45" s="2"/>
      <c r="Y45" s="2"/>
    </row>
    <row r="46" spans="1:25" ht="15" customHeight="1" x14ac:dyDescent="0.2">
      <c r="A46" s="289" t="s">
        <v>16</v>
      </c>
      <c r="B46" s="289"/>
      <c r="C46" s="59"/>
      <c r="D46" s="59"/>
      <c r="E46" s="59"/>
      <c r="F46" s="59"/>
      <c r="G46" s="59"/>
      <c r="H46" s="59"/>
      <c r="I46" s="59"/>
      <c r="J46" s="59"/>
      <c r="K46" s="63"/>
      <c r="L46" s="282"/>
      <c r="M46" s="282"/>
      <c r="N46" s="184"/>
      <c r="O46" s="183"/>
      <c r="P46" s="2"/>
      <c r="Q46" s="2"/>
      <c r="R46" s="2"/>
      <c r="S46" s="2"/>
      <c r="T46" s="2"/>
      <c r="U46" s="2"/>
      <c r="V46" s="2"/>
      <c r="W46" s="2"/>
      <c r="X46" s="2"/>
      <c r="Y46" s="2"/>
    </row>
    <row r="47" spans="1:25" ht="41.25" customHeight="1" x14ac:dyDescent="0.2">
      <c r="A47" s="166" t="s">
        <v>8</v>
      </c>
      <c r="B47" s="286" t="s">
        <v>94</v>
      </c>
      <c r="C47" s="286"/>
      <c r="D47" s="286"/>
      <c r="E47" s="286"/>
      <c r="F47" s="286"/>
      <c r="G47" s="286"/>
      <c r="H47" s="286"/>
      <c r="I47" s="286"/>
      <c r="J47" s="286"/>
      <c r="K47" s="286"/>
      <c r="L47" s="286"/>
      <c r="M47" s="286"/>
      <c r="N47" s="184"/>
      <c r="O47" s="183"/>
      <c r="P47" s="2"/>
      <c r="Q47" s="2"/>
      <c r="R47" s="2"/>
      <c r="S47" s="2"/>
      <c r="T47" s="2"/>
      <c r="U47" s="2"/>
      <c r="V47" s="2"/>
      <c r="W47" s="2"/>
      <c r="X47" s="2"/>
      <c r="Y47" s="2"/>
    </row>
    <row r="48" spans="1:25" ht="15" customHeight="1" x14ac:dyDescent="0.2">
      <c r="A48" s="166" t="s">
        <v>15</v>
      </c>
      <c r="B48" s="286" t="s">
        <v>95</v>
      </c>
      <c r="C48" s="286"/>
      <c r="D48" s="286"/>
      <c r="E48" s="286"/>
      <c r="F48" s="286"/>
      <c r="G48" s="286"/>
      <c r="H48" s="286"/>
      <c r="I48" s="286"/>
      <c r="J48" s="286"/>
      <c r="K48" s="286"/>
      <c r="L48" s="286"/>
      <c r="M48" s="286"/>
      <c r="N48" s="23"/>
      <c r="O48" s="23"/>
      <c r="P48" s="23"/>
      <c r="Q48" s="23"/>
      <c r="R48" s="23"/>
      <c r="S48" s="23"/>
      <c r="T48" s="23"/>
      <c r="U48" s="23"/>
      <c r="V48" s="23"/>
      <c r="W48" s="23"/>
      <c r="X48" s="23"/>
      <c r="Y48" s="23"/>
    </row>
    <row r="49" spans="1:16" ht="15.75" customHeight="1" x14ac:dyDescent="0.2">
      <c r="A49" s="166" t="s">
        <v>17</v>
      </c>
      <c r="B49" s="185" t="s">
        <v>96</v>
      </c>
      <c r="C49" s="274" t="s">
        <v>96</v>
      </c>
      <c r="D49" s="274"/>
      <c r="E49" s="274"/>
      <c r="F49" s="274"/>
      <c r="G49" s="274"/>
      <c r="H49" s="274"/>
      <c r="I49" s="274"/>
      <c r="J49" s="274"/>
      <c r="K49" s="274"/>
      <c r="L49" s="274"/>
      <c r="M49" s="274"/>
      <c r="N49" s="185"/>
      <c r="O49" s="185"/>
      <c r="P49" s="106"/>
    </row>
    <row r="50" spans="1:16" ht="15" customHeight="1" x14ac:dyDescent="0.2">
      <c r="A50" s="166" t="s">
        <v>18</v>
      </c>
      <c r="B50" s="184"/>
      <c r="C50" s="286" t="s">
        <v>82</v>
      </c>
      <c r="D50" s="286"/>
      <c r="E50" s="286"/>
      <c r="F50" s="286"/>
      <c r="G50" s="286"/>
      <c r="H50" s="286"/>
      <c r="I50" s="286"/>
      <c r="J50" s="286"/>
      <c r="K50" s="286"/>
      <c r="L50" s="286"/>
      <c r="M50" s="286"/>
      <c r="N50" s="184"/>
      <c r="O50" s="184"/>
    </row>
    <row r="51" spans="1:16" ht="15" customHeight="1" x14ac:dyDescent="0.2">
      <c r="A51" s="166" t="s">
        <v>19</v>
      </c>
      <c r="B51" s="286" t="s">
        <v>63</v>
      </c>
      <c r="C51" s="286"/>
      <c r="D51" s="286"/>
      <c r="E51" s="286"/>
      <c r="F51" s="286"/>
      <c r="G51" s="286"/>
      <c r="H51" s="286"/>
      <c r="I51" s="286"/>
      <c r="J51" s="286"/>
      <c r="K51" s="63"/>
      <c r="L51" s="282"/>
      <c r="M51" s="282"/>
      <c r="N51" s="184"/>
      <c r="O51" s="184"/>
    </row>
    <row r="52" spans="1:16" ht="15" customHeight="1" x14ac:dyDescent="0.2">
      <c r="A52" s="166" t="s">
        <v>20</v>
      </c>
      <c r="B52" s="286" t="s">
        <v>67</v>
      </c>
      <c r="C52" s="286"/>
      <c r="D52" s="286"/>
      <c r="E52" s="286"/>
      <c r="F52" s="286"/>
      <c r="G52" s="286"/>
      <c r="H52" s="286"/>
      <c r="I52" s="286"/>
      <c r="J52" s="286"/>
      <c r="K52" s="286"/>
      <c r="L52" s="286"/>
      <c r="M52" s="286"/>
      <c r="N52" s="184"/>
      <c r="O52" s="184"/>
    </row>
    <row r="53" spans="1:16" ht="15" customHeight="1" x14ac:dyDescent="0.2">
      <c r="A53" s="166" t="s">
        <v>24</v>
      </c>
      <c r="B53" s="282" t="s">
        <v>97</v>
      </c>
      <c r="C53" s="282"/>
      <c r="D53" s="282"/>
      <c r="E53" s="282"/>
      <c r="F53" s="282"/>
      <c r="G53" s="282"/>
      <c r="H53" s="282"/>
      <c r="I53" s="282"/>
      <c r="J53" s="282"/>
      <c r="K53" s="282"/>
      <c r="L53" s="282"/>
      <c r="M53" s="282"/>
      <c r="N53" s="184"/>
      <c r="O53" s="184"/>
    </row>
    <row r="54" spans="1:16" ht="15" customHeight="1" x14ac:dyDescent="0.2">
      <c r="A54" s="166" t="s">
        <v>25</v>
      </c>
      <c r="B54" s="282" t="s">
        <v>69</v>
      </c>
      <c r="C54" s="282"/>
      <c r="D54" s="282"/>
      <c r="E54" s="282"/>
      <c r="F54" s="282"/>
      <c r="G54" s="282"/>
      <c r="H54" s="282"/>
      <c r="I54" s="282"/>
      <c r="J54" s="282"/>
      <c r="K54" s="282"/>
      <c r="L54" s="183"/>
      <c r="M54" s="183"/>
      <c r="N54" s="184"/>
      <c r="O54" s="184"/>
    </row>
    <row r="55" spans="1:16" ht="15" customHeight="1" x14ac:dyDescent="0.2">
      <c r="A55" s="166" t="s">
        <v>37</v>
      </c>
      <c r="B55" s="274" t="s">
        <v>38</v>
      </c>
      <c r="C55" s="274"/>
      <c r="D55" s="274"/>
      <c r="E55" s="274"/>
      <c r="F55" s="274"/>
      <c r="G55" s="274"/>
      <c r="H55" s="274"/>
      <c r="I55" s="274"/>
      <c r="J55" s="274"/>
      <c r="K55" s="183"/>
      <c r="L55" s="183"/>
      <c r="M55" s="183"/>
      <c r="N55" s="184"/>
      <c r="O55" s="184"/>
    </row>
    <row r="56" spans="1:16" ht="31.5" customHeight="1" x14ac:dyDescent="0.25">
      <c r="A56" s="166" t="s">
        <v>102</v>
      </c>
      <c r="B56" s="191"/>
      <c r="C56" s="272" t="s">
        <v>116</v>
      </c>
      <c r="D56" s="272"/>
      <c r="E56" s="272"/>
      <c r="F56" s="272"/>
      <c r="G56" s="272"/>
      <c r="H56" s="272"/>
      <c r="I56" s="272"/>
      <c r="J56" s="272"/>
      <c r="K56" s="272"/>
      <c r="L56" s="272"/>
      <c r="M56" s="272"/>
      <c r="N56" s="191"/>
      <c r="O56" s="192"/>
    </row>
    <row r="57" spans="1:16" ht="13.5" customHeight="1" x14ac:dyDescent="0.2">
      <c r="A57" s="166" t="s">
        <v>118</v>
      </c>
      <c r="B57" s="192"/>
      <c r="C57" s="194" t="s">
        <v>119</v>
      </c>
      <c r="D57" s="191"/>
      <c r="E57" s="191"/>
      <c r="F57" s="191"/>
      <c r="G57" s="191"/>
      <c r="H57" s="191"/>
      <c r="I57" s="191"/>
      <c r="J57" s="191"/>
      <c r="K57" s="191"/>
      <c r="L57" s="191"/>
      <c r="M57" s="191"/>
      <c r="N57" s="191"/>
      <c r="O57" s="191"/>
    </row>
    <row r="58" spans="1:16" ht="15" customHeight="1" x14ac:dyDescent="0.2">
      <c r="A58" s="184"/>
      <c r="B58" s="184"/>
      <c r="C58" s="194" t="s">
        <v>120</v>
      </c>
      <c r="D58" s="191"/>
      <c r="E58" s="191"/>
      <c r="F58" s="191"/>
      <c r="G58" s="191"/>
      <c r="H58" s="191"/>
      <c r="I58" s="191"/>
      <c r="J58" s="191"/>
      <c r="K58" s="191"/>
      <c r="L58" s="191"/>
      <c r="M58" s="191"/>
      <c r="N58" s="191"/>
      <c r="O58" s="191"/>
    </row>
    <row r="59" spans="1:16" s="184" customFormat="1" ht="15" customHeight="1" x14ac:dyDescent="0.2">
      <c r="C59" s="194"/>
      <c r="D59" s="198"/>
      <c r="E59" s="198"/>
      <c r="F59" s="198"/>
      <c r="G59" s="198"/>
      <c r="H59" s="198"/>
      <c r="I59" s="198"/>
      <c r="J59" s="198"/>
      <c r="K59" s="198"/>
      <c r="L59" s="198"/>
      <c r="M59" s="198"/>
      <c r="N59" s="198"/>
      <c r="O59" s="198"/>
    </row>
    <row r="60" spans="1:16" x14ac:dyDescent="0.2">
      <c r="A60" s="91" t="s">
        <v>207</v>
      </c>
    </row>
    <row r="61" spans="1:16" x14ac:dyDescent="0.25">
      <c r="A61" s="157">
        <v>5</v>
      </c>
      <c r="B61" s="184"/>
      <c r="C61" s="270" t="s">
        <v>238</v>
      </c>
      <c r="D61" s="270"/>
      <c r="E61" s="270"/>
      <c r="F61" s="270"/>
      <c r="G61" s="270"/>
      <c r="H61" s="270"/>
      <c r="I61" s="270"/>
      <c r="J61" s="270"/>
      <c r="K61" s="270"/>
    </row>
    <row r="62" spans="1:16" x14ac:dyDescent="0.25">
      <c r="A62" s="157">
        <v>8</v>
      </c>
      <c r="B62" s="184"/>
      <c r="C62" s="270" t="s">
        <v>239</v>
      </c>
      <c r="D62" s="270"/>
      <c r="E62" s="270"/>
      <c r="F62" s="270"/>
      <c r="G62" s="270"/>
      <c r="H62" s="270"/>
      <c r="I62" s="270"/>
      <c r="J62" s="184"/>
      <c r="K62" s="184"/>
    </row>
    <row r="63" spans="1:16" x14ac:dyDescent="0.25">
      <c r="A63" s="157">
        <v>9</v>
      </c>
      <c r="B63" s="184"/>
      <c r="C63" s="270" t="s">
        <v>240</v>
      </c>
      <c r="D63" s="270"/>
      <c r="E63" s="270"/>
      <c r="F63" s="270"/>
      <c r="G63" s="270"/>
      <c r="H63" s="270"/>
      <c r="I63" s="270"/>
      <c r="J63" s="270"/>
      <c r="K63" s="270"/>
    </row>
    <row r="64" spans="1:16" x14ac:dyDescent="0.25">
      <c r="A64" s="157">
        <v>12</v>
      </c>
      <c r="B64" s="184"/>
      <c r="C64" s="270" t="s">
        <v>241</v>
      </c>
      <c r="D64" s="270"/>
      <c r="E64" s="270"/>
      <c r="F64" s="270"/>
      <c r="G64" s="270"/>
      <c r="H64" s="270"/>
      <c r="I64" s="270"/>
      <c r="J64" s="270"/>
      <c r="K64" s="270"/>
    </row>
  </sheetData>
  <mergeCells count="36">
    <mergeCell ref="L43:M43"/>
    <mergeCell ref="C39:K39"/>
    <mergeCell ref="L39:M39"/>
    <mergeCell ref="L40:M40"/>
    <mergeCell ref="C41:K41"/>
    <mergeCell ref="L41:M41"/>
    <mergeCell ref="B42:J42"/>
    <mergeCell ref="L42:M42"/>
    <mergeCell ref="B40:J40"/>
    <mergeCell ref="D1:M1"/>
    <mergeCell ref="P3:Y3"/>
    <mergeCell ref="T4:U4"/>
    <mergeCell ref="V4:W4"/>
    <mergeCell ref="A38:I38"/>
    <mergeCell ref="L38:M38"/>
    <mergeCell ref="D3:M3"/>
    <mergeCell ref="H4:I4"/>
    <mergeCell ref="J4:K4"/>
    <mergeCell ref="D6:G6"/>
    <mergeCell ref="D7:G7"/>
    <mergeCell ref="B47:M47"/>
    <mergeCell ref="C49:M49"/>
    <mergeCell ref="B48:M48"/>
    <mergeCell ref="C50:M50"/>
    <mergeCell ref="B51:J51"/>
    <mergeCell ref="L51:M51"/>
    <mergeCell ref="L44:M44"/>
    <mergeCell ref="A45:B45"/>
    <mergeCell ref="L45:M45"/>
    <mergeCell ref="A46:B46"/>
    <mergeCell ref="L46:M46"/>
    <mergeCell ref="B53:M53"/>
    <mergeCell ref="B54:K54"/>
    <mergeCell ref="B55:J55"/>
    <mergeCell ref="C56:M56"/>
    <mergeCell ref="B52:M5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3"/>
  <sheetViews>
    <sheetView topLeftCell="R1" workbookViewId="0">
      <selection activeCell="W79" sqref="W79"/>
    </sheetView>
  </sheetViews>
  <sheetFormatPr defaultColWidth="8.85546875" defaultRowHeight="15" x14ac:dyDescent="0.25"/>
  <cols>
    <col min="1" max="1" width="3.7109375" style="6" hidden="1" customWidth="1"/>
    <col min="2" max="2" width="44.140625" style="6" hidden="1" customWidth="1"/>
    <col min="3" max="3" width="14.85546875" style="6" hidden="1" customWidth="1"/>
    <col min="4" max="4" width="11" style="6" hidden="1" customWidth="1"/>
    <col min="5" max="5" width="7.42578125" style="6" hidden="1" customWidth="1"/>
    <col min="6" max="7" width="6.85546875" style="6" hidden="1" customWidth="1"/>
    <col min="8" max="8" width="7.28515625" style="6" hidden="1" customWidth="1"/>
    <col min="9" max="9" width="13.28515625" style="6" hidden="1" customWidth="1"/>
    <col min="10" max="10" width="10.42578125" style="6" hidden="1" customWidth="1"/>
    <col min="11" max="11" width="12.140625" style="6" hidden="1" customWidth="1"/>
    <col min="12" max="12" width="10.85546875" style="6" hidden="1" customWidth="1"/>
    <col min="13" max="13" width="9.28515625" style="6" hidden="1" customWidth="1"/>
    <col min="14" max="14" width="6.7109375" style="225" hidden="1" customWidth="1"/>
    <col min="15" max="15" width="9.85546875" style="225" hidden="1" customWidth="1"/>
    <col min="16" max="16" width="8.42578125" style="225" hidden="1" customWidth="1"/>
    <col min="17" max="17" width="0.140625" style="225" customWidth="1"/>
    <col min="18" max="18" width="8.85546875" style="225" customWidth="1"/>
    <col min="19" max="21" width="0" style="225" hidden="1" customWidth="1"/>
    <col min="22" max="22" width="24.42578125" style="225" hidden="1" customWidth="1"/>
    <col min="23" max="23" width="47.85546875" style="225" customWidth="1"/>
    <col min="24" max="24" width="9" style="225" customWidth="1"/>
    <col min="25" max="25" width="9.7109375" style="225" bestFit="1" customWidth="1"/>
    <col min="26" max="27" width="9.42578125" style="225" bestFit="1" customWidth="1"/>
    <col min="28" max="28" width="9.7109375" style="225" bestFit="1" customWidth="1"/>
    <col min="29" max="29" width="9.28515625" style="225" customWidth="1"/>
    <col min="30" max="30" width="9" style="225" bestFit="1" customWidth="1"/>
    <col min="31" max="31" width="9.42578125" style="225" customWidth="1"/>
    <col min="32" max="32" width="7.28515625" style="225" customWidth="1"/>
    <col min="33" max="33" width="12.85546875" style="225" customWidth="1"/>
    <col min="34" max="36" width="8.85546875" style="225"/>
    <col min="37" max="37" width="13.42578125" style="225" bestFit="1" customWidth="1"/>
    <col min="38" max="38" width="8.85546875" style="225"/>
    <col min="39" max="39" width="15.85546875" style="225" bestFit="1" customWidth="1"/>
    <col min="40" max="16384" width="8.85546875" style="225"/>
  </cols>
  <sheetData>
    <row r="1" spans="2:35" ht="20.100000000000001" x14ac:dyDescent="0.2">
      <c r="B1" s="7" t="s">
        <v>0</v>
      </c>
      <c r="C1" s="276" t="s">
        <v>133</v>
      </c>
      <c r="D1" s="319"/>
      <c r="E1" s="319"/>
      <c r="F1" s="319"/>
      <c r="G1" s="319"/>
      <c r="H1" s="319"/>
      <c r="I1" s="319"/>
      <c r="J1" s="319"/>
      <c r="K1" s="319"/>
      <c r="R1" s="6"/>
      <c r="AG1" s="6"/>
    </row>
    <row r="2" spans="2:35" ht="20.100000000000001" x14ac:dyDescent="0.2">
      <c r="R2" s="6"/>
      <c r="W2" s="7" t="s">
        <v>0</v>
      </c>
      <c r="X2" s="276" t="s">
        <v>134</v>
      </c>
      <c r="Y2" s="319"/>
      <c r="Z2" s="319"/>
      <c r="AA2" s="319"/>
      <c r="AB2" s="319"/>
      <c r="AC2" s="319"/>
      <c r="AD2" s="319"/>
      <c r="AE2" s="319"/>
      <c r="AF2" s="319"/>
    </row>
    <row r="3" spans="2:35" x14ac:dyDescent="0.2">
      <c r="B3" s="9" t="s">
        <v>1</v>
      </c>
      <c r="C3" s="278" t="str">
        <f>C1</f>
        <v>Biogas, upgrading</v>
      </c>
      <c r="D3" s="279"/>
      <c r="E3" s="279"/>
      <c r="F3" s="279"/>
      <c r="G3" s="279"/>
      <c r="H3" s="279"/>
      <c r="I3" s="279"/>
      <c r="J3" s="279"/>
      <c r="K3" s="279"/>
      <c r="L3" s="280"/>
      <c r="R3" s="6"/>
      <c r="W3" s="9" t="s">
        <v>1</v>
      </c>
      <c r="X3" s="278" t="str">
        <f>X2</f>
        <v>Biogas upgrading</v>
      </c>
      <c r="Y3" s="279"/>
      <c r="Z3" s="279"/>
      <c r="AA3" s="279"/>
      <c r="AB3" s="279"/>
      <c r="AC3" s="279"/>
      <c r="AD3" s="279"/>
      <c r="AE3" s="279"/>
      <c r="AF3" s="279"/>
      <c r="AG3" s="280"/>
    </row>
    <row r="4" spans="2:35" x14ac:dyDescent="0.2">
      <c r="B4" s="10"/>
      <c r="C4" s="11">
        <v>2015</v>
      </c>
      <c r="D4" s="11">
        <v>2020</v>
      </c>
      <c r="E4" s="11">
        <v>2030</v>
      </c>
      <c r="F4" s="11">
        <v>2050</v>
      </c>
      <c r="G4" s="278" t="s">
        <v>2</v>
      </c>
      <c r="H4" s="281"/>
      <c r="I4" s="278" t="s">
        <v>3</v>
      </c>
      <c r="J4" s="281"/>
      <c r="K4" s="11" t="s">
        <v>4</v>
      </c>
      <c r="L4" s="11" t="s">
        <v>5</v>
      </c>
      <c r="R4" s="6"/>
      <c r="W4" s="10"/>
      <c r="X4" s="11">
        <v>2015</v>
      </c>
      <c r="Y4" s="11">
        <v>2020</v>
      </c>
      <c r="Z4" s="11">
        <v>2030</v>
      </c>
      <c r="AA4" s="11">
        <v>2050</v>
      </c>
      <c r="AB4" s="278" t="s">
        <v>2</v>
      </c>
      <c r="AC4" s="281"/>
      <c r="AD4" s="278" t="s">
        <v>3</v>
      </c>
      <c r="AE4" s="281"/>
      <c r="AF4" s="11" t="s">
        <v>4</v>
      </c>
      <c r="AG4" s="11" t="s">
        <v>5</v>
      </c>
    </row>
    <row r="5" spans="2:35" x14ac:dyDescent="0.2">
      <c r="B5" s="38" t="s">
        <v>135</v>
      </c>
      <c r="C5" s="39"/>
      <c r="D5" s="39"/>
      <c r="E5" s="39"/>
      <c r="F5" s="39"/>
      <c r="G5" s="39" t="s">
        <v>6</v>
      </c>
      <c r="H5" s="39" t="s">
        <v>7</v>
      </c>
      <c r="I5" s="39" t="s">
        <v>6</v>
      </c>
      <c r="J5" s="39" t="s">
        <v>7</v>
      </c>
      <c r="K5" s="39"/>
      <c r="L5" s="40"/>
      <c r="R5" s="6"/>
      <c r="W5" s="205" t="s">
        <v>27</v>
      </c>
      <c r="X5" s="206"/>
      <c r="Y5" s="206"/>
      <c r="Z5" s="206"/>
      <c r="AA5" s="206"/>
      <c r="AB5" s="206" t="s">
        <v>6</v>
      </c>
      <c r="AC5" s="206" t="s">
        <v>7</v>
      </c>
      <c r="AD5" s="206" t="s">
        <v>6</v>
      </c>
      <c r="AE5" s="206" t="s">
        <v>7</v>
      </c>
      <c r="AF5" s="206"/>
      <c r="AG5" s="207"/>
    </row>
    <row r="6" spans="2:35" x14ac:dyDescent="0.2">
      <c r="B6" s="38" t="s">
        <v>136</v>
      </c>
      <c r="C6" s="314">
        <v>1000</v>
      </c>
      <c r="D6" s="315"/>
      <c r="E6" s="279"/>
      <c r="F6" s="280"/>
      <c r="G6" s="17"/>
      <c r="H6" s="17"/>
      <c r="I6" s="17"/>
      <c r="J6" s="17"/>
      <c r="K6" s="158" t="s">
        <v>24</v>
      </c>
      <c r="L6" s="208"/>
      <c r="R6" s="6"/>
      <c r="W6" s="12" t="s">
        <v>137</v>
      </c>
      <c r="X6" s="66">
        <f>C10</f>
        <v>5.92218</v>
      </c>
      <c r="Y6" s="66">
        <f>X6</f>
        <v>5.92218</v>
      </c>
      <c r="Z6" s="66">
        <f>Y6</f>
        <v>5.92218</v>
      </c>
      <c r="AA6" s="66">
        <f>Z6</f>
        <v>5.92218</v>
      </c>
      <c r="AB6" s="158"/>
      <c r="AC6" s="158"/>
      <c r="AD6" s="158"/>
      <c r="AE6" s="158"/>
      <c r="AF6" s="158" t="s">
        <v>138</v>
      </c>
      <c r="AG6" s="158"/>
    </row>
    <row r="7" spans="2:35" x14ac:dyDescent="0.2">
      <c r="B7" s="12" t="s">
        <v>139</v>
      </c>
      <c r="C7" s="314">
        <f>C6*0.6*C15/100</f>
        <v>594</v>
      </c>
      <c r="D7" s="315"/>
      <c r="E7" s="279"/>
      <c r="F7" s="280"/>
      <c r="G7" s="13"/>
      <c r="H7" s="13"/>
      <c r="I7" s="13"/>
      <c r="J7" s="13"/>
      <c r="K7" s="158" t="s">
        <v>23</v>
      </c>
      <c r="L7" s="209"/>
      <c r="R7" s="6"/>
      <c r="W7" s="12" t="s">
        <v>140</v>
      </c>
      <c r="X7" s="226">
        <v>1000</v>
      </c>
      <c r="Y7" s="226">
        <v>1000</v>
      </c>
      <c r="Z7" s="158">
        <v>1000</v>
      </c>
      <c r="AA7" s="158">
        <v>1000</v>
      </c>
      <c r="AB7" s="158"/>
      <c r="AC7" s="158"/>
      <c r="AD7" s="158"/>
      <c r="AE7" s="158"/>
      <c r="AF7" s="158" t="s">
        <v>23</v>
      </c>
      <c r="AG7" s="80" t="s">
        <v>141</v>
      </c>
    </row>
    <row r="8" spans="2:35" x14ac:dyDescent="0.2">
      <c r="B8" s="12"/>
      <c r="C8" s="227"/>
      <c r="D8" s="78"/>
      <c r="E8" s="200"/>
      <c r="F8" s="201"/>
      <c r="G8" s="13"/>
      <c r="H8" s="13"/>
      <c r="I8" s="13"/>
      <c r="J8" s="13"/>
      <c r="K8" s="158"/>
      <c r="L8" s="209"/>
      <c r="R8" s="6"/>
      <c r="W8" s="228" t="s">
        <v>142</v>
      </c>
      <c r="X8" s="226">
        <f>C7</f>
        <v>594</v>
      </c>
      <c r="Y8" s="226">
        <f>X8</f>
        <v>594</v>
      </c>
      <c r="Z8" s="226">
        <f>Y8</f>
        <v>594</v>
      </c>
      <c r="AA8" s="226">
        <f>Z8</f>
        <v>594</v>
      </c>
      <c r="AB8" s="158"/>
      <c r="AC8" s="158"/>
      <c r="AD8" s="158"/>
      <c r="AE8" s="158"/>
      <c r="AF8" s="158" t="s">
        <v>23</v>
      </c>
      <c r="AG8" s="158"/>
    </row>
    <row r="9" spans="2:35" x14ac:dyDescent="0.2">
      <c r="B9" s="12"/>
      <c r="C9" s="227"/>
      <c r="D9" s="78"/>
      <c r="E9" s="200"/>
      <c r="F9" s="201"/>
      <c r="G9" s="13"/>
      <c r="H9" s="13"/>
      <c r="I9" s="13"/>
      <c r="J9" s="13"/>
      <c r="K9" s="158"/>
      <c r="L9" s="209"/>
      <c r="R9" s="6"/>
      <c r="W9" s="229"/>
      <c r="X9" s="229"/>
      <c r="Y9" s="229"/>
      <c r="Z9" s="229"/>
      <c r="AA9" s="229"/>
      <c r="AB9" s="229"/>
      <c r="AC9" s="229"/>
      <c r="AD9" s="229"/>
      <c r="AE9" s="229"/>
      <c r="AF9" s="229"/>
      <c r="AG9" s="229"/>
    </row>
    <row r="10" spans="2:35" x14ac:dyDescent="0.2">
      <c r="B10" s="230" t="s">
        <v>143</v>
      </c>
      <c r="C10" s="231">
        <v>5.92218</v>
      </c>
      <c r="D10" s="232"/>
      <c r="E10" s="158"/>
      <c r="F10" s="158"/>
      <c r="G10" s="158"/>
      <c r="H10" s="158"/>
      <c r="I10" s="158"/>
      <c r="J10" s="158"/>
      <c r="K10" s="158" t="s">
        <v>24</v>
      </c>
      <c r="L10" s="158"/>
      <c r="R10" s="6"/>
      <c r="W10" s="41" t="s">
        <v>28</v>
      </c>
      <c r="X10" s="158"/>
      <c r="Y10" s="158"/>
      <c r="Z10" s="158"/>
      <c r="AA10" s="158"/>
      <c r="AB10" s="158"/>
      <c r="AC10" s="158"/>
      <c r="AD10" s="158"/>
      <c r="AE10" s="158"/>
      <c r="AF10" s="158"/>
      <c r="AG10" s="158"/>
    </row>
    <row r="11" spans="2:35" x14ac:dyDescent="0.2">
      <c r="B11" s="12" t="s">
        <v>144</v>
      </c>
      <c r="C11" s="233">
        <v>0.01</v>
      </c>
      <c r="D11" s="234"/>
      <c r="E11" s="158"/>
      <c r="F11" s="158"/>
      <c r="G11" s="158"/>
      <c r="H11" s="158"/>
      <c r="I11" s="158"/>
      <c r="J11" s="158"/>
      <c r="K11" s="158" t="s">
        <v>8</v>
      </c>
      <c r="L11" s="209" t="s">
        <v>145</v>
      </c>
      <c r="R11" s="6"/>
      <c r="W11" s="12" t="s">
        <v>146</v>
      </c>
      <c r="X11" s="233">
        <v>1</v>
      </c>
      <c r="Y11" s="235">
        <v>100</v>
      </c>
      <c r="Z11" s="235">
        <v>100</v>
      </c>
      <c r="AA11" s="235">
        <v>100</v>
      </c>
      <c r="AB11" s="158"/>
      <c r="AC11" s="158"/>
      <c r="AD11" s="158"/>
      <c r="AE11" s="158"/>
      <c r="AF11" s="158"/>
      <c r="AG11" s="158"/>
    </row>
    <row r="12" spans="2:35" x14ac:dyDescent="0.2">
      <c r="B12" s="12" t="s">
        <v>147</v>
      </c>
      <c r="C12" s="158">
        <v>0.43</v>
      </c>
      <c r="D12" s="158"/>
      <c r="E12" s="158"/>
      <c r="F12" s="158"/>
      <c r="G12" s="158"/>
      <c r="H12" s="158"/>
      <c r="I12" s="158"/>
      <c r="J12" s="158"/>
      <c r="K12" s="158" t="s">
        <v>148</v>
      </c>
      <c r="L12" s="209" t="s">
        <v>149</v>
      </c>
      <c r="R12" s="6"/>
      <c r="W12" s="12" t="s">
        <v>150</v>
      </c>
      <c r="X12" s="236">
        <v>4.3129388164493486E-2</v>
      </c>
      <c r="Y12" s="236">
        <f>X12</f>
        <v>4.3129388164493486E-2</v>
      </c>
      <c r="Z12" s="236">
        <f>Y12/2</f>
        <v>2.1564694082246743E-2</v>
      </c>
      <c r="AA12" s="236">
        <f>Z12</f>
        <v>2.1564694082246743E-2</v>
      </c>
      <c r="AB12" s="233">
        <f>X12*3/4</f>
        <v>3.2347041123370113E-2</v>
      </c>
      <c r="AC12" s="214">
        <f>X12</f>
        <v>4.3129388164493486E-2</v>
      </c>
      <c r="AD12" s="236">
        <f>AA12*3/4</f>
        <v>1.6173520561685056E-2</v>
      </c>
      <c r="AE12" s="236">
        <f>AA12*1.5</f>
        <v>3.2347041123370113E-2</v>
      </c>
      <c r="AF12" s="158" t="s">
        <v>151</v>
      </c>
      <c r="AG12" s="80" t="s">
        <v>152</v>
      </c>
    </row>
    <row r="13" spans="2:35" x14ac:dyDescent="0.2">
      <c r="B13" s="12" t="s">
        <v>153</v>
      </c>
      <c r="C13" s="158">
        <v>0.1</v>
      </c>
      <c r="D13" s="158"/>
      <c r="E13" s="158"/>
      <c r="F13" s="158"/>
      <c r="G13" s="158"/>
      <c r="H13" s="158"/>
      <c r="I13" s="158"/>
      <c r="J13" s="158"/>
      <c r="K13" s="158" t="s">
        <v>20</v>
      </c>
      <c r="L13" s="209" t="s">
        <v>154</v>
      </c>
      <c r="R13" s="6"/>
      <c r="W13" s="228" t="s">
        <v>155</v>
      </c>
      <c r="X13" s="236">
        <f>C13*$C$7/X6/1000</f>
        <v>1.0030090270812439E-2</v>
      </c>
      <c r="Y13" s="236">
        <f>X13</f>
        <v>1.0030090270812439E-2</v>
      </c>
      <c r="Z13" s="236">
        <f>Y13</f>
        <v>1.0030090270812439E-2</v>
      </c>
      <c r="AA13" s="236">
        <f>Z13</f>
        <v>1.0030090270812439E-2</v>
      </c>
      <c r="AB13" s="229"/>
      <c r="AC13" s="229"/>
      <c r="AD13" s="229"/>
      <c r="AE13" s="229"/>
      <c r="AF13" s="237" t="s">
        <v>156</v>
      </c>
      <c r="AG13" s="80" t="s">
        <v>157</v>
      </c>
    </row>
    <row r="14" spans="2:35" x14ac:dyDescent="0.2">
      <c r="B14" s="12" t="s">
        <v>158</v>
      </c>
      <c r="C14" s="235">
        <v>0</v>
      </c>
      <c r="D14" s="235"/>
      <c r="E14" s="158"/>
      <c r="F14" s="158"/>
      <c r="G14" s="158"/>
      <c r="H14" s="158"/>
      <c r="I14" s="158"/>
      <c r="J14" s="158"/>
      <c r="K14" s="158"/>
      <c r="L14" s="209" t="s">
        <v>159</v>
      </c>
      <c r="R14" s="6"/>
      <c r="W14" s="228" t="s">
        <v>160</v>
      </c>
      <c r="X14" s="236">
        <v>0</v>
      </c>
      <c r="Y14" s="236">
        <f>X14</f>
        <v>0</v>
      </c>
      <c r="Z14" s="236">
        <f>Y14</f>
        <v>0</v>
      </c>
      <c r="AA14" s="236">
        <f>Z14</f>
        <v>0</v>
      </c>
      <c r="AB14" s="229"/>
      <c r="AC14" s="229"/>
      <c r="AD14" s="229"/>
      <c r="AE14" s="229"/>
      <c r="AF14" s="237"/>
      <c r="AG14" s="80" t="s">
        <v>157</v>
      </c>
      <c r="AI14" s="225" t="s">
        <v>161</v>
      </c>
    </row>
    <row r="15" spans="2:35" x14ac:dyDescent="0.2">
      <c r="B15" s="12" t="s">
        <v>162</v>
      </c>
      <c r="C15" s="158">
        <v>99</v>
      </c>
      <c r="D15" s="158"/>
      <c r="E15" s="158"/>
      <c r="F15" s="158"/>
      <c r="G15" s="158"/>
      <c r="H15" s="158"/>
      <c r="I15" s="158"/>
      <c r="J15" s="158"/>
      <c r="K15" s="158"/>
      <c r="L15" s="209" t="s">
        <v>163</v>
      </c>
      <c r="R15" s="6"/>
      <c r="W15" s="12"/>
      <c r="X15" s="238"/>
      <c r="Y15" s="238"/>
      <c r="Z15" s="238"/>
      <c r="AA15" s="238"/>
      <c r="AB15" s="213"/>
      <c r="AC15" s="213"/>
      <c r="AD15" s="158"/>
      <c r="AE15" s="158"/>
      <c r="AF15" s="158"/>
      <c r="AG15" s="158"/>
    </row>
    <row r="16" spans="2:35" x14ac:dyDescent="0.2">
      <c r="B16" s="12" t="s">
        <v>164</v>
      </c>
      <c r="C16" s="158">
        <v>98.5</v>
      </c>
      <c r="D16" s="158"/>
      <c r="E16" s="158"/>
      <c r="F16" s="158"/>
      <c r="G16" s="158"/>
      <c r="H16" s="158"/>
      <c r="I16" s="158"/>
      <c r="J16" s="158"/>
      <c r="K16" s="158"/>
      <c r="L16" s="158"/>
      <c r="R16" s="6"/>
      <c r="W16" s="41" t="s">
        <v>29</v>
      </c>
      <c r="X16" s="239"/>
      <c r="Y16" s="239"/>
      <c r="Z16" s="239"/>
      <c r="AA16" s="239"/>
      <c r="AB16" s="158"/>
      <c r="AC16" s="158"/>
      <c r="AD16" s="158"/>
      <c r="AE16" s="158"/>
      <c r="AF16" s="158"/>
      <c r="AG16" s="240"/>
    </row>
    <row r="17" spans="2:39" x14ac:dyDescent="0.2">
      <c r="B17" s="12" t="s">
        <v>165</v>
      </c>
      <c r="C17" s="158">
        <v>96</v>
      </c>
      <c r="D17" s="158"/>
      <c r="E17" s="158"/>
      <c r="F17" s="158"/>
      <c r="G17" s="158"/>
      <c r="H17" s="158"/>
      <c r="I17" s="158"/>
      <c r="J17" s="158"/>
      <c r="K17" s="158"/>
      <c r="L17" s="158"/>
      <c r="R17" s="6"/>
      <c r="W17" s="241" t="s">
        <v>166</v>
      </c>
      <c r="X17" s="242">
        <f>C15/100</f>
        <v>0.99</v>
      </c>
      <c r="Y17" s="238">
        <f>X17</f>
        <v>0.99</v>
      </c>
      <c r="Z17" s="238">
        <v>1</v>
      </c>
      <c r="AA17" s="238">
        <f>Z17</f>
        <v>1</v>
      </c>
      <c r="AB17" s="158"/>
      <c r="AC17" s="158"/>
      <c r="AD17" s="158"/>
      <c r="AE17" s="158"/>
      <c r="AF17" s="158" t="s">
        <v>36</v>
      </c>
      <c r="AG17" s="80">
        <v>2</v>
      </c>
    </row>
    <row r="18" spans="2:39" x14ac:dyDescent="0.2">
      <c r="B18" s="10" t="s">
        <v>167</v>
      </c>
      <c r="C18" s="158">
        <v>1</v>
      </c>
      <c r="D18" s="158"/>
      <c r="E18" s="158"/>
      <c r="F18" s="158"/>
      <c r="G18" s="158"/>
      <c r="H18" s="158"/>
      <c r="I18" s="13"/>
      <c r="J18" s="13"/>
      <c r="K18" s="13"/>
      <c r="L18" s="158"/>
      <c r="R18" s="6"/>
      <c r="W18" s="12" t="s">
        <v>168</v>
      </c>
      <c r="X18" s="238">
        <v>0.01</v>
      </c>
      <c r="Y18" s="243">
        <f>X18</f>
        <v>0.01</v>
      </c>
      <c r="Z18" s="244">
        <v>1E-3</v>
      </c>
      <c r="AA18" s="244">
        <f>Z18</f>
        <v>1E-3</v>
      </c>
      <c r="AB18" s="158"/>
      <c r="AC18" s="158"/>
      <c r="AD18" s="158"/>
      <c r="AE18" s="158"/>
      <c r="AF18" s="158" t="s">
        <v>36</v>
      </c>
      <c r="AG18" s="80"/>
    </row>
    <row r="19" spans="2:39" x14ac:dyDescent="0.2">
      <c r="B19" s="10"/>
      <c r="C19" s="13"/>
      <c r="D19" s="13"/>
      <c r="E19" s="13"/>
      <c r="F19" s="13"/>
      <c r="G19" s="13"/>
      <c r="H19" s="13"/>
      <c r="I19" s="13"/>
      <c r="J19" s="13"/>
      <c r="K19" s="13"/>
      <c r="L19" s="13"/>
      <c r="R19" s="6"/>
      <c r="W19" s="12" t="s">
        <v>169</v>
      </c>
      <c r="X19" s="242">
        <v>5.2999999999999999E-2</v>
      </c>
      <c r="Y19" s="244">
        <v>5.2999999999999999E-2</v>
      </c>
      <c r="Z19" s="244">
        <v>3.2000000000000001E-2</v>
      </c>
      <c r="AA19" s="244">
        <v>3.2000000000000001E-2</v>
      </c>
      <c r="AB19" s="158"/>
      <c r="AC19" s="158"/>
      <c r="AD19" s="158"/>
      <c r="AE19" s="158"/>
      <c r="AF19" s="158"/>
      <c r="AG19" s="80"/>
    </row>
    <row r="20" spans="2:39" x14ac:dyDescent="0.2">
      <c r="B20" s="10" t="s">
        <v>9</v>
      </c>
      <c r="C20" s="13">
        <v>15</v>
      </c>
      <c r="D20" s="13">
        <v>15</v>
      </c>
      <c r="E20" s="13">
        <v>15</v>
      </c>
      <c r="F20" s="13">
        <v>15</v>
      </c>
      <c r="G20" s="13"/>
      <c r="H20" s="13"/>
      <c r="I20" s="13"/>
      <c r="J20" s="13"/>
      <c r="K20" s="13"/>
      <c r="L20" s="13">
        <v>2</v>
      </c>
      <c r="R20" s="6"/>
      <c r="W20" s="229"/>
      <c r="Y20" s="245"/>
      <c r="Z20" s="245"/>
      <c r="AA20" s="245"/>
      <c r="AB20" s="158"/>
      <c r="AC20" s="158"/>
      <c r="AD20" s="158"/>
      <c r="AE20" s="158"/>
      <c r="AF20" s="158"/>
      <c r="AG20" s="240"/>
    </row>
    <row r="21" spans="2:39" x14ac:dyDescent="0.2">
      <c r="B21" s="10" t="s">
        <v>10</v>
      </c>
      <c r="C21" s="13">
        <v>0.5</v>
      </c>
      <c r="D21" s="13">
        <v>0.5</v>
      </c>
      <c r="E21" s="13">
        <v>0.5</v>
      </c>
      <c r="F21" s="13">
        <v>0.5</v>
      </c>
      <c r="G21" s="13"/>
      <c r="H21" s="13"/>
      <c r="I21" s="13"/>
      <c r="J21" s="13"/>
      <c r="K21" s="13"/>
      <c r="L21" s="158">
        <v>2</v>
      </c>
      <c r="R21" s="6"/>
      <c r="W21" s="12" t="s">
        <v>170</v>
      </c>
      <c r="X21" s="158">
        <v>1</v>
      </c>
      <c r="Y21" s="158">
        <f>X21</f>
        <v>1</v>
      </c>
      <c r="Z21" s="158">
        <f>Y21</f>
        <v>1</v>
      </c>
      <c r="AA21" s="158">
        <f>Z21</f>
        <v>1</v>
      </c>
      <c r="AB21" s="158"/>
      <c r="AC21" s="158"/>
      <c r="AD21" s="158"/>
      <c r="AE21" s="158"/>
      <c r="AF21" s="158"/>
      <c r="AG21" s="240"/>
    </row>
    <row r="22" spans="2:39" x14ac:dyDescent="0.2">
      <c r="B22" s="218" t="s">
        <v>171</v>
      </c>
      <c r="C22" s="158"/>
      <c r="D22" s="158"/>
      <c r="E22" s="158"/>
      <c r="F22" s="158"/>
      <c r="G22" s="158"/>
      <c r="H22" s="158"/>
      <c r="I22" s="13"/>
      <c r="J22" s="13"/>
      <c r="K22" s="13"/>
      <c r="L22" s="158"/>
      <c r="R22" s="6"/>
      <c r="W22" s="12" t="s">
        <v>167</v>
      </c>
      <c r="X22" s="158">
        <v>1</v>
      </c>
      <c r="Y22" s="158">
        <f t="shared" ref="Y22:AA24" si="0">X22</f>
        <v>1</v>
      </c>
      <c r="Z22" s="158">
        <f t="shared" si="0"/>
        <v>1</v>
      </c>
      <c r="AA22" s="158">
        <f t="shared" si="0"/>
        <v>1</v>
      </c>
      <c r="AB22" s="158"/>
      <c r="AC22" s="158"/>
      <c r="AD22" s="158"/>
      <c r="AE22" s="158"/>
      <c r="AF22" s="158"/>
      <c r="AG22" s="158"/>
    </row>
    <row r="23" spans="2:39" x14ac:dyDescent="0.2">
      <c r="B23" s="316" t="s">
        <v>172</v>
      </c>
      <c r="C23" s="317"/>
      <c r="D23" s="317"/>
      <c r="E23" s="317"/>
      <c r="F23" s="317"/>
      <c r="G23" s="317"/>
      <c r="H23" s="317"/>
      <c r="I23" s="317"/>
      <c r="J23" s="317"/>
      <c r="K23" s="317"/>
      <c r="L23" s="318"/>
      <c r="R23" s="6"/>
      <c r="W23" s="12" t="s">
        <v>9</v>
      </c>
      <c r="X23" s="158">
        <v>15</v>
      </c>
      <c r="Y23" s="158">
        <f t="shared" si="0"/>
        <v>15</v>
      </c>
      <c r="Z23" s="158">
        <f t="shared" si="0"/>
        <v>15</v>
      </c>
      <c r="AA23" s="158">
        <f t="shared" si="0"/>
        <v>15</v>
      </c>
      <c r="AB23" s="158"/>
      <c r="AC23" s="158"/>
      <c r="AD23" s="158"/>
      <c r="AE23" s="158"/>
      <c r="AF23" s="158"/>
      <c r="AG23" s="158"/>
    </row>
    <row r="24" spans="2:39" x14ac:dyDescent="0.2">
      <c r="B24" s="10" t="s">
        <v>173</v>
      </c>
      <c r="C24" s="158" t="s">
        <v>174</v>
      </c>
      <c r="D24" s="158"/>
      <c r="E24" s="158"/>
      <c r="F24" s="158"/>
      <c r="G24" s="158"/>
      <c r="H24" s="158"/>
      <c r="I24" s="13"/>
      <c r="J24" s="13"/>
      <c r="K24" s="13"/>
      <c r="L24" s="13"/>
      <c r="R24" s="6"/>
      <c r="W24" s="12" t="s">
        <v>10</v>
      </c>
      <c r="X24" s="158">
        <v>0.5</v>
      </c>
      <c r="Y24" s="158">
        <f t="shared" si="0"/>
        <v>0.5</v>
      </c>
      <c r="Z24" s="158">
        <f t="shared" si="0"/>
        <v>0.5</v>
      </c>
      <c r="AA24" s="158">
        <f t="shared" si="0"/>
        <v>0.5</v>
      </c>
      <c r="AB24" s="158"/>
      <c r="AC24" s="158"/>
      <c r="AD24" s="158"/>
      <c r="AE24" s="158"/>
      <c r="AF24" s="158"/>
      <c r="AG24" s="158"/>
    </row>
    <row r="25" spans="2:39" x14ac:dyDescent="0.2">
      <c r="B25" s="10" t="s">
        <v>175</v>
      </c>
      <c r="C25" s="158" t="s">
        <v>174</v>
      </c>
      <c r="D25" s="158"/>
      <c r="E25" s="158"/>
      <c r="F25" s="158"/>
      <c r="G25" s="158"/>
      <c r="H25" s="158"/>
      <c r="I25" s="13"/>
      <c r="J25" s="13"/>
      <c r="K25" s="13"/>
      <c r="L25" s="13"/>
      <c r="R25" s="6"/>
      <c r="W25" s="12"/>
      <c r="X25" s="158"/>
      <c r="Y25" s="158"/>
      <c r="Z25" s="158"/>
      <c r="AA25" s="158"/>
      <c r="AB25" s="158"/>
      <c r="AC25" s="158"/>
      <c r="AD25" s="158"/>
      <c r="AE25" s="158"/>
      <c r="AF25" s="158"/>
      <c r="AG25" s="158"/>
    </row>
    <row r="26" spans="2:39" x14ac:dyDescent="0.2">
      <c r="B26" s="10" t="s">
        <v>176</v>
      </c>
      <c r="C26" s="158">
        <v>50</v>
      </c>
      <c r="D26" s="158"/>
      <c r="E26" s="158"/>
      <c r="F26" s="158"/>
      <c r="G26" s="158"/>
      <c r="H26" s="158"/>
      <c r="I26" s="13"/>
      <c r="J26" s="13"/>
      <c r="K26" s="13"/>
      <c r="L26" s="13">
        <v>5</v>
      </c>
      <c r="R26" s="6"/>
      <c r="W26" s="9" t="s">
        <v>11</v>
      </c>
      <c r="X26" s="9"/>
      <c r="Y26" s="9"/>
      <c r="Z26" s="9"/>
      <c r="AA26" s="9"/>
      <c r="AB26" s="9"/>
      <c r="AC26" s="9"/>
      <c r="AD26" s="9"/>
      <c r="AE26" s="9"/>
      <c r="AF26" s="203"/>
      <c r="AG26" s="203"/>
    </row>
    <row r="27" spans="2:39" ht="24" x14ac:dyDescent="0.25">
      <c r="B27" s="10" t="s">
        <v>177</v>
      </c>
      <c r="C27" s="158" t="s">
        <v>174</v>
      </c>
      <c r="D27" s="158"/>
      <c r="E27" s="158"/>
      <c r="F27" s="158"/>
      <c r="G27" s="158"/>
      <c r="H27" s="158"/>
      <c r="I27" s="13"/>
      <c r="J27" s="13"/>
      <c r="K27" s="13"/>
      <c r="L27" s="13"/>
      <c r="R27" s="6"/>
      <c r="W27" s="12" t="s">
        <v>178</v>
      </c>
      <c r="X27" s="246">
        <v>335000</v>
      </c>
      <c r="Y27" s="246">
        <f t="shared" ref="Y27:AA28" si="1">ROUND(X27*0.9,-3)</f>
        <v>302000</v>
      </c>
      <c r="Z27" s="246">
        <f t="shared" si="1"/>
        <v>272000</v>
      </c>
      <c r="AA27" s="246">
        <f t="shared" si="1"/>
        <v>245000</v>
      </c>
      <c r="AB27" s="246">
        <f>ROUND(X27*0.8,-3)</f>
        <v>268000</v>
      </c>
      <c r="AC27" s="246">
        <f>ROUND(X27*0.95,-3)</f>
        <v>318000</v>
      </c>
      <c r="AD27" s="246">
        <f>ROUND(X27*(0.8*0.8*0.8),-3)</f>
        <v>172000</v>
      </c>
      <c r="AE27" s="246">
        <f>ROUND(X27*(0.95*0.95*0.95),-3)</f>
        <v>287000</v>
      </c>
      <c r="AF27" s="158" t="s">
        <v>179</v>
      </c>
      <c r="AG27" s="48" t="s">
        <v>180</v>
      </c>
      <c r="AK27" s="247"/>
      <c r="AM27" s="248"/>
    </row>
    <row r="28" spans="2:39" x14ac:dyDescent="0.25">
      <c r="B28" s="10" t="s">
        <v>181</v>
      </c>
      <c r="C28" s="158" t="s">
        <v>174</v>
      </c>
      <c r="D28" s="158"/>
      <c r="E28" s="158"/>
      <c r="F28" s="158"/>
      <c r="G28" s="158"/>
      <c r="H28" s="158"/>
      <c r="I28" s="13"/>
      <c r="J28" s="13"/>
      <c r="K28" s="13"/>
      <c r="L28" s="13"/>
      <c r="R28" s="6"/>
      <c r="W28" s="12" t="s">
        <v>182</v>
      </c>
      <c r="X28" s="246">
        <v>134000</v>
      </c>
      <c r="Y28" s="246">
        <f t="shared" si="1"/>
        <v>121000</v>
      </c>
      <c r="Z28" s="246">
        <f t="shared" si="1"/>
        <v>109000</v>
      </c>
      <c r="AA28" s="246">
        <f t="shared" si="1"/>
        <v>98000</v>
      </c>
      <c r="AB28" s="246">
        <f>ROUND(X28*0.8,-3)</f>
        <v>107000</v>
      </c>
      <c r="AC28" s="246">
        <f>ROUND(X28*0.95,-3)</f>
        <v>127000</v>
      </c>
      <c r="AD28" s="210">
        <f>ROUND(X28*(0.8*0.8*0.8),-3)</f>
        <v>69000</v>
      </c>
      <c r="AE28" s="210">
        <f>ROUND(X28*(0.95*0.95*0.95),-3)</f>
        <v>115000</v>
      </c>
      <c r="AF28" s="158" t="s">
        <v>20</v>
      </c>
      <c r="AG28" s="158">
        <v>5</v>
      </c>
      <c r="AK28" s="247"/>
      <c r="AM28" s="249"/>
    </row>
    <row r="29" spans="2:39" x14ac:dyDescent="0.2">
      <c r="B29" s="316" t="s">
        <v>183</v>
      </c>
      <c r="C29" s="317"/>
      <c r="D29" s="317"/>
      <c r="E29" s="317"/>
      <c r="F29" s="317"/>
      <c r="G29" s="317"/>
      <c r="H29" s="317"/>
      <c r="I29" s="317"/>
      <c r="J29" s="317"/>
      <c r="K29" s="317"/>
      <c r="L29" s="318"/>
      <c r="R29" s="6"/>
      <c r="W29" s="12"/>
      <c r="X29" s="250"/>
      <c r="Y29" s="250"/>
      <c r="Z29" s="250"/>
      <c r="AA29" s="250"/>
      <c r="AB29" s="158"/>
      <c r="AC29" s="158"/>
      <c r="AD29" s="158"/>
      <c r="AE29" s="158"/>
      <c r="AF29" s="158"/>
      <c r="AG29" s="158"/>
    </row>
    <row r="30" spans="2:39" x14ac:dyDescent="0.25">
      <c r="B30" s="10" t="s">
        <v>184</v>
      </c>
      <c r="C30" s="158"/>
      <c r="D30" s="39"/>
      <c r="E30" s="39"/>
      <c r="F30" s="39"/>
      <c r="G30" s="39"/>
      <c r="H30" s="39"/>
      <c r="I30" s="17"/>
      <c r="J30" s="17"/>
      <c r="K30" s="39"/>
      <c r="L30" s="251"/>
      <c r="R30" s="6"/>
      <c r="W30" s="12" t="s">
        <v>185</v>
      </c>
      <c r="X30" s="252">
        <f>X31+X32</f>
        <v>11800</v>
      </c>
      <c r="Y30" s="252">
        <f>Y31+Y32</f>
        <v>10600</v>
      </c>
      <c r="Z30" s="252">
        <f t="shared" ref="Z30:AE30" si="2">Z31+Z32</f>
        <v>9500</v>
      </c>
      <c r="AA30" s="252">
        <f t="shared" si="2"/>
        <v>8600</v>
      </c>
      <c r="AB30" s="252">
        <f t="shared" si="2"/>
        <v>9400</v>
      </c>
      <c r="AC30" s="252">
        <f t="shared" si="2"/>
        <v>11200</v>
      </c>
      <c r="AD30" s="252">
        <f t="shared" si="2"/>
        <v>6000</v>
      </c>
      <c r="AE30" s="252">
        <f t="shared" si="2"/>
        <v>10100</v>
      </c>
      <c r="AF30" s="237"/>
      <c r="AG30" s="237">
        <v>2</v>
      </c>
    </row>
    <row r="31" spans="2:39" ht="24" x14ac:dyDescent="0.25">
      <c r="B31" s="10" t="s">
        <v>186</v>
      </c>
      <c r="C31" s="158"/>
      <c r="D31" s="158"/>
      <c r="E31" s="158"/>
      <c r="F31" s="158"/>
      <c r="G31" s="158"/>
      <c r="H31" s="158"/>
      <c r="I31" s="13"/>
      <c r="J31" s="13"/>
      <c r="K31" s="158"/>
      <c r="L31" s="15"/>
      <c r="R31" s="6"/>
      <c r="W31" s="241" t="s">
        <v>187</v>
      </c>
      <c r="X31" s="252">
        <f t="shared" ref="X31:AE31" si="3">ROUND(0.025*X27,-2)</f>
        <v>8400</v>
      </c>
      <c r="Y31" s="252">
        <f t="shared" si="3"/>
        <v>7600</v>
      </c>
      <c r="Z31" s="252">
        <f t="shared" si="3"/>
        <v>6800</v>
      </c>
      <c r="AA31" s="252">
        <f t="shared" si="3"/>
        <v>6100</v>
      </c>
      <c r="AB31" s="252">
        <f t="shared" si="3"/>
        <v>6700</v>
      </c>
      <c r="AC31" s="252">
        <f t="shared" si="3"/>
        <v>8000</v>
      </c>
      <c r="AD31" s="252">
        <f t="shared" si="3"/>
        <v>4300</v>
      </c>
      <c r="AE31" s="252">
        <f t="shared" si="3"/>
        <v>7200</v>
      </c>
      <c r="AF31" s="237"/>
      <c r="AG31" s="237">
        <v>2</v>
      </c>
    </row>
    <row r="32" spans="2:39" ht="24" x14ac:dyDescent="0.25">
      <c r="B32" s="10" t="s">
        <v>188</v>
      </c>
      <c r="C32" s="158"/>
      <c r="D32" s="158"/>
      <c r="E32" s="158"/>
      <c r="F32" s="158"/>
      <c r="G32" s="158"/>
      <c r="H32" s="158"/>
      <c r="I32" s="13"/>
      <c r="J32" s="13"/>
      <c r="K32" s="13"/>
      <c r="L32" s="158"/>
      <c r="R32" s="6"/>
      <c r="W32" s="241" t="s">
        <v>189</v>
      </c>
      <c r="X32" s="252">
        <f t="shared" ref="X32:AE32" si="4">ROUND(X28*0.025,-2)</f>
        <v>3400</v>
      </c>
      <c r="Y32" s="252">
        <f t="shared" si="4"/>
        <v>3000</v>
      </c>
      <c r="Z32" s="252">
        <f t="shared" si="4"/>
        <v>2700</v>
      </c>
      <c r="AA32" s="252">
        <f t="shared" si="4"/>
        <v>2500</v>
      </c>
      <c r="AB32" s="252">
        <f t="shared" si="4"/>
        <v>2700</v>
      </c>
      <c r="AC32" s="252">
        <f t="shared" si="4"/>
        <v>3200</v>
      </c>
      <c r="AD32" s="252">
        <f t="shared" si="4"/>
        <v>1700</v>
      </c>
      <c r="AE32" s="252">
        <f t="shared" si="4"/>
        <v>2900</v>
      </c>
      <c r="AF32" s="237" t="s">
        <v>25</v>
      </c>
      <c r="AG32" s="237">
        <v>2</v>
      </c>
    </row>
    <row r="33" spans="1:40" x14ac:dyDescent="0.25">
      <c r="B33" s="10" t="s">
        <v>190</v>
      </c>
      <c r="C33" s="158"/>
      <c r="D33" s="158"/>
      <c r="E33" s="158"/>
      <c r="F33" s="158"/>
      <c r="G33" s="158"/>
      <c r="H33" s="158"/>
      <c r="I33" s="18"/>
      <c r="J33" s="18"/>
      <c r="K33" s="13"/>
      <c r="L33" s="158"/>
      <c r="R33" s="6"/>
      <c r="W33" s="12" t="s">
        <v>191</v>
      </c>
      <c r="X33" s="253">
        <f>X34</f>
        <v>0.92999554218210201</v>
      </c>
      <c r="Y33" s="253">
        <f>Y34</f>
        <v>1.0252396077120252</v>
      </c>
      <c r="Z33" s="253">
        <f t="shared" ref="Z33:AA33" si="5">Z34</f>
        <v>0.88439067201604815</v>
      </c>
      <c r="AA33" s="253">
        <f t="shared" si="5"/>
        <v>1.0229689067201606</v>
      </c>
      <c r="AB33" s="229"/>
      <c r="AC33" s="229"/>
      <c r="AD33" s="229"/>
      <c r="AE33" s="229"/>
      <c r="AF33" s="237" t="s">
        <v>25</v>
      </c>
      <c r="AG33" s="237"/>
    </row>
    <row r="34" spans="1:40" x14ac:dyDescent="0.25">
      <c r="B34" s="10" t="s">
        <v>192</v>
      </c>
      <c r="C34" s="158"/>
      <c r="D34" s="158"/>
      <c r="E34" s="158"/>
      <c r="F34" s="158"/>
      <c r="G34" s="158"/>
      <c r="H34" s="158"/>
      <c r="I34" s="19"/>
      <c r="J34" s="19"/>
      <c r="K34" s="13"/>
      <c r="L34" s="158"/>
      <c r="R34" s="6"/>
      <c r="W34" s="241" t="s">
        <v>193</v>
      </c>
      <c r="X34" s="253">
        <v>0.92999554218210201</v>
      </c>
      <c r="Y34" s="253">
        <v>1.0252396077120252</v>
      </c>
      <c r="Z34" s="253">
        <v>0.88439067201604815</v>
      </c>
      <c r="AA34" s="253">
        <v>1.0229689067201606</v>
      </c>
      <c r="AB34" s="162"/>
      <c r="AC34" s="162"/>
      <c r="AD34" s="162"/>
      <c r="AE34" s="162"/>
      <c r="AF34" s="158" t="s">
        <v>19</v>
      </c>
      <c r="AG34" s="80" t="s">
        <v>194</v>
      </c>
    </row>
    <row r="35" spans="1:40" x14ac:dyDescent="0.2">
      <c r="B35" s="316" t="s">
        <v>11</v>
      </c>
      <c r="C35" s="317"/>
      <c r="D35" s="317"/>
      <c r="E35" s="317"/>
      <c r="F35" s="317"/>
      <c r="G35" s="317"/>
      <c r="H35" s="317"/>
      <c r="I35" s="317"/>
      <c r="J35" s="317"/>
      <c r="K35" s="317"/>
      <c r="L35" s="318"/>
      <c r="R35" s="6"/>
      <c r="W35" s="12"/>
      <c r="X35" s="211"/>
      <c r="Y35" s="211"/>
      <c r="Z35" s="211"/>
      <c r="AA35" s="211"/>
      <c r="AB35" s="61"/>
      <c r="AC35" s="61"/>
      <c r="AD35" s="229"/>
      <c r="AE35" s="229"/>
      <c r="AF35" s="237"/>
      <c r="AG35" s="56"/>
    </row>
    <row r="36" spans="1:40" ht="28.5" customHeight="1" x14ac:dyDescent="0.25">
      <c r="B36" s="10" t="s">
        <v>195</v>
      </c>
      <c r="C36" s="162">
        <v>3342.2459893048126</v>
      </c>
      <c r="D36" s="162"/>
      <c r="E36" s="254"/>
      <c r="F36" s="255"/>
      <c r="G36" s="255"/>
      <c r="H36" s="255"/>
      <c r="I36" s="255"/>
      <c r="J36" s="255"/>
      <c r="K36" s="13" t="s">
        <v>196</v>
      </c>
      <c r="L36" s="209" t="s">
        <v>197</v>
      </c>
      <c r="R36" s="6"/>
      <c r="W36" s="212" t="s">
        <v>198</v>
      </c>
      <c r="X36" s="211"/>
      <c r="Y36" s="211"/>
      <c r="Z36" s="211"/>
      <c r="AA36" s="211"/>
      <c r="AB36" s="61"/>
      <c r="AC36" s="61"/>
      <c r="AD36" s="229"/>
      <c r="AE36" s="229"/>
      <c r="AF36" s="237"/>
      <c r="AG36" s="237"/>
      <c r="AK36" s="256"/>
      <c r="AL36" s="256"/>
      <c r="AM36" s="256"/>
      <c r="AN36" s="256"/>
    </row>
    <row r="37" spans="1:40" ht="18" customHeight="1" x14ac:dyDescent="0.25">
      <c r="B37" s="10" t="s">
        <v>199</v>
      </c>
      <c r="C37" s="162">
        <v>1336.898395721925</v>
      </c>
      <c r="D37" s="13"/>
      <c r="E37" s="13"/>
      <c r="F37" s="13"/>
      <c r="G37" s="13"/>
      <c r="H37" s="13"/>
      <c r="I37" s="13"/>
      <c r="J37" s="13"/>
      <c r="K37" s="13" t="s">
        <v>156</v>
      </c>
      <c r="L37" s="13">
        <v>4</v>
      </c>
      <c r="R37" s="6"/>
      <c r="W37" s="12" t="s">
        <v>200</v>
      </c>
      <c r="X37" s="213">
        <f>X18</f>
        <v>0.01</v>
      </c>
      <c r="Y37" s="213">
        <f t="shared" ref="Y37:AA37" si="6">Y18</f>
        <v>0.01</v>
      </c>
      <c r="Z37" s="214">
        <f t="shared" si="6"/>
        <v>1E-3</v>
      </c>
      <c r="AA37" s="214">
        <f t="shared" si="6"/>
        <v>1E-3</v>
      </c>
      <c r="AB37" s="9"/>
      <c r="AC37" s="9"/>
      <c r="AD37" s="9"/>
      <c r="AE37" s="9"/>
      <c r="AF37" s="203" t="s">
        <v>36</v>
      </c>
      <c r="AG37" s="215">
        <v>2</v>
      </c>
    </row>
    <row r="38" spans="1:40" ht="16.5" customHeight="1" x14ac:dyDescent="0.2">
      <c r="B38" s="10" t="s">
        <v>201</v>
      </c>
      <c r="C38" s="162"/>
      <c r="D38" s="13"/>
      <c r="E38" s="13"/>
      <c r="F38" s="13"/>
      <c r="G38" s="13"/>
      <c r="H38" s="13"/>
      <c r="I38" s="13"/>
      <c r="J38" s="13"/>
      <c r="K38" s="13"/>
      <c r="L38" s="13"/>
      <c r="R38" s="6"/>
      <c r="W38" s="12" t="s">
        <v>176</v>
      </c>
      <c r="X38" s="158">
        <v>50</v>
      </c>
      <c r="Y38" s="229"/>
      <c r="Z38" s="229"/>
      <c r="AA38" s="229"/>
      <c r="AB38" s="229"/>
      <c r="AC38" s="229"/>
      <c r="AD38" s="229"/>
      <c r="AE38" s="229"/>
      <c r="AF38" s="237"/>
      <c r="AG38" s="237">
        <v>7</v>
      </c>
    </row>
    <row r="39" spans="1:40" ht="15" customHeight="1" x14ac:dyDescent="0.25">
      <c r="B39" s="10" t="s">
        <v>202</v>
      </c>
      <c r="C39" s="257">
        <f>C40+C41</f>
        <v>9.8463379430934278E-2</v>
      </c>
      <c r="D39" s="258"/>
      <c r="E39" s="158"/>
      <c r="F39" s="158"/>
      <c r="G39" s="158"/>
      <c r="H39" s="159"/>
      <c r="I39" s="13"/>
      <c r="J39" s="13"/>
      <c r="K39" s="13"/>
      <c r="L39" s="209"/>
      <c r="R39" s="6"/>
      <c r="W39" s="12" t="s">
        <v>164</v>
      </c>
      <c r="X39" s="158">
        <v>98.5</v>
      </c>
      <c r="Y39" s="158"/>
      <c r="Z39" s="158"/>
      <c r="AA39" s="158"/>
      <c r="AB39" s="158"/>
      <c r="AC39" s="158"/>
      <c r="AD39" s="158"/>
      <c r="AE39" s="158"/>
      <c r="AF39" s="158"/>
      <c r="AG39" s="158">
        <v>1</v>
      </c>
    </row>
    <row r="40" spans="1:40" hidden="1" x14ac:dyDescent="0.2">
      <c r="B40" s="259" t="s">
        <v>203</v>
      </c>
      <c r="C40" s="257">
        <v>1.1013379430934276E-2</v>
      </c>
      <c r="D40" s="260"/>
      <c r="E40" s="158"/>
      <c r="F40" s="13"/>
      <c r="G40" s="158"/>
      <c r="H40" s="158"/>
      <c r="I40" s="13"/>
      <c r="J40" s="13"/>
      <c r="K40" s="13" t="s">
        <v>26</v>
      </c>
      <c r="L40" s="209" t="s">
        <v>204</v>
      </c>
      <c r="R40" s="6"/>
      <c r="W40" s="202"/>
      <c r="X40" s="78"/>
      <c r="Y40" s="78"/>
      <c r="Z40" s="78"/>
      <c r="AA40" s="78"/>
      <c r="AB40" s="78"/>
      <c r="AC40" s="78"/>
      <c r="AD40" s="78"/>
      <c r="AE40" s="78"/>
      <c r="AF40" s="78"/>
      <c r="AG40" s="78"/>
    </row>
    <row r="41" spans="1:40" hidden="1" x14ac:dyDescent="0.2">
      <c r="B41" s="259" t="s">
        <v>205</v>
      </c>
      <c r="C41" s="257">
        <v>8.745E-2</v>
      </c>
      <c r="D41" s="260"/>
      <c r="E41" s="13"/>
      <c r="F41" s="13"/>
      <c r="G41" s="13"/>
      <c r="H41" s="13"/>
      <c r="I41" s="13"/>
      <c r="J41" s="13"/>
      <c r="K41" s="13" t="s">
        <v>206</v>
      </c>
      <c r="L41" s="209" t="s">
        <v>141</v>
      </c>
      <c r="R41" s="6"/>
      <c r="W41" s="202"/>
      <c r="X41" s="78"/>
      <c r="Y41" s="78"/>
      <c r="Z41" s="78"/>
      <c r="AA41" s="78"/>
      <c r="AB41" s="78"/>
      <c r="AC41" s="78"/>
      <c r="AD41" s="216"/>
      <c r="AE41" s="216"/>
      <c r="AF41" s="78"/>
      <c r="AG41" s="78"/>
    </row>
    <row r="42" spans="1:40" hidden="1" x14ac:dyDescent="0.2">
      <c r="B42" s="10"/>
      <c r="C42" s="162"/>
      <c r="D42" s="258"/>
      <c r="E42" s="13"/>
      <c r="F42" s="13"/>
      <c r="G42" s="13"/>
      <c r="H42" s="13"/>
      <c r="I42" s="13"/>
      <c r="J42" s="13"/>
      <c r="K42" s="158"/>
      <c r="L42" s="209"/>
      <c r="R42" s="6"/>
      <c r="W42" s="202"/>
      <c r="X42" s="78"/>
      <c r="Y42" s="78"/>
      <c r="Z42" s="78"/>
      <c r="AA42" s="78"/>
      <c r="AB42" s="78"/>
      <c r="AC42" s="78"/>
      <c r="AD42" s="217"/>
      <c r="AE42" s="217"/>
      <c r="AF42" s="78"/>
      <c r="AG42" s="78"/>
    </row>
    <row r="43" spans="1:40" ht="15" hidden="1" customHeight="1" x14ac:dyDescent="0.2">
      <c r="B43" s="10"/>
      <c r="C43" s="162"/>
      <c r="D43" s="261"/>
      <c r="E43" s="13"/>
      <c r="F43" s="13"/>
      <c r="G43" s="13"/>
      <c r="H43" s="13"/>
      <c r="I43" s="13"/>
      <c r="J43" s="13"/>
      <c r="K43" s="13"/>
      <c r="L43" s="209"/>
      <c r="R43" s="6"/>
    </row>
    <row r="44" spans="1:40" x14ac:dyDescent="0.2">
      <c r="B44" s="10"/>
      <c r="C44" s="162"/>
      <c r="D44" s="262"/>
      <c r="E44" s="18"/>
      <c r="F44" s="18"/>
      <c r="G44" s="18"/>
      <c r="H44" s="18"/>
      <c r="I44" s="18"/>
      <c r="J44" s="18"/>
      <c r="K44" s="13" t="s">
        <v>19</v>
      </c>
      <c r="L44" s="209" t="s">
        <v>141</v>
      </c>
      <c r="R44" s="6"/>
    </row>
    <row r="45" spans="1:40" hidden="1" x14ac:dyDescent="0.2">
      <c r="A45" s="20" t="s">
        <v>207</v>
      </c>
      <c r="B45" s="218"/>
      <c r="C45" s="21"/>
      <c r="D45" s="21"/>
      <c r="E45" s="21"/>
      <c r="F45" s="21"/>
      <c r="G45" s="21"/>
      <c r="H45" s="21"/>
      <c r="I45" s="21"/>
      <c r="J45" s="21"/>
      <c r="K45" s="21"/>
      <c r="L45" s="21"/>
      <c r="R45" s="20" t="s">
        <v>207</v>
      </c>
      <c r="S45" s="218"/>
      <c r="T45" s="21"/>
      <c r="U45" s="21"/>
      <c r="V45" s="21"/>
      <c r="W45" s="21"/>
      <c r="X45" s="21"/>
      <c r="Y45" s="21"/>
      <c r="Z45" s="21"/>
      <c r="AA45" s="21"/>
      <c r="AB45" s="21"/>
      <c r="AC45" s="21"/>
    </row>
    <row r="46" spans="1:40" ht="27" hidden="1" customHeight="1" x14ac:dyDescent="0.2">
      <c r="A46" s="219">
        <v>1</v>
      </c>
      <c r="B46" s="312" t="s">
        <v>208</v>
      </c>
      <c r="C46" s="313"/>
      <c r="D46" s="313"/>
      <c r="E46" s="313"/>
      <c r="F46" s="313"/>
      <c r="G46" s="313"/>
      <c r="H46" s="313"/>
      <c r="I46" s="313"/>
      <c r="J46" s="313"/>
      <c r="K46" s="313"/>
      <c r="L46" s="313"/>
      <c r="R46" s="219">
        <v>1</v>
      </c>
      <c r="S46" s="312" t="s">
        <v>209</v>
      </c>
      <c r="T46" s="313"/>
      <c r="U46" s="313"/>
      <c r="V46" s="313"/>
      <c r="W46" s="313"/>
      <c r="X46" s="313"/>
      <c r="Y46" s="313"/>
      <c r="Z46" s="313"/>
      <c r="AA46" s="313"/>
      <c r="AB46" s="313"/>
      <c r="AC46" s="313"/>
    </row>
    <row r="47" spans="1:40" ht="12.75" hidden="1" customHeight="1" x14ac:dyDescent="0.2">
      <c r="A47" s="219">
        <v>2</v>
      </c>
      <c r="B47" s="263" t="s">
        <v>210</v>
      </c>
      <c r="R47" s="219">
        <v>2</v>
      </c>
      <c r="S47" s="263" t="s">
        <v>210</v>
      </c>
      <c r="T47" s="6"/>
      <c r="U47" s="6"/>
      <c r="V47" s="6"/>
      <c r="W47" s="263" t="s">
        <v>211</v>
      </c>
      <c r="X47" s="6"/>
      <c r="Y47" s="6"/>
      <c r="Z47" s="6"/>
      <c r="AA47" s="6"/>
      <c r="AB47" s="6"/>
      <c r="AC47" s="6"/>
    </row>
    <row r="48" spans="1:40" ht="24" hidden="1" customHeight="1" x14ac:dyDescent="0.2">
      <c r="A48" s="220">
        <v>3</v>
      </c>
      <c r="B48" s="312" t="s">
        <v>212</v>
      </c>
      <c r="C48" s="313"/>
      <c r="D48" s="313"/>
      <c r="E48" s="313"/>
      <c r="F48" s="313"/>
      <c r="G48" s="313"/>
      <c r="H48" s="313"/>
      <c r="I48" s="313"/>
      <c r="J48" s="313"/>
      <c r="K48" s="313"/>
      <c r="L48" s="313"/>
      <c r="R48" s="220">
        <v>4</v>
      </c>
      <c r="S48" s="312" t="s">
        <v>213</v>
      </c>
      <c r="T48" s="313"/>
      <c r="U48" s="313"/>
      <c r="V48" s="313"/>
      <c r="W48" s="313"/>
      <c r="X48" s="313"/>
      <c r="Y48" s="313"/>
      <c r="Z48" s="313"/>
      <c r="AA48" s="313"/>
      <c r="AB48" s="313"/>
      <c r="AC48" s="313"/>
    </row>
    <row r="49" spans="1:34" s="249" customFormat="1" hidden="1" x14ac:dyDescent="0.2">
      <c r="A49" s="219">
        <v>4</v>
      </c>
      <c r="B49" s="312" t="s">
        <v>214</v>
      </c>
      <c r="C49" s="313"/>
      <c r="D49" s="313"/>
      <c r="E49" s="313"/>
      <c r="F49" s="313"/>
      <c r="G49" s="313"/>
      <c r="H49" s="313"/>
      <c r="I49" s="313"/>
      <c r="J49" s="313"/>
      <c r="K49" s="313"/>
      <c r="L49" s="313"/>
      <c r="M49" s="264"/>
      <c r="R49" s="219">
        <v>5</v>
      </c>
      <c r="S49" s="312" t="s">
        <v>215</v>
      </c>
      <c r="T49" s="313"/>
      <c r="U49" s="313"/>
      <c r="V49" s="313"/>
      <c r="W49" s="313"/>
      <c r="X49" s="313"/>
      <c r="Y49" s="313"/>
      <c r="Z49" s="313"/>
      <c r="AA49" s="313"/>
      <c r="AB49" s="313"/>
      <c r="AC49" s="313"/>
      <c r="AD49" s="225"/>
      <c r="AE49" s="225"/>
      <c r="AF49" s="225"/>
      <c r="AG49" s="225"/>
      <c r="AH49" s="225"/>
    </row>
    <row r="50" spans="1:34" hidden="1" x14ac:dyDescent="0.2">
      <c r="A50" s="219">
        <v>5</v>
      </c>
      <c r="B50" s="312" t="s">
        <v>216</v>
      </c>
      <c r="C50" s="313"/>
      <c r="D50" s="313"/>
      <c r="E50" s="313"/>
      <c r="F50" s="313"/>
      <c r="G50" s="313"/>
      <c r="H50" s="313"/>
      <c r="I50" s="313"/>
      <c r="J50" s="313"/>
      <c r="K50" s="313"/>
      <c r="L50" s="313"/>
      <c r="R50" s="219">
        <v>7</v>
      </c>
      <c r="S50" s="312" t="s">
        <v>217</v>
      </c>
      <c r="T50" s="313"/>
      <c r="U50" s="313"/>
      <c r="V50" s="313"/>
      <c r="W50" s="313"/>
      <c r="X50" s="313"/>
      <c r="Y50" s="313"/>
      <c r="Z50" s="313"/>
      <c r="AA50" s="313"/>
      <c r="AB50" s="313"/>
      <c r="AC50" s="313"/>
    </row>
    <row r="51" spans="1:34" x14ac:dyDescent="0.2">
      <c r="A51" s="219">
        <v>6</v>
      </c>
      <c r="B51" s="202"/>
      <c r="C51" s="202"/>
      <c r="D51" s="202"/>
      <c r="E51" s="202"/>
      <c r="F51" s="202"/>
      <c r="G51" s="202"/>
      <c r="H51" s="202"/>
      <c r="I51" s="202"/>
      <c r="J51" s="202"/>
      <c r="K51" s="202"/>
      <c r="L51" s="202"/>
      <c r="R51" s="219"/>
      <c r="S51" s="202"/>
      <c r="T51" s="202"/>
      <c r="U51" s="202"/>
      <c r="V51" s="202"/>
      <c r="W51" s="202"/>
      <c r="X51" s="202"/>
      <c r="Y51" s="202"/>
      <c r="Z51" s="202"/>
      <c r="AA51" s="202"/>
      <c r="AB51" s="202"/>
      <c r="AC51" s="202"/>
    </row>
    <row r="52" spans="1:34" x14ac:dyDescent="0.2">
      <c r="A52" s="24" t="s">
        <v>16</v>
      </c>
      <c r="B52" s="202"/>
      <c r="C52" s="25"/>
      <c r="D52" s="25"/>
      <c r="E52" s="25"/>
      <c r="F52" s="25"/>
      <c r="G52" s="25"/>
      <c r="H52" s="25"/>
      <c r="I52" s="25"/>
      <c r="J52" s="25"/>
      <c r="K52" s="25"/>
      <c r="L52" s="25"/>
      <c r="R52" s="24" t="s">
        <v>16</v>
      </c>
      <c r="S52" s="202"/>
      <c r="T52" s="25"/>
      <c r="U52" s="25"/>
      <c r="V52" s="25"/>
      <c r="W52" s="25"/>
      <c r="X52" s="25"/>
      <c r="Y52" s="25"/>
      <c r="Z52" s="25"/>
      <c r="AA52" s="25"/>
      <c r="AB52" s="25"/>
      <c r="AC52" s="25"/>
    </row>
    <row r="53" spans="1:34" x14ac:dyDescent="0.2">
      <c r="A53" s="26" t="s">
        <v>8</v>
      </c>
      <c r="B53" s="274" t="s">
        <v>218</v>
      </c>
      <c r="C53" s="309"/>
      <c r="D53" s="309"/>
      <c r="E53" s="309"/>
      <c r="F53" s="309"/>
      <c r="G53" s="309"/>
      <c r="H53" s="309"/>
      <c r="I53" s="309"/>
      <c r="J53" s="309"/>
      <c r="K53" s="309"/>
      <c r="L53" s="309"/>
      <c r="R53" s="26" t="s">
        <v>8</v>
      </c>
      <c r="S53" s="306" t="s">
        <v>219</v>
      </c>
      <c r="T53" s="310"/>
      <c r="U53" s="310"/>
      <c r="V53" s="310"/>
      <c r="W53" s="310"/>
      <c r="X53" s="310"/>
      <c r="Y53" s="310"/>
      <c r="Z53" s="310"/>
      <c r="AA53" s="310"/>
      <c r="AB53" s="310"/>
      <c r="AC53" s="310"/>
      <c r="AD53" s="311"/>
      <c r="AE53" s="311"/>
      <c r="AF53" s="311"/>
      <c r="AG53" s="311"/>
    </row>
    <row r="54" spans="1:34" x14ac:dyDescent="0.2">
      <c r="A54" s="26" t="s">
        <v>15</v>
      </c>
      <c r="B54" s="274" t="s">
        <v>220</v>
      </c>
      <c r="C54" s="309"/>
      <c r="D54" s="309"/>
      <c r="E54" s="309"/>
      <c r="F54" s="309"/>
      <c r="G54" s="309"/>
      <c r="H54" s="309"/>
      <c r="I54" s="309"/>
      <c r="J54" s="309"/>
      <c r="K54" s="309"/>
      <c r="L54" s="309"/>
      <c r="R54" s="26" t="s">
        <v>15</v>
      </c>
      <c r="S54" s="306" t="s">
        <v>221</v>
      </c>
      <c r="T54" s="310"/>
      <c r="U54" s="310"/>
      <c r="V54" s="310"/>
      <c r="W54" s="310"/>
      <c r="X54" s="310"/>
      <c r="Y54" s="310"/>
      <c r="Z54" s="310"/>
      <c r="AA54" s="310"/>
      <c r="AB54" s="310"/>
      <c r="AC54" s="310"/>
    </row>
    <row r="55" spans="1:34" x14ac:dyDescent="0.2">
      <c r="A55" s="26" t="s">
        <v>17</v>
      </c>
      <c r="B55" s="274" t="s">
        <v>222</v>
      </c>
      <c r="C55" s="309"/>
      <c r="D55" s="309"/>
      <c r="E55" s="309"/>
      <c r="F55" s="309"/>
      <c r="G55" s="309"/>
      <c r="H55" s="309"/>
      <c r="I55" s="309"/>
      <c r="J55" s="309"/>
      <c r="K55" s="309"/>
      <c r="L55" s="309"/>
      <c r="R55" s="26" t="s">
        <v>17</v>
      </c>
      <c r="S55" s="306" t="s">
        <v>223</v>
      </c>
      <c r="T55" s="310"/>
      <c r="U55" s="310"/>
      <c r="V55" s="310"/>
      <c r="W55" s="310"/>
      <c r="X55" s="310"/>
      <c r="Y55" s="310"/>
      <c r="Z55" s="310"/>
      <c r="AA55" s="310"/>
      <c r="AB55" s="310"/>
      <c r="AC55" s="310"/>
    </row>
    <row r="56" spans="1:34" x14ac:dyDescent="0.2">
      <c r="A56" s="26" t="s">
        <v>18</v>
      </c>
      <c r="B56" s="274" t="s">
        <v>224</v>
      </c>
      <c r="C56" s="309"/>
      <c r="D56" s="309"/>
      <c r="E56" s="309"/>
      <c r="F56" s="309"/>
      <c r="G56" s="309"/>
      <c r="H56" s="309"/>
      <c r="I56" s="309"/>
      <c r="J56" s="309"/>
      <c r="K56" s="309"/>
      <c r="L56" s="309"/>
      <c r="R56" s="26" t="s">
        <v>18</v>
      </c>
      <c r="S56" s="306" t="s">
        <v>225</v>
      </c>
      <c r="T56" s="310"/>
      <c r="U56" s="310"/>
      <c r="V56" s="310"/>
      <c r="W56" s="310"/>
      <c r="X56" s="310"/>
      <c r="Y56" s="310"/>
      <c r="Z56" s="310"/>
      <c r="AA56" s="310"/>
      <c r="AB56" s="310"/>
      <c r="AC56" s="310"/>
      <c r="AD56" s="311"/>
      <c r="AE56" s="311"/>
      <c r="AF56" s="311"/>
      <c r="AG56" s="311"/>
    </row>
    <row r="57" spans="1:34" x14ac:dyDescent="0.25">
      <c r="A57" s="26" t="s">
        <v>19</v>
      </c>
      <c r="B57" s="274" t="s">
        <v>226</v>
      </c>
      <c r="C57" s="309"/>
      <c r="D57" s="309"/>
      <c r="E57" s="309"/>
      <c r="F57" s="309"/>
      <c r="G57" s="309"/>
      <c r="H57" s="309"/>
      <c r="I57" s="309"/>
      <c r="J57" s="309"/>
      <c r="K57" s="309"/>
      <c r="L57" s="309"/>
      <c r="R57" s="26" t="s">
        <v>19</v>
      </c>
      <c r="S57" s="306" t="s">
        <v>227</v>
      </c>
      <c r="T57" s="310"/>
      <c r="U57" s="310"/>
      <c r="V57" s="310"/>
      <c r="W57" s="310"/>
      <c r="X57" s="310"/>
      <c r="Y57" s="310"/>
      <c r="Z57" s="310"/>
      <c r="AA57" s="310"/>
      <c r="AB57" s="310"/>
      <c r="AC57" s="310"/>
      <c r="AD57" s="311"/>
      <c r="AE57" s="311"/>
      <c r="AF57" s="311"/>
      <c r="AG57" s="311"/>
    </row>
    <row r="58" spans="1:34" x14ac:dyDescent="0.2">
      <c r="A58" s="26" t="s">
        <v>20</v>
      </c>
      <c r="B58" s="274" t="s">
        <v>228</v>
      </c>
      <c r="C58" s="309"/>
      <c r="D58" s="309"/>
      <c r="E58" s="309"/>
      <c r="F58" s="309"/>
      <c r="G58" s="309"/>
      <c r="H58" s="309"/>
      <c r="I58" s="309"/>
      <c r="J58" s="309"/>
      <c r="K58" s="309"/>
      <c r="L58" s="309"/>
      <c r="R58" s="26" t="s">
        <v>20</v>
      </c>
      <c r="S58" s="306" t="s">
        <v>228</v>
      </c>
      <c r="T58" s="306"/>
      <c r="U58" s="306"/>
      <c r="V58" s="306"/>
      <c r="W58" s="306"/>
      <c r="X58" s="306"/>
      <c r="Y58" s="306"/>
      <c r="Z58" s="306"/>
      <c r="AA58" s="306"/>
      <c r="AB58" s="306"/>
      <c r="AC58" s="306"/>
      <c r="AD58" s="306"/>
      <c r="AE58" s="306"/>
      <c r="AF58" s="306"/>
      <c r="AG58" s="306"/>
    </row>
    <row r="59" spans="1:34" x14ac:dyDescent="0.2">
      <c r="A59" s="26" t="s">
        <v>24</v>
      </c>
      <c r="B59" s="221" t="s">
        <v>229</v>
      </c>
      <c r="C59" s="21"/>
      <c r="D59" s="21"/>
      <c r="E59" s="21"/>
      <c r="F59" s="21"/>
      <c r="G59" s="21"/>
      <c r="H59" s="21"/>
      <c r="I59" s="21"/>
      <c r="J59" s="21"/>
      <c r="K59" s="21"/>
      <c r="L59" s="21"/>
      <c r="R59" s="26" t="s">
        <v>24</v>
      </c>
      <c r="S59" s="306" t="s">
        <v>230</v>
      </c>
      <c r="T59" s="306"/>
      <c r="U59" s="306"/>
      <c r="V59" s="306"/>
      <c r="W59" s="306"/>
      <c r="X59" s="306"/>
      <c r="Y59" s="306"/>
      <c r="Z59" s="306"/>
      <c r="AA59" s="306"/>
      <c r="AB59" s="306"/>
      <c r="AC59" s="306"/>
      <c r="AD59" s="306"/>
      <c r="AE59" s="306"/>
      <c r="AF59" s="306"/>
      <c r="AG59" s="306"/>
    </row>
    <row r="60" spans="1:34" x14ac:dyDescent="0.2">
      <c r="A60" s="26" t="s">
        <v>25</v>
      </c>
      <c r="B60" s="21" t="s">
        <v>231</v>
      </c>
      <c r="C60" s="222"/>
      <c r="D60" s="222"/>
      <c r="E60" s="222"/>
      <c r="F60" s="222"/>
      <c r="G60" s="222"/>
      <c r="H60" s="222"/>
      <c r="I60" s="222"/>
      <c r="J60" s="222"/>
      <c r="K60" s="222"/>
      <c r="L60" s="222"/>
      <c r="R60" s="26" t="s">
        <v>25</v>
      </c>
      <c r="S60" s="21"/>
      <c r="T60" s="222"/>
      <c r="U60" s="222"/>
      <c r="V60" s="222"/>
      <c r="W60" s="306" t="s">
        <v>232</v>
      </c>
      <c r="X60" s="306"/>
      <c r="Y60" s="306"/>
      <c r="Z60" s="306"/>
      <c r="AA60" s="306"/>
      <c r="AB60" s="306"/>
      <c r="AC60" s="306"/>
      <c r="AD60" s="306"/>
      <c r="AE60" s="306"/>
      <c r="AF60" s="306"/>
      <c r="AG60" s="306"/>
    </row>
    <row r="61" spans="1:34" x14ac:dyDescent="0.2">
      <c r="A61" s="223"/>
      <c r="B61" s="21"/>
      <c r="C61" s="21"/>
      <c r="D61" s="21"/>
      <c r="E61" s="21"/>
      <c r="F61" s="21"/>
      <c r="G61" s="21"/>
      <c r="H61" s="21"/>
      <c r="I61" s="21"/>
      <c r="J61" s="21"/>
      <c r="K61" s="21"/>
      <c r="L61" s="21"/>
      <c r="R61" s="26" t="s">
        <v>233</v>
      </c>
      <c r="S61" s="21"/>
      <c r="T61" s="222"/>
      <c r="U61" s="222"/>
      <c r="V61" s="222"/>
      <c r="W61" s="306" t="s">
        <v>234</v>
      </c>
      <c r="X61" s="307"/>
      <c r="Y61" s="307"/>
      <c r="Z61" s="307"/>
      <c r="AA61" s="307"/>
      <c r="AB61" s="307"/>
      <c r="AC61" s="307"/>
      <c r="AD61" s="307"/>
      <c r="AE61" s="307"/>
      <c r="AF61" s="307"/>
      <c r="AG61" s="307"/>
    </row>
    <row r="62" spans="1:34" x14ac:dyDescent="0.2">
      <c r="A62" s="223"/>
      <c r="B62" s="21"/>
      <c r="C62" s="21"/>
      <c r="D62" s="21"/>
      <c r="E62" s="21"/>
      <c r="F62" s="21"/>
      <c r="G62" s="21"/>
      <c r="H62" s="21"/>
      <c r="I62" s="21"/>
      <c r="J62" s="21"/>
      <c r="K62" s="21"/>
      <c r="L62" s="21"/>
      <c r="R62" s="26" t="s">
        <v>37</v>
      </c>
      <c r="W62" s="308" t="s">
        <v>235</v>
      </c>
      <c r="X62" s="308"/>
      <c r="Y62" s="308"/>
      <c r="Z62" s="308"/>
      <c r="AA62" s="308"/>
      <c r="AB62" s="308"/>
      <c r="AC62" s="308"/>
      <c r="AD62" s="308"/>
      <c r="AE62" s="308"/>
      <c r="AF62" s="308"/>
      <c r="AG62" s="308"/>
    </row>
    <row r="63" spans="1:34" x14ac:dyDescent="0.2">
      <c r="A63" s="223"/>
      <c r="B63" s="221"/>
      <c r="C63" s="21"/>
      <c r="D63" s="21"/>
      <c r="E63" s="21"/>
      <c r="F63" s="21"/>
      <c r="G63" s="21"/>
      <c r="H63" s="21"/>
      <c r="I63" s="21"/>
      <c r="J63" s="21"/>
      <c r="K63" s="21"/>
      <c r="L63" s="21"/>
      <c r="W63" s="265" t="s">
        <v>236</v>
      </c>
    </row>
    <row r="64" spans="1:34" ht="15.95" x14ac:dyDescent="0.2">
      <c r="A64" s="223"/>
      <c r="B64" s="21"/>
      <c r="C64" s="21"/>
      <c r="D64" s="21"/>
      <c r="E64" s="21"/>
      <c r="F64" s="21"/>
      <c r="G64" s="21"/>
      <c r="H64" s="21"/>
      <c r="I64" s="21"/>
      <c r="J64" s="21"/>
      <c r="K64" s="21"/>
      <c r="L64" s="21"/>
      <c r="W64" s="266"/>
    </row>
    <row r="65" spans="1:33" x14ac:dyDescent="0.2">
      <c r="A65" s="223"/>
      <c r="B65" s="224"/>
      <c r="C65" s="21"/>
      <c r="D65" s="21"/>
      <c r="E65" s="21"/>
      <c r="F65" s="21"/>
      <c r="G65" s="21"/>
      <c r="H65" s="21"/>
      <c r="I65" s="21"/>
      <c r="J65" s="21"/>
      <c r="K65" s="21"/>
      <c r="L65" s="21"/>
      <c r="M65" s="225"/>
      <c r="R65" s="91" t="s">
        <v>207</v>
      </c>
    </row>
    <row r="66" spans="1:33" x14ac:dyDescent="0.25">
      <c r="B66" s="21"/>
      <c r="M66" s="225"/>
      <c r="R66" s="225">
        <v>1</v>
      </c>
      <c r="W66" s="305" t="s">
        <v>242</v>
      </c>
      <c r="X66" s="305"/>
      <c r="Y66" s="305"/>
      <c r="Z66" s="305"/>
      <c r="AA66" s="305"/>
      <c r="AB66" s="305"/>
      <c r="AC66" s="305"/>
      <c r="AD66" s="305"/>
      <c r="AE66" s="305"/>
      <c r="AF66" s="305"/>
      <c r="AG66" s="305"/>
    </row>
    <row r="67" spans="1:33" x14ac:dyDescent="0.25">
      <c r="B67" s="21"/>
      <c r="M67" s="225"/>
      <c r="R67" s="225">
        <v>2</v>
      </c>
      <c r="W67" s="305" t="s">
        <v>243</v>
      </c>
      <c r="X67" s="305"/>
      <c r="Y67" s="305"/>
      <c r="Z67" s="305"/>
      <c r="AA67" s="305"/>
      <c r="AB67" s="305"/>
      <c r="AC67" s="305"/>
      <c r="AD67" s="305"/>
      <c r="AE67" s="305"/>
      <c r="AF67" s="305"/>
      <c r="AG67" s="305"/>
    </row>
    <row r="68" spans="1:33" x14ac:dyDescent="0.25">
      <c r="B68" s="21"/>
      <c r="M68" s="225"/>
      <c r="R68" s="225">
        <v>4</v>
      </c>
      <c r="W68" s="305" t="s">
        <v>244</v>
      </c>
      <c r="X68" s="305"/>
      <c r="Y68" s="305"/>
      <c r="Z68" s="305"/>
      <c r="AA68" s="305"/>
      <c r="AB68" s="305"/>
      <c r="AC68" s="305"/>
      <c r="AD68" s="305"/>
      <c r="AE68" s="305"/>
      <c r="AF68" s="305"/>
      <c r="AG68" s="305"/>
    </row>
    <row r="69" spans="1:33" x14ac:dyDescent="0.25">
      <c r="B69" s="21"/>
      <c r="M69" s="225"/>
      <c r="R69" s="225">
        <v>5</v>
      </c>
      <c r="W69" s="305" t="s">
        <v>215</v>
      </c>
      <c r="X69" s="305"/>
      <c r="Y69" s="305"/>
      <c r="Z69" s="305"/>
      <c r="AA69" s="305"/>
      <c r="AB69" s="305"/>
      <c r="AC69" s="305"/>
      <c r="AD69" s="305"/>
      <c r="AE69" s="305"/>
      <c r="AF69" s="305"/>
      <c r="AG69" s="305"/>
    </row>
    <row r="70" spans="1:33" x14ac:dyDescent="0.25">
      <c r="R70" s="225">
        <v>7</v>
      </c>
      <c r="W70" s="305" t="s">
        <v>217</v>
      </c>
      <c r="X70" s="305"/>
      <c r="Y70" s="305"/>
      <c r="Z70" s="305"/>
      <c r="AA70" s="305"/>
      <c r="AB70" s="305"/>
      <c r="AC70" s="305"/>
      <c r="AD70" s="305"/>
      <c r="AE70" s="305"/>
      <c r="AF70" s="305"/>
      <c r="AG70" s="305"/>
    </row>
    <row r="78" spans="1:33" x14ac:dyDescent="0.2">
      <c r="C78" s="21"/>
      <c r="D78" s="21"/>
      <c r="E78" s="21"/>
      <c r="F78" s="21"/>
      <c r="G78" s="21"/>
      <c r="H78" s="21"/>
      <c r="I78" s="21"/>
      <c r="J78" s="21"/>
      <c r="K78" s="21"/>
      <c r="L78" s="21"/>
      <c r="M78" s="225"/>
    </row>
    <row r="81" spans="1:13" x14ac:dyDescent="0.2">
      <c r="A81" s="225"/>
      <c r="C81" s="267"/>
      <c r="D81" s="267"/>
      <c r="F81" s="225"/>
      <c r="G81" s="225"/>
      <c r="H81" s="225"/>
      <c r="I81" s="225"/>
      <c r="J81" s="225"/>
      <c r="K81" s="225"/>
      <c r="L81" s="225"/>
      <c r="M81" s="225"/>
    </row>
    <row r="82" spans="1:13" x14ac:dyDescent="0.2">
      <c r="A82" s="225"/>
      <c r="C82" s="268"/>
      <c r="D82" s="268"/>
      <c r="E82" s="268"/>
      <c r="F82" s="225"/>
      <c r="G82" s="225"/>
      <c r="H82" s="225"/>
      <c r="I82" s="225"/>
      <c r="J82" s="225"/>
      <c r="K82" s="225"/>
      <c r="L82" s="225"/>
      <c r="M82" s="225"/>
    </row>
    <row r="83" spans="1:13" x14ac:dyDescent="0.2">
      <c r="A83" s="225"/>
      <c r="B83" s="21"/>
      <c r="F83" s="225"/>
      <c r="G83" s="225"/>
      <c r="H83" s="225"/>
      <c r="I83" s="225"/>
      <c r="J83" s="225"/>
      <c r="K83" s="225"/>
      <c r="L83" s="225"/>
      <c r="M83" s="225"/>
    </row>
  </sheetData>
  <mergeCells count="42">
    <mergeCell ref="C1:K1"/>
    <mergeCell ref="X2:AF2"/>
    <mergeCell ref="C3:L3"/>
    <mergeCell ref="X3:AG3"/>
    <mergeCell ref="G4:H4"/>
    <mergeCell ref="I4:J4"/>
    <mergeCell ref="AB4:AC4"/>
    <mergeCell ref="AD4:AE4"/>
    <mergeCell ref="B50:L50"/>
    <mergeCell ref="S50:AC50"/>
    <mergeCell ref="C6:F6"/>
    <mergeCell ref="C7:F7"/>
    <mergeCell ref="B23:L23"/>
    <mergeCell ref="B29:L29"/>
    <mergeCell ref="B35:L35"/>
    <mergeCell ref="B46:L46"/>
    <mergeCell ref="S46:AC46"/>
    <mergeCell ref="B48:L48"/>
    <mergeCell ref="S48:AC48"/>
    <mergeCell ref="B49:L49"/>
    <mergeCell ref="S49:AC49"/>
    <mergeCell ref="B53:L53"/>
    <mergeCell ref="S53:AG53"/>
    <mergeCell ref="B54:L54"/>
    <mergeCell ref="S54:AC54"/>
    <mergeCell ref="B55:L55"/>
    <mergeCell ref="S55:AC55"/>
    <mergeCell ref="B56:L56"/>
    <mergeCell ref="S56:AG56"/>
    <mergeCell ref="B57:L57"/>
    <mergeCell ref="S57:AG57"/>
    <mergeCell ref="B58:L58"/>
    <mergeCell ref="S58:AG58"/>
    <mergeCell ref="W68:AG68"/>
    <mergeCell ref="W69:AG69"/>
    <mergeCell ref="W70:AG70"/>
    <mergeCell ref="S59:AG59"/>
    <mergeCell ref="W60:AG60"/>
    <mergeCell ref="W61:AG61"/>
    <mergeCell ref="W62:AG62"/>
    <mergeCell ref="W66:AG66"/>
    <mergeCell ref="W67:AG6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423A6018-8B98-4539-AB1A-4604E629DB05}"/>
</file>

<file path=customXml/itemProps2.xml><?xml version="1.0" encoding="utf-8"?>
<ds:datastoreItem xmlns:ds="http://schemas.openxmlformats.org/officeDocument/2006/customXml" ds:itemID="{8F2499A8-EB49-4D11-8356-CE19BC1AC55F}">
  <ds:schemaRefs>
    <ds:schemaRef ds:uri="http://schemas.microsoft.com/sharepoint/v3/contenttype/forms"/>
  </ds:schemaRefs>
</ds:datastoreItem>
</file>

<file path=customXml/itemProps3.xml><?xml version="1.0" encoding="utf-8"?>
<ds:datastoreItem xmlns:ds="http://schemas.openxmlformats.org/officeDocument/2006/customXml" ds:itemID="{BFF78211-F922-4692-A30F-B09A1B6BA940}">
  <ds:schemaRefs>
    <ds:schemaRef ds:uri="http://schemas.microsoft.com/office/infopath/2007/PartnerControls"/>
    <ds:schemaRef ds:uri="http://www.w3.org/XML/1998/namespace"/>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Index</vt:lpstr>
      <vt:lpstr>Tech Cat basic plant</vt:lpstr>
      <vt:lpstr>Tech Cat add straw</vt:lpstr>
      <vt:lpstr>Tech Cat add ind org waste</vt:lpstr>
      <vt:lpstr>Tech Cat Biogas, upgrading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Malthe Jacobsen</dc:creator>
  <cp:lastModifiedBy>Rikke Marie Hald</cp:lastModifiedBy>
  <cp:lastPrinted>2016-05-26T12:57:18Z</cp:lastPrinted>
  <dcterms:created xsi:type="dcterms:W3CDTF">2016-03-17T09:46:20Z</dcterms:created>
  <dcterms:modified xsi:type="dcterms:W3CDTF">2017-06-16T08:43:08Z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985392153263092</vt:r8>
  </property>
</Properties>
</file>