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B\OGO\Områdeadministration\Studenter\LSM\LSM projekter\"/>
    </mc:Choice>
  </mc:AlternateContent>
  <bookViews>
    <workbookView xWindow="120" yWindow="120" windowWidth="19020" windowHeight="12660"/>
  </bookViews>
  <sheets>
    <sheet name="Ark1" sheetId="1" r:id="rId1"/>
    <sheet name="Ark2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O372" i="1" l="1"/>
  <c r="O360" i="1" l="1"/>
  <c r="O361" i="1"/>
  <c r="O362" i="1"/>
  <c r="O363" i="1"/>
  <c r="O364" i="1"/>
  <c r="O365" i="1"/>
  <c r="O366" i="1"/>
  <c r="O367" i="1"/>
  <c r="O368" i="1"/>
  <c r="O369" i="1"/>
  <c r="O370" i="1"/>
  <c r="O371" i="1"/>
  <c r="O359" i="1"/>
  <c r="O355" i="1"/>
  <c r="O356" i="1"/>
  <c r="O354" i="1"/>
  <c r="O351" i="1"/>
  <c r="P368" i="1"/>
  <c r="P244" i="1"/>
  <c r="P322" i="1"/>
  <c r="P370" i="1"/>
  <c r="P274" i="1"/>
  <c r="P334" i="1"/>
  <c r="P292" i="1"/>
  <c r="P361" i="1"/>
  <c r="P362" i="1"/>
  <c r="P351" i="1"/>
  <c r="P312" i="1"/>
  <c r="P327" i="1"/>
  <c r="P328" i="1"/>
  <c r="P288" i="1"/>
  <c r="P304" i="1"/>
  <c r="P347" i="1"/>
  <c r="P367" i="1"/>
  <c r="P255" i="1"/>
  <c r="P254" i="1"/>
  <c r="P289" i="1"/>
  <c r="P318" i="1"/>
  <c r="P352" i="1"/>
  <c r="P247" i="1"/>
  <c r="P265" i="1"/>
  <c r="P333" i="1"/>
  <c r="P343" i="1"/>
  <c r="P332" i="1"/>
  <c r="P279" i="1"/>
  <c r="P353" i="1"/>
  <c r="P349" i="1"/>
  <c r="P338" i="1"/>
  <c r="P302" i="1"/>
  <c r="P315" i="1"/>
  <c r="P306" i="1"/>
  <c r="P240" i="1"/>
  <c r="P238" i="1"/>
  <c r="P339" i="1"/>
  <c r="P303" i="1"/>
  <c r="P278" i="1"/>
  <c r="P269" i="1"/>
  <c r="P253" i="1"/>
  <c r="P364" i="1"/>
  <c r="P358" i="1"/>
  <c r="P348" i="1"/>
  <c r="P369" i="1"/>
  <c r="P356" i="1"/>
  <c r="P267" i="1"/>
  <c r="P287" i="1"/>
  <c r="P317" i="1"/>
  <c r="P335" i="1"/>
  <c r="P371" i="1"/>
  <c r="P310" i="1"/>
  <c r="P239" i="1"/>
  <c r="P359" i="1"/>
  <c r="P326" i="1"/>
  <c r="P284" i="1"/>
  <c r="P314" i="1"/>
  <c r="P346" i="1"/>
  <c r="P242" i="1"/>
  <c r="P248" i="1"/>
  <c r="P273" i="1"/>
  <c r="P357" i="1"/>
  <c r="P320" i="1"/>
  <c r="P291" i="1"/>
  <c r="P340" i="1"/>
  <c r="P366" i="1"/>
  <c r="P281" i="1"/>
  <c r="P365" i="1"/>
  <c r="P305" i="1"/>
  <c r="P276" i="1"/>
  <c r="P319" i="1"/>
  <c r="P363" i="1"/>
  <c r="P355" i="1"/>
  <c r="P282" i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2" i="1"/>
  <c r="O353" i="1"/>
  <c r="O357" i="1"/>
  <c r="O358" i="1"/>
  <c r="O2" i="1"/>
</calcChain>
</file>

<file path=xl/sharedStrings.xml><?xml version="1.0" encoding="utf-8"?>
<sst xmlns="http://schemas.openxmlformats.org/spreadsheetml/2006/main" count="4004" uniqueCount="1677">
  <si>
    <t>Well_Name</t>
  </si>
  <si>
    <t>Well_Numb</t>
  </si>
  <si>
    <t>Classification</t>
  </si>
  <si>
    <t>Licence</t>
  </si>
  <si>
    <t>Operator</t>
  </si>
  <si>
    <t>Rig</t>
  </si>
  <si>
    <t>N_Latitude</t>
  </si>
  <si>
    <t>E_Longitude</t>
  </si>
  <si>
    <t>N_Degrees</t>
  </si>
  <si>
    <t>E_Degrees</t>
  </si>
  <si>
    <t>Spud_Date</t>
  </si>
  <si>
    <t>Comp_Date</t>
  </si>
  <si>
    <t>Location</t>
  </si>
  <si>
    <t>Released</t>
  </si>
  <si>
    <t>HARTE-1</t>
  </si>
  <si>
    <t>5509/14-01</t>
  </si>
  <si>
    <t>EXPLORATION</t>
  </si>
  <si>
    <t>01/35</t>
  </si>
  <si>
    <t>DAPCO</t>
  </si>
  <si>
    <t>Cardwell</t>
  </si>
  <si>
    <t>55°30'36,98"</t>
  </si>
  <si>
    <t>09°25'04,00"</t>
  </si>
  <si>
    <t>ONSHORE</t>
  </si>
  <si>
    <t>YES</t>
  </si>
  <si>
    <t>HARTE-2</t>
  </si>
  <si>
    <t>5509/14-02</t>
  </si>
  <si>
    <t>09°25'03,02"</t>
  </si>
  <si>
    <t>VINDING-1</t>
  </si>
  <si>
    <t>5608/23-01</t>
  </si>
  <si>
    <t>(DAPCO) GULF</t>
  </si>
  <si>
    <t>Emsco</t>
  </si>
  <si>
    <t>56°17'26,  "</t>
  </si>
  <si>
    <t>08°41'56,  "</t>
  </si>
  <si>
    <t>GASSUM-1</t>
  </si>
  <si>
    <t>5610/13-01</t>
  </si>
  <si>
    <t>56°33'45,  "</t>
  </si>
  <si>
    <t>10°00'18,  "</t>
  </si>
  <si>
    <t>SKAGEN-1</t>
  </si>
  <si>
    <t>5710/11-01</t>
  </si>
  <si>
    <t>57°44'11,98"</t>
  </si>
  <si>
    <t>10°36'02,00"</t>
  </si>
  <si>
    <t>FREDERIKSHAVN-1</t>
  </si>
  <si>
    <t>5710/19-01</t>
  </si>
  <si>
    <t>57°26'01,2 "</t>
  </si>
  <si>
    <t>10°31'16,  "</t>
  </si>
  <si>
    <t>HALDAGER-1</t>
  </si>
  <si>
    <t>5709/32-01</t>
  </si>
  <si>
    <t>57°07'08,  "</t>
  </si>
  <si>
    <t>09°46'46,  "</t>
  </si>
  <si>
    <t>RINGE-1</t>
  </si>
  <si>
    <t>5510/23-01</t>
  </si>
  <si>
    <t>55°16'53,4 "</t>
  </si>
  <si>
    <t>10°30'22,  "</t>
  </si>
  <si>
    <t>ULLERSLEV-1</t>
  </si>
  <si>
    <t>5510/23-02</t>
  </si>
  <si>
    <t>55°22'13,8 "</t>
  </si>
  <si>
    <t>10°38'41,2 "</t>
  </si>
  <si>
    <t>TØNDER-1</t>
  </si>
  <si>
    <t>5408/04-01</t>
  </si>
  <si>
    <t>54°57'37,  "</t>
  </si>
  <si>
    <t>08°51'17,  "</t>
  </si>
  <si>
    <t>TOSTRUP-1</t>
  </si>
  <si>
    <t>5609/10-01</t>
  </si>
  <si>
    <t>SALT RESEARCH</t>
  </si>
  <si>
    <t>Sullivan</t>
  </si>
  <si>
    <t>56°38'23,  "</t>
  </si>
  <si>
    <t>09°25'58,  "</t>
  </si>
  <si>
    <t>GLAMSBJERG-1</t>
  </si>
  <si>
    <t>5510/21-01</t>
  </si>
  <si>
    <t>55°17'33,  "</t>
  </si>
  <si>
    <t>10°07'47,2 "</t>
  </si>
  <si>
    <t>TOSTRUP-2</t>
  </si>
  <si>
    <t>5609/10-02</t>
  </si>
  <si>
    <t>56°37'35,  "</t>
  </si>
  <si>
    <t>09°24'33,  "</t>
  </si>
  <si>
    <t>BØRGLUM-1</t>
  </si>
  <si>
    <t>5709/20-01</t>
  </si>
  <si>
    <t>57°22'32,  "</t>
  </si>
  <si>
    <t>09°50'23,  "</t>
  </si>
  <si>
    <t>SKAGEN-2</t>
  </si>
  <si>
    <t>5710/11-02</t>
  </si>
  <si>
    <t>57°44'22,  "</t>
  </si>
  <si>
    <t>10°36'08,  "</t>
  </si>
  <si>
    <t>UGLEV-1</t>
  </si>
  <si>
    <t>5608/11-01</t>
  </si>
  <si>
    <t>56°37'34,8 "</t>
  </si>
  <si>
    <t>08°32'08,8 "</t>
  </si>
  <si>
    <t>RØDBY-1</t>
  </si>
  <si>
    <t>5411/10-01</t>
  </si>
  <si>
    <t>54°41'37,  "</t>
  </si>
  <si>
    <t>11°24'18,  "</t>
  </si>
  <si>
    <t>FREDERIKSHAVN-2</t>
  </si>
  <si>
    <t>5710/19-02</t>
  </si>
  <si>
    <t>57°25'45,6 "</t>
  </si>
  <si>
    <t>10°30'45,  "</t>
  </si>
  <si>
    <t>FREDERIKSHAVN-3</t>
  </si>
  <si>
    <t>5710/19-03</t>
  </si>
  <si>
    <t>57°27'31,2 "</t>
  </si>
  <si>
    <t>10°32'01,6 "</t>
  </si>
  <si>
    <t>TØNDER-2</t>
  </si>
  <si>
    <t>5408/04-02</t>
  </si>
  <si>
    <t>54°59'07,  "</t>
  </si>
  <si>
    <t>08°51'38,  "</t>
  </si>
  <si>
    <t>ARNUM-1</t>
  </si>
  <si>
    <t>5508/28-01</t>
  </si>
  <si>
    <t>55°13'13,  "</t>
  </si>
  <si>
    <t>08°57'48,  "</t>
  </si>
  <si>
    <t>ÅBENRÅ-1</t>
  </si>
  <si>
    <t>5509/30-01</t>
  </si>
  <si>
    <t>55°01'32,  "</t>
  </si>
  <si>
    <t>09°21'17,  "</t>
  </si>
  <si>
    <t>RØDBY-2</t>
  </si>
  <si>
    <t>5411/10-02</t>
  </si>
  <si>
    <t>54°41'29,  "</t>
  </si>
  <si>
    <t>11°22'22,  "</t>
  </si>
  <si>
    <t>VEMB-1</t>
  </si>
  <si>
    <t>5608/18-01</t>
  </si>
  <si>
    <t>(STANDARD) DAPCO</t>
  </si>
  <si>
    <t>56°22'53,4 "</t>
  </si>
  <si>
    <t>08°21'46,84"</t>
  </si>
  <si>
    <t>FJERRITSLEV-1</t>
  </si>
  <si>
    <t>5709/29-01</t>
  </si>
  <si>
    <t>57°04'52,  "</t>
  </si>
  <si>
    <t>09°12'56,  "</t>
  </si>
  <si>
    <t>FJERRITSLEV-2</t>
  </si>
  <si>
    <t>5709/30-01</t>
  </si>
  <si>
    <t>57°05'46,  "</t>
  </si>
  <si>
    <t>09°15'05,  "</t>
  </si>
  <si>
    <t>VEDSTED-1</t>
  </si>
  <si>
    <t>5709/27-01</t>
  </si>
  <si>
    <t>57°08'26,  "</t>
  </si>
  <si>
    <t>09°40'12,  "</t>
  </si>
  <si>
    <t>FLYVBJERG-1</t>
  </si>
  <si>
    <t>5710/21-01</t>
  </si>
  <si>
    <t>57°18'15,6 "</t>
  </si>
  <si>
    <t>10°03'18,1 "</t>
  </si>
  <si>
    <t>HORSENS-1</t>
  </si>
  <si>
    <t>5509/04-01</t>
  </si>
  <si>
    <t>55°56'11,1 "</t>
  </si>
  <si>
    <t>09°54'13,24"</t>
  </si>
  <si>
    <t>HØNNING-1</t>
  </si>
  <si>
    <t>5508/28-02</t>
  </si>
  <si>
    <t>(STANDARD) GULF</t>
  </si>
  <si>
    <t>55°10'52,  "</t>
  </si>
  <si>
    <t>08°54'29,  "</t>
  </si>
  <si>
    <t>GRINDSTED-1</t>
  </si>
  <si>
    <t>5508/08-01</t>
  </si>
  <si>
    <t>55°45'26,58"</t>
  </si>
  <si>
    <t>08°49'24,38"</t>
  </si>
  <si>
    <t>RØDEKRO-1</t>
  </si>
  <si>
    <t>5509/30-02</t>
  </si>
  <si>
    <t>55°05'08,  "</t>
  </si>
  <si>
    <t>09°20'25,  "</t>
  </si>
  <si>
    <t>LAVØ-1</t>
  </si>
  <si>
    <t>5612/29-01</t>
  </si>
  <si>
    <t>56°01'59,16"</t>
  </si>
  <si>
    <t>12°10'31,3 "</t>
  </si>
  <si>
    <t>SLAGELSE-1</t>
  </si>
  <si>
    <t>5511/22-01</t>
  </si>
  <si>
    <t>55°22'21,84"</t>
  </si>
  <si>
    <t>11°22'41,32"</t>
  </si>
  <si>
    <t>RØNDE-1</t>
  </si>
  <si>
    <t>5610/22-01</t>
  </si>
  <si>
    <t>01/62</t>
  </si>
  <si>
    <t>Gulf</t>
  </si>
  <si>
    <t>Oilwell 940e</t>
  </si>
  <si>
    <t>56°18'14,  "</t>
  </si>
  <si>
    <t>10°26'06,  "</t>
  </si>
  <si>
    <t>A-1X</t>
  </si>
  <si>
    <t>5505/17-01</t>
  </si>
  <si>
    <t>Glomar Iv</t>
  </si>
  <si>
    <t>55°24'17,05"</t>
  </si>
  <si>
    <t>05°03'42,00"</t>
  </si>
  <si>
    <t>OFFSHORE</t>
  </si>
  <si>
    <t>NØVLING-1</t>
  </si>
  <si>
    <t>5608/28-01</t>
  </si>
  <si>
    <t>56°10'09,  "</t>
  </si>
  <si>
    <t>08°48'36,  "</t>
  </si>
  <si>
    <t>MORS-1</t>
  </si>
  <si>
    <t>5608/04-01</t>
  </si>
  <si>
    <t>56°54'00,  "</t>
  </si>
  <si>
    <t>08°53'05,  "</t>
  </si>
  <si>
    <t>A-2X</t>
  </si>
  <si>
    <t>5505/17-02</t>
  </si>
  <si>
    <t>Zapata Explorer</t>
  </si>
  <si>
    <t>55°24'23,03"</t>
  </si>
  <si>
    <t>05°03'36,50"</t>
  </si>
  <si>
    <t>THISTED-1</t>
  </si>
  <si>
    <t>5708/31-01</t>
  </si>
  <si>
    <t>57°01'26,  "</t>
  </si>
  <si>
    <t>08°39'10,  "</t>
  </si>
  <si>
    <t>ØRSLEV-1</t>
  </si>
  <si>
    <t>5411/08-01</t>
  </si>
  <si>
    <t>54°46'55,  "</t>
  </si>
  <si>
    <t>11°59'02,  "</t>
  </si>
  <si>
    <t>C-1X</t>
  </si>
  <si>
    <t>5607/15-01</t>
  </si>
  <si>
    <t>56°36'41,5 "</t>
  </si>
  <si>
    <t>07°40'00,  "</t>
  </si>
  <si>
    <t>D-1X</t>
  </si>
  <si>
    <t>5605/19-01</t>
  </si>
  <si>
    <t>56°25'29,7 "</t>
  </si>
  <si>
    <t>05°31'52,2 "</t>
  </si>
  <si>
    <t>E-1X</t>
  </si>
  <si>
    <t>5504/12-01</t>
  </si>
  <si>
    <t>55°43'52,4 "</t>
  </si>
  <si>
    <t>04°51'04,2 "</t>
  </si>
  <si>
    <t>E-2X</t>
  </si>
  <si>
    <t>5504/11-01</t>
  </si>
  <si>
    <t>APPRAISAL</t>
  </si>
  <si>
    <t>55°42'32,22"</t>
  </si>
  <si>
    <t>04°44'39,30"</t>
  </si>
  <si>
    <t>F-1X</t>
  </si>
  <si>
    <t>5706/32-01</t>
  </si>
  <si>
    <t>57°01'53,4 "</t>
  </si>
  <si>
    <t>06°54'28,6 "</t>
  </si>
  <si>
    <t>G-1X</t>
  </si>
  <si>
    <t>5505/13-01</t>
  </si>
  <si>
    <t>55°35'04,8 "</t>
  </si>
  <si>
    <t>05°09'47,4 "</t>
  </si>
  <si>
    <t>H-1X</t>
  </si>
  <si>
    <t>5504/07-01</t>
  </si>
  <si>
    <t>55°46'26,9 "</t>
  </si>
  <si>
    <t>04°38'48,4 "</t>
  </si>
  <si>
    <t>I-1X</t>
  </si>
  <si>
    <t>5604/29-01</t>
  </si>
  <si>
    <t>56°03'10,  "</t>
  </si>
  <si>
    <t>04°14'59,5 "</t>
  </si>
  <si>
    <t>J-1X</t>
  </si>
  <si>
    <t>5708/19-01</t>
  </si>
  <si>
    <t>57°25'57,4 "</t>
  </si>
  <si>
    <t>08°33'05,6 "</t>
  </si>
  <si>
    <t>K-1X</t>
  </si>
  <si>
    <t>5707/25-01</t>
  </si>
  <si>
    <t>Chevron</t>
  </si>
  <si>
    <t>57°07'37,7 "</t>
  </si>
  <si>
    <t>07°09'43,1 "</t>
  </si>
  <si>
    <t>L-1X</t>
  </si>
  <si>
    <t>5605/21-01</t>
  </si>
  <si>
    <t>56°15'09,7 "</t>
  </si>
  <si>
    <t>05°14'55,2 "</t>
  </si>
  <si>
    <t>M-1X</t>
  </si>
  <si>
    <t>5505/17-03</t>
  </si>
  <si>
    <t>Britannia</t>
  </si>
  <si>
    <t>55°28'10,38"</t>
  </si>
  <si>
    <t>05°08'01,50"</t>
  </si>
  <si>
    <t>N-1X</t>
  </si>
  <si>
    <t>5504/15-01</t>
  </si>
  <si>
    <t>55°34'44,4 "</t>
  </si>
  <si>
    <t>04°44'47,  "</t>
  </si>
  <si>
    <t>M-2X</t>
  </si>
  <si>
    <t>5505/17-15</t>
  </si>
  <si>
    <t>55°28'55,7 "</t>
  </si>
  <si>
    <t>05°06'03,5 "</t>
  </si>
  <si>
    <t>O-1X</t>
  </si>
  <si>
    <t>5505/22-01</t>
  </si>
  <si>
    <t>Transocean Ii</t>
  </si>
  <si>
    <t>55°22'01,8 "</t>
  </si>
  <si>
    <t>05°19'19,4 "</t>
  </si>
  <si>
    <t>P-1X</t>
  </si>
  <si>
    <t>5603/32-01</t>
  </si>
  <si>
    <t>Zapata Nordic</t>
  </si>
  <si>
    <t>56°02'04,4 "</t>
  </si>
  <si>
    <t>03°46'10,0 "</t>
  </si>
  <si>
    <t>Q-1X</t>
  </si>
  <si>
    <t>5604/29-02</t>
  </si>
  <si>
    <t>56°05'30,3 "</t>
  </si>
  <si>
    <t>04°06'14,8 "</t>
  </si>
  <si>
    <t>R-1X</t>
  </si>
  <si>
    <t>5606/28-01</t>
  </si>
  <si>
    <t>Transworld 61</t>
  </si>
  <si>
    <t>56°12'57,4 "</t>
  </si>
  <si>
    <t>06°53'45,6 "</t>
  </si>
  <si>
    <t>VOLDUM-1</t>
  </si>
  <si>
    <t>5610/18-01</t>
  </si>
  <si>
    <t>Deutag-14</t>
  </si>
  <si>
    <t>56°23'02,2 "</t>
  </si>
  <si>
    <t>10°16'00,7 "</t>
  </si>
  <si>
    <t>HOBRO-1</t>
  </si>
  <si>
    <t>5609/15-01</t>
  </si>
  <si>
    <t>56°36'30,  "</t>
  </si>
  <si>
    <t>09°38'04,  "</t>
  </si>
  <si>
    <t>M-8X</t>
  </si>
  <si>
    <t>5505/17-04</t>
  </si>
  <si>
    <t>Orion</t>
  </si>
  <si>
    <t>55°28'42,87"</t>
  </si>
  <si>
    <t>05°06'44,10"</t>
  </si>
  <si>
    <t>E-3X</t>
  </si>
  <si>
    <t>5504/12-02</t>
  </si>
  <si>
    <t>55°44'01,00"</t>
  </si>
  <si>
    <t>04°46'30,00"</t>
  </si>
  <si>
    <t>S-1X</t>
  </si>
  <si>
    <t>5506/16-01</t>
  </si>
  <si>
    <t>55°30'57,  "</t>
  </si>
  <si>
    <t>06°55'18,  "</t>
  </si>
  <si>
    <t>N-2X</t>
  </si>
  <si>
    <t>5504/16-01</t>
  </si>
  <si>
    <t>55°34'50,15"</t>
  </si>
  <si>
    <t>04°46'30,50"</t>
  </si>
  <si>
    <t>T-1X</t>
  </si>
  <si>
    <t>5604/25-01</t>
  </si>
  <si>
    <t>Ocean Voyager</t>
  </si>
  <si>
    <t>56°11'40,  "</t>
  </si>
  <si>
    <t>04°10'18,  "</t>
  </si>
  <si>
    <t>U-1X</t>
  </si>
  <si>
    <t>5504/16-02</t>
  </si>
  <si>
    <t>55°30'03,76"</t>
  </si>
  <si>
    <t>04°48'07,66"</t>
  </si>
  <si>
    <t>V-1X</t>
  </si>
  <si>
    <t>5505/09-01</t>
  </si>
  <si>
    <t>55°43'49,85"</t>
  </si>
  <si>
    <t>05°07'58,70"</t>
  </si>
  <si>
    <t>HYLLEBJERG-1</t>
  </si>
  <si>
    <t>5609/06-01</t>
  </si>
  <si>
    <t>MÆRSK OLIE OG GAS AS</t>
  </si>
  <si>
    <t>National 80b</t>
  </si>
  <si>
    <t>56°48'53,  "</t>
  </si>
  <si>
    <t>09°20'54,  "</t>
  </si>
  <si>
    <t>RØDDING-1</t>
  </si>
  <si>
    <t>5608/12-01</t>
  </si>
  <si>
    <t>56°38'49,  "</t>
  </si>
  <si>
    <t>08°48'18,  "</t>
  </si>
  <si>
    <t>KVOLS-1</t>
  </si>
  <si>
    <t>5609/14-01</t>
  </si>
  <si>
    <t>56°31'49,  "</t>
  </si>
  <si>
    <t>09°17'56,  "</t>
  </si>
  <si>
    <t>W-1X</t>
  </si>
  <si>
    <t>5504/01-01</t>
  </si>
  <si>
    <t>Mærsk Explorer</t>
  </si>
  <si>
    <t>55°54'27,1 "</t>
  </si>
  <si>
    <t>04°08'43,2 "</t>
  </si>
  <si>
    <t>SKIVE-1</t>
  </si>
  <si>
    <t>5609/09-01</t>
  </si>
  <si>
    <t>56°37'38,  "</t>
  </si>
  <si>
    <t>09°00'11,  "</t>
  </si>
  <si>
    <t>ODDESUND-1</t>
  </si>
  <si>
    <t>5608/15-01</t>
  </si>
  <si>
    <t>56°33'36,7 "</t>
  </si>
  <si>
    <t>08°34'10,1 "</t>
  </si>
  <si>
    <t>N-3X</t>
  </si>
  <si>
    <t>5504/16-03</t>
  </si>
  <si>
    <t>55°35'16,19"</t>
  </si>
  <si>
    <t>04°45'18,80"</t>
  </si>
  <si>
    <t>E-4X</t>
  </si>
  <si>
    <t>5504/12-03</t>
  </si>
  <si>
    <t>55°43'01,59"</t>
  </si>
  <si>
    <t>04°48'05,31"</t>
  </si>
  <si>
    <t>RUTH-1</t>
  </si>
  <si>
    <t>5504/16-04</t>
  </si>
  <si>
    <t>55°32'20,  "</t>
  </si>
  <si>
    <t>04°54'53,  "</t>
  </si>
  <si>
    <t>ADDA-1</t>
  </si>
  <si>
    <t>5504/08-01</t>
  </si>
  <si>
    <t>55°48'36,5 "</t>
  </si>
  <si>
    <t>04°52'09,4 "</t>
  </si>
  <si>
    <t>BO-1X</t>
  </si>
  <si>
    <t>5504/07-02</t>
  </si>
  <si>
    <t>55°48'08,22"</t>
  </si>
  <si>
    <t>04°34'18,66"</t>
  </si>
  <si>
    <t>INEZ-1</t>
  </si>
  <si>
    <t>5606/08-01</t>
  </si>
  <si>
    <t>56°50'28,4 "</t>
  </si>
  <si>
    <t>06°57'41,6 "</t>
  </si>
  <si>
    <t>VAGN-1</t>
  </si>
  <si>
    <t>5505/21-01</t>
  </si>
  <si>
    <t>Zapata Chaparral</t>
  </si>
  <si>
    <t>55°19'05,01"</t>
  </si>
  <si>
    <t>05°09'28,99"</t>
  </si>
  <si>
    <t>TOSTRUP-3</t>
  </si>
  <si>
    <t>5609/10-03</t>
  </si>
  <si>
    <t>GAS STORAGE</t>
  </si>
  <si>
    <t>GAS STORAGE INVESTIGATION</t>
  </si>
  <si>
    <t>DONG</t>
  </si>
  <si>
    <t>Dst Smg Fb-291</t>
  </si>
  <si>
    <t>56°38'11,  "</t>
  </si>
  <si>
    <t>09°24'07,  "</t>
  </si>
  <si>
    <t>VAGN-2</t>
  </si>
  <si>
    <t>5505/21-02</t>
  </si>
  <si>
    <t>55°19'21,  "</t>
  </si>
  <si>
    <t>05°09'43,6 "</t>
  </si>
  <si>
    <t>TOVE-1</t>
  </si>
  <si>
    <t>5505/21-03</t>
  </si>
  <si>
    <t>55°15'17,3 "</t>
  </si>
  <si>
    <t>05°09'45,3 "</t>
  </si>
  <si>
    <t>PER-1</t>
  </si>
  <si>
    <t>5505/05-01</t>
  </si>
  <si>
    <t>55°47'30,0 "</t>
  </si>
  <si>
    <t>05°05'00,8 "</t>
  </si>
  <si>
    <t>AARS-1</t>
  </si>
  <si>
    <t>5609/07-01</t>
  </si>
  <si>
    <t>DONG GEOTHERMAL CONCESS.</t>
  </si>
  <si>
    <t>Dst Gh 1400/23</t>
  </si>
  <si>
    <t>56°47'43,53"</t>
  </si>
  <si>
    <t>09°30'33,76"</t>
  </si>
  <si>
    <t>NILS-1</t>
  </si>
  <si>
    <t>5505/17-05</t>
  </si>
  <si>
    <t>55°23'15,0 "</t>
  </si>
  <si>
    <t>05°13'36,5 "</t>
  </si>
  <si>
    <t>TOSTRUP-4</t>
  </si>
  <si>
    <t>5609/10-04</t>
  </si>
  <si>
    <t>56°38'13,  "</t>
  </si>
  <si>
    <t>09°23'49,  "</t>
  </si>
  <si>
    <t>M-9X</t>
  </si>
  <si>
    <t>5505/17-06</t>
  </si>
  <si>
    <t>55°26'50,20"</t>
  </si>
  <si>
    <t>05°06'38,17"</t>
  </si>
  <si>
    <t>LINDE-1</t>
  </si>
  <si>
    <t>5608/18-02</t>
  </si>
  <si>
    <t>WASTE STORAGE INVESTIG.</t>
  </si>
  <si>
    <t>ELSAM</t>
  </si>
  <si>
    <t>Franks Explorer Iii/</t>
  </si>
  <si>
    <t>56°26'00,05"</t>
  </si>
  <si>
    <t>08°26'30,25"</t>
  </si>
  <si>
    <t>LULU-1</t>
  </si>
  <si>
    <t>5604/22-01</t>
  </si>
  <si>
    <t>Sedco J.</t>
  </si>
  <si>
    <t>56°20'02,36"</t>
  </si>
  <si>
    <t>04°17'38,00"</t>
  </si>
  <si>
    <t>ERSLEV-1</t>
  </si>
  <si>
    <t>5608/08-01</t>
  </si>
  <si>
    <t>Cabot Frank 900</t>
  </si>
  <si>
    <t>56°48'09,8 "</t>
  </si>
  <si>
    <t>08°46'14,9 "</t>
  </si>
  <si>
    <t>ERSLEV-2</t>
  </si>
  <si>
    <t>5608/08-02</t>
  </si>
  <si>
    <t>56°48'43,26"</t>
  </si>
  <si>
    <t>08°46'31,12"</t>
  </si>
  <si>
    <t>TOSTRUP-5</t>
  </si>
  <si>
    <t>5609/10-05</t>
  </si>
  <si>
    <t>Ideco Bir-800</t>
  </si>
  <si>
    <t>56°38'32,00"</t>
  </si>
  <si>
    <t>09°24'60,00"</t>
  </si>
  <si>
    <t>STENLILLE-1</t>
  </si>
  <si>
    <t>5511/15-01</t>
  </si>
  <si>
    <t>EXPLORATION AND STORAGE</t>
  </si>
  <si>
    <t>55°32'38,24"</t>
  </si>
  <si>
    <t>11°37'06,41"</t>
  </si>
  <si>
    <t>TOSTRUP-6</t>
  </si>
  <si>
    <t>5609/10-06</t>
  </si>
  <si>
    <t>09°25'21,  "</t>
  </si>
  <si>
    <t>LØGUMKLOSTER-1</t>
  </si>
  <si>
    <t>5508/32-01</t>
  </si>
  <si>
    <t>55°02'33,  "</t>
  </si>
  <si>
    <t>08°57'04,  "</t>
  </si>
  <si>
    <t>TOSTRUP-7</t>
  </si>
  <si>
    <t>5609/10-07</t>
  </si>
  <si>
    <t>56°38'38,  "</t>
  </si>
  <si>
    <t>09°25'24,  "</t>
  </si>
  <si>
    <t>TØNDER-3</t>
  </si>
  <si>
    <t>5408/04-03</t>
  </si>
  <si>
    <t>54°57'30,  "</t>
  </si>
  <si>
    <t>08°51'28,  "</t>
  </si>
  <si>
    <t>VARNÆS-1</t>
  </si>
  <si>
    <t>5509/31-01</t>
  </si>
  <si>
    <t>55°02'13,  "</t>
  </si>
  <si>
    <t>09°35'32,  "</t>
  </si>
  <si>
    <t>ADDA-2</t>
  </si>
  <si>
    <t>5504/08-02</t>
  </si>
  <si>
    <t>Dyvi Beta</t>
  </si>
  <si>
    <t>55°48'19,74"</t>
  </si>
  <si>
    <t>04°50'41,18"</t>
  </si>
  <si>
    <t>BRØNS-1</t>
  </si>
  <si>
    <t>5508/27-01</t>
  </si>
  <si>
    <t>55°12'04,1 "</t>
  </si>
  <si>
    <t>08°44'08,5 "</t>
  </si>
  <si>
    <t>MIDDLE-ROSA-1</t>
  </si>
  <si>
    <t>5504/15-02</t>
  </si>
  <si>
    <t>55°35'38,82"</t>
  </si>
  <si>
    <t>04°30'05,21"</t>
  </si>
  <si>
    <t>TOSTRUP-8</t>
  </si>
  <si>
    <t>5609/10-08</t>
  </si>
  <si>
    <t>Ideco Bir-8085</t>
  </si>
  <si>
    <t>56°38'06,  "</t>
  </si>
  <si>
    <t>09°25'08,  "</t>
  </si>
  <si>
    <t>TOSTRUP-9</t>
  </si>
  <si>
    <t>5609/10-09</t>
  </si>
  <si>
    <t>09°25'18,  "</t>
  </si>
  <si>
    <t>ROAR-2</t>
  </si>
  <si>
    <t>5504/07-03</t>
  </si>
  <si>
    <t>55°45'09,97"</t>
  </si>
  <si>
    <t>04°39'56,25"</t>
  </si>
  <si>
    <t>TOSTRUP-10</t>
  </si>
  <si>
    <t>5609/10-10</t>
  </si>
  <si>
    <t>FARSØ-1</t>
  </si>
  <si>
    <t>5609/06-02</t>
  </si>
  <si>
    <t>56°46'53,04"</t>
  </si>
  <si>
    <t>09°21'49,68"</t>
  </si>
  <si>
    <t>OTTO-1</t>
  </si>
  <si>
    <t>5604/25-02</t>
  </si>
  <si>
    <t>56°09'07,09"</t>
  </si>
  <si>
    <t>04°11'22,91"</t>
  </si>
  <si>
    <t>THISTED-2</t>
  </si>
  <si>
    <t>5608/03-01</t>
  </si>
  <si>
    <t>56°57'55,97"</t>
  </si>
  <si>
    <t>08°42'56,73"</t>
  </si>
  <si>
    <t>JENS-1</t>
  </si>
  <si>
    <t>5504/11-02</t>
  </si>
  <si>
    <t>55°42'48,62"</t>
  </si>
  <si>
    <t>04°32'17,29"</t>
  </si>
  <si>
    <t>BOJE-1</t>
  </si>
  <si>
    <t>5504/07-04</t>
  </si>
  <si>
    <t>Dan Earl</t>
  </si>
  <si>
    <t>55°50'02,11"</t>
  </si>
  <si>
    <t>04°40'39,46"</t>
  </si>
  <si>
    <t>MONA-1</t>
  </si>
  <si>
    <t>5604/21-01</t>
  </si>
  <si>
    <t>56°16'35,94"</t>
  </si>
  <si>
    <t>04°00'15,81"</t>
  </si>
  <si>
    <t>EMMA-1</t>
  </si>
  <si>
    <t>5505/18-01</t>
  </si>
  <si>
    <t>55°29'32,11"</t>
  </si>
  <si>
    <t>05°21'27,52"</t>
  </si>
  <si>
    <t>SØLLESTED-1</t>
  </si>
  <si>
    <t>5411/06-01</t>
  </si>
  <si>
    <t>54°48'05,  "</t>
  </si>
  <si>
    <t>11°17'55,  "</t>
  </si>
  <si>
    <t>M-10X</t>
  </si>
  <si>
    <t>5505/17-07</t>
  </si>
  <si>
    <t>55°28'28,27"</t>
  </si>
  <si>
    <t>05°05'08,86"</t>
  </si>
  <si>
    <t>ELIN-1</t>
  </si>
  <si>
    <t>5504/02-01</t>
  </si>
  <si>
    <t>Dyvi Epsilon</t>
  </si>
  <si>
    <t>55°56'51,4 "</t>
  </si>
  <si>
    <t>04°22'20,7 "</t>
  </si>
  <si>
    <t>TØNDER-5</t>
  </si>
  <si>
    <t>5408/04-05</t>
  </si>
  <si>
    <t>National 80 U</t>
  </si>
  <si>
    <t>54°57'03,11"</t>
  </si>
  <si>
    <t>08°49'55,14"</t>
  </si>
  <si>
    <t>STEN-1</t>
  </si>
  <si>
    <t>5603/27-01</t>
  </si>
  <si>
    <t>56°07'47,72"</t>
  </si>
  <si>
    <t>03°37'34,69"</t>
  </si>
  <si>
    <t>S.E. IGOR-1</t>
  </si>
  <si>
    <t>5505/14-01</t>
  </si>
  <si>
    <t>Mærsk Endeavour</t>
  </si>
  <si>
    <t>55°33'55,31"</t>
  </si>
  <si>
    <t>05°16'02,10"</t>
  </si>
  <si>
    <t>TØNDER-4</t>
  </si>
  <si>
    <t>5408/04-04</t>
  </si>
  <si>
    <t>54°57'35,0 "</t>
  </si>
  <si>
    <t>08°50'49,5 "</t>
  </si>
  <si>
    <t>OLAF-1</t>
  </si>
  <si>
    <t>5503/03-01</t>
  </si>
  <si>
    <t>55°58'20,60"</t>
  </si>
  <si>
    <t>03°44'05,93"</t>
  </si>
  <si>
    <t>T-3X</t>
  </si>
  <si>
    <t>5604/25-03</t>
  </si>
  <si>
    <t>56°10'44,40"</t>
  </si>
  <si>
    <t>04°10'48,01"</t>
  </si>
  <si>
    <t>EAST-ROSA-1</t>
  </si>
  <si>
    <t>5504/15-03</t>
  </si>
  <si>
    <t>55°34'47,24"</t>
  </si>
  <si>
    <t>04°36'41,60"</t>
  </si>
  <si>
    <t>MIDDLE-ROSA-2</t>
  </si>
  <si>
    <t>5504/14-01</t>
  </si>
  <si>
    <t>55°36'18,06"</t>
  </si>
  <si>
    <t>04°29'21,38"</t>
  </si>
  <si>
    <t>EDNA-1</t>
  </si>
  <si>
    <t>5504/10-01</t>
  </si>
  <si>
    <t>55°39'11,58"</t>
  </si>
  <si>
    <t>04°25'11,70"</t>
  </si>
  <si>
    <t>KARL-1</t>
  </si>
  <si>
    <t>5604/21-02</t>
  </si>
  <si>
    <t>56°17'43,11"</t>
  </si>
  <si>
    <t>04°03'12,47"</t>
  </si>
  <si>
    <t>HANS-1</t>
  </si>
  <si>
    <t>5612/21-01</t>
  </si>
  <si>
    <t>56°21'55,10"</t>
  </si>
  <si>
    <t>12°00'50,00"</t>
  </si>
  <si>
    <t>THISTED-3</t>
  </si>
  <si>
    <t>5608/03-02</t>
  </si>
  <si>
    <t>APPRAISAL AND PRODUCTION</t>
  </si>
  <si>
    <t>56°57'59,22"</t>
  </si>
  <si>
    <t>08°44'25,76"</t>
  </si>
  <si>
    <t>WEST LULU-1</t>
  </si>
  <si>
    <t>5604/21-03</t>
  </si>
  <si>
    <t>56°20'26,07"</t>
  </si>
  <si>
    <t>04°13'27,51"</t>
  </si>
  <si>
    <t>NORA-1</t>
  </si>
  <si>
    <t>5504/02-02</t>
  </si>
  <si>
    <t>55°58'09,17"</t>
  </si>
  <si>
    <t>04°24'04,46"</t>
  </si>
  <si>
    <t>JOHN-1</t>
  </si>
  <si>
    <t>5504/20-01</t>
  </si>
  <si>
    <t>55°24'47,61"</t>
  </si>
  <si>
    <t>04°48'45,25"</t>
  </si>
  <si>
    <t>EAST-ROSA-2</t>
  </si>
  <si>
    <t>5504/15-04</t>
  </si>
  <si>
    <t>55°35'13,83"</t>
  </si>
  <si>
    <t>04°35'08,15"</t>
  </si>
  <si>
    <t>ANNE-3</t>
  </si>
  <si>
    <t>5505/17-08</t>
  </si>
  <si>
    <t>APPRAISAL AND EXPLORATION</t>
  </si>
  <si>
    <t>55°23'38,26"</t>
  </si>
  <si>
    <t>05°04'47,03"</t>
  </si>
  <si>
    <t>CLEO-1</t>
  </si>
  <si>
    <t>5604/18-01</t>
  </si>
  <si>
    <t>56°23'23,53"</t>
  </si>
  <si>
    <t>04°25'22,70"</t>
  </si>
  <si>
    <t>GERT-1</t>
  </si>
  <si>
    <t>5603/27-02</t>
  </si>
  <si>
    <t>56°13'09,23"</t>
  </si>
  <si>
    <t>03°43'56,79"</t>
  </si>
  <si>
    <t>ELLY-1</t>
  </si>
  <si>
    <t>5504/06-01</t>
  </si>
  <si>
    <t>55°47'15,  "</t>
  </si>
  <si>
    <t>04°17'40,  "</t>
  </si>
  <si>
    <t>LIVA-1</t>
  </si>
  <si>
    <t>5503/04-01</t>
  </si>
  <si>
    <t>55°55'32,21"</t>
  </si>
  <si>
    <t>03°49'30,92"</t>
  </si>
  <si>
    <t>ADDA-3</t>
  </si>
  <si>
    <t>5504/08-03</t>
  </si>
  <si>
    <t>55°47'50,  "</t>
  </si>
  <si>
    <t>04°53'26,  "</t>
  </si>
  <si>
    <t>NILS-2</t>
  </si>
  <si>
    <t>5505/17-09</t>
  </si>
  <si>
    <t>55°23'09,54"</t>
  </si>
  <si>
    <t>05°13'41,02"</t>
  </si>
  <si>
    <t>IRIS-1</t>
  </si>
  <si>
    <t>5604/30-01</t>
  </si>
  <si>
    <t>08/84</t>
  </si>
  <si>
    <t>Britoil</t>
  </si>
  <si>
    <t>Dan King</t>
  </si>
  <si>
    <t>56°06'45,38"</t>
  </si>
  <si>
    <t>04°18'20,58"</t>
  </si>
  <si>
    <t>DEEP-ADDA-1</t>
  </si>
  <si>
    <t>5504/08-04</t>
  </si>
  <si>
    <t>55°48'12,91"</t>
  </si>
  <si>
    <t>04°58'23,57"</t>
  </si>
  <si>
    <t>WEST LULU-2</t>
  </si>
  <si>
    <t>5604/21-04</t>
  </si>
  <si>
    <t>56°19'47,75"</t>
  </si>
  <si>
    <t>04°12'12,97"</t>
  </si>
  <si>
    <t>GERT-2</t>
  </si>
  <si>
    <t>5603/28-01</t>
  </si>
  <si>
    <t>56°11'49,02"</t>
  </si>
  <si>
    <t>03°46'51,17"</t>
  </si>
  <si>
    <t>ELNA-1</t>
  </si>
  <si>
    <t>5604/19-01</t>
  </si>
  <si>
    <t>56°26'53,13"</t>
  </si>
  <si>
    <t>04°31'43,44"</t>
  </si>
  <si>
    <t>UGLE-1</t>
  </si>
  <si>
    <t>5505/09-02</t>
  </si>
  <si>
    <t>06/84</t>
  </si>
  <si>
    <t>BP</t>
  </si>
  <si>
    <t>Transocean 7</t>
  </si>
  <si>
    <t>55°43'14,98"</t>
  </si>
  <si>
    <t>05°12'10,17"</t>
  </si>
  <si>
    <t>THISTED-4</t>
  </si>
  <si>
    <t>5708/31-02</t>
  </si>
  <si>
    <t>03/84</t>
  </si>
  <si>
    <t>Amoco</t>
  </si>
  <si>
    <t>Kenting 31</t>
  </si>
  <si>
    <t>57°01'16,81"</t>
  </si>
  <si>
    <t>08°41'53,18"</t>
  </si>
  <si>
    <t>TERNE-1</t>
  </si>
  <si>
    <t>5611/23-01</t>
  </si>
  <si>
    <t>04/84</t>
  </si>
  <si>
    <t>56°20'38,66"</t>
  </si>
  <si>
    <t>11°30'20,39"</t>
  </si>
  <si>
    <t>JOHN-FLANKE-1</t>
  </si>
  <si>
    <t>5504/20-02</t>
  </si>
  <si>
    <t>55°24'27,69"</t>
  </si>
  <si>
    <t>04°50'09,54"</t>
  </si>
  <si>
    <t>LONE-1</t>
  </si>
  <si>
    <t>5603/27-03</t>
  </si>
  <si>
    <t>56°08'34,88"</t>
  </si>
  <si>
    <t>03°31'57,74"</t>
  </si>
  <si>
    <t>KVÆRS-1</t>
  </si>
  <si>
    <t>5409/02-01</t>
  </si>
  <si>
    <t>54°56'27,35"</t>
  </si>
  <si>
    <t>09°28'48,94"</t>
  </si>
  <si>
    <t>NORTH-JENS-1</t>
  </si>
  <si>
    <t>5504/07-05</t>
  </si>
  <si>
    <t>55°49'59,04"</t>
  </si>
  <si>
    <t>04°33'35,68"</t>
  </si>
  <si>
    <t>SÆBY-1</t>
  </si>
  <si>
    <t>5710/22-01</t>
  </si>
  <si>
    <t>09/84</t>
  </si>
  <si>
    <t>DOPAS</t>
  </si>
  <si>
    <t>Boldon 41</t>
  </si>
  <si>
    <t>57°21'41,06"</t>
  </si>
  <si>
    <t>10°23'45,04"</t>
  </si>
  <si>
    <t>KEGNÆS-1</t>
  </si>
  <si>
    <t>5410/05-01</t>
  </si>
  <si>
    <t>11/84</t>
  </si>
  <si>
    <t>TEXACO</t>
  </si>
  <si>
    <t>54°50'51,22"</t>
  </si>
  <si>
    <t>10°05'15,20"</t>
  </si>
  <si>
    <t>SKIVE-2</t>
  </si>
  <si>
    <t>5609/13-01</t>
  </si>
  <si>
    <t>07/84</t>
  </si>
  <si>
    <t>56°35'37,7 "</t>
  </si>
  <si>
    <t>09°00'21,2 "</t>
  </si>
  <si>
    <t>WEST LULU-3</t>
  </si>
  <si>
    <t>5604/21-05</t>
  </si>
  <si>
    <t>56°20'57,93"</t>
  </si>
  <si>
    <t>04°12'33,74"</t>
  </si>
  <si>
    <t>KIM-1</t>
  </si>
  <si>
    <t>5603/30-01</t>
  </si>
  <si>
    <t>Glomar Labrador 1</t>
  </si>
  <si>
    <t>56°07'03,8 "</t>
  </si>
  <si>
    <t>03°29'54,5 "</t>
  </si>
  <si>
    <t>NORTH-JENS-2</t>
  </si>
  <si>
    <t>5504/07-06</t>
  </si>
  <si>
    <t>55°49'59,11"</t>
  </si>
  <si>
    <t>04°33'35,53"</t>
  </si>
  <si>
    <t>LULU-2</t>
  </si>
  <si>
    <t>5604/22-02</t>
  </si>
  <si>
    <t>56°19'06,39"</t>
  </si>
  <si>
    <t>04°17'30,56"</t>
  </si>
  <si>
    <t>DIAMANT-1</t>
  </si>
  <si>
    <t>5603/32-02</t>
  </si>
  <si>
    <t>13/84</t>
  </si>
  <si>
    <t>Phillips</t>
  </si>
  <si>
    <t>56°00'23,26"</t>
  </si>
  <si>
    <t>03°53'44,20"</t>
  </si>
  <si>
    <t>EAST-ROSA-3</t>
  </si>
  <si>
    <t>5504/15-05</t>
  </si>
  <si>
    <t>55°35'36,79"</t>
  </si>
  <si>
    <t>04°36'30,98"</t>
  </si>
  <si>
    <t>EAST-ROSA-FLANK-1</t>
  </si>
  <si>
    <t>5504/15-06</t>
  </si>
  <si>
    <t>55°33'51,11"</t>
  </si>
  <si>
    <t>04°37'54,03"</t>
  </si>
  <si>
    <t>RAVN-1</t>
  </si>
  <si>
    <t>5504/01-02</t>
  </si>
  <si>
    <t>02/84</t>
  </si>
  <si>
    <t>55°52'35,83"</t>
  </si>
  <si>
    <t>04°13'52,06"</t>
  </si>
  <si>
    <t>MIDDLE-ROSA-FLANK-1</t>
  </si>
  <si>
    <t>5504/15-07</t>
  </si>
  <si>
    <t>55°35'27,26"</t>
  </si>
  <si>
    <t>04°31'33,07"</t>
  </si>
  <si>
    <t>WEST LULU-4</t>
  </si>
  <si>
    <t>5604/21-06</t>
  </si>
  <si>
    <t>56°19'04,65"</t>
  </si>
  <si>
    <t>04°10'17,11"</t>
  </si>
  <si>
    <t>GWEN-2</t>
  </si>
  <si>
    <t>5604/29-03</t>
  </si>
  <si>
    <t>56°06'51,6 "</t>
  </si>
  <si>
    <t>04°04'10,3 "</t>
  </si>
  <si>
    <t>MEJRUP-1</t>
  </si>
  <si>
    <t>5608/19-01</t>
  </si>
  <si>
    <t>15/84</t>
  </si>
  <si>
    <t>Kenting 36</t>
  </si>
  <si>
    <t>56°22'38,9 "</t>
  </si>
  <si>
    <t>08°40'36,3 "</t>
  </si>
  <si>
    <t>FELICIA-1</t>
  </si>
  <si>
    <t>5708/18-01</t>
  </si>
  <si>
    <t>08/86</t>
  </si>
  <si>
    <t>Statoil</t>
  </si>
  <si>
    <t>Mærsk Guardian</t>
  </si>
  <si>
    <t>57°26'17,60"</t>
  </si>
  <si>
    <t>08°18'41,02"</t>
  </si>
  <si>
    <t>GERT-3</t>
  </si>
  <si>
    <t>5603/28-02</t>
  </si>
  <si>
    <t>56°12'43,23"</t>
  </si>
  <si>
    <t>03°45'49,02"</t>
  </si>
  <si>
    <t>STENLILLE-2</t>
  </si>
  <si>
    <t>5511/15-02</t>
  </si>
  <si>
    <t>STORAGE</t>
  </si>
  <si>
    <t>55°32'17,33"</t>
  </si>
  <si>
    <t>11°36'39,17"</t>
  </si>
  <si>
    <t>IBENHOLT-1</t>
  </si>
  <si>
    <t>5605/20-01</t>
  </si>
  <si>
    <t>14/84</t>
  </si>
  <si>
    <t>Dyvi Sigma</t>
  </si>
  <si>
    <t>56°23'25,56"</t>
  </si>
  <si>
    <t>05°58'28,71"</t>
  </si>
  <si>
    <t>N-22</t>
  </si>
  <si>
    <t>5504/16-05</t>
  </si>
  <si>
    <t>Zapata Scotian</t>
  </si>
  <si>
    <t>55°34'03,89"</t>
  </si>
  <si>
    <t>04°45'50,31"</t>
  </si>
  <si>
    <t>STENLILLE-3</t>
  </si>
  <si>
    <t>5511/15-03</t>
  </si>
  <si>
    <t>55°32'17,00"</t>
  </si>
  <si>
    <t>11°36'18,00"</t>
  </si>
  <si>
    <t>RAVN-2</t>
  </si>
  <si>
    <t>5504/05-01</t>
  </si>
  <si>
    <t>55°50'33,93"</t>
  </si>
  <si>
    <t>04°13'40,29"</t>
  </si>
  <si>
    <t>ELLY-2</t>
  </si>
  <si>
    <t>5504/06-02</t>
  </si>
  <si>
    <t>Neddrill Trigon</t>
  </si>
  <si>
    <t>55°47'18,66"</t>
  </si>
  <si>
    <t>04°19'04,48"</t>
  </si>
  <si>
    <t>JEPPE-1</t>
  </si>
  <si>
    <t>5603/28-03</t>
  </si>
  <si>
    <t>03/86</t>
  </si>
  <si>
    <t>Norsk Hydro a.s.</t>
  </si>
  <si>
    <t>56°11'04,12"</t>
  </si>
  <si>
    <t>03°54'36,05"</t>
  </si>
  <si>
    <t>BORG-1</t>
  </si>
  <si>
    <t>5508/32-02</t>
  </si>
  <si>
    <t>09/86</t>
  </si>
  <si>
    <t>DANOP</t>
  </si>
  <si>
    <t>Kenting 34</t>
  </si>
  <si>
    <t>55°02'57,03"</t>
  </si>
  <si>
    <t>08°48'22,91"</t>
  </si>
  <si>
    <t>GULNARE-1</t>
  </si>
  <si>
    <t>5604/26-01</t>
  </si>
  <si>
    <t>07/86</t>
  </si>
  <si>
    <t>56°10'13,11"</t>
  </si>
  <si>
    <t>04°26'40,94"</t>
  </si>
  <si>
    <t>STENLILLE-4</t>
  </si>
  <si>
    <t>5511/15-04</t>
  </si>
  <si>
    <t>55°31'06,47"</t>
  </si>
  <si>
    <t>11°35'13,70"</t>
  </si>
  <si>
    <t>STENLILLE-5</t>
  </si>
  <si>
    <t>5511/15-05</t>
  </si>
  <si>
    <t>55°32'08,25"</t>
  </si>
  <si>
    <t>11°37'33,24"</t>
  </si>
  <si>
    <t>STENLILLE-6</t>
  </si>
  <si>
    <t>5511/15-06</t>
  </si>
  <si>
    <t>55°33'28,75"</t>
  </si>
  <si>
    <t>11°39'08,52"</t>
  </si>
  <si>
    <t>TORDENSKJOLD-1</t>
  </si>
  <si>
    <t>5503/03-02</t>
  </si>
  <si>
    <t>04/86</t>
  </si>
  <si>
    <t>55°56'19,08"</t>
  </si>
  <si>
    <t>03°32'31,28"</t>
  </si>
  <si>
    <t>PERNILLE-1</t>
  </si>
  <si>
    <t>5514/30-01</t>
  </si>
  <si>
    <t>05/86</t>
  </si>
  <si>
    <t>Glomar Moray Firth 1</t>
  </si>
  <si>
    <t>55°00'54,09"</t>
  </si>
  <si>
    <t>14°18'43,14"</t>
  </si>
  <si>
    <t>STINA-1</t>
  </si>
  <si>
    <t>5414/07-01</t>
  </si>
  <si>
    <t>02/86</t>
  </si>
  <si>
    <t>54°47'19,92"</t>
  </si>
  <si>
    <t>14°37'43,54"</t>
  </si>
  <si>
    <t>FALK-1</t>
  </si>
  <si>
    <t>5504/06-03</t>
  </si>
  <si>
    <t>55°50'01,4 "</t>
  </si>
  <si>
    <t>04°18'49,5 "</t>
  </si>
  <si>
    <t>GERT-4</t>
  </si>
  <si>
    <t>5603/27-04</t>
  </si>
  <si>
    <t>56°13'17,81"</t>
  </si>
  <si>
    <t>03°43'47,57"</t>
  </si>
  <si>
    <t>ALMA-1X</t>
  </si>
  <si>
    <t>5505/17-10</t>
  </si>
  <si>
    <t>Mærsk Giant</t>
  </si>
  <si>
    <t>55°28'57,39"</t>
  </si>
  <si>
    <t>05°12'33,11"</t>
  </si>
  <si>
    <t>AMALIE-1</t>
  </si>
  <si>
    <t>5604/26-02</t>
  </si>
  <si>
    <t>56°14'39,47"</t>
  </si>
  <si>
    <t>04°22'02,29"</t>
  </si>
  <si>
    <t>STENLILLE-7</t>
  </si>
  <si>
    <t>5511/15-07</t>
  </si>
  <si>
    <t>55°32'18,  "</t>
  </si>
  <si>
    <t>11°36'27,  "</t>
  </si>
  <si>
    <t>E-5X</t>
  </si>
  <si>
    <t>5504/12-04</t>
  </si>
  <si>
    <t>West Sigma</t>
  </si>
  <si>
    <t>55°40'24,55"</t>
  </si>
  <si>
    <t>04°53'11,11"</t>
  </si>
  <si>
    <t>SKJOLD FLANK-1</t>
  </si>
  <si>
    <t>5504/16-06</t>
  </si>
  <si>
    <t>West Kappa</t>
  </si>
  <si>
    <t>55°33'23,43"</t>
  </si>
  <si>
    <t>04°53'51,02"</t>
  </si>
  <si>
    <t>EG-1</t>
  </si>
  <si>
    <t>5503/04-02</t>
  </si>
  <si>
    <t>01/86</t>
  </si>
  <si>
    <t>AGIP DANMARK OLIE</t>
  </si>
  <si>
    <t>55°57'09,40"</t>
  </si>
  <si>
    <t>03°58'24,60"</t>
  </si>
  <si>
    <t>BARON-1</t>
  </si>
  <si>
    <t>5604/30-02</t>
  </si>
  <si>
    <t>07/89</t>
  </si>
  <si>
    <t>Mærsk Jutlander</t>
  </si>
  <si>
    <t>56°01'44,28"</t>
  </si>
  <si>
    <t>04°15'28,96"</t>
  </si>
  <si>
    <t>BARON-2</t>
  </si>
  <si>
    <t>5604/30-03</t>
  </si>
  <si>
    <t>56°01'43,68"</t>
  </si>
  <si>
    <t>04°15'29,43"</t>
  </si>
  <si>
    <t>ELLY-3</t>
  </si>
  <si>
    <t>5504/06-04</t>
  </si>
  <si>
    <t>55°47'18,8 "</t>
  </si>
  <si>
    <t>04°22'01,9 "</t>
  </si>
  <si>
    <t>TWC-3</t>
  </si>
  <si>
    <t>5504/11-03</t>
  </si>
  <si>
    <t>EXPLORATION AND PRODUCTIO</t>
  </si>
  <si>
    <t>55°42'55,73"</t>
  </si>
  <si>
    <t>04°44'55,84"</t>
  </si>
  <si>
    <t>STENLILLE-8</t>
  </si>
  <si>
    <t>5511/15-08</t>
  </si>
  <si>
    <t>GAS STORAGE PERMIT</t>
  </si>
  <si>
    <t>55°32'18,94"</t>
  </si>
  <si>
    <t>11°36'25,82"</t>
  </si>
  <si>
    <t>TWB-10</t>
  </si>
  <si>
    <t>5504/11-00</t>
  </si>
  <si>
    <t>55°42'59,17"</t>
  </si>
  <si>
    <t>04°44'59,43"</t>
  </si>
  <si>
    <t>STENLILLE-9</t>
  </si>
  <si>
    <t>5511/15-09</t>
  </si>
  <si>
    <t>55°32'17,98"</t>
  </si>
  <si>
    <t>11°36'25,54"</t>
  </si>
  <si>
    <t>S.E. ADDA-1X</t>
  </si>
  <si>
    <t>5504/08-05</t>
  </si>
  <si>
    <t>55°47'56,30"</t>
  </si>
  <si>
    <t>04°55'06,68"</t>
  </si>
  <si>
    <t>DAGMAR-6</t>
  </si>
  <si>
    <t>5504/15-08</t>
  </si>
  <si>
    <t>55°35'03,59"</t>
  </si>
  <si>
    <t>04°35'50,48"</t>
  </si>
  <si>
    <t>STENLILLE-10</t>
  </si>
  <si>
    <t>5511/15-10</t>
  </si>
  <si>
    <t>55°33'00,13"</t>
  </si>
  <si>
    <t>11°35'58,77"</t>
  </si>
  <si>
    <t>E-6X</t>
  </si>
  <si>
    <t>5504/12-05</t>
  </si>
  <si>
    <t>55°40'29,00"</t>
  </si>
  <si>
    <t>04°53'22,21"</t>
  </si>
  <si>
    <t>STENLILLE-11</t>
  </si>
  <si>
    <t>5511/15-11</t>
  </si>
  <si>
    <t>55°32'19,1 "</t>
  </si>
  <si>
    <t>11°36'24,1 "</t>
  </si>
  <si>
    <t>LULITA-1X</t>
  </si>
  <si>
    <t>5604/22-03</t>
  </si>
  <si>
    <t>56°20'45,90"</t>
  </si>
  <si>
    <t>04°16'23,57"</t>
  </si>
  <si>
    <t>E-7X</t>
  </si>
  <si>
    <t>5504/12-06</t>
  </si>
  <si>
    <t>55°40'42,63"</t>
  </si>
  <si>
    <t>04°49'24,33"</t>
  </si>
  <si>
    <t>BERTEL-1</t>
  </si>
  <si>
    <t>5603/32-03</t>
  </si>
  <si>
    <t>08/89</t>
  </si>
  <si>
    <t>West Omikron</t>
  </si>
  <si>
    <t>56°02'11,97"</t>
  </si>
  <si>
    <t>03°58'02,58"</t>
  </si>
  <si>
    <t>TWC-24</t>
  </si>
  <si>
    <t>55°42'55,52"</t>
  </si>
  <si>
    <t>04°44'56,29"</t>
  </si>
  <si>
    <t>IDA-1</t>
  </si>
  <si>
    <t>5606/13-01</t>
  </si>
  <si>
    <t>03/89</t>
  </si>
  <si>
    <t>Ross Explorer</t>
  </si>
  <si>
    <t>56°32'11,50"</t>
  </si>
  <si>
    <t>06°06'58,44"</t>
  </si>
  <si>
    <t>RITA-1X</t>
  </si>
  <si>
    <t>5603/27-05</t>
  </si>
  <si>
    <t>10/89</t>
  </si>
  <si>
    <t>56°09'08,67"</t>
  </si>
  <si>
    <t>03°34'12,76"</t>
  </si>
  <si>
    <t>SKARV-1</t>
  </si>
  <si>
    <t>5504/10-02</t>
  </si>
  <si>
    <t>01/89</t>
  </si>
  <si>
    <t>55°43'14,3 "</t>
  </si>
  <si>
    <t>04°24'58,3 "</t>
  </si>
  <si>
    <t>JELLING-1</t>
  </si>
  <si>
    <t>5509/10-01</t>
  </si>
  <si>
    <t>09/89</t>
  </si>
  <si>
    <t>55°44'21,5 "</t>
  </si>
  <si>
    <t>09°22'33,0 "</t>
  </si>
  <si>
    <t>ALMA-2X</t>
  </si>
  <si>
    <t>5505/17-11</t>
  </si>
  <si>
    <t>Shelf Explorer</t>
  </si>
  <si>
    <t>55°29'50,05"</t>
  </si>
  <si>
    <t>05°13'37,42"</t>
  </si>
  <si>
    <t>LØGUMKLOSTER-2</t>
  </si>
  <si>
    <t>5508/32-03</t>
  </si>
  <si>
    <t>01/92</t>
  </si>
  <si>
    <t>55°02'00,17"</t>
  </si>
  <si>
    <t>08°56'31,83"</t>
  </si>
  <si>
    <t>TABITA-1</t>
  </si>
  <si>
    <t>5604/26-03</t>
  </si>
  <si>
    <t>56°13'37,50"</t>
  </si>
  <si>
    <t>04°23'47,56"</t>
  </si>
  <si>
    <t>STENLILLE-12</t>
  </si>
  <si>
    <t>5511/15-12</t>
  </si>
  <si>
    <t>55°32'18,29"</t>
  </si>
  <si>
    <t>11°36'22,16"</t>
  </si>
  <si>
    <t>STENLILLE-13</t>
  </si>
  <si>
    <t>5511/15-13</t>
  </si>
  <si>
    <t>55°32'18,4 "</t>
  </si>
  <si>
    <t>11°36'20,4 "</t>
  </si>
  <si>
    <t>E-8X</t>
  </si>
  <si>
    <t>5504/12-07</t>
  </si>
  <si>
    <t>55°38'13,43"</t>
  </si>
  <si>
    <t>04°59'11,95"</t>
  </si>
  <si>
    <t>RIGS-1</t>
  </si>
  <si>
    <t>5604/29-04</t>
  </si>
  <si>
    <t>AMERADA HESS</t>
  </si>
  <si>
    <t>56°05'22,05"</t>
  </si>
  <si>
    <t>04°12'52,73"</t>
  </si>
  <si>
    <t>SKJOLD-18P</t>
  </si>
  <si>
    <t>5504/16-00</t>
  </si>
  <si>
    <t>55°31'54,14"</t>
  </si>
  <si>
    <t>04°54'37,47"</t>
  </si>
  <si>
    <t>STENLILLE-14</t>
  </si>
  <si>
    <t>5511/15-14</t>
  </si>
  <si>
    <t>55°32'19,25"</t>
  </si>
  <si>
    <t>11°36'22,44"</t>
  </si>
  <si>
    <t>STENLILLE-15</t>
  </si>
  <si>
    <t>5511/15-15</t>
  </si>
  <si>
    <t>OBSERVATION</t>
  </si>
  <si>
    <t>55°30'41,78"</t>
  </si>
  <si>
    <t>11°33'56,05"</t>
  </si>
  <si>
    <t>SIRI-1</t>
  </si>
  <si>
    <t>5604/20-01</t>
  </si>
  <si>
    <t>06/95</t>
  </si>
  <si>
    <t>Deepsea Bergen</t>
  </si>
  <si>
    <t>56°29'11,10"</t>
  </si>
  <si>
    <t>04°54'57,49"</t>
  </si>
  <si>
    <t>STENLILLE-16</t>
  </si>
  <si>
    <t>5511/15-16</t>
  </si>
  <si>
    <t>Kenting 21</t>
  </si>
  <si>
    <t>55°32'19,41"</t>
  </si>
  <si>
    <t>11°36'20,75"</t>
  </si>
  <si>
    <t>RIGS-2</t>
  </si>
  <si>
    <t>5604/29-05</t>
  </si>
  <si>
    <t>Mærsk Enhancer</t>
  </si>
  <si>
    <t>56°05'51,55"</t>
  </si>
  <si>
    <t>04°13'08,91"</t>
  </si>
  <si>
    <t>SIRI-2</t>
  </si>
  <si>
    <t>5604/20-02</t>
  </si>
  <si>
    <t>56°29'40,53"</t>
  </si>
  <si>
    <t>04°52'13,26"</t>
  </si>
  <si>
    <t>MFB-2C</t>
  </si>
  <si>
    <t>5505/17-12</t>
  </si>
  <si>
    <t>55°28'46,51"</t>
  </si>
  <si>
    <t>05°06'31,30"</t>
  </si>
  <si>
    <t>SKJOLD-22</t>
  </si>
  <si>
    <t>55°31'54,09"</t>
  </si>
  <si>
    <t>04°54'37,41"</t>
  </si>
  <si>
    <t>SIRI-3</t>
  </si>
  <si>
    <t>5605/13-01</t>
  </si>
  <si>
    <t>56°30'34,92"</t>
  </si>
  <si>
    <t>05°03'48,27"</t>
  </si>
  <si>
    <t>STENLILLE-17</t>
  </si>
  <si>
    <t>5511/15-17</t>
  </si>
  <si>
    <t>55°32'01,93"</t>
  </si>
  <si>
    <t>11°35'55,96"</t>
  </si>
  <si>
    <t>STENLILLE-18</t>
  </si>
  <si>
    <t>5511/15-18</t>
  </si>
  <si>
    <t>55°32'02,30"</t>
  </si>
  <si>
    <t>11°35'54,38"</t>
  </si>
  <si>
    <t>MFF-4</t>
  </si>
  <si>
    <t>5505/17-13</t>
  </si>
  <si>
    <t>APPRAISAL AND INJECTION</t>
  </si>
  <si>
    <t>55°28'40,45"</t>
  </si>
  <si>
    <t>05°06'33,52"</t>
  </si>
  <si>
    <t>SAXO-1</t>
  </si>
  <si>
    <t>5503/02-01</t>
  </si>
  <si>
    <t>01/95</t>
  </si>
  <si>
    <t>55°58'52,40"</t>
  </si>
  <si>
    <t>03°26'09,82"</t>
  </si>
  <si>
    <t>A-10P</t>
  </si>
  <si>
    <t>5505/17-14</t>
  </si>
  <si>
    <t>Mærsk Exerter</t>
  </si>
  <si>
    <t>55°24'09,83"</t>
  </si>
  <si>
    <t>05°04'47,08"</t>
  </si>
  <si>
    <t>NOLDE-1</t>
  </si>
  <si>
    <t>5605/09-01</t>
  </si>
  <si>
    <t>04/95</t>
  </si>
  <si>
    <t>56°37'38,21"</t>
  </si>
  <si>
    <t>05°11'02,11"</t>
  </si>
  <si>
    <t>ISAK-1</t>
  </si>
  <si>
    <t>5603/31-01</t>
  </si>
  <si>
    <t>02/95</t>
  </si>
  <si>
    <t>56°01'01,72"</t>
  </si>
  <si>
    <t>03°43'25,16"</t>
  </si>
  <si>
    <t>NW ADDA-1X</t>
  </si>
  <si>
    <t>5504/04-01</t>
  </si>
  <si>
    <t>08/95</t>
  </si>
  <si>
    <t>55°52'30,68"</t>
  </si>
  <si>
    <t>04°47'01,40"</t>
  </si>
  <si>
    <t>DAGMAR-7P</t>
  </si>
  <si>
    <t>5504/15-09</t>
  </si>
  <si>
    <t>Neddrill 10</t>
  </si>
  <si>
    <t>55°34'37,80"</t>
  </si>
  <si>
    <t>04°37'10,72"</t>
  </si>
  <si>
    <t>FRIDA-1</t>
  </si>
  <si>
    <t>5605/21-02</t>
  </si>
  <si>
    <t>03/95</t>
  </si>
  <si>
    <t>Neddrill Kolskaya</t>
  </si>
  <si>
    <t>56°17'14,15"</t>
  </si>
  <si>
    <t>05°01'50,20"</t>
  </si>
  <si>
    <t>ADDA-4</t>
  </si>
  <si>
    <t>5504/08-06</t>
  </si>
  <si>
    <t>55°49'24,53"</t>
  </si>
  <si>
    <t>04°51'54,18"</t>
  </si>
  <si>
    <t>WESSEL-1</t>
  </si>
  <si>
    <t>5503/02-02</t>
  </si>
  <si>
    <t>Kolskaya</t>
  </si>
  <si>
    <t>55°59'45,44"</t>
  </si>
  <si>
    <t>03°29'25,44"</t>
  </si>
  <si>
    <t>ROLF-6P</t>
  </si>
  <si>
    <t>5504/14-02</t>
  </si>
  <si>
    <t>55°36'23,87"</t>
  </si>
  <si>
    <t>04°29'34,47"</t>
  </si>
  <si>
    <t>MFF-19</t>
  </si>
  <si>
    <t>5505/17-16</t>
  </si>
  <si>
    <t>55°28'39,75"</t>
  </si>
  <si>
    <t>05°06'32,23"</t>
  </si>
  <si>
    <t>SANDRA-1</t>
  </si>
  <si>
    <t>5605/13-02</t>
  </si>
  <si>
    <t>Glomar Adriatic Vi</t>
  </si>
  <si>
    <t>56°35'13,33"</t>
  </si>
  <si>
    <t>05°01'35,19"</t>
  </si>
  <si>
    <t>FRANCISCA-1</t>
  </si>
  <si>
    <t>5604/24-01</t>
  </si>
  <si>
    <t>02/90</t>
  </si>
  <si>
    <t>56°22'27,95"</t>
  </si>
  <si>
    <t>04°48'05,30"</t>
  </si>
  <si>
    <t>SINE-1X</t>
  </si>
  <si>
    <t>5505/22-02</t>
  </si>
  <si>
    <t>07/95</t>
  </si>
  <si>
    <t>55°17'51,46"</t>
  </si>
  <si>
    <t>05°25'39,81"</t>
  </si>
  <si>
    <t>TEB-18</t>
  </si>
  <si>
    <t>5504/12-08</t>
  </si>
  <si>
    <t>55°43'14,93"</t>
  </si>
  <si>
    <t>04°48'01,04"</t>
  </si>
  <si>
    <t>SVEND-3</t>
  </si>
  <si>
    <t>5604/25-00</t>
  </si>
  <si>
    <t>Noble Byron Welliver</t>
  </si>
  <si>
    <t>56°10'44,58"</t>
  </si>
  <si>
    <t>04°10'50,74"</t>
  </si>
  <si>
    <t>NANA-1X</t>
  </si>
  <si>
    <t>5505/13-02</t>
  </si>
  <si>
    <t>55°31'50,19"</t>
  </si>
  <si>
    <t>05°00'26,21"</t>
  </si>
  <si>
    <t>MODI-1</t>
  </si>
  <si>
    <t>5604/29-06</t>
  </si>
  <si>
    <t>AMERADA HESS/DANOP</t>
  </si>
  <si>
    <t>56°06'11,87"</t>
  </si>
  <si>
    <t>04°14'15,75"</t>
  </si>
  <si>
    <t>SCA-4</t>
  </si>
  <si>
    <t>5604/20-03</t>
  </si>
  <si>
    <t>EXPLORATION AND INJECTION</t>
  </si>
  <si>
    <t>Noble George Sauvageau</t>
  </si>
  <si>
    <t>56°29'00,13"</t>
  </si>
  <si>
    <t>04°54'45,22"</t>
  </si>
  <si>
    <t>SCA-11</t>
  </si>
  <si>
    <t>5604/20-04</t>
  </si>
  <si>
    <t>56°28'59,99"</t>
  </si>
  <si>
    <t>04°54'45,19"</t>
  </si>
  <si>
    <t>SIF-1X</t>
  </si>
  <si>
    <t>5505/13-03</t>
  </si>
  <si>
    <t>55°34'52,55"</t>
  </si>
  <si>
    <t>05°02'18,29"</t>
  </si>
  <si>
    <t>HALFDAN-2X</t>
  </si>
  <si>
    <t>5505/13-04</t>
  </si>
  <si>
    <t>55°31'50,16"</t>
  </si>
  <si>
    <t>05°00'26,29"</t>
  </si>
  <si>
    <t>G-2X</t>
  </si>
  <si>
    <t>5505/13-05</t>
  </si>
  <si>
    <t>55°34'48,11"</t>
  </si>
  <si>
    <t>05°07'15,00"</t>
  </si>
  <si>
    <t>E-9X</t>
  </si>
  <si>
    <t>5504/12-09</t>
  </si>
  <si>
    <t>55°38'25,39"</t>
  </si>
  <si>
    <t>04°53'03,52"</t>
  </si>
  <si>
    <t>HALFDAN-3X</t>
  </si>
  <si>
    <t>5505/13-06</t>
  </si>
  <si>
    <t>55°31'50,12"</t>
  </si>
  <si>
    <t>05°00'26,26"</t>
  </si>
  <si>
    <t>LILY-1X</t>
  </si>
  <si>
    <t>5504/11-04</t>
  </si>
  <si>
    <t>55°42'31,16"</t>
  </si>
  <si>
    <t>04°39'56,07"</t>
  </si>
  <si>
    <t>TWC-15</t>
  </si>
  <si>
    <t>55°42'55,44"</t>
  </si>
  <si>
    <t>04°44'56,06"</t>
  </si>
  <si>
    <t>HALFDAN-5</t>
  </si>
  <si>
    <t>5505/13-00</t>
  </si>
  <si>
    <t>55°31'50,15"</t>
  </si>
  <si>
    <t>05°00'26,17"</t>
  </si>
  <si>
    <t>SKJOLD-28</t>
  </si>
  <si>
    <t>55°31'52,83"</t>
  </si>
  <si>
    <t>04°54'35,55"</t>
  </si>
  <si>
    <t>ROXANNE-1</t>
  </si>
  <si>
    <t>5505/06-01</t>
  </si>
  <si>
    <t>01/98</t>
  </si>
  <si>
    <t>CLAM PETROLEUM/DANOP</t>
  </si>
  <si>
    <t>Ensco 70</t>
  </si>
  <si>
    <t>55°45'51,98"</t>
  </si>
  <si>
    <t>05°15'18,40"</t>
  </si>
  <si>
    <t>TWC-14</t>
  </si>
  <si>
    <t>55°42'55,42"</t>
  </si>
  <si>
    <t>04°44'56,02"</t>
  </si>
  <si>
    <t>LILJE-1</t>
  </si>
  <si>
    <t>5503/03-03</t>
  </si>
  <si>
    <t>10/98</t>
  </si>
  <si>
    <t xml:space="preserve">Norsk Agip A/S </t>
  </si>
  <si>
    <t>55°57'34,10"</t>
  </si>
  <si>
    <t>03°35'05,93"</t>
  </si>
  <si>
    <t>HEA-3</t>
  </si>
  <si>
    <t>5604/22-00</t>
  </si>
  <si>
    <t>04°16'23,55"</t>
  </si>
  <si>
    <t>NINI-1</t>
  </si>
  <si>
    <t>5605/10-01</t>
  </si>
  <si>
    <t>56°38'31,09"</t>
  </si>
  <si>
    <t>05°19'15,87"</t>
  </si>
  <si>
    <t>STENLILLE-19</t>
  </si>
  <si>
    <t>5511/15-19</t>
  </si>
  <si>
    <t>Deutag T-2000</t>
  </si>
  <si>
    <t>55°32'01,03"</t>
  </si>
  <si>
    <t>11°35'55,30"</t>
  </si>
  <si>
    <t>HDN-1X</t>
  </si>
  <si>
    <t>5505/13-07</t>
  </si>
  <si>
    <t>55°33'45,41"</t>
  </si>
  <si>
    <t>05°00'40,05"</t>
  </si>
  <si>
    <t>SKJOLD-30</t>
  </si>
  <si>
    <t>5504/16-07</t>
  </si>
  <si>
    <t>55°31'53,10"</t>
  </si>
  <si>
    <t>04°54'35,27"</t>
  </si>
  <si>
    <t>FLOKI-1</t>
  </si>
  <si>
    <t>5605/18-01</t>
  </si>
  <si>
    <t>08/98</t>
  </si>
  <si>
    <t>KERR-MCGEE</t>
  </si>
  <si>
    <t>56°27'48,58"</t>
  </si>
  <si>
    <t>05°16'47,10"</t>
  </si>
  <si>
    <t>VANESSA-1</t>
  </si>
  <si>
    <t>5605/23-01</t>
  </si>
  <si>
    <t>02/98</t>
  </si>
  <si>
    <t>56°21'52,19"</t>
  </si>
  <si>
    <t>05°30'26,09"</t>
  </si>
  <si>
    <t>CECILIE-1</t>
  </si>
  <si>
    <t>5604/20-05</t>
  </si>
  <si>
    <t>16/98</t>
  </si>
  <si>
    <t>DONG E&amp;P A/S</t>
  </si>
  <si>
    <t>56°24'23,78"</t>
  </si>
  <si>
    <t>04°45'41,95"</t>
  </si>
  <si>
    <t>VALDEMAR-5</t>
  </si>
  <si>
    <t>5504/07-07</t>
  </si>
  <si>
    <t>55°50'05,97"</t>
  </si>
  <si>
    <t>04°33'46,34"</t>
  </si>
  <si>
    <t>NINI-2</t>
  </si>
  <si>
    <t>5605/10-02</t>
  </si>
  <si>
    <t>56°37'52,85"</t>
  </si>
  <si>
    <t>05°17'59,22"</t>
  </si>
  <si>
    <t>NINI-3</t>
  </si>
  <si>
    <t>5605/10-03</t>
  </si>
  <si>
    <t>56°41'31,96"</t>
  </si>
  <si>
    <t>05°24'12,35"</t>
  </si>
  <si>
    <t>MD-2BX</t>
  </si>
  <si>
    <t>5505/17-17</t>
  </si>
  <si>
    <t>Ensco 71</t>
  </si>
  <si>
    <t>55°28'09,97"</t>
  </si>
  <si>
    <t>05°08'06,26"</t>
  </si>
  <si>
    <t>CONNIE-1</t>
  </si>
  <si>
    <t>5604/19-02</t>
  </si>
  <si>
    <t>56°24'28,34"</t>
  </si>
  <si>
    <t>04°42'30,36"</t>
  </si>
  <si>
    <t>AUGUSTA-1</t>
  </si>
  <si>
    <t>5604/22-04</t>
  </si>
  <si>
    <t>56°17'57,43"</t>
  </si>
  <si>
    <t>04°24'04,83"</t>
  </si>
  <si>
    <t>ROAR-5X</t>
  </si>
  <si>
    <t>5504/07-08</t>
  </si>
  <si>
    <t>55°46'05,44"</t>
  </si>
  <si>
    <t>04°38'58,96"</t>
  </si>
  <si>
    <t>HEJRE-1</t>
  </si>
  <si>
    <t>5603/28-04</t>
  </si>
  <si>
    <t>05/98</t>
  </si>
  <si>
    <t>56°14'35,47"</t>
  </si>
  <si>
    <t>03°58'00,96"</t>
  </si>
  <si>
    <t>N-54</t>
  </si>
  <si>
    <t>5504/16-08</t>
  </si>
  <si>
    <t>55°34'44,89"</t>
  </si>
  <si>
    <t>04°45'29,31"</t>
  </si>
  <si>
    <t>VALDEMAR-6</t>
  </si>
  <si>
    <t>5504/07-00</t>
  </si>
  <si>
    <t>55°50'06,  "</t>
  </si>
  <si>
    <t>04°33'46,35"</t>
  </si>
  <si>
    <t>KIT-1XP</t>
  </si>
  <si>
    <t>5604/25-04</t>
  </si>
  <si>
    <t>15/98</t>
  </si>
  <si>
    <t>56°10'45,05"</t>
  </si>
  <si>
    <t>04°05'01,99"</t>
  </si>
  <si>
    <t>SIRI-4</t>
  </si>
  <si>
    <t>5604/20-06</t>
  </si>
  <si>
    <t>56°29'20,84"</t>
  </si>
  <si>
    <t>04°59'33,16"</t>
  </si>
  <si>
    <t>SCA-7</t>
  </si>
  <si>
    <t>5604/20-07</t>
  </si>
  <si>
    <t>56°29'00,08"</t>
  </si>
  <si>
    <t>04°54'45,35"</t>
  </si>
  <si>
    <t>LOLA-2X</t>
  </si>
  <si>
    <t>5504/16-09</t>
  </si>
  <si>
    <t>55°30'16,83"</t>
  </si>
  <si>
    <t>04°45'48,20"</t>
  </si>
  <si>
    <t>ERIK-1X</t>
  </si>
  <si>
    <t>5507/18-01</t>
  </si>
  <si>
    <t>04/97</t>
  </si>
  <si>
    <t>55°25'29,83"</t>
  </si>
  <si>
    <t>07°15'24,78"</t>
  </si>
  <si>
    <t>SVANE-1</t>
  </si>
  <si>
    <t>5604/26-04</t>
  </si>
  <si>
    <t>04/98</t>
  </si>
  <si>
    <t>PHILLIPS /  DONG EFTERFORSKNING OG PRODUKTION A/S</t>
  </si>
  <si>
    <t>56°07'50,56"</t>
  </si>
  <si>
    <t>04°24'36,22"</t>
  </si>
  <si>
    <t>SVEND-2XP</t>
  </si>
  <si>
    <t>5604/25-05</t>
  </si>
  <si>
    <t>56°10'44,57"</t>
  </si>
  <si>
    <t>04°10'50,69"</t>
  </si>
  <si>
    <t>SVEND-6X</t>
  </si>
  <si>
    <t>5604/25-06</t>
  </si>
  <si>
    <t>56°10'44,63"</t>
  </si>
  <si>
    <t>04°10'50,67"</t>
  </si>
  <si>
    <t>TSEA-6</t>
  </si>
  <si>
    <t>5504/12-10</t>
  </si>
  <si>
    <t>55°38'25,23"</t>
  </si>
  <si>
    <t>04°53'02,47"</t>
  </si>
  <si>
    <t>HDA-14</t>
  </si>
  <si>
    <t>55°31'50,02"</t>
  </si>
  <si>
    <t>05°00'26,02"</t>
  </si>
  <si>
    <t>TSEA-3</t>
  </si>
  <si>
    <t>5504/12-00</t>
  </si>
  <si>
    <t>55°38'25,08"</t>
  </si>
  <si>
    <t>04°53'02,52"</t>
  </si>
  <si>
    <t>MARGRETHEHOLM-1</t>
  </si>
  <si>
    <t>5512/11-01</t>
  </si>
  <si>
    <t>HGS GEOTHERMAL CONCESSION</t>
  </si>
  <si>
    <t>Deutag T-61</t>
  </si>
  <si>
    <t>55°41'21,24"</t>
  </si>
  <si>
    <t>12°38'00,72"</t>
  </si>
  <si>
    <t>G-3X</t>
  </si>
  <si>
    <t>5505/13-08</t>
  </si>
  <si>
    <t>55°33'28,46"</t>
  </si>
  <si>
    <t>05°08'09,17"</t>
  </si>
  <si>
    <t>BOJE-2</t>
  </si>
  <si>
    <t>5504/07-09</t>
  </si>
  <si>
    <t>55°51'39,07"</t>
  </si>
  <si>
    <t>04°40'29,15"</t>
  </si>
  <si>
    <t>HBA-7</t>
  </si>
  <si>
    <t>55°32'19,56"</t>
  </si>
  <si>
    <t>05°01'55,79"</t>
  </si>
  <si>
    <t>OSCAR-1</t>
  </si>
  <si>
    <t>5604/32-01</t>
  </si>
  <si>
    <t>12/98</t>
  </si>
  <si>
    <t>Amerada Hess A/S /  DONG Efterforskning og Produktion</t>
  </si>
  <si>
    <t>56°03'21,50"</t>
  </si>
  <si>
    <t>04°52'11,46"</t>
  </si>
  <si>
    <t>NINI-4</t>
  </si>
  <si>
    <t>5605/10-04</t>
  </si>
  <si>
    <t>56°37'43,34"</t>
  </si>
  <si>
    <t>05°16'44,34"</t>
  </si>
  <si>
    <t>SIRI-5</t>
  </si>
  <si>
    <t>5604/20-08</t>
  </si>
  <si>
    <t>Mærsk Gallant</t>
  </si>
  <si>
    <t>56°28'36,35"</t>
  </si>
  <si>
    <t>04°59'11,28"</t>
  </si>
  <si>
    <t>CECILIE-2</t>
  </si>
  <si>
    <t>5604/20-09</t>
  </si>
  <si>
    <t>56°23'55,10"</t>
  </si>
  <si>
    <t>04°46'19,97"</t>
  </si>
  <si>
    <t>OLGA-1X</t>
  </si>
  <si>
    <t>5505/21-04</t>
  </si>
  <si>
    <t>05/99</t>
  </si>
  <si>
    <t>55°22'26,31"</t>
  </si>
  <si>
    <t>05°04'28,42"</t>
  </si>
  <si>
    <t>NA-2</t>
  </si>
  <si>
    <t>5605/10-00</t>
  </si>
  <si>
    <t>56°38'29,23"</t>
  </si>
  <si>
    <t>05°19'21,16"</t>
  </si>
  <si>
    <t>VALDEMAR-7</t>
  </si>
  <si>
    <t>5504/07-10</t>
  </si>
  <si>
    <t>Maersk Exerter</t>
  </si>
  <si>
    <t>55°50'05,99"</t>
  </si>
  <si>
    <t>04°33'46,38"</t>
  </si>
  <si>
    <t>MARGRETHEHOLM-2</t>
  </si>
  <si>
    <t>5512/11-02</t>
  </si>
  <si>
    <t>55°41'23,17"</t>
  </si>
  <si>
    <t>12°38'04,98"</t>
  </si>
  <si>
    <t>JETTE-1</t>
  </si>
  <si>
    <t>5604/29-07</t>
  </si>
  <si>
    <t>Ensco 101</t>
  </si>
  <si>
    <t>56°04'52,70"</t>
  </si>
  <si>
    <t>04°05'09,98"</t>
  </si>
  <si>
    <t>HBA-13X</t>
  </si>
  <si>
    <t>5505/13-09</t>
  </si>
  <si>
    <t>55°32'19,62"</t>
  </si>
  <si>
    <t>05°01'55,83"</t>
  </si>
  <si>
    <t>SOFIE-1</t>
  </si>
  <si>
    <t>5605/13-03</t>
  </si>
  <si>
    <t>56°34'55,27"</t>
  </si>
  <si>
    <t>05°09'51,01"</t>
  </si>
  <si>
    <t>VALDEMAR-8</t>
  </si>
  <si>
    <t>5504/07-11</t>
  </si>
  <si>
    <t>55°50'06,01"</t>
  </si>
  <si>
    <t>04°33'46,27"</t>
  </si>
  <si>
    <t>HANNE-1</t>
  </si>
  <si>
    <t>5504/06-05</t>
  </si>
  <si>
    <t>11/98</t>
  </si>
  <si>
    <t>55°51'41,55"</t>
  </si>
  <si>
    <t>04°23'52,36"</t>
  </si>
  <si>
    <t>OPHELIA-1</t>
  </si>
  <si>
    <t>5603/32-04</t>
  </si>
  <si>
    <t>56°05'47,97"</t>
  </si>
  <si>
    <t>03°59'53,04"</t>
  </si>
  <si>
    <t>HDN-2X</t>
  </si>
  <si>
    <t>5504/16-10</t>
  </si>
  <si>
    <t>55°35'38,13"</t>
  </si>
  <si>
    <t>04°57'00,97"</t>
  </si>
  <si>
    <t>KATHERINE-1</t>
  </si>
  <si>
    <t>5604/30-04</t>
  </si>
  <si>
    <t>AMERADA HESS APS</t>
  </si>
  <si>
    <t>56°03'41,07"</t>
  </si>
  <si>
    <t>04°15'19,73"</t>
  </si>
  <si>
    <t>SCB-1X</t>
  </si>
  <si>
    <t>5605/13-04</t>
  </si>
  <si>
    <t>56°30'23,76"</t>
  </si>
  <si>
    <t>05°02'32,56"</t>
  </si>
  <si>
    <t>CA-3</t>
  </si>
  <si>
    <t>5604/19-10</t>
  </si>
  <si>
    <t>56°24'10,08"</t>
  </si>
  <si>
    <t>04°45'39,87"</t>
  </si>
  <si>
    <t>FASAN-1</t>
  </si>
  <si>
    <t>5505/09-03</t>
  </si>
  <si>
    <t>13/98</t>
  </si>
  <si>
    <t>EDC (DENMARK)</t>
  </si>
  <si>
    <t>55°39'23,4 "</t>
  </si>
  <si>
    <t>05°00'34,3 "</t>
  </si>
  <si>
    <t>BO-2X</t>
  </si>
  <si>
    <t>5504/07-12</t>
  </si>
  <si>
    <t>55°47'39,85"</t>
  </si>
  <si>
    <t>04°32'43,64"</t>
  </si>
  <si>
    <t>VIVI-1</t>
  </si>
  <si>
    <t>5605/10-05</t>
  </si>
  <si>
    <t>56°43'21,12"</t>
  </si>
  <si>
    <t>05°29'04,48"</t>
  </si>
  <si>
    <t>HBA-14</t>
  </si>
  <si>
    <t>5505/13-10</t>
  </si>
  <si>
    <t>55°32'19,64"</t>
  </si>
  <si>
    <t>05°01'55,90"</t>
  </si>
  <si>
    <t>NA-6</t>
  </si>
  <si>
    <t>5605/10-06</t>
  </si>
  <si>
    <t>56°38'29,21"</t>
  </si>
  <si>
    <t>05°19'21,12"</t>
  </si>
  <si>
    <t>TEB-14</t>
  </si>
  <si>
    <t>5504/12-12</t>
  </si>
  <si>
    <t>55°43'15,04"</t>
  </si>
  <si>
    <t>04°48'01,25"</t>
  </si>
  <si>
    <t>HEJRE-2</t>
  </si>
  <si>
    <t>5603/28-05</t>
  </si>
  <si>
    <t>Conoco Phillips</t>
  </si>
  <si>
    <t>56°14'45,31"</t>
  </si>
  <si>
    <t>03°59'01,51"</t>
  </si>
  <si>
    <t>SOFIE-2</t>
  </si>
  <si>
    <t>5605/13-05</t>
  </si>
  <si>
    <t>56°34'44,01"</t>
  </si>
  <si>
    <t>05°11'47,28"</t>
  </si>
  <si>
    <t>SISSEL-1</t>
  </si>
  <si>
    <t>5605/13-06</t>
  </si>
  <si>
    <t>56°33'41,62"</t>
  </si>
  <si>
    <t>05°06'26,50"</t>
  </si>
  <si>
    <t>NA-7</t>
  </si>
  <si>
    <t>5605/10-07</t>
  </si>
  <si>
    <t>56°38'29,20"</t>
  </si>
  <si>
    <t>05°19'21,06"</t>
  </si>
  <si>
    <t>TEB-15</t>
  </si>
  <si>
    <t>5504/12-13</t>
  </si>
  <si>
    <t>55°43'15,01"</t>
  </si>
  <si>
    <t>04°48'01,19"</t>
  </si>
  <si>
    <t>VAB-4</t>
  </si>
  <si>
    <t>5504/07-13</t>
  </si>
  <si>
    <t>55°50'04,03"</t>
  </si>
  <si>
    <t>04°33'47,96"</t>
  </si>
  <si>
    <t>RIGS-3</t>
  </si>
  <si>
    <t>5604/29-08</t>
  </si>
  <si>
    <t>Ensco 72</t>
  </si>
  <si>
    <t>56°06'52,25"</t>
  </si>
  <si>
    <t>04°11'44,18"</t>
  </si>
  <si>
    <t>ROBIN-1</t>
  </si>
  <si>
    <t>5503/08-01</t>
  </si>
  <si>
    <t>55°51'38,61"</t>
  </si>
  <si>
    <t>03°59'10,17"</t>
  </si>
  <si>
    <t>STORK-1</t>
  </si>
  <si>
    <t>5604/31-01</t>
  </si>
  <si>
    <t>CONOCOPHILLIPS</t>
  </si>
  <si>
    <t>Ensco 102</t>
  </si>
  <si>
    <t>56°06'45,23"</t>
  </si>
  <si>
    <t>04°35'24,32"</t>
  </si>
  <si>
    <t>KARLEBO-1</t>
  </si>
  <si>
    <t>5512/02-01</t>
  </si>
  <si>
    <t>01/02</t>
  </si>
  <si>
    <t>TETHYS OIL</t>
  </si>
  <si>
    <t>IRI 750</t>
  </si>
  <si>
    <t>55°55'12,90"</t>
  </si>
  <si>
    <t>12°25'04,09"</t>
  </si>
  <si>
    <t>DAGMAR-8</t>
  </si>
  <si>
    <t>5504/15-00</t>
  </si>
  <si>
    <t>55°34'37,79"</t>
  </si>
  <si>
    <t>04°37'10,68"</t>
  </si>
  <si>
    <t>VAB-7</t>
  </si>
  <si>
    <t>5504/07-14</t>
  </si>
  <si>
    <t>55°50'04,01"</t>
  </si>
  <si>
    <t>04°33'48,09"</t>
  </si>
  <si>
    <t>RAU-1</t>
  </si>
  <si>
    <t>5604/23-01</t>
  </si>
  <si>
    <t>07/06</t>
  </si>
  <si>
    <t>Altinex Oil Denmark A/S</t>
  </si>
  <si>
    <t>56°21'36,92"</t>
  </si>
  <si>
    <t>04°38'47,40"</t>
  </si>
  <si>
    <t>NINI-5</t>
  </si>
  <si>
    <t>5605/10-08</t>
  </si>
  <si>
    <t>56°41'42,90"</t>
  </si>
  <si>
    <t>05°25'37,79"</t>
  </si>
  <si>
    <t>EBBA-1X</t>
  </si>
  <si>
    <t>5504/15-10</t>
  </si>
  <si>
    <t>08/06</t>
  </si>
  <si>
    <t>Energy Enhancer</t>
  </si>
  <si>
    <t>55°37'03,92"</t>
  </si>
  <si>
    <t>04°36'25,14"</t>
  </si>
  <si>
    <t>HDE-1X</t>
  </si>
  <si>
    <t>5505/13-11</t>
  </si>
  <si>
    <t>Energy Endeavour</t>
  </si>
  <si>
    <t>55°32'15,64"</t>
  </si>
  <si>
    <t>05°05'35,95"</t>
  </si>
  <si>
    <t>BO-3X</t>
  </si>
  <si>
    <t>5504/11-05</t>
  </si>
  <si>
    <t>55°44'40,32"</t>
  </si>
  <si>
    <t>04°32'38,66"</t>
  </si>
  <si>
    <t>RIGS-4</t>
  </si>
  <si>
    <t>5604/30-05</t>
  </si>
  <si>
    <t>Hess Denmark ApS</t>
  </si>
  <si>
    <t>56°01'08,59"</t>
  </si>
  <si>
    <t>04°17'48,06"</t>
  </si>
  <si>
    <t>VBA-8X</t>
  </si>
  <si>
    <t>5504/07-15</t>
  </si>
  <si>
    <t>55°48'17,08"</t>
  </si>
  <si>
    <t>04°33'56,52"</t>
  </si>
  <si>
    <t>TSEA-3B</t>
  </si>
  <si>
    <t>5504/12-14</t>
  </si>
  <si>
    <t>55°38'25,09"</t>
  </si>
  <si>
    <t>04°53'02,53"</t>
  </si>
  <si>
    <t>GITA-1X</t>
  </si>
  <si>
    <t>5604/22-05</t>
  </si>
  <si>
    <t>09/95</t>
  </si>
  <si>
    <t>56°15'42,26"</t>
  </si>
  <si>
    <t>04°17'14,83"</t>
  </si>
  <si>
    <t>SIRI-6</t>
  </si>
  <si>
    <t>5604/20-10</t>
  </si>
  <si>
    <t>Mærsk Resolute</t>
  </si>
  <si>
    <t>56°28'51,82"</t>
  </si>
  <si>
    <t>04°50'31,00"</t>
  </si>
  <si>
    <t>LUKE-1X</t>
  </si>
  <si>
    <t>5504/06-06</t>
  </si>
  <si>
    <t>Mærsk Resolve</t>
  </si>
  <si>
    <t>55°45'49,78"</t>
  </si>
  <si>
    <t>04°26'28,64"</t>
  </si>
  <si>
    <t>RAVN-3</t>
  </si>
  <si>
    <t>5504/05-02</t>
  </si>
  <si>
    <t>05/06</t>
  </si>
  <si>
    <t>Wintershall Noordzee  B.V.</t>
  </si>
  <si>
    <t>55°51'46,67"</t>
  </si>
  <si>
    <t>04°14'05,82"</t>
  </si>
  <si>
    <t>SØNDERBORG-1</t>
  </si>
  <si>
    <t>5409/04-01</t>
  </si>
  <si>
    <t>GEOTERMI</t>
  </si>
  <si>
    <t>Sønderborg Geotermi</t>
  </si>
  <si>
    <t>No Limit 01</t>
  </si>
  <si>
    <t>54°55'43,69"</t>
  </si>
  <si>
    <t>09°50'24,08"</t>
  </si>
  <si>
    <t>SOLSORT-1</t>
  </si>
  <si>
    <t>5604/26-05</t>
  </si>
  <si>
    <t>56°08'55,04"</t>
  </si>
  <si>
    <t>04°18'21,87"</t>
  </si>
  <si>
    <t>SARA-1</t>
  </si>
  <si>
    <t>5604/16-01</t>
  </si>
  <si>
    <t>56°32'46,34"</t>
  </si>
  <si>
    <t>04°58'17,76"</t>
  </si>
  <si>
    <t>LØVE-1</t>
  </si>
  <si>
    <t>5509/06-01</t>
  </si>
  <si>
    <t>02/07</t>
  </si>
  <si>
    <t>GMT Exploration Co.</t>
  </si>
  <si>
    <t>Variorig</t>
  </si>
  <si>
    <t>55°48'08,02"</t>
  </si>
  <si>
    <t>09°22'52,47"</t>
  </si>
  <si>
    <t>BRODER TUCK-1</t>
  </si>
  <si>
    <t>5504/20-03</t>
  </si>
  <si>
    <t>12/06</t>
  </si>
  <si>
    <t>PA Resources UK Limited</t>
  </si>
  <si>
    <t>55°28'50,10"</t>
  </si>
  <si>
    <t>04°49'34,46"</t>
  </si>
  <si>
    <t>BRODER TUCK-2</t>
  </si>
  <si>
    <t>5504/20-04</t>
  </si>
  <si>
    <t>55°28'50,17"</t>
  </si>
  <si>
    <t>04°49'34,30"</t>
  </si>
  <si>
    <t>LILLE JOHN-1</t>
  </si>
  <si>
    <t>5504/20-05</t>
  </si>
  <si>
    <t>55°24'39,62"</t>
  </si>
  <si>
    <t>04°49'37,28"</t>
  </si>
  <si>
    <t>FELSTED-1</t>
  </si>
  <si>
    <t>5409/03-01</t>
  </si>
  <si>
    <t>01/05</t>
  </si>
  <si>
    <t>PGNIG SA Danish Branch</t>
  </si>
  <si>
    <t>Rig No4 IRI-1200</t>
  </si>
  <si>
    <t>54°58'37,63"</t>
  </si>
  <si>
    <t>09°34'27,51"</t>
  </si>
  <si>
    <t>LUNA-1</t>
  </si>
  <si>
    <t>5605/32-01</t>
  </si>
  <si>
    <t>01/11</t>
  </si>
  <si>
    <t>56°05'57,50"</t>
  </si>
  <si>
    <t>05°52'51,69"</t>
  </si>
  <si>
    <t>HIBONITE-1</t>
  </si>
  <si>
    <t>5504/01-03</t>
  </si>
  <si>
    <t>55°55'28,17"</t>
  </si>
  <si>
    <t>04°10'25,66"</t>
  </si>
  <si>
    <t>PILOT HOLE</t>
  </si>
  <si>
    <t>SPURV-1</t>
  </si>
  <si>
    <t>5504/01-04</t>
  </si>
  <si>
    <t>04/06</t>
  </si>
  <si>
    <t>55°55'46,01"</t>
  </si>
  <si>
    <t>04°03'52,53"</t>
  </si>
  <si>
    <t>SOLSORT-2</t>
  </si>
  <si>
    <t>5604/26-06</t>
  </si>
  <si>
    <t>03/09</t>
  </si>
  <si>
    <t>56°08'15,57"</t>
  </si>
  <si>
    <t>04°16'09,41"</t>
  </si>
  <si>
    <t>BO-4X</t>
  </si>
  <si>
    <t>5504/07-16</t>
  </si>
  <si>
    <t>55°46'58,75"</t>
  </si>
  <si>
    <t>04°33'20,42"</t>
  </si>
  <si>
    <t>NENA-1</t>
  </si>
  <si>
    <t>5605/14-01</t>
  </si>
  <si>
    <t>01/12</t>
  </si>
  <si>
    <t>56°35'59,53"</t>
  </si>
  <si>
    <t>05°18'30,54"</t>
  </si>
  <si>
    <t>Chabazite-1</t>
  </si>
  <si>
    <t>5503/03-04</t>
  </si>
  <si>
    <t>Ensco 121</t>
  </si>
  <si>
    <t>55°52'35,04"</t>
  </si>
  <si>
    <t>03°43'19,44"</t>
  </si>
  <si>
    <t>DANY-1X</t>
  </si>
  <si>
    <t>5505/17-18</t>
  </si>
  <si>
    <t>55°24'18,94"</t>
  </si>
  <si>
    <t>05°09'38,02"</t>
  </si>
  <si>
    <t>SIAH NE-1X</t>
  </si>
  <si>
    <t>5504/07-17</t>
  </si>
  <si>
    <t>Noble Sam Turner</t>
  </si>
  <si>
    <t>55°51'44,17"</t>
  </si>
  <si>
    <t>04°39'34,07"</t>
  </si>
  <si>
    <t>XANA-1X</t>
  </si>
  <si>
    <t>5604/26-07</t>
  </si>
  <si>
    <t>56°14'36,03"</t>
  </si>
  <si>
    <t>04°17'00,57"</t>
  </si>
  <si>
    <t>LILLE JOHN-2</t>
  </si>
  <si>
    <t>5504/20-06</t>
  </si>
  <si>
    <t>Dana Petroleum Netherlands B.V.</t>
  </si>
  <si>
    <t>Paragon C20052</t>
  </si>
  <si>
    <t>55°25'11,31"</t>
  </si>
  <si>
    <t>04°50'08,65"</t>
  </si>
  <si>
    <t>VENDSYSSEL-1</t>
  </si>
  <si>
    <t>5710/22-02</t>
  </si>
  <si>
    <t>01/10</t>
  </si>
  <si>
    <t>Total E&amp;P Denmark B.V.</t>
  </si>
  <si>
    <t>SMP 105</t>
  </si>
  <si>
    <t>57°17'05,23"</t>
  </si>
  <si>
    <t>10°16'10,90"</t>
  </si>
  <si>
    <t>JUDE-1</t>
  </si>
  <si>
    <t>5504/07-18</t>
  </si>
  <si>
    <t>55°45'45,05"</t>
  </si>
  <si>
    <t>04°32'52,87"</t>
  </si>
  <si>
    <t xml:space="preserve">GEUS  </t>
  </si>
  <si>
    <t>DEA</t>
  </si>
  <si>
    <t>-</t>
  </si>
  <si>
    <t>JILL-1</t>
  </si>
  <si>
    <t>5603/31-02</t>
  </si>
  <si>
    <t>6/16</t>
  </si>
  <si>
    <t>Mærsk Resilient</t>
  </si>
  <si>
    <t>56°03'40,02"</t>
  </si>
  <si>
    <t>03°41'32,46"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</si>
</sst>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4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19" fontId="0" fillId="0" borderId="0" xfId="0" applyNumberFormat="1"/>
    <xf numFmtId="0" fontId="1" fillId="0" borderId="0" xfId="1" applyAlignment="1" applyProtection="1"/>
    <xf numFmtId="1" fontId="1" fillId="0" borderId="0" xfId="1" applyNumberFormat="1" applyAlignment="1" applyProtection="1"/>
    <xf numFmtId="0" fontId="2" fillId="0" borderId="0" xfId="1" applyNumberFormat="1" applyFont="1" applyAlignment="1" applyProtection="1">
      <alignment horizontal="center"/>
    </xf>
    <xf numFmtId="0" fontId="0" fillId="0" borderId="0" xfId="0" applyNumberFormat="1" applyAlignment="1">
      <alignment horizontal="center"/>
    </xf>
    <xf numFmtId="0" fontId="2" fillId="0" borderId="0" xfId="1" applyFont="1" applyAlignment="1" applyProtection="1">
      <alignment horizontal="center"/>
    </xf>
    <xf numFmtId="0" fontId="3" fillId="0" borderId="0" xfId="0" applyFont="1"/>
    <xf numFmtId="49" fontId="3" fillId="0" borderId="0" xfId="0" applyNumberFormat="1" applyFont="1"/>
    <xf numFmtId="14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1"/>
  <sheetViews>
    <sheetView tabSelected="1" workbookViewId="0">
      <pane ySplit="1" topLeftCell="A347" activePane="bottomLeft" state="frozen"/>
      <selection pane="bottomLeft" activeCell="P375" sqref="P375"/>
    </sheetView>
  </sheetViews>
  <sheetFormatPr defaultRowHeight="15" x14ac:dyDescent="0.25"/>
  <cols>
    <col min="1" max="1" width="22" bestFit="1" customWidth="1"/>
    <col min="2" max="2" width="10.7109375" style="1" bestFit="1" customWidth="1"/>
    <col min="3" max="3" width="22" customWidth="1"/>
    <col min="4" max="4" width="14.28515625" style="1" customWidth="1"/>
    <col min="5" max="5" width="22" customWidth="1"/>
    <col min="6" max="6" width="11.5703125" bestFit="1" customWidth="1"/>
    <col min="7" max="8" width="11.28515625" bestFit="1" customWidth="1"/>
    <col min="9" max="10" width="12" bestFit="1" customWidth="1"/>
    <col min="11" max="11" width="12.85546875" style="3" bestFit="1" customWidth="1"/>
    <col min="12" max="12" width="10.7109375" style="3" bestFit="1" customWidth="1"/>
    <col min="13" max="14" width="12" bestFit="1" customWidth="1"/>
    <col min="15" max="15" width="14.140625" bestFit="1" customWidth="1"/>
    <col min="16" max="16" width="12.85546875" style="4" bestFit="1" customWidth="1"/>
    <col min="17" max="17" width="10.7109375" bestFit="1" customWidth="1"/>
    <col min="18" max="18" width="8.42578125" bestFit="1" customWidth="1"/>
    <col min="19" max="19" width="27.28515625" bestFit="1" customWidth="1"/>
    <col min="20" max="20" width="6" bestFit="1" customWidth="1"/>
  </cols>
  <sheetData>
    <row r="1" spans="1:16" x14ac:dyDescent="0.25">
      <c r="A1" s="11" t="s">
        <v>0</v>
      </c>
      <c r="B1" s="12" t="s">
        <v>1</v>
      </c>
      <c r="C1" s="11" t="s">
        <v>2</v>
      </c>
      <c r="D1" s="12" t="s">
        <v>3</v>
      </c>
      <c r="E1" s="11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4" t="s">
        <v>10</v>
      </c>
      <c r="L1" s="14" t="s">
        <v>11</v>
      </c>
      <c r="M1" s="11" t="s">
        <v>12</v>
      </c>
      <c r="N1" s="11" t="s">
        <v>13</v>
      </c>
      <c r="O1" s="13" t="s">
        <v>1668</v>
      </c>
      <c r="P1" s="15" t="s">
        <v>1669</v>
      </c>
    </row>
    <row r="2" spans="1:16" x14ac:dyDescent="0.25">
      <c r="A2" t="s">
        <v>14</v>
      </c>
      <c r="B2" s="1" t="s">
        <v>15</v>
      </c>
      <c r="C2" t="s">
        <v>16</v>
      </c>
      <c r="D2" s="1" t="s">
        <v>17</v>
      </c>
      <c r="E2" t="s">
        <v>18</v>
      </c>
      <c r="F2" s="2" t="s">
        <v>19</v>
      </c>
      <c r="G2" t="s">
        <v>20</v>
      </c>
      <c r="H2" t="s">
        <v>21</v>
      </c>
      <c r="I2">
        <v>55.51027222222222</v>
      </c>
      <c r="J2">
        <v>9.4177777777777774</v>
      </c>
      <c r="K2" s="3">
        <v>12992</v>
      </c>
      <c r="L2" s="3">
        <v>13360</v>
      </c>
      <c r="M2" t="s">
        <v>22</v>
      </c>
      <c r="N2" t="s">
        <v>23</v>
      </c>
      <c r="O2" s="6" t="str">
        <f t="shared" ref="O2:O65" si="0">IF(N2="YES",HYPERLINK("http://data.geus.dk/geusmapmore/samba/info_samba.jsp?iSector=DANISH&amp;iWellName="&amp;A2,"GEUS Well Info"),"")</f>
        <v>GEUS Well Info</v>
      </c>
      <c r="P2" s="8" t="s">
        <v>1670</v>
      </c>
    </row>
    <row r="3" spans="1:16" x14ac:dyDescent="0.25">
      <c r="A3" t="s">
        <v>24</v>
      </c>
      <c r="B3" s="1" t="s">
        <v>25</v>
      </c>
      <c r="C3" t="s">
        <v>16</v>
      </c>
      <c r="D3" s="1" t="s">
        <v>17</v>
      </c>
      <c r="E3" t="s">
        <v>18</v>
      </c>
      <c r="F3" t="s">
        <v>19</v>
      </c>
      <c r="G3" t="s">
        <v>20</v>
      </c>
      <c r="H3" t="s">
        <v>26</v>
      </c>
      <c r="I3">
        <v>55.51027222222222</v>
      </c>
      <c r="J3">
        <v>9.4175055555555556</v>
      </c>
      <c r="K3" s="3">
        <v>13395</v>
      </c>
      <c r="L3" s="3">
        <v>13743</v>
      </c>
      <c r="M3" t="s">
        <v>22</v>
      </c>
      <c r="N3" t="s">
        <v>23</v>
      </c>
      <c r="O3" s="6" t="str">
        <f t="shared" si="0"/>
        <v>GEUS Well Info</v>
      </c>
      <c r="P3" s="9" t="s">
        <v>1670</v>
      </c>
    </row>
    <row r="4" spans="1:16" x14ac:dyDescent="0.25">
      <c r="A4" t="s">
        <v>27</v>
      </c>
      <c r="B4" s="1" t="s">
        <v>28</v>
      </c>
      <c r="C4" t="s">
        <v>16</v>
      </c>
      <c r="D4" s="1" t="s">
        <v>17</v>
      </c>
      <c r="E4" t="s">
        <v>29</v>
      </c>
      <c r="F4" t="s">
        <v>30</v>
      </c>
      <c r="G4" t="s">
        <v>31</v>
      </c>
      <c r="H4" t="s">
        <v>32</v>
      </c>
      <c r="I4">
        <v>56.290555555555557</v>
      </c>
      <c r="J4">
        <v>8.698888888888888</v>
      </c>
      <c r="K4" s="3">
        <v>17365</v>
      </c>
      <c r="L4" s="3">
        <v>17525</v>
      </c>
      <c r="M4" t="s">
        <v>22</v>
      </c>
      <c r="N4" t="s">
        <v>23</v>
      </c>
      <c r="O4" s="6" t="str">
        <f t="shared" si="0"/>
        <v>GEUS Well Info</v>
      </c>
      <c r="P4" s="8" t="s">
        <v>1670</v>
      </c>
    </row>
    <row r="5" spans="1:16" x14ac:dyDescent="0.25">
      <c r="A5" t="s">
        <v>33</v>
      </c>
      <c r="B5" s="1" t="s">
        <v>34</v>
      </c>
      <c r="C5" t="s">
        <v>16</v>
      </c>
      <c r="D5" s="1" t="s">
        <v>17</v>
      </c>
      <c r="E5" t="s">
        <v>29</v>
      </c>
      <c r="F5" t="s">
        <v>30</v>
      </c>
      <c r="G5" t="s">
        <v>35</v>
      </c>
      <c r="H5" t="s">
        <v>36</v>
      </c>
      <c r="I5">
        <v>56.5625</v>
      </c>
      <c r="J5">
        <v>10.005000000000001</v>
      </c>
      <c r="K5" s="3">
        <v>17610</v>
      </c>
      <c r="L5" s="3">
        <v>18706</v>
      </c>
      <c r="M5" t="s">
        <v>22</v>
      </c>
      <c r="N5" t="s">
        <v>23</v>
      </c>
      <c r="O5" s="6" t="str">
        <f t="shared" si="0"/>
        <v>GEUS Well Info</v>
      </c>
      <c r="P5" s="9" t="s">
        <v>1670</v>
      </c>
    </row>
    <row r="6" spans="1:16" x14ac:dyDescent="0.25">
      <c r="A6" t="s">
        <v>37</v>
      </c>
      <c r="B6" s="1" t="s">
        <v>38</v>
      </c>
      <c r="C6" t="s">
        <v>16</v>
      </c>
      <c r="D6" s="1" t="s">
        <v>17</v>
      </c>
      <c r="E6" t="s">
        <v>29</v>
      </c>
      <c r="F6" t="s">
        <v>19</v>
      </c>
      <c r="G6" t="s">
        <v>39</v>
      </c>
      <c r="H6" t="s">
        <v>40</v>
      </c>
      <c r="I6">
        <v>57.736661111111111</v>
      </c>
      <c r="J6">
        <v>10.600555555555555</v>
      </c>
      <c r="K6" s="3">
        <v>18134</v>
      </c>
      <c r="L6" s="3">
        <v>18143</v>
      </c>
      <c r="M6" t="s">
        <v>22</v>
      </c>
      <c r="N6" t="s">
        <v>23</v>
      </c>
      <c r="O6" s="6" t="str">
        <f t="shared" si="0"/>
        <v>GEUS Well Info</v>
      </c>
      <c r="P6" s="8" t="s">
        <v>1670</v>
      </c>
    </row>
    <row r="7" spans="1:16" x14ac:dyDescent="0.25">
      <c r="A7" t="s">
        <v>41</v>
      </c>
      <c r="B7" s="1" t="s">
        <v>42</v>
      </c>
      <c r="C7" t="s">
        <v>16</v>
      </c>
      <c r="D7" s="1" t="s">
        <v>17</v>
      </c>
      <c r="E7" t="s">
        <v>29</v>
      </c>
      <c r="F7" t="s">
        <v>19</v>
      </c>
      <c r="G7" t="s">
        <v>43</v>
      </c>
      <c r="H7" t="s">
        <v>44</v>
      </c>
      <c r="I7">
        <v>57.433616666666666</v>
      </c>
      <c r="J7">
        <v>10.521111111111111</v>
      </c>
      <c r="K7" s="3">
        <v>18447</v>
      </c>
      <c r="L7" s="3">
        <v>18497</v>
      </c>
      <c r="M7" t="s">
        <v>22</v>
      </c>
      <c r="N7" t="s">
        <v>23</v>
      </c>
      <c r="O7" s="6" t="str">
        <f t="shared" si="0"/>
        <v>GEUS Well Info</v>
      </c>
      <c r="P7" s="9" t="s">
        <v>1670</v>
      </c>
    </row>
    <row r="8" spans="1:16" x14ac:dyDescent="0.25">
      <c r="A8" t="s">
        <v>45</v>
      </c>
      <c r="B8" s="1" t="s">
        <v>46</v>
      </c>
      <c r="C8" t="s">
        <v>16</v>
      </c>
      <c r="D8" s="1" t="s">
        <v>17</v>
      </c>
      <c r="E8" t="s">
        <v>29</v>
      </c>
      <c r="F8" t="s">
        <v>19</v>
      </c>
      <c r="G8" t="s">
        <v>47</v>
      </c>
      <c r="H8" t="s">
        <v>48</v>
      </c>
      <c r="I8">
        <v>57.11888888888889</v>
      </c>
      <c r="J8">
        <v>9.7794444444444437</v>
      </c>
      <c r="K8" s="3">
        <v>18546</v>
      </c>
      <c r="L8" s="3">
        <v>18627</v>
      </c>
      <c r="M8" t="s">
        <v>22</v>
      </c>
      <c r="N8" t="s">
        <v>23</v>
      </c>
      <c r="O8" s="6" t="str">
        <f t="shared" si="0"/>
        <v>GEUS Well Info</v>
      </c>
      <c r="P8" s="8" t="s">
        <v>1670</v>
      </c>
    </row>
    <row r="9" spans="1:16" x14ac:dyDescent="0.25">
      <c r="A9" t="s">
        <v>49</v>
      </c>
      <c r="B9" s="1" t="s">
        <v>50</v>
      </c>
      <c r="C9" t="s">
        <v>16</v>
      </c>
      <c r="D9" s="1" t="s">
        <v>17</v>
      </c>
      <c r="E9" t="s">
        <v>29</v>
      </c>
      <c r="F9" t="s">
        <v>19</v>
      </c>
      <c r="G9" t="s">
        <v>51</v>
      </c>
      <c r="H9" t="s">
        <v>52</v>
      </c>
      <c r="I9">
        <v>55.281399999999998</v>
      </c>
      <c r="J9">
        <v>10.50611111111111</v>
      </c>
      <c r="K9" s="3">
        <v>18663</v>
      </c>
      <c r="L9" s="3">
        <v>18737</v>
      </c>
      <c r="M9" t="s">
        <v>22</v>
      </c>
      <c r="N9" t="s">
        <v>23</v>
      </c>
      <c r="O9" s="6" t="str">
        <f t="shared" si="0"/>
        <v>GEUS Well Info</v>
      </c>
      <c r="P9" s="9" t="s">
        <v>1670</v>
      </c>
    </row>
    <row r="10" spans="1:16" x14ac:dyDescent="0.25">
      <c r="A10" t="s">
        <v>53</v>
      </c>
      <c r="B10" s="1" t="s">
        <v>54</v>
      </c>
      <c r="C10" t="s">
        <v>16</v>
      </c>
      <c r="D10" s="1" t="s">
        <v>17</v>
      </c>
      <c r="E10" t="s">
        <v>29</v>
      </c>
      <c r="F10" t="s">
        <v>19</v>
      </c>
      <c r="G10" t="s">
        <v>55</v>
      </c>
      <c r="H10" t="s">
        <v>56</v>
      </c>
      <c r="I10">
        <v>55.3703</v>
      </c>
      <c r="J10">
        <v>10.644727777777778</v>
      </c>
      <c r="K10" s="3">
        <v>18750</v>
      </c>
      <c r="L10" s="3">
        <v>18790</v>
      </c>
      <c r="M10" t="s">
        <v>22</v>
      </c>
      <c r="N10" t="s">
        <v>23</v>
      </c>
      <c r="O10" s="6" t="str">
        <f t="shared" si="0"/>
        <v>GEUS Well Info</v>
      </c>
      <c r="P10" s="8" t="s">
        <v>1670</v>
      </c>
    </row>
    <row r="11" spans="1:16" x14ac:dyDescent="0.25">
      <c r="A11" t="s">
        <v>57</v>
      </c>
      <c r="B11" s="1" t="s">
        <v>58</v>
      </c>
      <c r="C11" t="s">
        <v>16</v>
      </c>
      <c r="D11" s="1" t="s">
        <v>17</v>
      </c>
      <c r="E11" t="s">
        <v>29</v>
      </c>
      <c r="F11" t="s">
        <v>19</v>
      </c>
      <c r="G11" t="s">
        <v>59</v>
      </c>
      <c r="H11" t="s">
        <v>60</v>
      </c>
      <c r="I11">
        <v>54.960277777777776</v>
      </c>
      <c r="J11">
        <v>8.8547222222222217</v>
      </c>
      <c r="K11" s="3">
        <v>18753</v>
      </c>
      <c r="L11" s="3">
        <v>19164</v>
      </c>
      <c r="M11" t="s">
        <v>22</v>
      </c>
      <c r="N11" t="s">
        <v>23</v>
      </c>
      <c r="O11" s="6" t="str">
        <f t="shared" si="0"/>
        <v>GEUS Well Info</v>
      </c>
      <c r="P11" s="9" t="s">
        <v>1670</v>
      </c>
    </row>
    <row r="12" spans="1:16" x14ac:dyDescent="0.25">
      <c r="A12" t="s">
        <v>61</v>
      </c>
      <c r="B12" s="1" t="s">
        <v>62</v>
      </c>
      <c r="C12" t="s">
        <v>63</v>
      </c>
      <c r="D12" s="1" t="s">
        <v>17</v>
      </c>
      <c r="E12" t="s">
        <v>18</v>
      </c>
      <c r="F12" s="2" t="s">
        <v>64</v>
      </c>
      <c r="G12" t="s">
        <v>65</v>
      </c>
      <c r="H12" t="s">
        <v>66</v>
      </c>
      <c r="I12">
        <v>56.639722222222225</v>
      </c>
      <c r="J12">
        <v>9.4327777777777779</v>
      </c>
      <c r="K12" s="3">
        <v>18777</v>
      </c>
      <c r="L12" s="3">
        <v>18796</v>
      </c>
      <c r="M12" t="s">
        <v>22</v>
      </c>
      <c r="N12" t="s">
        <v>23</v>
      </c>
      <c r="O12" s="6" t="str">
        <f t="shared" si="0"/>
        <v>GEUS Well Info</v>
      </c>
      <c r="P12" s="8" t="s">
        <v>1670</v>
      </c>
    </row>
    <row r="13" spans="1:16" x14ac:dyDescent="0.25">
      <c r="A13" t="s">
        <v>67</v>
      </c>
      <c r="B13" s="1" t="s">
        <v>68</v>
      </c>
      <c r="C13" t="s">
        <v>16</v>
      </c>
      <c r="D13" s="1" t="s">
        <v>17</v>
      </c>
      <c r="E13" t="s">
        <v>29</v>
      </c>
      <c r="F13" t="s">
        <v>19</v>
      </c>
      <c r="G13" t="s">
        <v>69</v>
      </c>
      <c r="H13" t="s">
        <v>70</v>
      </c>
      <c r="I13">
        <v>55.292499999999997</v>
      </c>
      <c r="J13">
        <v>10.129727777777777</v>
      </c>
      <c r="K13" s="3">
        <v>18814</v>
      </c>
      <c r="L13" s="3">
        <v>18842</v>
      </c>
      <c r="M13" t="s">
        <v>22</v>
      </c>
      <c r="N13" t="s">
        <v>23</v>
      </c>
      <c r="O13" s="6" t="str">
        <f t="shared" si="0"/>
        <v>GEUS Well Info</v>
      </c>
      <c r="P13" s="9" t="s">
        <v>1670</v>
      </c>
    </row>
    <row r="14" spans="1:16" x14ac:dyDescent="0.25">
      <c r="A14" t="s">
        <v>71</v>
      </c>
      <c r="B14" s="1" t="s">
        <v>72</v>
      </c>
      <c r="C14" t="s">
        <v>63</v>
      </c>
      <c r="D14" s="1" t="s">
        <v>17</v>
      </c>
      <c r="E14" t="s">
        <v>18</v>
      </c>
      <c r="F14" t="s">
        <v>64</v>
      </c>
      <c r="G14" t="s">
        <v>73</v>
      </c>
      <c r="H14" t="s">
        <v>74</v>
      </c>
      <c r="I14">
        <v>56.62638888888889</v>
      </c>
      <c r="J14">
        <v>9.4091666666666658</v>
      </c>
      <c r="K14" s="3">
        <v>18835</v>
      </c>
      <c r="L14" s="3">
        <v>18864</v>
      </c>
      <c r="M14" t="s">
        <v>22</v>
      </c>
      <c r="N14" t="s">
        <v>23</v>
      </c>
      <c r="O14" s="6" t="str">
        <f t="shared" si="0"/>
        <v>GEUS Well Info</v>
      </c>
      <c r="P14" s="8" t="s">
        <v>1670</v>
      </c>
    </row>
    <row r="15" spans="1:16" x14ac:dyDescent="0.25">
      <c r="A15" t="s">
        <v>75</v>
      </c>
      <c r="B15" s="1" t="s">
        <v>76</v>
      </c>
      <c r="C15" t="s">
        <v>16</v>
      </c>
      <c r="D15" s="1" t="s">
        <v>17</v>
      </c>
      <c r="E15" t="s">
        <v>29</v>
      </c>
      <c r="F15" t="s">
        <v>19</v>
      </c>
      <c r="G15" t="s">
        <v>77</v>
      </c>
      <c r="H15" t="s">
        <v>78</v>
      </c>
      <c r="I15">
        <v>57.375555555555557</v>
      </c>
      <c r="J15">
        <v>9.8397222222222229</v>
      </c>
      <c r="K15" s="3">
        <v>18854</v>
      </c>
      <c r="L15" s="3">
        <v>18897</v>
      </c>
      <c r="M15" t="s">
        <v>22</v>
      </c>
      <c r="N15" t="s">
        <v>23</v>
      </c>
      <c r="O15" s="6" t="str">
        <f t="shared" si="0"/>
        <v>GEUS Well Info</v>
      </c>
      <c r="P15" s="9" t="s">
        <v>1670</v>
      </c>
    </row>
    <row r="16" spans="1:16" x14ac:dyDescent="0.25">
      <c r="A16" t="s">
        <v>79</v>
      </c>
      <c r="B16" s="1" t="s">
        <v>80</v>
      </c>
      <c r="C16" t="s">
        <v>16</v>
      </c>
      <c r="D16" s="1" t="s">
        <v>17</v>
      </c>
      <c r="E16" t="s">
        <v>29</v>
      </c>
      <c r="F16" t="s">
        <v>64</v>
      </c>
      <c r="G16" t="s">
        <v>81</v>
      </c>
      <c r="H16" t="s">
        <v>82</v>
      </c>
      <c r="I16">
        <v>57.739444444444445</v>
      </c>
      <c r="J16">
        <v>10.602222222222222</v>
      </c>
      <c r="K16" s="3">
        <v>18895</v>
      </c>
      <c r="L16" s="3">
        <v>18926</v>
      </c>
      <c r="M16" t="s">
        <v>22</v>
      </c>
      <c r="N16" t="s">
        <v>23</v>
      </c>
      <c r="O16" s="6" t="str">
        <f t="shared" si="0"/>
        <v>GEUS Well Info</v>
      </c>
      <c r="P16" s="8" t="s">
        <v>1670</v>
      </c>
    </row>
    <row r="17" spans="1:16" x14ac:dyDescent="0.25">
      <c r="A17" t="s">
        <v>83</v>
      </c>
      <c r="B17" s="1" t="s">
        <v>84</v>
      </c>
      <c r="C17" t="s">
        <v>16</v>
      </c>
      <c r="D17" s="1" t="s">
        <v>17</v>
      </c>
      <c r="E17" t="s">
        <v>29</v>
      </c>
      <c r="F17" t="s">
        <v>30</v>
      </c>
      <c r="G17" t="s">
        <v>85</v>
      </c>
      <c r="H17" t="s">
        <v>86</v>
      </c>
      <c r="I17">
        <v>56.626133333333335</v>
      </c>
      <c r="J17">
        <v>8.5355777777777782</v>
      </c>
      <c r="K17" s="3">
        <v>18912</v>
      </c>
      <c r="L17" s="3">
        <v>18979</v>
      </c>
      <c r="M17" t="s">
        <v>22</v>
      </c>
      <c r="N17" t="s">
        <v>23</v>
      </c>
      <c r="O17" s="6" t="str">
        <f t="shared" si="0"/>
        <v>GEUS Well Info</v>
      </c>
      <c r="P17" s="9" t="s">
        <v>1670</v>
      </c>
    </row>
    <row r="18" spans="1:16" x14ac:dyDescent="0.25">
      <c r="A18" t="s">
        <v>87</v>
      </c>
      <c r="B18" s="1" t="s">
        <v>88</v>
      </c>
      <c r="C18" t="s">
        <v>16</v>
      </c>
      <c r="D18" s="1" t="s">
        <v>17</v>
      </c>
      <c r="E18" t="s">
        <v>29</v>
      </c>
      <c r="F18" t="s">
        <v>19</v>
      </c>
      <c r="G18" t="s">
        <v>89</v>
      </c>
      <c r="H18" t="s">
        <v>90</v>
      </c>
      <c r="I18">
        <v>54.69361111111111</v>
      </c>
      <c r="J18">
        <v>11.404999999999999</v>
      </c>
      <c r="K18" s="3">
        <v>19004</v>
      </c>
      <c r="L18" s="3">
        <v>19077</v>
      </c>
      <c r="M18" t="s">
        <v>22</v>
      </c>
      <c r="N18" t="s">
        <v>23</v>
      </c>
      <c r="O18" s="6" t="str">
        <f t="shared" si="0"/>
        <v>GEUS Well Info</v>
      </c>
      <c r="P18" s="8" t="s">
        <v>1670</v>
      </c>
    </row>
    <row r="19" spans="1:16" x14ac:dyDescent="0.25">
      <c r="A19" t="s">
        <v>91</v>
      </c>
      <c r="B19" s="1" t="s">
        <v>92</v>
      </c>
      <c r="C19" t="s">
        <v>16</v>
      </c>
      <c r="D19" s="1" t="s">
        <v>17</v>
      </c>
      <c r="E19" t="s">
        <v>29</v>
      </c>
      <c r="F19" t="s">
        <v>19</v>
      </c>
      <c r="G19" t="s">
        <v>93</v>
      </c>
      <c r="H19" t="s">
        <v>94</v>
      </c>
      <c r="I19">
        <v>57.429183333333334</v>
      </c>
      <c r="J19">
        <v>10.512499999999999</v>
      </c>
      <c r="K19" s="3">
        <v>19105</v>
      </c>
      <c r="L19" s="3">
        <v>19142</v>
      </c>
      <c r="M19" t="s">
        <v>22</v>
      </c>
      <c r="N19" t="s">
        <v>23</v>
      </c>
      <c r="O19" s="6" t="str">
        <f t="shared" si="0"/>
        <v>GEUS Well Info</v>
      </c>
      <c r="P19" s="9" t="s">
        <v>1670</v>
      </c>
    </row>
    <row r="20" spans="1:16" x14ac:dyDescent="0.25">
      <c r="A20" t="s">
        <v>95</v>
      </c>
      <c r="B20" s="1" t="s">
        <v>96</v>
      </c>
      <c r="C20" t="s">
        <v>16</v>
      </c>
      <c r="D20" s="1" t="s">
        <v>17</v>
      </c>
      <c r="E20" t="s">
        <v>29</v>
      </c>
      <c r="F20" s="2" t="s">
        <v>19</v>
      </c>
      <c r="G20" t="s">
        <v>97</v>
      </c>
      <c r="H20" t="s">
        <v>98</v>
      </c>
      <c r="I20">
        <v>57.458616666666664</v>
      </c>
      <c r="J20">
        <v>10.533627777777777</v>
      </c>
      <c r="K20" s="3">
        <v>19151</v>
      </c>
      <c r="L20" s="3">
        <v>19201</v>
      </c>
      <c r="M20" t="s">
        <v>22</v>
      </c>
      <c r="N20" t="s">
        <v>23</v>
      </c>
      <c r="O20" s="6" t="str">
        <f t="shared" si="0"/>
        <v>GEUS Well Info</v>
      </c>
      <c r="P20" s="8" t="s">
        <v>1670</v>
      </c>
    </row>
    <row r="21" spans="1:16" x14ac:dyDescent="0.25">
      <c r="A21" t="s">
        <v>99</v>
      </c>
      <c r="B21" s="1" t="s">
        <v>100</v>
      </c>
      <c r="C21" t="s">
        <v>16</v>
      </c>
      <c r="D21" s="1" t="s">
        <v>17</v>
      </c>
      <c r="E21" t="s">
        <v>29</v>
      </c>
      <c r="F21" s="2" t="s">
        <v>30</v>
      </c>
      <c r="G21" t="s">
        <v>101</v>
      </c>
      <c r="H21" t="s">
        <v>102</v>
      </c>
      <c r="I21">
        <v>54.985277777777775</v>
      </c>
      <c r="J21">
        <v>8.8605555555555551</v>
      </c>
      <c r="K21" s="3">
        <v>19185</v>
      </c>
      <c r="L21" s="3">
        <v>19425</v>
      </c>
      <c r="M21" t="s">
        <v>22</v>
      </c>
      <c r="N21" t="s">
        <v>23</v>
      </c>
      <c r="O21" s="6" t="str">
        <f t="shared" si="0"/>
        <v>GEUS Well Info</v>
      </c>
      <c r="P21" s="9" t="s">
        <v>1670</v>
      </c>
    </row>
    <row r="22" spans="1:16" x14ac:dyDescent="0.25">
      <c r="A22" t="s">
        <v>103</v>
      </c>
      <c r="B22" s="1" t="s">
        <v>104</v>
      </c>
      <c r="C22" t="s">
        <v>16</v>
      </c>
      <c r="D22" s="1" t="s">
        <v>17</v>
      </c>
      <c r="E22" t="s">
        <v>29</v>
      </c>
      <c r="F22" t="s">
        <v>19</v>
      </c>
      <c r="G22" t="s">
        <v>105</v>
      </c>
      <c r="H22" t="s">
        <v>106</v>
      </c>
      <c r="I22">
        <v>55.220277777777781</v>
      </c>
      <c r="J22">
        <v>8.9633333333333329</v>
      </c>
      <c r="K22" s="3">
        <v>19243</v>
      </c>
      <c r="L22" s="3">
        <v>19325</v>
      </c>
      <c r="M22" t="s">
        <v>22</v>
      </c>
      <c r="N22" t="s">
        <v>23</v>
      </c>
      <c r="O22" s="6" t="str">
        <f t="shared" si="0"/>
        <v>GEUS Well Info</v>
      </c>
      <c r="P22" s="8" t="s">
        <v>1670</v>
      </c>
    </row>
    <row r="23" spans="1:16" x14ac:dyDescent="0.25">
      <c r="A23" t="s">
        <v>107</v>
      </c>
      <c r="B23" s="1" t="s">
        <v>108</v>
      </c>
      <c r="C23" t="s">
        <v>16</v>
      </c>
      <c r="D23" s="1" t="s">
        <v>17</v>
      </c>
      <c r="E23" t="s">
        <v>29</v>
      </c>
      <c r="F23" t="s">
        <v>19</v>
      </c>
      <c r="G23" t="s">
        <v>109</v>
      </c>
      <c r="H23" t="s">
        <v>110</v>
      </c>
      <c r="I23">
        <v>55.025555555555556</v>
      </c>
      <c r="J23">
        <v>9.3547222222222217</v>
      </c>
      <c r="K23" s="3">
        <v>19339</v>
      </c>
      <c r="L23" s="3">
        <v>19514</v>
      </c>
      <c r="M23" t="s">
        <v>22</v>
      </c>
      <c r="N23" t="s">
        <v>23</v>
      </c>
      <c r="O23" s="6" t="str">
        <f t="shared" si="0"/>
        <v>GEUS Well Info</v>
      </c>
      <c r="P23" s="9" t="s">
        <v>1670</v>
      </c>
    </row>
    <row r="24" spans="1:16" x14ac:dyDescent="0.25">
      <c r="A24" t="s">
        <v>111</v>
      </c>
      <c r="B24" s="1" t="s">
        <v>112</v>
      </c>
      <c r="C24" t="s">
        <v>16</v>
      </c>
      <c r="D24" s="1" t="s">
        <v>17</v>
      </c>
      <c r="E24" t="s">
        <v>29</v>
      </c>
      <c r="F24" s="2" t="s">
        <v>30</v>
      </c>
      <c r="G24" t="s">
        <v>113</v>
      </c>
      <c r="H24" t="s">
        <v>114</v>
      </c>
      <c r="I24">
        <v>54.691388888888888</v>
      </c>
      <c r="J24">
        <v>11.372777777777777</v>
      </c>
      <c r="K24" s="3">
        <v>19469</v>
      </c>
      <c r="L24" s="3">
        <v>19687</v>
      </c>
      <c r="M24" t="s">
        <v>22</v>
      </c>
      <c r="N24" t="s">
        <v>23</v>
      </c>
      <c r="O24" s="6" t="str">
        <f t="shared" si="0"/>
        <v>GEUS Well Info</v>
      </c>
      <c r="P24" s="8" t="s">
        <v>1670</v>
      </c>
    </row>
    <row r="25" spans="1:16" x14ac:dyDescent="0.25">
      <c r="A25" t="s">
        <v>115</v>
      </c>
      <c r="B25" s="1" t="s">
        <v>116</v>
      </c>
      <c r="C25" t="s">
        <v>16</v>
      </c>
      <c r="D25" s="1" t="s">
        <v>17</v>
      </c>
      <c r="E25" t="s">
        <v>117</v>
      </c>
      <c r="F25" t="s">
        <v>30</v>
      </c>
      <c r="G25" t="s">
        <v>118</v>
      </c>
      <c r="H25" t="s">
        <v>119</v>
      </c>
      <c r="I25">
        <v>56.381399999999999</v>
      </c>
      <c r="J25">
        <v>8.3630111111111116</v>
      </c>
      <c r="K25" s="3">
        <v>21168</v>
      </c>
      <c r="L25" s="3">
        <v>21212</v>
      </c>
      <c r="M25" t="s">
        <v>22</v>
      </c>
      <c r="N25" t="s">
        <v>23</v>
      </c>
      <c r="O25" s="6" t="str">
        <f t="shared" si="0"/>
        <v>GEUS Well Info</v>
      </c>
      <c r="P25" s="9" t="s">
        <v>1670</v>
      </c>
    </row>
    <row r="26" spans="1:16" x14ac:dyDescent="0.25">
      <c r="A26" t="s">
        <v>120</v>
      </c>
      <c r="B26" s="1" t="s">
        <v>121</v>
      </c>
      <c r="C26" t="s">
        <v>16</v>
      </c>
      <c r="D26" s="1" t="s">
        <v>17</v>
      </c>
      <c r="E26" t="s">
        <v>117</v>
      </c>
      <c r="F26" s="2" t="s">
        <v>30</v>
      </c>
      <c r="G26" t="s">
        <v>122</v>
      </c>
      <c r="H26" t="s">
        <v>123</v>
      </c>
      <c r="I26">
        <v>57.081111111111113</v>
      </c>
      <c r="J26">
        <v>9.2155555555555555</v>
      </c>
      <c r="K26" s="3">
        <v>21230</v>
      </c>
      <c r="L26" s="3">
        <v>21244</v>
      </c>
      <c r="M26" t="s">
        <v>22</v>
      </c>
      <c r="N26" t="s">
        <v>23</v>
      </c>
      <c r="O26" s="6" t="str">
        <f t="shared" si="0"/>
        <v>GEUS Well Info</v>
      </c>
      <c r="P26" s="8" t="s">
        <v>1670</v>
      </c>
    </row>
    <row r="27" spans="1:16" x14ac:dyDescent="0.25">
      <c r="A27" t="s">
        <v>124</v>
      </c>
      <c r="B27" s="1" t="s">
        <v>125</v>
      </c>
      <c r="C27" t="s">
        <v>16</v>
      </c>
      <c r="D27" s="1" t="s">
        <v>17</v>
      </c>
      <c r="E27" t="s">
        <v>117</v>
      </c>
      <c r="F27" t="s">
        <v>30</v>
      </c>
      <c r="G27" t="s">
        <v>126</v>
      </c>
      <c r="H27" t="s">
        <v>127</v>
      </c>
      <c r="I27">
        <v>57.096111111111114</v>
      </c>
      <c r="J27">
        <v>9.2513888888888882</v>
      </c>
      <c r="K27" s="3">
        <v>21257</v>
      </c>
      <c r="L27" s="3">
        <v>21310</v>
      </c>
      <c r="M27" t="s">
        <v>22</v>
      </c>
      <c r="N27" t="s">
        <v>23</v>
      </c>
      <c r="O27" s="6" t="str">
        <f t="shared" si="0"/>
        <v>GEUS Well Info</v>
      </c>
      <c r="P27" s="9" t="s">
        <v>1670</v>
      </c>
    </row>
    <row r="28" spans="1:16" x14ac:dyDescent="0.25">
      <c r="A28" t="s">
        <v>128</v>
      </c>
      <c r="B28" s="1" t="s">
        <v>129</v>
      </c>
      <c r="C28" t="s">
        <v>16</v>
      </c>
      <c r="D28" s="1" t="s">
        <v>17</v>
      </c>
      <c r="E28" t="s">
        <v>117</v>
      </c>
      <c r="F28" t="s">
        <v>30</v>
      </c>
      <c r="G28" t="s">
        <v>130</v>
      </c>
      <c r="H28" t="s">
        <v>131</v>
      </c>
      <c r="I28">
        <v>57.140555555555558</v>
      </c>
      <c r="J28">
        <v>9.67</v>
      </c>
      <c r="K28" s="3">
        <v>21314</v>
      </c>
      <c r="L28" s="3">
        <v>21344</v>
      </c>
      <c r="M28" t="s">
        <v>22</v>
      </c>
      <c r="N28" t="s">
        <v>23</v>
      </c>
      <c r="O28" s="6" t="str">
        <f t="shared" si="0"/>
        <v>GEUS Well Info</v>
      </c>
      <c r="P28" s="8" t="s">
        <v>1670</v>
      </c>
    </row>
    <row r="29" spans="1:16" x14ac:dyDescent="0.25">
      <c r="A29" t="s">
        <v>132</v>
      </c>
      <c r="B29" s="1" t="s">
        <v>133</v>
      </c>
      <c r="C29" t="s">
        <v>16</v>
      </c>
      <c r="D29" s="1" t="s">
        <v>17</v>
      </c>
      <c r="E29" t="s">
        <v>117</v>
      </c>
      <c r="F29" t="s">
        <v>30</v>
      </c>
      <c r="G29" t="s">
        <v>134</v>
      </c>
      <c r="H29" t="s">
        <v>135</v>
      </c>
      <c r="I29">
        <v>57.304183333333334</v>
      </c>
      <c r="J29">
        <v>10.055002777777778</v>
      </c>
      <c r="K29" s="3">
        <v>21350</v>
      </c>
      <c r="L29" s="3">
        <v>21371</v>
      </c>
      <c r="M29" t="s">
        <v>22</v>
      </c>
      <c r="N29" t="s">
        <v>23</v>
      </c>
      <c r="O29" s="6" t="str">
        <f t="shared" si="0"/>
        <v>GEUS Well Info</v>
      </c>
      <c r="P29" s="9" t="s">
        <v>1670</v>
      </c>
    </row>
    <row r="30" spans="1:16" x14ac:dyDescent="0.25">
      <c r="A30" t="s">
        <v>136</v>
      </c>
      <c r="B30" s="1" t="s">
        <v>137</v>
      </c>
      <c r="C30" t="s">
        <v>16</v>
      </c>
      <c r="D30" s="1" t="s">
        <v>17</v>
      </c>
      <c r="E30" t="s">
        <v>117</v>
      </c>
      <c r="F30" t="s">
        <v>30</v>
      </c>
      <c r="G30" t="s">
        <v>138</v>
      </c>
      <c r="H30" t="s">
        <v>139</v>
      </c>
      <c r="I30">
        <v>55.936391666666665</v>
      </c>
      <c r="J30">
        <v>9.9036777777777782</v>
      </c>
      <c r="K30" s="3">
        <v>21379</v>
      </c>
      <c r="L30" s="3">
        <v>21397</v>
      </c>
      <c r="M30" t="s">
        <v>22</v>
      </c>
      <c r="N30" t="s">
        <v>23</v>
      </c>
      <c r="O30" s="6" t="str">
        <f t="shared" si="0"/>
        <v>GEUS Well Info</v>
      </c>
      <c r="P30" s="8" t="s">
        <v>1670</v>
      </c>
    </row>
    <row r="31" spans="1:16" x14ac:dyDescent="0.25">
      <c r="A31" t="s">
        <v>140</v>
      </c>
      <c r="B31" s="1" t="s">
        <v>141</v>
      </c>
      <c r="C31" t="s">
        <v>16</v>
      </c>
      <c r="D31" s="1" t="s">
        <v>17</v>
      </c>
      <c r="E31" t="s">
        <v>142</v>
      </c>
      <c r="F31" t="s">
        <v>30</v>
      </c>
      <c r="G31" t="s">
        <v>143</v>
      </c>
      <c r="H31" t="s">
        <v>144</v>
      </c>
      <c r="I31">
        <v>55.181111111111115</v>
      </c>
      <c r="J31">
        <v>8.9080555555555563</v>
      </c>
      <c r="K31" s="3">
        <v>21406</v>
      </c>
      <c r="L31" s="3">
        <v>21842</v>
      </c>
      <c r="M31" t="s">
        <v>22</v>
      </c>
      <c r="N31" t="s">
        <v>23</v>
      </c>
      <c r="O31" s="6" t="str">
        <f t="shared" si="0"/>
        <v>GEUS Well Info</v>
      </c>
      <c r="P31" s="9" t="s">
        <v>1670</v>
      </c>
    </row>
    <row r="32" spans="1:16" x14ac:dyDescent="0.25">
      <c r="A32" t="s">
        <v>145</v>
      </c>
      <c r="B32" s="1" t="s">
        <v>146</v>
      </c>
      <c r="C32" t="s">
        <v>16</v>
      </c>
      <c r="D32" s="1" t="s">
        <v>17</v>
      </c>
      <c r="E32" t="s">
        <v>142</v>
      </c>
      <c r="F32" t="s">
        <v>30</v>
      </c>
      <c r="G32" t="s">
        <v>147</v>
      </c>
      <c r="H32" t="s">
        <v>148</v>
      </c>
      <c r="I32">
        <v>55.757383333333337</v>
      </c>
      <c r="J32">
        <v>8.8234388888888891</v>
      </c>
      <c r="K32" s="3">
        <v>21487</v>
      </c>
      <c r="L32" s="3">
        <v>21516</v>
      </c>
      <c r="M32" t="s">
        <v>22</v>
      </c>
      <c r="N32" t="s">
        <v>23</v>
      </c>
      <c r="O32" s="6" t="str">
        <f t="shared" si="0"/>
        <v>GEUS Well Info</v>
      </c>
      <c r="P32" s="8" t="s">
        <v>1670</v>
      </c>
    </row>
    <row r="33" spans="1:16" x14ac:dyDescent="0.25">
      <c r="A33" t="s">
        <v>149</v>
      </c>
      <c r="B33" s="1" t="s">
        <v>150</v>
      </c>
      <c r="C33" t="s">
        <v>16</v>
      </c>
      <c r="D33" s="1" t="s">
        <v>17</v>
      </c>
      <c r="E33" t="s">
        <v>142</v>
      </c>
      <c r="F33" t="s">
        <v>30</v>
      </c>
      <c r="G33" t="s">
        <v>151</v>
      </c>
      <c r="H33" t="s">
        <v>152</v>
      </c>
      <c r="I33">
        <v>55.085555555555558</v>
      </c>
      <c r="J33">
        <v>9.3402777777777786</v>
      </c>
      <c r="K33" s="3">
        <v>21524</v>
      </c>
      <c r="L33" s="3">
        <v>21549</v>
      </c>
      <c r="M33" t="s">
        <v>22</v>
      </c>
      <c r="N33" t="s">
        <v>23</v>
      </c>
      <c r="O33" s="6" t="str">
        <f t="shared" si="0"/>
        <v>GEUS Well Info</v>
      </c>
      <c r="P33" s="9" t="s">
        <v>1670</v>
      </c>
    </row>
    <row r="34" spans="1:16" x14ac:dyDescent="0.25">
      <c r="A34" t="s">
        <v>153</v>
      </c>
      <c r="B34" s="1" t="s">
        <v>154</v>
      </c>
      <c r="C34" t="s">
        <v>16</v>
      </c>
      <c r="D34" s="1" t="s">
        <v>17</v>
      </c>
      <c r="E34" t="s">
        <v>117</v>
      </c>
      <c r="F34" s="2" t="s">
        <v>30</v>
      </c>
      <c r="G34" t="s">
        <v>155</v>
      </c>
      <c r="H34" t="s">
        <v>156</v>
      </c>
      <c r="I34">
        <v>56.033099999999997</v>
      </c>
      <c r="J34">
        <v>12.175286111111111</v>
      </c>
      <c r="K34" s="3">
        <v>21569</v>
      </c>
      <c r="L34" s="3">
        <v>21610</v>
      </c>
      <c r="M34" t="s">
        <v>22</v>
      </c>
      <c r="N34" t="s">
        <v>23</v>
      </c>
      <c r="O34" s="6" t="str">
        <f t="shared" si="0"/>
        <v>GEUS Well Info</v>
      </c>
      <c r="P34" s="8" t="s">
        <v>1670</v>
      </c>
    </row>
    <row r="35" spans="1:16" x14ac:dyDescent="0.25">
      <c r="A35" t="s">
        <v>157</v>
      </c>
      <c r="B35" s="1" t="s">
        <v>158</v>
      </c>
      <c r="C35" t="s">
        <v>16</v>
      </c>
      <c r="D35" s="1" t="s">
        <v>17</v>
      </c>
      <c r="E35" t="s">
        <v>142</v>
      </c>
      <c r="F35" t="s">
        <v>30</v>
      </c>
      <c r="G35" t="s">
        <v>159</v>
      </c>
      <c r="H35" t="s">
        <v>160</v>
      </c>
      <c r="I35">
        <v>55.372733333333336</v>
      </c>
      <c r="J35">
        <v>11.378144444444445</v>
      </c>
      <c r="K35" s="3">
        <v>21618</v>
      </c>
      <c r="L35" s="3">
        <v>21691</v>
      </c>
      <c r="M35" t="s">
        <v>22</v>
      </c>
      <c r="N35" t="s">
        <v>23</v>
      </c>
      <c r="O35" s="6" t="str">
        <f t="shared" si="0"/>
        <v>GEUS Well Info</v>
      </c>
      <c r="P35" s="9" t="s">
        <v>1670</v>
      </c>
    </row>
    <row r="36" spans="1:16" x14ac:dyDescent="0.25">
      <c r="A36" t="s">
        <v>161</v>
      </c>
      <c r="B36" s="1" t="s">
        <v>162</v>
      </c>
      <c r="C36" t="s">
        <v>16</v>
      </c>
      <c r="D36" s="1" t="s">
        <v>163</v>
      </c>
      <c r="E36" t="s">
        <v>164</v>
      </c>
      <c r="F36" t="s">
        <v>165</v>
      </c>
      <c r="G36" t="s">
        <v>166</v>
      </c>
      <c r="H36" t="s">
        <v>167</v>
      </c>
      <c r="I36">
        <v>56.303888888888892</v>
      </c>
      <c r="J36">
        <v>10.435</v>
      </c>
      <c r="K36" s="3">
        <v>24038</v>
      </c>
      <c r="L36" s="3">
        <v>24344</v>
      </c>
      <c r="M36" t="s">
        <v>22</v>
      </c>
      <c r="N36" t="s">
        <v>23</v>
      </c>
      <c r="O36" s="6" t="str">
        <f t="shared" si="0"/>
        <v>GEUS Well Info</v>
      </c>
      <c r="P36" s="8" t="s">
        <v>1670</v>
      </c>
    </row>
    <row r="37" spans="1:16" x14ac:dyDescent="0.25">
      <c r="A37" t="s">
        <v>168</v>
      </c>
      <c r="B37" s="1" t="s">
        <v>169</v>
      </c>
      <c r="C37" t="s">
        <v>16</v>
      </c>
      <c r="D37" s="1" t="s">
        <v>163</v>
      </c>
      <c r="E37" t="s">
        <v>164</v>
      </c>
      <c r="F37" t="s">
        <v>170</v>
      </c>
      <c r="G37" t="s">
        <v>171</v>
      </c>
      <c r="H37" t="s">
        <v>172</v>
      </c>
      <c r="I37">
        <v>55.404736111111113</v>
      </c>
      <c r="J37">
        <v>5.0616666666666665</v>
      </c>
      <c r="K37" s="3">
        <v>24346</v>
      </c>
      <c r="L37" s="3">
        <v>24378</v>
      </c>
      <c r="M37" t="s">
        <v>173</v>
      </c>
      <c r="N37" t="s">
        <v>23</v>
      </c>
      <c r="O37" s="6" t="str">
        <f t="shared" si="0"/>
        <v>GEUS Well Info</v>
      </c>
      <c r="P37" s="9" t="s">
        <v>1670</v>
      </c>
    </row>
    <row r="38" spans="1:16" x14ac:dyDescent="0.25">
      <c r="A38" t="s">
        <v>174</v>
      </c>
      <c r="B38" s="1" t="s">
        <v>175</v>
      </c>
      <c r="C38" t="s">
        <v>16</v>
      </c>
      <c r="D38" s="1" t="s">
        <v>163</v>
      </c>
      <c r="E38" t="s">
        <v>164</v>
      </c>
      <c r="F38" t="s">
        <v>165</v>
      </c>
      <c r="G38" t="s">
        <v>176</v>
      </c>
      <c r="H38" t="s">
        <v>177</v>
      </c>
      <c r="I38">
        <v>56.169166666666669</v>
      </c>
      <c r="J38">
        <v>8.81</v>
      </c>
      <c r="K38" s="3">
        <v>24363</v>
      </c>
      <c r="L38" s="3">
        <v>24436</v>
      </c>
      <c r="M38" t="s">
        <v>22</v>
      </c>
      <c r="N38" t="s">
        <v>23</v>
      </c>
      <c r="O38" s="6" t="str">
        <f t="shared" si="0"/>
        <v>GEUS Well Info</v>
      </c>
      <c r="P38" s="8" t="s">
        <v>1670</v>
      </c>
    </row>
    <row r="39" spans="1:16" x14ac:dyDescent="0.25">
      <c r="A39" t="s">
        <v>178</v>
      </c>
      <c r="B39" s="1" t="s">
        <v>179</v>
      </c>
      <c r="C39" t="s">
        <v>16</v>
      </c>
      <c r="D39" s="1" t="s">
        <v>163</v>
      </c>
      <c r="E39" t="s">
        <v>164</v>
      </c>
      <c r="F39" t="s">
        <v>165</v>
      </c>
      <c r="G39" t="s">
        <v>180</v>
      </c>
      <c r="H39" t="s">
        <v>181</v>
      </c>
      <c r="I39">
        <v>56.9</v>
      </c>
      <c r="J39">
        <v>8.8847222222222229</v>
      </c>
      <c r="K39" s="3">
        <v>24454</v>
      </c>
      <c r="L39" s="3">
        <v>24736</v>
      </c>
      <c r="M39" t="s">
        <v>22</v>
      </c>
      <c r="N39" t="s">
        <v>23</v>
      </c>
      <c r="O39" s="6" t="str">
        <f t="shared" si="0"/>
        <v>GEUS Well Info</v>
      </c>
      <c r="P39" s="9" t="s">
        <v>1670</v>
      </c>
    </row>
    <row r="40" spans="1:16" x14ac:dyDescent="0.25">
      <c r="A40" t="s">
        <v>182</v>
      </c>
      <c r="B40" s="1" t="s">
        <v>183</v>
      </c>
      <c r="C40" t="s">
        <v>16</v>
      </c>
      <c r="D40" s="1" t="s">
        <v>163</v>
      </c>
      <c r="E40" t="s">
        <v>164</v>
      </c>
      <c r="F40" t="s">
        <v>184</v>
      </c>
      <c r="G40" t="s">
        <v>185</v>
      </c>
      <c r="H40" t="s">
        <v>186</v>
      </c>
      <c r="I40">
        <v>55.406397222222225</v>
      </c>
      <c r="J40">
        <v>5.060138888888889</v>
      </c>
      <c r="K40" s="3">
        <v>24683</v>
      </c>
      <c r="L40" s="3">
        <v>24767</v>
      </c>
      <c r="M40" t="s">
        <v>173</v>
      </c>
      <c r="N40" t="s">
        <v>23</v>
      </c>
      <c r="O40" s="6" t="str">
        <f t="shared" si="0"/>
        <v>GEUS Well Info</v>
      </c>
      <c r="P40" s="8" t="s">
        <v>1670</v>
      </c>
    </row>
    <row r="41" spans="1:16" x14ac:dyDescent="0.25">
      <c r="A41" t="s">
        <v>187</v>
      </c>
      <c r="B41" s="1" t="s">
        <v>188</v>
      </c>
      <c r="C41" t="s">
        <v>16</v>
      </c>
      <c r="D41" s="1" t="s">
        <v>163</v>
      </c>
      <c r="E41" t="s">
        <v>164</v>
      </c>
      <c r="F41" t="s">
        <v>165</v>
      </c>
      <c r="G41" t="s">
        <v>189</v>
      </c>
      <c r="H41" t="s">
        <v>190</v>
      </c>
      <c r="I41">
        <v>57.023888888888891</v>
      </c>
      <c r="J41">
        <v>8.6527777777777786</v>
      </c>
      <c r="K41" s="3">
        <v>24746</v>
      </c>
      <c r="L41" s="3">
        <v>24761</v>
      </c>
      <c r="M41" t="s">
        <v>22</v>
      </c>
      <c r="N41" t="s">
        <v>23</v>
      </c>
      <c r="O41" s="6" t="str">
        <f t="shared" si="0"/>
        <v>GEUS Well Info</v>
      </c>
      <c r="P41" s="9" t="s">
        <v>1670</v>
      </c>
    </row>
    <row r="42" spans="1:16" x14ac:dyDescent="0.25">
      <c r="A42" t="s">
        <v>191</v>
      </c>
      <c r="B42" s="1" t="s">
        <v>192</v>
      </c>
      <c r="C42" t="s">
        <v>16</v>
      </c>
      <c r="D42" s="1" t="s">
        <v>163</v>
      </c>
      <c r="E42" t="s">
        <v>164</v>
      </c>
      <c r="F42" t="s">
        <v>165</v>
      </c>
      <c r="G42" t="s">
        <v>193</v>
      </c>
      <c r="H42" t="s">
        <v>194</v>
      </c>
      <c r="I42">
        <v>54.781944444444441</v>
      </c>
      <c r="J42">
        <v>11.983888888888888</v>
      </c>
      <c r="K42" s="3">
        <v>24776</v>
      </c>
      <c r="L42" s="3">
        <v>24846</v>
      </c>
      <c r="M42" t="s">
        <v>22</v>
      </c>
      <c r="N42" t="s">
        <v>23</v>
      </c>
      <c r="O42" s="6" t="str">
        <f t="shared" si="0"/>
        <v>GEUS Well Info</v>
      </c>
      <c r="P42" s="8" t="s">
        <v>1670</v>
      </c>
    </row>
    <row r="43" spans="1:16" x14ac:dyDescent="0.25">
      <c r="A43" t="s">
        <v>195</v>
      </c>
      <c r="B43" s="1" t="s">
        <v>196</v>
      </c>
      <c r="C43" t="s">
        <v>16</v>
      </c>
      <c r="D43" s="1" t="s">
        <v>163</v>
      </c>
      <c r="E43" t="s">
        <v>164</v>
      </c>
      <c r="F43" s="2" t="s">
        <v>184</v>
      </c>
      <c r="G43" t="s">
        <v>197</v>
      </c>
      <c r="H43" t="s">
        <v>198</v>
      </c>
      <c r="I43">
        <v>56.611402777777776</v>
      </c>
      <c r="J43">
        <v>7.666666666666667</v>
      </c>
      <c r="K43" s="3">
        <v>24856</v>
      </c>
      <c r="L43" s="3">
        <v>24901</v>
      </c>
      <c r="M43" t="s">
        <v>173</v>
      </c>
      <c r="N43" t="s">
        <v>23</v>
      </c>
      <c r="O43" s="6" t="str">
        <f t="shared" si="0"/>
        <v>GEUS Well Info</v>
      </c>
      <c r="P43" s="9" t="s">
        <v>1670</v>
      </c>
    </row>
    <row r="44" spans="1:16" x14ac:dyDescent="0.25">
      <c r="A44" t="s">
        <v>199</v>
      </c>
      <c r="B44" s="1" t="s">
        <v>200</v>
      </c>
      <c r="C44" t="s">
        <v>16</v>
      </c>
      <c r="D44" s="1" t="s">
        <v>163</v>
      </c>
      <c r="E44" t="s">
        <v>164</v>
      </c>
      <c r="F44" t="s">
        <v>184</v>
      </c>
      <c r="G44" t="s">
        <v>201</v>
      </c>
      <c r="H44" t="s">
        <v>202</v>
      </c>
      <c r="I44">
        <v>56.424741666666669</v>
      </c>
      <c r="J44">
        <v>5.5311166666666667</v>
      </c>
      <c r="K44" s="3">
        <v>24924</v>
      </c>
      <c r="L44" s="3">
        <v>24986</v>
      </c>
      <c r="M44" t="s">
        <v>173</v>
      </c>
      <c r="N44" t="s">
        <v>23</v>
      </c>
      <c r="O44" s="6" t="str">
        <f t="shared" si="0"/>
        <v>GEUS Well Info</v>
      </c>
      <c r="P44" s="8" t="s">
        <v>1670</v>
      </c>
    </row>
    <row r="45" spans="1:16" x14ac:dyDescent="0.25">
      <c r="A45" t="s">
        <v>203</v>
      </c>
      <c r="B45" s="1" t="s">
        <v>204</v>
      </c>
      <c r="C45" t="s">
        <v>16</v>
      </c>
      <c r="D45" s="1" t="s">
        <v>163</v>
      </c>
      <c r="E45" t="s">
        <v>164</v>
      </c>
      <c r="F45" s="2" t="s">
        <v>184</v>
      </c>
      <c r="G45" t="s">
        <v>205</v>
      </c>
      <c r="H45" t="s">
        <v>206</v>
      </c>
      <c r="I45">
        <v>55.731122222222226</v>
      </c>
      <c r="J45">
        <v>4.851116666666667</v>
      </c>
      <c r="K45" s="3">
        <v>24987</v>
      </c>
      <c r="L45" s="3">
        <v>25067</v>
      </c>
      <c r="M45" t="s">
        <v>173</v>
      </c>
      <c r="N45" t="s">
        <v>23</v>
      </c>
      <c r="O45" s="6" t="str">
        <f t="shared" si="0"/>
        <v>GEUS Well Info</v>
      </c>
      <c r="P45" s="9" t="s">
        <v>1670</v>
      </c>
    </row>
    <row r="46" spans="1:16" x14ac:dyDescent="0.25">
      <c r="A46" t="s">
        <v>207</v>
      </c>
      <c r="B46" s="1" t="s">
        <v>208</v>
      </c>
      <c r="C46" t="s">
        <v>209</v>
      </c>
      <c r="D46" s="1" t="s">
        <v>163</v>
      </c>
      <c r="E46" t="s">
        <v>164</v>
      </c>
      <c r="F46" s="2" t="s">
        <v>184</v>
      </c>
      <c r="G46" t="s">
        <v>210</v>
      </c>
      <c r="H46" t="s">
        <v>211</v>
      </c>
      <c r="I46">
        <v>55.708950000000002</v>
      </c>
      <c r="J46">
        <v>4.7442500000000001</v>
      </c>
      <c r="K46" s="3">
        <v>25070</v>
      </c>
      <c r="L46" s="3">
        <v>25113</v>
      </c>
      <c r="M46" t="s">
        <v>173</v>
      </c>
      <c r="N46" t="s">
        <v>23</v>
      </c>
      <c r="O46" s="6" t="str">
        <f t="shared" si="0"/>
        <v>GEUS Well Info</v>
      </c>
      <c r="P46" s="8" t="s">
        <v>1670</v>
      </c>
    </row>
    <row r="47" spans="1:16" x14ac:dyDescent="0.25">
      <c r="A47" t="s">
        <v>212</v>
      </c>
      <c r="B47" s="1" t="s">
        <v>213</v>
      </c>
      <c r="C47" t="s">
        <v>16</v>
      </c>
      <c r="D47" s="1" t="s">
        <v>163</v>
      </c>
      <c r="E47" t="s">
        <v>164</v>
      </c>
      <c r="F47" s="2" t="s">
        <v>184</v>
      </c>
      <c r="G47" t="s">
        <v>214</v>
      </c>
      <c r="H47" t="s">
        <v>215</v>
      </c>
      <c r="I47">
        <v>57.031399999999998</v>
      </c>
      <c r="J47">
        <v>6.9077944444444448</v>
      </c>
      <c r="K47" s="3">
        <v>25117</v>
      </c>
      <c r="L47" s="3">
        <v>25131</v>
      </c>
      <c r="M47" t="s">
        <v>173</v>
      </c>
      <c r="N47" t="s">
        <v>23</v>
      </c>
      <c r="O47" s="6" t="str">
        <f t="shared" si="0"/>
        <v>GEUS Well Info</v>
      </c>
      <c r="P47" s="9" t="s">
        <v>1670</v>
      </c>
    </row>
    <row r="48" spans="1:16" x14ac:dyDescent="0.25">
      <c r="A48" t="s">
        <v>216</v>
      </c>
      <c r="B48" s="1" t="s">
        <v>217</v>
      </c>
      <c r="C48" t="s">
        <v>16</v>
      </c>
      <c r="D48" s="1" t="s">
        <v>163</v>
      </c>
      <c r="E48" t="s">
        <v>164</v>
      </c>
      <c r="F48" s="2" t="s">
        <v>184</v>
      </c>
      <c r="G48" t="s">
        <v>218</v>
      </c>
      <c r="H48" t="s">
        <v>219</v>
      </c>
      <c r="I48">
        <v>55.584466666666664</v>
      </c>
      <c r="J48">
        <v>5.1630666666666665</v>
      </c>
      <c r="K48" s="3">
        <v>25137</v>
      </c>
      <c r="L48" s="3">
        <v>25183</v>
      </c>
      <c r="M48" t="s">
        <v>173</v>
      </c>
      <c r="N48" t="s">
        <v>23</v>
      </c>
      <c r="O48" s="6" t="str">
        <f t="shared" si="0"/>
        <v>GEUS Well Info</v>
      </c>
      <c r="P48" s="8" t="s">
        <v>1670</v>
      </c>
    </row>
    <row r="49" spans="1:16" x14ac:dyDescent="0.25">
      <c r="A49" t="s">
        <v>220</v>
      </c>
      <c r="B49" s="1" t="s">
        <v>221</v>
      </c>
      <c r="C49" t="s">
        <v>16</v>
      </c>
      <c r="D49" s="1" t="s">
        <v>163</v>
      </c>
      <c r="E49" t="s">
        <v>164</v>
      </c>
      <c r="F49" t="s">
        <v>184</v>
      </c>
      <c r="G49" t="s">
        <v>222</v>
      </c>
      <c r="H49" t="s">
        <v>223</v>
      </c>
      <c r="I49">
        <v>55.773913888888892</v>
      </c>
      <c r="J49">
        <v>4.6466777777777777</v>
      </c>
      <c r="K49" s="3">
        <v>25186</v>
      </c>
      <c r="L49" s="3">
        <v>25233</v>
      </c>
      <c r="M49" t="s">
        <v>173</v>
      </c>
      <c r="N49" t="s">
        <v>23</v>
      </c>
      <c r="O49" s="6" t="str">
        <f t="shared" si="0"/>
        <v>GEUS Well Info</v>
      </c>
      <c r="P49" s="9" t="s">
        <v>1670</v>
      </c>
    </row>
    <row r="50" spans="1:16" x14ac:dyDescent="0.25">
      <c r="A50" t="s">
        <v>224</v>
      </c>
      <c r="B50" s="1" t="s">
        <v>225</v>
      </c>
      <c r="C50" t="s">
        <v>16</v>
      </c>
      <c r="D50" s="1" t="s">
        <v>163</v>
      </c>
      <c r="E50" t="s">
        <v>164</v>
      </c>
      <c r="F50" t="s">
        <v>184</v>
      </c>
      <c r="G50" t="s">
        <v>226</v>
      </c>
      <c r="H50" t="s">
        <v>227</v>
      </c>
      <c r="I50">
        <v>56.052777777777777</v>
      </c>
      <c r="J50">
        <v>4.2497361111111109</v>
      </c>
      <c r="K50" s="3">
        <v>25246</v>
      </c>
      <c r="L50" s="3">
        <v>25302</v>
      </c>
      <c r="M50" t="s">
        <v>173</v>
      </c>
      <c r="N50" t="s">
        <v>23</v>
      </c>
      <c r="O50" s="6" t="str">
        <f t="shared" si="0"/>
        <v>GEUS Well Info</v>
      </c>
      <c r="P50" s="8" t="s">
        <v>1670</v>
      </c>
    </row>
    <row r="51" spans="1:16" x14ac:dyDescent="0.25">
      <c r="A51" t="s">
        <v>228</v>
      </c>
      <c r="B51" s="1" t="s">
        <v>229</v>
      </c>
      <c r="C51" t="s">
        <v>16</v>
      </c>
      <c r="D51" s="1" t="s">
        <v>163</v>
      </c>
      <c r="E51" t="s">
        <v>164</v>
      </c>
      <c r="F51" t="s">
        <v>184</v>
      </c>
      <c r="G51" t="s">
        <v>230</v>
      </c>
      <c r="H51" t="s">
        <v>231</v>
      </c>
      <c r="I51">
        <v>57.432511111111111</v>
      </c>
      <c r="J51">
        <v>8.5514055555555561</v>
      </c>
      <c r="K51" s="3">
        <v>25561</v>
      </c>
      <c r="L51" s="3">
        <v>25584</v>
      </c>
      <c r="M51" t="s">
        <v>173</v>
      </c>
      <c r="N51" t="s">
        <v>23</v>
      </c>
      <c r="O51" s="6" t="str">
        <f t="shared" si="0"/>
        <v>GEUS Well Info</v>
      </c>
      <c r="P51" s="9" t="s">
        <v>1670</v>
      </c>
    </row>
    <row r="52" spans="1:16" x14ac:dyDescent="0.25">
      <c r="A52" t="s">
        <v>232</v>
      </c>
      <c r="B52" s="1" t="s">
        <v>233</v>
      </c>
      <c r="C52" t="s">
        <v>16</v>
      </c>
      <c r="D52" s="1" t="s">
        <v>163</v>
      </c>
      <c r="E52" t="s">
        <v>234</v>
      </c>
      <c r="F52" s="2" t="s">
        <v>184</v>
      </c>
      <c r="G52" t="s">
        <v>235</v>
      </c>
      <c r="H52" t="s">
        <v>236</v>
      </c>
      <c r="I52">
        <v>57.126963888888888</v>
      </c>
      <c r="J52">
        <v>7.1619472222222225</v>
      </c>
      <c r="K52" s="3">
        <v>25589</v>
      </c>
      <c r="L52" s="3">
        <v>25608</v>
      </c>
      <c r="M52" t="s">
        <v>173</v>
      </c>
      <c r="N52" t="s">
        <v>23</v>
      </c>
      <c r="O52" s="6" t="str">
        <f t="shared" si="0"/>
        <v>GEUS Well Info</v>
      </c>
      <c r="P52" s="8" t="s">
        <v>1670</v>
      </c>
    </row>
    <row r="53" spans="1:16" x14ac:dyDescent="0.25">
      <c r="A53" t="s">
        <v>237</v>
      </c>
      <c r="B53" s="1" t="s">
        <v>238</v>
      </c>
      <c r="C53" t="s">
        <v>16</v>
      </c>
      <c r="D53" s="1" t="s">
        <v>163</v>
      </c>
      <c r="E53" t="s">
        <v>234</v>
      </c>
      <c r="F53" t="s">
        <v>184</v>
      </c>
      <c r="G53" t="s">
        <v>239</v>
      </c>
      <c r="H53" t="s">
        <v>240</v>
      </c>
      <c r="I53">
        <v>56.252519444444445</v>
      </c>
      <c r="J53">
        <v>5.2486166666666669</v>
      </c>
      <c r="K53" s="3">
        <v>25801</v>
      </c>
      <c r="L53" s="3">
        <v>25858</v>
      </c>
      <c r="M53" t="s">
        <v>173</v>
      </c>
      <c r="N53" t="s">
        <v>23</v>
      </c>
      <c r="O53" s="6" t="str">
        <f t="shared" si="0"/>
        <v>GEUS Well Info</v>
      </c>
      <c r="P53" s="9" t="s">
        <v>1670</v>
      </c>
    </row>
    <row r="54" spans="1:16" x14ac:dyDescent="0.25">
      <c r="A54" t="s">
        <v>241</v>
      </c>
      <c r="B54" s="1" t="s">
        <v>242</v>
      </c>
      <c r="C54" t="s">
        <v>16</v>
      </c>
      <c r="D54" s="1" t="s">
        <v>163</v>
      </c>
      <c r="E54" t="s">
        <v>164</v>
      </c>
      <c r="F54" t="s">
        <v>243</v>
      </c>
      <c r="G54" t="s">
        <v>244</v>
      </c>
      <c r="H54" t="s">
        <v>245</v>
      </c>
      <c r="I54">
        <v>55.469549999999998</v>
      </c>
      <c r="J54">
        <v>5.13375</v>
      </c>
      <c r="K54" s="3">
        <v>25993</v>
      </c>
      <c r="L54" s="3">
        <v>26061</v>
      </c>
      <c r="M54" t="s">
        <v>173</v>
      </c>
      <c r="N54" t="s">
        <v>23</v>
      </c>
      <c r="O54" s="6" t="str">
        <f t="shared" si="0"/>
        <v>GEUS Well Info</v>
      </c>
      <c r="P54" s="8" t="s">
        <v>1670</v>
      </c>
    </row>
    <row r="55" spans="1:16" x14ac:dyDescent="0.25">
      <c r="A55" t="s">
        <v>246</v>
      </c>
      <c r="B55" s="1" t="s">
        <v>247</v>
      </c>
      <c r="C55" t="s">
        <v>16</v>
      </c>
      <c r="D55" s="1" t="s">
        <v>163</v>
      </c>
      <c r="E55" t="s">
        <v>164</v>
      </c>
      <c r="F55" t="s">
        <v>243</v>
      </c>
      <c r="G55" t="s">
        <v>248</v>
      </c>
      <c r="H55" t="s">
        <v>249</v>
      </c>
      <c r="I55">
        <v>55.578899999999997</v>
      </c>
      <c r="J55">
        <v>4.7463888888888892</v>
      </c>
      <c r="K55" s="3">
        <v>26064</v>
      </c>
      <c r="L55" s="3">
        <v>26103</v>
      </c>
      <c r="M55" t="s">
        <v>173</v>
      </c>
      <c r="N55" t="s">
        <v>23</v>
      </c>
      <c r="O55" s="6" t="str">
        <f t="shared" si="0"/>
        <v>GEUS Well Info</v>
      </c>
      <c r="P55" s="9" t="s">
        <v>1670</v>
      </c>
    </row>
    <row r="56" spans="1:16" x14ac:dyDescent="0.25">
      <c r="A56" t="s">
        <v>250</v>
      </c>
      <c r="B56" s="1" t="s">
        <v>251</v>
      </c>
      <c r="C56" t="s">
        <v>209</v>
      </c>
      <c r="D56" s="1" t="s">
        <v>163</v>
      </c>
      <c r="E56" t="s">
        <v>164</v>
      </c>
      <c r="F56" t="s">
        <v>243</v>
      </c>
      <c r="G56" t="s">
        <v>252</v>
      </c>
      <c r="H56" t="s">
        <v>253</v>
      </c>
      <c r="I56">
        <v>55.481963888888892</v>
      </c>
      <c r="J56">
        <v>5.1008472222222219</v>
      </c>
      <c r="K56" s="3">
        <v>26107</v>
      </c>
      <c r="L56" s="3">
        <v>26133</v>
      </c>
      <c r="M56" t="s">
        <v>173</v>
      </c>
      <c r="N56" t="s">
        <v>23</v>
      </c>
      <c r="O56" s="6" t="str">
        <f t="shared" si="0"/>
        <v>GEUS Well Info</v>
      </c>
      <c r="P56" s="8" t="s">
        <v>1670</v>
      </c>
    </row>
    <row r="57" spans="1:16" x14ac:dyDescent="0.25">
      <c r="A57" t="s">
        <v>254</v>
      </c>
      <c r="B57" s="1" t="s">
        <v>255</v>
      </c>
      <c r="C57" t="s">
        <v>16</v>
      </c>
      <c r="D57" s="1" t="s">
        <v>163</v>
      </c>
      <c r="E57" t="s">
        <v>164</v>
      </c>
      <c r="F57" t="s">
        <v>256</v>
      </c>
      <c r="G57" t="s">
        <v>257</v>
      </c>
      <c r="H57" t="s">
        <v>258</v>
      </c>
      <c r="I57">
        <v>55.36696666666667</v>
      </c>
      <c r="J57">
        <v>5.3219555555555553</v>
      </c>
      <c r="K57" s="3">
        <v>26581</v>
      </c>
      <c r="L57" s="3">
        <v>26677</v>
      </c>
      <c r="M57" t="s">
        <v>173</v>
      </c>
      <c r="N57" t="s">
        <v>23</v>
      </c>
      <c r="O57" s="6" t="str">
        <f t="shared" si="0"/>
        <v>GEUS Well Info</v>
      </c>
      <c r="P57" s="9" t="s">
        <v>1670</v>
      </c>
    </row>
    <row r="58" spans="1:16" x14ac:dyDescent="0.25">
      <c r="A58" t="s">
        <v>259</v>
      </c>
      <c r="B58" s="1" t="s">
        <v>260</v>
      </c>
      <c r="C58" t="s">
        <v>16</v>
      </c>
      <c r="D58" s="1" t="s">
        <v>163</v>
      </c>
      <c r="E58" t="s">
        <v>164</v>
      </c>
      <c r="F58" t="s">
        <v>261</v>
      </c>
      <c r="G58" t="s">
        <v>262</v>
      </c>
      <c r="H58" t="s">
        <v>263</v>
      </c>
      <c r="I58">
        <v>56.034455555555553</v>
      </c>
      <c r="J58">
        <v>3.7694444444444444</v>
      </c>
      <c r="K58" s="3">
        <v>26685</v>
      </c>
      <c r="L58" s="3">
        <v>26741</v>
      </c>
      <c r="M58" t="s">
        <v>173</v>
      </c>
      <c r="N58" t="s">
        <v>23</v>
      </c>
      <c r="O58" s="6" t="str">
        <f t="shared" si="0"/>
        <v>GEUS Well Info</v>
      </c>
      <c r="P58" s="8" t="s">
        <v>1670</v>
      </c>
    </row>
    <row r="59" spans="1:16" x14ac:dyDescent="0.25">
      <c r="A59" t="s">
        <v>264</v>
      </c>
      <c r="B59" s="1" t="s">
        <v>265</v>
      </c>
      <c r="C59" t="s">
        <v>16</v>
      </c>
      <c r="D59" s="1" t="s">
        <v>163</v>
      </c>
      <c r="E59" t="s">
        <v>164</v>
      </c>
      <c r="F59" t="s">
        <v>261</v>
      </c>
      <c r="G59" t="s">
        <v>266</v>
      </c>
      <c r="H59" t="s">
        <v>267</v>
      </c>
      <c r="I59">
        <v>56.091675000000002</v>
      </c>
      <c r="J59">
        <v>4.1039111111111115</v>
      </c>
      <c r="K59" s="3">
        <v>26751</v>
      </c>
      <c r="L59" s="3">
        <v>26941</v>
      </c>
      <c r="M59" t="s">
        <v>173</v>
      </c>
      <c r="N59" t="s">
        <v>23</v>
      </c>
      <c r="O59" s="6" t="str">
        <f t="shared" si="0"/>
        <v>GEUS Well Info</v>
      </c>
      <c r="P59" s="9" t="s">
        <v>1670</v>
      </c>
    </row>
    <row r="60" spans="1:16" x14ac:dyDescent="0.25">
      <c r="A60" t="s">
        <v>268</v>
      </c>
      <c r="B60" s="1" t="s">
        <v>269</v>
      </c>
      <c r="C60" t="s">
        <v>16</v>
      </c>
      <c r="D60" s="1" t="s">
        <v>163</v>
      </c>
      <c r="E60" t="s">
        <v>234</v>
      </c>
      <c r="F60" s="2" t="s">
        <v>270</v>
      </c>
      <c r="G60" t="s">
        <v>271</v>
      </c>
      <c r="H60" t="s">
        <v>272</v>
      </c>
      <c r="I60">
        <v>56.215844444444443</v>
      </c>
      <c r="J60">
        <v>6.8958500000000003</v>
      </c>
      <c r="K60" s="3">
        <v>26928</v>
      </c>
      <c r="L60" s="3">
        <v>27006</v>
      </c>
      <c r="M60" t="s">
        <v>173</v>
      </c>
      <c r="N60" t="s">
        <v>23</v>
      </c>
      <c r="O60" s="6" t="str">
        <f t="shared" si="0"/>
        <v>GEUS Well Info</v>
      </c>
      <c r="P60" s="8" t="s">
        <v>1670</v>
      </c>
    </row>
    <row r="61" spans="1:16" x14ac:dyDescent="0.25">
      <c r="A61" t="s">
        <v>273</v>
      </c>
      <c r="B61" s="1" t="s">
        <v>274</v>
      </c>
      <c r="C61" t="s">
        <v>16</v>
      </c>
      <c r="D61" s="1" t="s">
        <v>163</v>
      </c>
      <c r="E61" t="s">
        <v>164</v>
      </c>
      <c r="F61" t="s">
        <v>275</v>
      </c>
      <c r="G61" t="s">
        <v>276</v>
      </c>
      <c r="H61" t="s">
        <v>277</v>
      </c>
      <c r="I61">
        <v>56.383894444444444</v>
      </c>
      <c r="J61">
        <v>10.266686111111111</v>
      </c>
      <c r="K61" s="3">
        <v>27092</v>
      </c>
      <c r="L61" s="3">
        <v>27134</v>
      </c>
      <c r="M61" t="s">
        <v>22</v>
      </c>
      <c r="N61" t="s">
        <v>23</v>
      </c>
      <c r="O61" s="6" t="str">
        <f t="shared" si="0"/>
        <v>GEUS Well Info</v>
      </c>
      <c r="P61" s="9" t="s">
        <v>1670</v>
      </c>
    </row>
    <row r="62" spans="1:16" x14ac:dyDescent="0.25">
      <c r="A62" t="s">
        <v>278</v>
      </c>
      <c r="B62" s="1" t="s">
        <v>279</v>
      </c>
      <c r="C62" t="s">
        <v>16</v>
      </c>
      <c r="D62" s="1" t="s">
        <v>163</v>
      </c>
      <c r="E62" t="s">
        <v>164</v>
      </c>
      <c r="F62" t="s">
        <v>275</v>
      </c>
      <c r="G62" t="s">
        <v>280</v>
      </c>
      <c r="H62" t="s">
        <v>281</v>
      </c>
      <c r="I62">
        <v>56.608333333333334</v>
      </c>
      <c r="J62">
        <v>9.6344444444444441</v>
      </c>
      <c r="K62" s="3">
        <v>27187</v>
      </c>
      <c r="L62" s="3">
        <v>27220</v>
      </c>
      <c r="M62" t="s">
        <v>22</v>
      </c>
      <c r="N62" t="s">
        <v>23</v>
      </c>
      <c r="O62" s="6" t="str">
        <f t="shared" si="0"/>
        <v>GEUS Well Info</v>
      </c>
      <c r="P62" s="8" t="s">
        <v>1670</v>
      </c>
    </row>
    <row r="63" spans="1:16" x14ac:dyDescent="0.25">
      <c r="A63" t="s">
        <v>282</v>
      </c>
      <c r="B63" s="1" t="s">
        <v>283</v>
      </c>
      <c r="C63" t="s">
        <v>209</v>
      </c>
      <c r="D63" s="1" t="s">
        <v>163</v>
      </c>
      <c r="E63" t="s">
        <v>164</v>
      </c>
      <c r="F63" t="s">
        <v>284</v>
      </c>
      <c r="G63" t="s">
        <v>285</v>
      </c>
      <c r="H63" t="s">
        <v>286</v>
      </c>
      <c r="I63">
        <v>55.478574999999999</v>
      </c>
      <c r="J63">
        <v>5.1122500000000004</v>
      </c>
      <c r="K63" s="3">
        <v>27213</v>
      </c>
      <c r="L63" s="3">
        <v>27274</v>
      </c>
      <c r="M63" t="s">
        <v>173</v>
      </c>
      <c r="N63" t="s">
        <v>23</v>
      </c>
      <c r="O63" s="6" t="str">
        <f t="shared" si="0"/>
        <v>GEUS Well Info</v>
      </c>
      <c r="P63" s="9" t="s">
        <v>1670</v>
      </c>
    </row>
    <row r="64" spans="1:16" x14ac:dyDescent="0.25">
      <c r="A64" t="s">
        <v>287</v>
      </c>
      <c r="B64" s="1" t="s">
        <v>288</v>
      </c>
      <c r="C64" t="s">
        <v>209</v>
      </c>
      <c r="D64" s="1" t="s">
        <v>163</v>
      </c>
      <c r="E64" t="s">
        <v>164</v>
      </c>
      <c r="F64" t="s">
        <v>284</v>
      </c>
      <c r="G64" t="s">
        <v>289</v>
      </c>
      <c r="H64" t="s">
        <v>290</v>
      </c>
      <c r="I64">
        <v>55.733611111111109</v>
      </c>
      <c r="J64">
        <v>4.7750000000000004</v>
      </c>
      <c r="K64" s="3">
        <v>27286</v>
      </c>
      <c r="L64" s="3">
        <v>27335</v>
      </c>
      <c r="M64" t="s">
        <v>173</v>
      </c>
      <c r="N64" t="s">
        <v>23</v>
      </c>
      <c r="O64" s="6" t="str">
        <f t="shared" si="0"/>
        <v>GEUS Well Info</v>
      </c>
      <c r="P64" s="8" t="s">
        <v>1670</v>
      </c>
    </row>
    <row r="65" spans="1:16" x14ac:dyDescent="0.25">
      <c r="A65" t="s">
        <v>291</v>
      </c>
      <c r="B65" s="1" t="s">
        <v>292</v>
      </c>
      <c r="C65" t="s">
        <v>16</v>
      </c>
      <c r="D65" s="1" t="s">
        <v>163</v>
      </c>
      <c r="E65" t="s">
        <v>234</v>
      </c>
      <c r="F65" t="s">
        <v>284</v>
      </c>
      <c r="G65" t="s">
        <v>293</v>
      </c>
      <c r="H65" t="s">
        <v>294</v>
      </c>
      <c r="I65">
        <v>55.515833333333333</v>
      </c>
      <c r="J65">
        <v>6.9216666666666669</v>
      </c>
      <c r="K65" s="3">
        <v>27431</v>
      </c>
      <c r="L65" s="3">
        <v>27501</v>
      </c>
      <c r="M65" t="s">
        <v>173</v>
      </c>
      <c r="N65" t="s">
        <v>23</v>
      </c>
      <c r="O65" s="6" t="str">
        <f t="shared" si="0"/>
        <v>GEUS Well Info</v>
      </c>
      <c r="P65" s="9" t="s">
        <v>1670</v>
      </c>
    </row>
    <row r="66" spans="1:16" x14ac:dyDescent="0.25">
      <c r="A66" t="s">
        <v>295</v>
      </c>
      <c r="B66" s="1" t="s">
        <v>296</v>
      </c>
      <c r="C66" t="s">
        <v>16</v>
      </c>
      <c r="D66" s="1" t="s">
        <v>163</v>
      </c>
      <c r="E66" t="s">
        <v>234</v>
      </c>
      <c r="F66" t="s">
        <v>284</v>
      </c>
      <c r="G66" t="s">
        <v>297</v>
      </c>
      <c r="H66" t="s">
        <v>298</v>
      </c>
      <c r="I66">
        <v>55.580597222222224</v>
      </c>
      <c r="J66">
        <v>4.7751388888888888</v>
      </c>
      <c r="K66" s="3">
        <v>27508</v>
      </c>
      <c r="L66" s="3">
        <v>27557</v>
      </c>
      <c r="M66" t="s">
        <v>173</v>
      </c>
      <c r="N66" t="s">
        <v>23</v>
      </c>
      <c r="O66" s="6" t="str">
        <f t="shared" ref="O66:O129" si="1">IF(N66="YES",HYPERLINK("http://data.geus.dk/geusmapmore/samba/info_samba.jsp?iSector=DANISH&amp;iWellName="&amp;A66,"GEUS Well Info"),"")</f>
        <v>GEUS Well Info</v>
      </c>
      <c r="P66" s="8" t="s">
        <v>1670</v>
      </c>
    </row>
    <row r="67" spans="1:16" x14ac:dyDescent="0.25">
      <c r="A67" t="s">
        <v>299</v>
      </c>
      <c r="B67" s="1" t="s">
        <v>300</v>
      </c>
      <c r="C67" t="s">
        <v>16</v>
      </c>
      <c r="D67" s="1" t="s">
        <v>163</v>
      </c>
      <c r="E67" t="s">
        <v>234</v>
      </c>
      <c r="F67" t="s">
        <v>301</v>
      </c>
      <c r="G67" t="s">
        <v>302</v>
      </c>
      <c r="H67" t="s">
        <v>303</v>
      </c>
      <c r="I67">
        <v>56.194444444444443</v>
      </c>
      <c r="J67">
        <v>4.1716666666666669</v>
      </c>
      <c r="K67" s="3">
        <v>27519</v>
      </c>
      <c r="L67" s="3">
        <v>27602</v>
      </c>
      <c r="M67" t="s">
        <v>173</v>
      </c>
      <c r="N67" t="s">
        <v>23</v>
      </c>
      <c r="O67" s="6" t="str">
        <f t="shared" si="1"/>
        <v>GEUS Well Info</v>
      </c>
      <c r="P67" s="9" t="s">
        <v>1670</v>
      </c>
    </row>
    <row r="68" spans="1:16" x14ac:dyDescent="0.25">
      <c r="A68" t="s">
        <v>304</v>
      </c>
      <c r="B68" s="1" t="s">
        <v>305</v>
      </c>
      <c r="C68" t="s">
        <v>16</v>
      </c>
      <c r="D68" s="1" t="s">
        <v>163</v>
      </c>
      <c r="E68" t="s">
        <v>234</v>
      </c>
      <c r="F68" t="s">
        <v>301</v>
      </c>
      <c r="G68" t="s">
        <v>306</v>
      </c>
      <c r="H68" t="s">
        <v>307</v>
      </c>
      <c r="I68">
        <v>55.501044444444446</v>
      </c>
      <c r="J68">
        <v>4.8021277777777778</v>
      </c>
      <c r="K68" s="3">
        <v>27604</v>
      </c>
      <c r="L68" s="3">
        <v>27713</v>
      </c>
      <c r="M68" t="s">
        <v>173</v>
      </c>
      <c r="N68" t="s">
        <v>23</v>
      </c>
      <c r="O68" s="6" t="str">
        <f t="shared" si="1"/>
        <v>GEUS Well Info</v>
      </c>
      <c r="P68" s="8" t="s">
        <v>1670</v>
      </c>
    </row>
    <row r="69" spans="1:16" x14ac:dyDescent="0.25">
      <c r="A69" t="s">
        <v>308</v>
      </c>
      <c r="B69" s="1" t="s">
        <v>309</v>
      </c>
      <c r="C69" t="s">
        <v>16</v>
      </c>
      <c r="D69" s="1" t="s">
        <v>163</v>
      </c>
      <c r="E69" t="s">
        <v>234</v>
      </c>
      <c r="F69" t="s">
        <v>184</v>
      </c>
      <c r="G69" t="s">
        <v>310</v>
      </c>
      <c r="H69" t="s">
        <v>311</v>
      </c>
      <c r="I69">
        <v>55.730513888888886</v>
      </c>
      <c r="J69">
        <v>5.1329722222222225</v>
      </c>
      <c r="K69" s="3">
        <v>27719</v>
      </c>
      <c r="L69" s="3">
        <v>27792</v>
      </c>
      <c r="M69" t="s">
        <v>173</v>
      </c>
      <c r="N69" t="s">
        <v>23</v>
      </c>
      <c r="O69" s="6" t="str">
        <f t="shared" si="1"/>
        <v>GEUS Well Info</v>
      </c>
      <c r="P69" s="9" t="s">
        <v>1670</v>
      </c>
    </row>
    <row r="70" spans="1:16" x14ac:dyDescent="0.25">
      <c r="A70" t="s">
        <v>312</v>
      </c>
      <c r="B70" s="1" t="s">
        <v>313</v>
      </c>
      <c r="C70" t="s">
        <v>16</v>
      </c>
      <c r="D70" s="1" t="s">
        <v>163</v>
      </c>
      <c r="E70" t="s">
        <v>314</v>
      </c>
      <c r="F70" t="s">
        <v>315</v>
      </c>
      <c r="G70" t="s">
        <v>316</v>
      </c>
      <c r="H70" t="s">
        <v>317</v>
      </c>
      <c r="I70">
        <v>56.814722222222223</v>
      </c>
      <c r="J70">
        <v>9.3483333333333327</v>
      </c>
      <c r="K70" s="3">
        <v>27735</v>
      </c>
      <c r="L70" s="3">
        <v>27778</v>
      </c>
      <c r="M70" t="s">
        <v>22</v>
      </c>
      <c r="N70" t="s">
        <v>23</v>
      </c>
      <c r="O70" s="6" t="str">
        <f t="shared" si="1"/>
        <v>GEUS Well Info</v>
      </c>
      <c r="P70" s="8" t="s">
        <v>1670</v>
      </c>
    </row>
    <row r="71" spans="1:16" x14ac:dyDescent="0.25">
      <c r="A71" t="s">
        <v>318</v>
      </c>
      <c r="B71" s="1" t="s">
        <v>319</v>
      </c>
      <c r="C71" t="s">
        <v>16</v>
      </c>
      <c r="D71" s="1" t="s">
        <v>163</v>
      </c>
      <c r="E71" t="s">
        <v>314</v>
      </c>
      <c r="F71" t="s">
        <v>315</v>
      </c>
      <c r="G71" t="s">
        <v>320</v>
      </c>
      <c r="H71" t="s">
        <v>321</v>
      </c>
      <c r="I71">
        <v>56.646944444444443</v>
      </c>
      <c r="J71">
        <v>8.8049999999999997</v>
      </c>
      <c r="K71" s="3">
        <v>27786</v>
      </c>
      <c r="L71" s="3">
        <v>27810</v>
      </c>
      <c r="M71" t="s">
        <v>22</v>
      </c>
      <c r="N71" t="s">
        <v>23</v>
      </c>
      <c r="O71" s="6" t="str">
        <f t="shared" si="1"/>
        <v>GEUS Well Info</v>
      </c>
      <c r="P71" s="9" t="s">
        <v>1670</v>
      </c>
    </row>
    <row r="72" spans="1:16" x14ac:dyDescent="0.25">
      <c r="A72" t="s">
        <v>322</v>
      </c>
      <c r="B72" s="1" t="s">
        <v>323</v>
      </c>
      <c r="C72" t="s">
        <v>16</v>
      </c>
      <c r="D72" s="1" t="s">
        <v>163</v>
      </c>
      <c r="E72" t="s">
        <v>314</v>
      </c>
      <c r="F72" t="s">
        <v>315</v>
      </c>
      <c r="G72" t="s">
        <v>324</v>
      </c>
      <c r="H72" t="s">
        <v>325</v>
      </c>
      <c r="I72">
        <v>56.530277777777776</v>
      </c>
      <c r="J72">
        <v>9.2988888888888894</v>
      </c>
      <c r="K72" s="3">
        <v>27817</v>
      </c>
      <c r="L72" s="3">
        <v>27848</v>
      </c>
      <c r="M72" t="s">
        <v>22</v>
      </c>
      <c r="N72" t="s">
        <v>23</v>
      </c>
      <c r="O72" s="6" t="str">
        <f t="shared" si="1"/>
        <v>GEUS Well Info</v>
      </c>
      <c r="P72" s="8" t="s">
        <v>1670</v>
      </c>
    </row>
    <row r="73" spans="1:16" x14ac:dyDescent="0.25">
      <c r="A73" t="s">
        <v>326</v>
      </c>
      <c r="B73" s="1" t="s">
        <v>327</v>
      </c>
      <c r="C73" t="s">
        <v>16</v>
      </c>
      <c r="D73" s="1" t="s">
        <v>163</v>
      </c>
      <c r="E73" t="s">
        <v>234</v>
      </c>
      <c r="F73" t="s">
        <v>328</v>
      </c>
      <c r="G73" t="s">
        <v>329</v>
      </c>
      <c r="H73" t="s">
        <v>330</v>
      </c>
      <c r="I73">
        <v>55.907502777777779</v>
      </c>
      <c r="J73">
        <v>4.1452833333333334</v>
      </c>
      <c r="K73" s="3">
        <v>27839</v>
      </c>
      <c r="L73" s="3">
        <v>27927</v>
      </c>
      <c r="M73" t="s">
        <v>173</v>
      </c>
      <c r="N73" t="s">
        <v>23</v>
      </c>
      <c r="O73" s="6" t="str">
        <f t="shared" si="1"/>
        <v>GEUS Well Info</v>
      </c>
      <c r="P73" s="9" t="s">
        <v>1670</v>
      </c>
    </row>
    <row r="74" spans="1:16" x14ac:dyDescent="0.25">
      <c r="A74" t="s">
        <v>331</v>
      </c>
      <c r="B74" s="1" t="s">
        <v>332</v>
      </c>
      <c r="C74" t="s">
        <v>16</v>
      </c>
      <c r="D74" s="1" t="s">
        <v>163</v>
      </c>
      <c r="E74" t="s">
        <v>314</v>
      </c>
      <c r="F74" s="2" t="s">
        <v>315</v>
      </c>
      <c r="G74" t="s">
        <v>333</v>
      </c>
      <c r="H74" t="s">
        <v>334</v>
      </c>
      <c r="I74">
        <v>56.627222222222223</v>
      </c>
      <c r="J74">
        <v>9.0030555555555551</v>
      </c>
      <c r="K74" s="3">
        <v>27854</v>
      </c>
      <c r="L74" s="3">
        <v>27878</v>
      </c>
      <c r="M74" t="s">
        <v>22</v>
      </c>
      <c r="N74" t="s">
        <v>23</v>
      </c>
      <c r="O74" s="6" t="str">
        <f t="shared" si="1"/>
        <v>GEUS Well Info</v>
      </c>
      <c r="P74" s="8" t="s">
        <v>1670</v>
      </c>
    </row>
    <row r="75" spans="1:16" x14ac:dyDescent="0.25">
      <c r="A75" t="s">
        <v>335</v>
      </c>
      <c r="B75" s="1" t="s">
        <v>336</v>
      </c>
      <c r="C75" t="s">
        <v>16</v>
      </c>
      <c r="D75" s="1" t="s">
        <v>163</v>
      </c>
      <c r="E75" t="s">
        <v>314</v>
      </c>
      <c r="F75" t="s">
        <v>315</v>
      </c>
      <c r="G75" t="s">
        <v>337</v>
      </c>
      <c r="H75" t="s">
        <v>338</v>
      </c>
      <c r="I75">
        <v>56.560019444444443</v>
      </c>
      <c r="J75">
        <v>8.5694472222222231</v>
      </c>
      <c r="K75" s="3">
        <v>27884</v>
      </c>
      <c r="L75" s="3">
        <v>27982</v>
      </c>
      <c r="M75" t="s">
        <v>22</v>
      </c>
      <c r="N75" t="s">
        <v>23</v>
      </c>
      <c r="O75" s="6" t="str">
        <f t="shared" si="1"/>
        <v>GEUS Well Info</v>
      </c>
      <c r="P75" s="9" t="s">
        <v>1670</v>
      </c>
    </row>
    <row r="76" spans="1:16" x14ac:dyDescent="0.25">
      <c r="A76" t="s">
        <v>339</v>
      </c>
      <c r="B76" s="1" t="s">
        <v>340</v>
      </c>
      <c r="C76" t="s">
        <v>16</v>
      </c>
      <c r="D76" s="1" t="s">
        <v>163</v>
      </c>
      <c r="E76" t="s">
        <v>164</v>
      </c>
      <c r="F76" t="s">
        <v>328</v>
      </c>
      <c r="G76" t="s">
        <v>341</v>
      </c>
      <c r="H76" t="s">
        <v>342</v>
      </c>
      <c r="I76">
        <v>55.587830555555556</v>
      </c>
      <c r="J76">
        <v>4.7552222222222218</v>
      </c>
      <c r="K76" s="3">
        <v>27938</v>
      </c>
      <c r="L76" s="3">
        <v>28008</v>
      </c>
      <c r="M76" t="s">
        <v>173</v>
      </c>
      <c r="N76" t="s">
        <v>23</v>
      </c>
      <c r="O76" s="6" t="str">
        <f t="shared" si="1"/>
        <v>GEUS Well Info</v>
      </c>
      <c r="P76" s="8" t="s">
        <v>1670</v>
      </c>
    </row>
    <row r="77" spans="1:16" x14ac:dyDescent="0.25">
      <c r="A77" t="s">
        <v>343</v>
      </c>
      <c r="B77" s="1" t="s">
        <v>344</v>
      </c>
      <c r="C77" t="s">
        <v>209</v>
      </c>
      <c r="D77" s="1" t="s">
        <v>163</v>
      </c>
      <c r="E77" t="s">
        <v>164</v>
      </c>
      <c r="F77" t="s">
        <v>328</v>
      </c>
      <c r="G77" t="s">
        <v>345</v>
      </c>
      <c r="H77" t="s">
        <v>346</v>
      </c>
      <c r="I77">
        <v>55.717108333333336</v>
      </c>
      <c r="J77">
        <v>4.8014749999999999</v>
      </c>
      <c r="K77" s="3">
        <v>28011</v>
      </c>
      <c r="L77" s="3">
        <v>28088</v>
      </c>
      <c r="M77" t="s">
        <v>173</v>
      </c>
      <c r="N77" t="s">
        <v>23</v>
      </c>
      <c r="O77" s="6" t="str">
        <f t="shared" si="1"/>
        <v>GEUS Well Info</v>
      </c>
      <c r="P77" s="9" t="s">
        <v>1670</v>
      </c>
    </row>
    <row r="78" spans="1:16" x14ac:dyDescent="0.25">
      <c r="A78" t="s">
        <v>347</v>
      </c>
      <c r="B78" s="1" t="s">
        <v>348</v>
      </c>
      <c r="C78" t="s">
        <v>16</v>
      </c>
      <c r="D78" s="1" t="s">
        <v>163</v>
      </c>
      <c r="E78" t="s">
        <v>234</v>
      </c>
      <c r="F78" t="s">
        <v>328</v>
      </c>
      <c r="G78" t="s">
        <v>349</v>
      </c>
      <c r="H78" t="s">
        <v>350</v>
      </c>
      <c r="I78">
        <v>55.538888888888891</v>
      </c>
      <c r="J78">
        <v>4.9147222222222222</v>
      </c>
      <c r="K78" s="3">
        <v>28133</v>
      </c>
      <c r="L78" s="3">
        <v>28203</v>
      </c>
      <c r="M78" t="s">
        <v>173</v>
      </c>
      <c r="N78" t="s">
        <v>23</v>
      </c>
      <c r="O78" s="6" t="str">
        <f t="shared" si="1"/>
        <v>GEUS Well Info</v>
      </c>
      <c r="P78" s="8" t="s">
        <v>1670</v>
      </c>
    </row>
    <row r="79" spans="1:16" x14ac:dyDescent="0.25">
      <c r="A79" t="s">
        <v>351</v>
      </c>
      <c r="B79" s="1" t="s">
        <v>352</v>
      </c>
      <c r="C79" t="s">
        <v>16</v>
      </c>
      <c r="D79" s="1" t="s">
        <v>163</v>
      </c>
      <c r="E79" t="s">
        <v>234</v>
      </c>
      <c r="F79" t="s">
        <v>328</v>
      </c>
      <c r="G79" t="s">
        <v>353</v>
      </c>
      <c r="H79" t="s">
        <v>354</v>
      </c>
      <c r="I79">
        <v>55.810013888888889</v>
      </c>
      <c r="J79">
        <v>4.8691777777777778</v>
      </c>
      <c r="K79" s="3">
        <v>28207</v>
      </c>
      <c r="L79" s="3">
        <v>28322</v>
      </c>
      <c r="M79" t="s">
        <v>173</v>
      </c>
      <c r="N79" t="s">
        <v>23</v>
      </c>
      <c r="O79" s="6" t="str">
        <f t="shared" si="1"/>
        <v>GEUS Well Info</v>
      </c>
      <c r="P79" s="9" t="s">
        <v>1670</v>
      </c>
    </row>
    <row r="80" spans="1:16" x14ac:dyDescent="0.25">
      <c r="A80" t="s">
        <v>355</v>
      </c>
      <c r="B80" s="1" t="s">
        <v>356</v>
      </c>
      <c r="C80" t="s">
        <v>16</v>
      </c>
      <c r="D80" s="1" t="s">
        <v>163</v>
      </c>
      <c r="E80" t="s">
        <v>234</v>
      </c>
      <c r="F80" t="s">
        <v>328</v>
      </c>
      <c r="G80" t="s">
        <v>357</v>
      </c>
      <c r="H80" t="s">
        <v>358</v>
      </c>
      <c r="I80">
        <v>55.802283333333335</v>
      </c>
      <c r="J80">
        <v>4.5718500000000004</v>
      </c>
      <c r="K80" s="3">
        <v>28356</v>
      </c>
      <c r="L80" s="3">
        <v>28372</v>
      </c>
      <c r="M80" t="s">
        <v>173</v>
      </c>
      <c r="N80" t="s">
        <v>23</v>
      </c>
      <c r="O80" s="6" t="str">
        <f t="shared" si="1"/>
        <v>GEUS Well Info</v>
      </c>
      <c r="P80" s="8" t="s">
        <v>1670</v>
      </c>
    </row>
    <row r="81" spans="1:16" x14ac:dyDescent="0.25">
      <c r="A81" t="s">
        <v>359</v>
      </c>
      <c r="B81" s="1" t="s">
        <v>360</v>
      </c>
      <c r="C81" t="s">
        <v>16</v>
      </c>
      <c r="D81" s="1" t="s">
        <v>163</v>
      </c>
      <c r="E81" t="s">
        <v>234</v>
      </c>
      <c r="F81" t="s">
        <v>328</v>
      </c>
      <c r="G81" t="s">
        <v>361</v>
      </c>
      <c r="H81" t="s">
        <v>362</v>
      </c>
      <c r="I81">
        <v>56.841122222222225</v>
      </c>
      <c r="J81">
        <v>6.9614055555555554</v>
      </c>
      <c r="K81" s="3">
        <v>28379</v>
      </c>
      <c r="L81" s="3">
        <v>28402</v>
      </c>
      <c r="M81" t="s">
        <v>173</v>
      </c>
      <c r="N81" t="s">
        <v>23</v>
      </c>
      <c r="O81" s="6" t="str">
        <f t="shared" si="1"/>
        <v>GEUS Well Info</v>
      </c>
      <c r="P81" s="9" t="s">
        <v>1670</v>
      </c>
    </row>
    <row r="82" spans="1:16" x14ac:dyDescent="0.25">
      <c r="A82" t="s">
        <v>363</v>
      </c>
      <c r="B82" s="1" t="s">
        <v>364</v>
      </c>
      <c r="C82" t="s">
        <v>16</v>
      </c>
      <c r="D82" s="1" t="s">
        <v>163</v>
      </c>
      <c r="E82" t="s">
        <v>234</v>
      </c>
      <c r="F82" t="s">
        <v>365</v>
      </c>
      <c r="G82" t="s">
        <v>366</v>
      </c>
      <c r="H82" t="s">
        <v>367</v>
      </c>
      <c r="I82">
        <v>55.318058333333333</v>
      </c>
      <c r="J82">
        <v>5.1580527777777778</v>
      </c>
      <c r="K82" s="3">
        <v>28407</v>
      </c>
      <c r="L82" s="3">
        <v>28473</v>
      </c>
      <c r="M82" t="s">
        <v>173</v>
      </c>
      <c r="N82" t="s">
        <v>23</v>
      </c>
      <c r="O82" s="6" t="str">
        <f t="shared" si="1"/>
        <v>GEUS Well Info</v>
      </c>
      <c r="P82" s="8" t="s">
        <v>1670</v>
      </c>
    </row>
    <row r="83" spans="1:16" x14ac:dyDescent="0.25">
      <c r="A83" t="s">
        <v>368</v>
      </c>
      <c r="B83" s="1" t="s">
        <v>369</v>
      </c>
      <c r="C83" t="s">
        <v>370</v>
      </c>
      <c r="D83" s="1" t="s">
        <v>371</v>
      </c>
      <c r="E83" t="s">
        <v>372</v>
      </c>
      <c r="F83" t="s">
        <v>373</v>
      </c>
      <c r="G83" t="s">
        <v>374</v>
      </c>
      <c r="H83" t="s">
        <v>375</v>
      </c>
      <c r="I83">
        <v>56.636388888888888</v>
      </c>
      <c r="J83">
        <v>9.4019444444444442</v>
      </c>
      <c r="K83" s="3">
        <v>28601</v>
      </c>
      <c r="L83" s="3">
        <v>28636</v>
      </c>
      <c r="M83" t="s">
        <v>22</v>
      </c>
      <c r="N83" t="s">
        <v>23</v>
      </c>
      <c r="O83" s="6" t="str">
        <f t="shared" si="1"/>
        <v>GEUS Well Info</v>
      </c>
      <c r="P83" s="9" t="s">
        <v>1670</v>
      </c>
    </row>
    <row r="84" spans="1:16" x14ac:dyDescent="0.25">
      <c r="A84" t="s">
        <v>376</v>
      </c>
      <c r="B84" s="1" t="s">
        <v>377</v>
      </c>
      <c r="C84" t="s">
        <v>16</v>
      </c>
      <c r="D84" s="1" t="s">
        <v>163</v>
      </c>
      <c r="E84" t="s">
        <v>234</v>
      </c>
      <c r="F84" t="s">
        <v>328</v>
      </c>
      <c r="G84" t="s">
        <v>378</v>
      </c>
      <c r="H84" t="s">
        <v>379</v>
      </c>
      <c r="I84">
        <v>55.322499999999998</v>
      </c>
      <c r="J84">
        <v>5.1619611111111112</v>
      </c>
      <c r="K84" s="3">
        <v>28711</v>
      </c>
      <c r="L84" s="3">
        <v>28737</v>
      </c>
      <c r="M84" t="s">
        <v>173</v>
      </c>
      <c r="N84" t="s">
        <v>23</v>
      </c>
      <c r="O84" s="6" t="str">
        <f t="shared" si="1"/>
        <v>GEUS Well Info</v>
      </c>
      <c r="P84" s="8" t="s">
        <v>1670</v>
      </c>
    </row>
    <row r="85" spans="1:16" x14ac:dyDescent="0.25">
      <c r="A85" t="s">
        <v>380</v>
      </c>
      <c r="B85" s="1" t="s">
        <v>381</v>
      </c>
      <c r="C85" t="s">
        <v>16</v>
      </c>
      <c r="D85" s="1" t="s">
        <v>163</v>
      </c>
      <c r="E85" t="s">
        <v>234</v>
      </c>
      <c r="F85" t="s">
        <v>328</v>
      </c>
      <c r="G85" t="s">
        <v>382</v>
      </c>
      <c r="H85" t="s">
        <v>383</v>
      </c>
      <c r="I85">
        <v>55.254730555555554</v>
      </c>
      <c r="J85">
        <v>5.1625083333333333</v>
      </c>
      <c r="K85" s="3">
        <v>28741</v>
      </c>
      <c r="L85" s="3">
        <v>28778</v>
      </c>
      <c r="M85" t="s">
        <v>173</v>
      </c>
      <c r="N85" t="s">
        <v>23</v>
      </c>
      <c r="O85" s="6" t="str">
        <f t="shared" si="1"/>
        <v>GEUS Well Info</v>
      </c>
      <c r="P85" s="9" t="s">
        <v>1670</v>
      </c>
    </row>
    <row r="86" spans="1:16" x14ac:dyDescent="0.25">
      <c r="A86" t="s">
        <v>384</v>
      </c>
      <c r="B86" s="1" t="s">
        <v>385</v>
      </c>
      <c r="C86" t="s">
        <v>16</v>
      </c>
      <c r="D86" s="1" t="s">
        <v>163</v>
      </c>
      <c r="E86" t="s">
        <v>234</v>
      </c>
      <c r="F86" s="2" t="s">
        <v>328</v>
      </c>
      <c r="G86" t="s">
        <v>386</v>
      </c>
      <c r="H86" t="s">
        <v>387</v>
      </c>
      <c r="I86">
        <v>55.791666666666664</v>
      </c>
      <c r="J86">
        <v>5.0833555555555554</v>
      </c>
      <c r="K86" s="3">
        <v>28781</v>
      </c>
      <c r="L86" s="3">
        <v>28817</v>
      </c>
      <c r="M86" t="s">
        <v>173</v>
      </c>
      <c r="N86" t="s">
        <v>23</v>
      </c>
      <c r="O86" s="6" t="str">
        <f t="shared" si="1"/>
        <v>GEUS Well Info</v>
      </c>
      <c r="P86" s="8" t="s">
        <v>1670</v>
      </c>
    </row>
    <row r="87" spans="1:16" x14ac:dyDescent="0.25">
      <c r="A87" t="s">
        <v>388</v>
      </c>
      <c r="B87" s="1" t="s">
        <v>389</v>
      </c>
      <c r="C87" t="s">
        <v>16</v>
      </c>
      <c r="D87" s="1" t="s">
        <v>390</v>
      </c>
      <c r="E87" t="s">
        <v>372</v>
      </c>
      <c r="F87" s="2" t="s">
        <v>391</v>
      </c>
      <c r="G87" t="s">
        <v>392</v>
      </c>
      <c r="H87" t="s">
        <v>393</v>
      </c>
      <c r="I87">
        <v>56.795425000000002</v>
      </c>
      <c r="J87">
        <v>9.509377777777777</v>
      </c>
      <c r="K87" s="3">
        <v>28800</v>
      </c>
      <c r="L87" s="3">
        <v>29102</v>
      </c>
      <c r="M87" t="s">
        <v>22</v>
      </c>
      <c r="N87" t="s">
        <v>23</v>
      </c>
      <c r="O87" s="6" t="str">
        <f t="shared" si="1"/>
        <v>GEUS Well Info</v>
      </c>
      <c r="P87" s="9" t="s">
        <v>1670</v>
      </c>
    </row>
    <row r="88" spans="1:16" x14ac:dyDescent="0.25">
      <c r="A88" t="s">
        <v>394</v>
      </c>
      <c r="B88" s="1" t="s">
        <v>395</v>
      </c>
      <c r="C88" t="s">
        <v>16</v>
      </c>
      <c r="D88" s="1" t="s">
        <v>163</v>
      </c>
      <c r="E88" t="s">
        <v>234</v>
      </c>
      <c r="F88" t="s">
        <v>328</v>
      </c>
      <c r="G88" t="s">
        <v>396</v>
      </c>
      <c r="H88" t="s">
        <v>397</v>
      </c>
      <c r="I88">
        <v>55.387500000000003</v>
      </c>
      <c r="J88">
        <v>5.2266805555555553</v>
      </c>
      <c r="K88" s="3">
        <v>28827</v>
      </c>
      <c r="L88" s="3">
        <v>28905</v>
      </c>
      <c r="M88" t="s">
        <v>173</v>
      </c>
      <c r="N88" t="s">
        <v>23</v>
      </c>
      <c r="O88" s="6" t="str">
        <f t="shared" si="1"/>
        <v>GEUS Well Info</v>
      </c>
      <c r="P88" s="8" t="s">
        <v>1670</v>
      </c>
    </row>
    <row r="89" spans="1:16" x14ac:dyDescent="0.25">
      <c r="A89" t="s">
        <v>241</v>
      </c>
      <c r="B89" s="1" t="s">
        <v>242</v>
      </c>
      <c r="C89" t="s">
        <v>16</v>
      </c>
      <c r="D89" s="1" t="s">
        <v>163</v>
      </c>
      <c r="E89" t="s">
        <v>164</v>
      </c>
      <c r="F89" t="s">
        <v>328</v>
      </c>
      <c r="G89" t="s">
        <v>244</v>
      </c>
      <c r="H89" t="s">
        <v>245</v>
      </c>
      <c r="I89">
        <v>55.469549999999998</v>
      </c>
      <c r="J89">
        <v>5.13375</v>
      </c>
      <c r="K89" s="3">
        <v>28922</v>
      </c>
      <c r="L89" s="3">
        <v>29037</v>
      </c>
      <c r="M89" t="s">
        <v>173</v>
      </c>
      <c r="N89" t="s">
        <v>23</v>
      </c>
      <c r="O89" s="6" t="str">
        <f t="shared" si="1"/>
        <v>GEUS Well Info</v>
      </c>
      <c r="P89" s="9" t="s">
        <v>1670</v>
      </c>
    </row>
    <row r="90" spans="1:16" x14ac:dyDescent="0.25">
      <c r="A90" t="s">
        <v>398</v>
      </c>
      <c r="B90" s="1" t="s">
        <v>399</v>
      </c>
      <c r="C90" t="s">
        <v>370</v>
      </c>
      <c r="D90" s="1" t="s">
        <v>371</v>
      </c>
      <c r="E90" t="s">
        <v>372</v>
      </c>
      <c r="F90" s="2" t="s">
        <v>391</v>
      </c>
      <c r="G90" t="s">
        <v>400</v>
      </c>
      <c r="H90" t="s">
        <v>401</v>
      </c>
      <c r="I90">
        <v>56.636944444444445</v>
      </c>
      <c r="J90">
        <v>9.3969444444444452</v>
      </c>
      <c r="K90" s="3">
        <v>28924</v>
      </c>
      <c r="L90" s="3">
        <v>29150</v>
      </c>
      <c r="M90" t="s">
        <v>22</v>
      </c>
      <c r="N90" t="s">
        <v>23</v>
      </c>
      <c r="O90" s="6" t="str">
        <f t="shared" si="1"/>
        <v>GEUS Well Info</v>
      </c>
      <c r="P90" s="8" t="s">
        <v>1670</v>
      </c>
    </row>
    <row r="91" spans="1:16" x14ac:dyDescent="0.25">
      <c r="A91" t="s">
        <v>402</v>
      </c>
      <c r="B91" s="1" t="s">
        <v>403</v>
      </c>
      <c r="C91" t="s">
        <v>209</v>
      </c>
      <c r="D91" s="1" t="s">
        <v>163</v>
      </c>
      <c r="E91" t="s">
        <v>234</v>
      </c>
      <c r="F91" s="2" t="s">
        <v>328</v>
      </c>
      <c r="G91" t="s">
        <v>404</v>
      </c>
      <c r="H91" t="s">
        <v>405</v>
      </c>
      <c r="I91">
        <v>55.447277777777778</v>
      </c>
      <c r="J91">
        <v>5.1106027777777774</v>
      </c>
      <c r="K91" s="3">
        <v>29108</v>
      </c>
      <c r="L91" s="3">
        <v>29193</v>
      </c>
      <c r="M91" t="s">
        <v>173</v>
      </c>
      <c r="N91" t="s">
        <v>23</v>
      </c>
      <c r="O91" s="6" t="str">
        <f t="shared" si="1"/>
        <v>GEUS Well Info</v>
      </c>
      <c r="P91" s="9" t="s">
        <v>1670</v>
      </c>
    </row>
    <row r="92" spans="1:16" x14ac:dyDescent="0.25">
      <c r="A92" t="s">
        <v>406</v>
      </c>
      <c r="B92" s="1" t="s">
        <v>407</v>
      </c>
      <c r="C92" t="s">
        <v>16</v>
      </c>
      <c r="D92" s="1" t="s">
        <v>408</v>
      </c>
      <c r="E92" t="s">
        <v>409</v>
      </c>
      <c r="F92" t="s">
        <v>410</v>
      </c>
      <c r="G92" t="s">
        <v>411</v>
      </c>
      <c r="H92" t="s">
        <v>412</v>
      </c>
      <c r="I92">
        <v>56.433347222222224</v>
      </c>
      <c r="J92">
        <v>8.441736111111112</v>
      </c>
      <c r="K92" s="3">
        <v>29181</v>
      </c>
      <c r="L92" s="3">
        <v>29244</v>
      </c>
      <c r="M92" t="s">
        <v>22</v>
      </c>
      <c r="N92" t="s">
        <v>23</v>
      </c>
      <c r="O92" s="6" t="str">
        <f t="shared" si="1"/>
        <v>GEUS Well Info</v>
      </c>
      <c r="P92" s="8" t="s">
        <v>1670</v>
      </c>
    </row>
    <row r="93" spans="1:16" x14ac:dyDescent="0.25">
      <c r="A93" t="s">
        <v>413</v>
      </c>
      <c r="B93" s="1" t="s">
        <v>414</v>
      </c>
      <c r="C93" t="s">
        <v>16</v>
      </c>
      <c r="D93" s="1" t="s">
        <v>163</v>
      </c>
      <c r="E93" t="s">
        <v>234</v>
      </c>
      <c r="F93" t="s">
        <v>415</v>
      </c>
      <c r="G93" t="s">
        <v>416</v>
      </c>
      <c r="H93" t="s">
        <v>417</v>
      </c>
      <c r="I93">
        <v>56.333988888888889</v>
      </c>
      <c r="J93">
        <v>4.2938888888888886</v>
      </c>
      <c r="K93" s="3">
        <v>29223</v>
      </c>
      <c r="L93" s="3">
        <v>29481</v>
      </c>
      <c r="M93" t="s">
        <v>173</v>
      </c>
      <c r="N93" t="s">
        <v>23</v>
      </c>
      <c r="O93" s="6" t="str">
        <f t="shared" si="1"/>
        <v>GEUS Well Info</v>
      </c>
      <c r="P93" s="9" t="s">
        <v>1670</v>
      </c>
    </row>
    <row r="94" spans="1:16" x14ac:dyDescent="0.25">
      <c r="A94" t="s">
        <v>418</v>
      </c>
      <c r="B94" s="1" t="s">
        <v>419</v>
      </c>
      <c r="C94" t="s">
        <v>16</v>
      </c>
      <c r="D94" s="1" t="s">
        <v>408</v>
      </c>
      <c r="E94" t="s">
        <v>409</v>
      </c>
      <c r="F94" t="s">
        <v>420</v>
      </c>
      <c r="G94" t="s">
        <v>421</v>
      </c>
      <c r="H94" t="s">
        <v>422</v>
      </c>
      <c r="I94">
        <v>56.802522222222223</v>
      </c>
      <c r="J94">
        <v>8.770580555555556</v>
      </c>
      <c r="K94" s="3">
        <v>29248</v>
      </c>
      <c r="L94" s="3">
        <v>29324</v>
      </c>
      <c r="M94" t="s">
        <v>22</v>
      </c>
      <c r="N94" t="s">
        <v>23</v>
      </c>
      <c r="O94" s="6" t="str">
        <f t="shared" si="1"/>
        <v>GEUS Well Info</v>
      </c>
      <c r="P94" s="8" t="s">
        <v>1670</v>
      </c>
    </row>
    <row r="95" spans="1:16" x14ac:dyDescent="0.25">
      <c r="A95" t="s">
        <v>423</v>
      </c>
      <c r="B95" s="1" t="s">
        <v>424</v>
      </c>
      <c r="C95" t="s">
        <v>16</v>
      </c>
      <c r="D95" s="1" t="s">
        <v>408</v>
      </c>
      <c r="E95" t="s">
        <v>409</v>
      </c>
      <c r="F95" t="s">
        <v>420</v>
      </c>
      <c r="G95" t="s">
        <v>425</v>
      </c>
      <c r="H95" t="s">
        <v>426</v>
      </c>
      <c r="I95">
        <v>56.812016666666665</v>
      </c>
      <c r="J95">
        <v>8.7753111111111117</v>
      </c>
      <c r="K95" s="3">
        <v>29332</v>
      </c>
      <c r="L95" s="3">
        <v>29414</v>
      </c>
      <c r="M95" t="s">
        <v>22</v>
      </c>
      <c r="N95" t="s">
        <v>23</v>
      </c>
      <c r="O95" s="6" t="str">
        <f t="shared" si="1"/>
        <v>GEUS Well Info</v>
      </c>
      <c r="P95" s="9" t="s">
        <v>1670</v>
      </c>
    </row>
    <row r="96" spans="1:16" x14ac:dyDescent="0.25">
      <c r="A96" t="s">
        <v>427</v>
      </c>
      <c r="B96" s="1" t="s">
        <v>428</v>
      </c>
      <c r="C96" t="s">
        <v>370</v>
      </c>
      <c r="D96" s="1" t="s">
        <v>371</v>
      </c>
      <c r="E96" t="s">
        <v>372</v>
      </c>
      <c r="F96" s="2" t="s">
        <v>429</v>
      </c>
      <c r="G96" t="s">
        <v>430</v>
      </c>
      <c r="H96" t="s">
        <v>431</v>
      </c>
      <c r="I96">
        <v>56.642222222222223</v>
      </c>
      <c r="J96">
        <v>9.4166666666666661</v>
      </c>
      <c r="K96" s="3">
        <v>29332</v>
      </c>
      <c r="L96" s="3">
        <v>29513</v>
      </c>
      <c r="M96" t="s">
        <v>22</v>
      </c>
      <c r="N96" t="s">
        <v>23</v>
      </c>
      <c r="O96" s="6" t="str">
        <f t="shared" si="1"/>
        <v>GEUS Well Info</v>
      </c>
      <c r="P96" s="8" t="s">
        <v>1670</v>
      </c>
    </row>
    <row r="97" spans="1:16" x14ac:dyDescent="0.25">
      <c r="A97" t="s">
        <v>432</v>
      </c>
      <c r="B97" s="1" t="s">
        <v>433</v>
      </c>
      <c r="C97" t="s">
        <v>434</v>
      </c>
      <c r="D97" s="1" t="s">
        <v>371</v>
      </c>
      <c r="E97" t="s">
        <v>372</v>
      </c>
      <c r="F97" t="s">
        <v>429</v>
      </c>
      <c r="G97" t="s">
        <v>435</v>
      </c>
      <c r="H97" t="s">
        <v>436</v>
      </c>
      <c r="I97">
        <v>55.543955555555556</v>
      </c>
      <c r="J97">
        <v>11.618447222222223</v>
      </c>
      <c r="K97" s="3">
        <v>29378</v>
      </c>
      <c r="L97" s="3">
        <v>29410</v>
      </c>
      <c r="M97" t="s">
        <v>22</v>
      </c>
      <c r="N97" t="s">
        <v>23</v>
      </c>
      <c r="O97" s="6" t="str">
        <f t="shared" si="1"/>
        <v>GEUS Well Info</v>
      </c>
      <c r="P97" s="9" t="s">
        <v>1670</v>
      </c>
    </row>
    <row r="98" spans="1:16" x14ac:dyDescent="0.25">
      <c r="A98" t="s">
        <v>437</v>
      </c>
      <c r="B98" s="1" t="s">
        <v>438</v>
      </c>
      <c r="C98" t="s">
        <v>370</v>
      </c>
      <c r="D98" s="1" t="s">
        <v>371</v>
      </c>
      <c r="E98" t="s">
        <v>372</v>
      </c>
      <c r="F98" t="s">
        <v>429</v>
      </c>
      <c r="G98" t="s">
        <v>65</v>
      </c>
      <c r="H98" t="s">
        <v>439</v>
      </c>
      <c r="I98">
        <v>56.639722222222225</v>
      </c>
      <c r="J98">
        <v>9.4224999999999994</v>
      </c>
      <c r="K98" s="3">
        <v>29416</v>
      </c>
      <c r="L98" s="3">
        <v>29460</v>
      </c>
      <c r="M98" t="s">
        <v>22</v>
      </c>
      <c r="N98" t="s">
        <v>23</v>
      </c>
      <c r="O98" s="6" t="str">
        <f t="shared" si="1"/>
        <v>GEUS Well Info</v>
      </c>
      <c r="P98" s="8" t="s">
        <v>1670</v>
      </c>
    </row>
    <row r="99" spans="1:16" x14ac:dyDescent="0.25">
      <c r="A99" t="s">
        <v>440</v>
      </c>
      <c r="B99" s="1" t="s">
        <v>441</v>
      </c>
      <c r="C99" t="s">
        <v>16</v>
      </c>
      <c r="D99" s="1" t="s">
        <v>163</v>
      </c>
      <c r="E99" t="s">
        <v>314</v>
      </c>
      <c r="F99" t="s">
        <v>275</v>
      </c>
      <c r="G99" t="s">
        <v>442</v>
      </c>
      <c r="H99" t="s">
        <v>443</v>
      </c>
      <c r="I99">
        <v>55.042499999999997</v>
      </c>
      <c r="J99">
        <v>8.9511111111111106</v>
      </c>
      <c r="K99" s="3">
        <v>29433</v>
      </c>
      <c r="L99" s="3">
        <v>29525</v>
      </c>
      <c r="M99" t="s">
        <v>22</v>
      </c>
      <c r="N99" t="s">
        <v>23</v>
      </c>
      <c r="O99" s="6" t="str">
        <f t="shared" si="1"/>
        <v>GEUS Well Info</v>
      </c>
      <c r="P99" s="9" t="s">
        <v>1670</v>
      </c>
    </row>
    <row r="100" spans="1:16" x14ac:dyDescent="0.25">
      <c r="A100" t="s">
        <v>444</v>
      </c>
      <c r="B100" s="1" t="s">
        <v>445</v>
      </c>
      <c r="C100" t="s">
        <v>370</v>
      </c>
      <c r="D100" s="1" t="s">
        <v>371</v>
      </c>
      <c r="E100" t="s">
        <v>372</v>
      </c>
      <c r="F100" s="2" t="s">
        <v>429</v>
      </c>
      <c r="G100" t="s">
        <v>446</v>
      </c>
      <c r="H100" t="s">
        <v>447</v>
      </c>
      <c r="I100">
        <v>56.643888888888888</v>
      </c>
      <c r="J100">
        <v>9.4233333333333338</v>
      </c>
      <c r="K100" s="3">
        <v>29463</v>
      </c>
      <c r="L100" s="3">
        <v>29507</v>
      </c>
      <c r="M100" t="s">
        <v>22</v>
      </c>
      <c r="N100" t="s">
        <v>23</v>
      </c>
      <c r="O100" s="6" t="str">
        <f t="shared" si="1"/>
        <v>GEUS Well Info</v>
      </c>
      <c r="P100" s="8" t="s">
        <v>1670</v>
      </c>
    </row>
    <row r="101" spans="1:16" x14ac:dyDescent="0.25">
      <c r="A101" t="s">
        <v>448</v>
      </c>
      <c r="B101" s="1" t="s">
        <v>449</v>
      </c>
      <c r="C101" t="s">
        <v>16</v>
      </c>
      <c r="D101" s="1" t="s">
        <v>163</v>
      </c>
      <c r="E101" t="s">
        <v>314</v>
      </c>
      <c r="F101" t="s">
        <v>275</v>
      </c>
      <c r="G101" t="s">
        <v>450</v>
      </c>
      <c r="H101" t="s">
        <v>451</v>
      </c>
      <c r="I101">
        <v>54.958333333333336</v>
      </c>
      <c r="J101">
        <v>8.8577777777777786</v>
      </c>
      <c r="K101" s="3">
        <v>29504</v>
      </c>
      <c r="L101" s="3">
        <v>29535</v>
      </c>
      <c r="M101" t="s">
        <v>22</v>
      </c>
      <c r="N101" t="s">
        <v>23</v>
      </c>
      <c r="O101" s="6" t="str">
        <f t="shared" si="1"/>
        <v>GEUS Well Info</v>
      </c>
      <c r="P101" s="9" t="s">
        <v>1670</v>
      </c>
    </row>
    <row r="102" spans="1:16" x14ac:dyDescent="0.25">
      <c r="A102" t="s">
        <v>452</v>
      </c>
      <c r="B102" s="1" t="s">
        <v>453</v>
      </c>
      <c r="C102" t="s">
        <v>16</v>
      </c>
      <c r="D102" s="1" t="s">
        <v>163</v>
      </c>
      <c r="E102" t="s">
        <v>314</v>
      </c>
      <c r="F102" t="s">
        <v>275</v>
      </c>
      <c r="G102" t="s">
        <v>454</v>
      </c>
      <c r="H102" t="s">
        <v>455</v>
      </c>
      <c r="I102">
        <v>55.036944444444444</v>
      </c>
      <c r="J102">
        <v>9.5922222222222224</v>
      </c>
      <c r="K102" s="3">
        <v>29545</v>
      </c>
      <c r="L102" s="3">
        <v>29578</v>
      </c>
      <c r="M102" t="s">
        <v>22</v>
      </c>
      <c r="N102" t="s">
        <v>23</v>
      </c>
      <c r="O102" s="6" t="str">
        <f t="shared" si="1"/>
        <v>GEUS Well Info</v>
      </c>
      <c r="P102" s="8" t="s">
        <v>1670</v>
      </c>
    </row>
    <row r="103" spans="1:16" x14ac:dyDescent="0.25">
      <c r="A103" t="s">
        <v>456</v>
      </c>
      <c r="B103" s="1" t="s">
        <v>457</v>
      </c>
      <c r="C103" t="s">
        <v>209</v>
      </c>
      <c r="D103" s="1" t="s">
        <v>163</v>
      </c>
      <c r="E103" t="s">
        <v>234</v>
      </c>
      <c r="F103" t="s">
        <v>458</v>
      </c>
      <c r="G103" t="s">
        <v>459</v>
      </c>
      <c r="H103" t="s">
        <v>460</v>
      </c>
      <c r="I103">
        <v>55.805483333333335</v>
      </c>
      <c r="J103">
        <v>4.8447722222222218</v>
      </c>
      <c r="K103" s="3">
        <v>29589</v>
      </c>
      <c r="L103" s="3">
        <v>29648</v>
      </c>
      <c r="M103" t="s">
        <v>173</v>
      </c>
      <c r="N103" t="s">
        <v>23</v>
      </c>
      <c r="O103" s="6" t="str">
        <f t="shared" si="1"/>
        <v>GEUS Well Info</v>
      </c>
      <c r="P103" s="9" t="s">
        <v>1670</v>
      </c>
    </row>
    <row r="104" spans="1:16" x14ac:dyDescent="0.25">
      <c r="A104" t="s">
        <v>461</v>
      </c>
      <c r="B104" s="1" t="s">
        <v>462</v>
      </c>
      <c r="C104" t="s">
        <v>16</v>
      </c>
      <c r="D104" s="1" t="s">
        <v>163</v>
      </c>
      <c r="E104" t="s">
        <v>314</v>
      </c>
      <c r="F104" t="s">
        <v>275</v>
      </c>
      <c r="G104" t="s">
        <v>463</v>
      </c>
      <c r="H104" t="s">
        <v>464</v>
      </c>
      <c r="I104">
        <v>55.201113888888891</v>
      </c>
      <c r="J104">
        <v>8.7355694444444438</v>
      </c>
      <c r="K104" s="3">
        <v>29597</v>
      </c>
      <c r="L104" s="3">
        <v>29687</v>
      </c>
      <c r="M104" t="s">
        <v>22</v>
      </c>
      <c r="N104" t="s">
        <v>23</v>
      </c>
      <c r="O104" s="6" t="str">
        <f t="shared" si="1"/>
        <v>GEUS Well Info</v>
      </c>
      <c r="P104" s="8" t="s">
        <v>1670</v>
      </c>
    </row>
    <row r="105" spans="1:16" x14ac:dyDescent="0.25">
      <c r="A105" t="s">
        <v>465</v>
      </c>
      <c r="B105" s="1" t="s">
        <v>466</v>
      </c>
      <c r="C105" t="s">
        <v>16</v>
      </c>
      <c r="D105" s="1" t="s">
        <v>163</v>
      </c>
      <c r="E105" t="s">
        <v>234</v>
      </c>
      <c r="F105" t="s">
        <v>458</v>
      </c>
      <c r="G105" t="s">
        <v>467</v>
      </c>
      <c r="H105" t="s">
        <v>468</v>
      </c>
      <c r="I105">
        <v>55.594116666666665</v>
      </c>
      <c r="J105">
        <v>4.5014472222222226</v>
      </c>
      <c r="K105" s="3">
        <v>29661</v>
      </c>
      <c r="L105" s="3">
        <v>29743</v>
      </c>
      <c r="M105" t="s">
        <v>173</v>
      </c>
      <c r="N105" t="s">
        <v>23</v>
      </c>
      <c r="O105" s="6" t="str">
        <f t="shared" si="1"/>
        <v>GEUS Well Info</v>
      </c>
      <c r="P105" s="9" t="s">
        <v>1670</v>
      </c>
    </row>
    <row r="106" spans="1:16" x14ac:dyDescent="0.25">
      <c r="A106" t="s">
        <v>469</v>
      </c>
      <c r="B106" s="1" t="s">
        <v>470</v>
      </c>
      <c r="C106" t="s">
        <v>370</v>
      </c>
      <c r="D106" s="1" t="s">
        <v>371</v>
      </c>
      <c r="E106" t="s">
        <v>372</v>
      </c>
      <c r="F106" s="2" t="s">
        <v>471</v>
      </c>
      <c r="G106" t="s">
        <v>472</v>
      </c>
      <c r="H106" t="s">
        <v>473</v>
      </c>
      <c r="I106">
        <v>56.634999999999998</v>
      </c>
      <c r="J106">
        <v>9.4188888888888886</v>
      </c>
      <c r="K106" s="3">
        <v>29737</v>
      </c>
      <c r="L106" s="3">
        <v>29781</v>
      </c>
      <c r="M106" t="s">
        <v>22</v>
      </c>
      <c r="N106" t="s">
        <v>23</v>
      </c>
      <c r="O106" s="6" t="str">
        <f t="shared" si="1"/>
        <v>GEUS Well Info</v>
      </c>
      <c r="P106" s="8" t="s">
        <v>1670</v>
      </c>
    </row>
    <row r="107" spans="1:16" x14ac:dyDescent="0.25">
      <c r="A107" t="s">
        <v>474</v>
      </c>
      <c r="B107" s="1" t="s">
        <v>475</v>
      </c>
      <c r="C107" t="s">
        <v>370</v>
      </c>
      <c r="D107" s="1" t="s">
        <v>371</v>
      </c>
      <c r="E107" t="s">
        <v>372</v>
      </c>
      <c r="F107" t="s">
        <v>471</v>
      </c>
      <c r="G107" t="s">
        <v>374</v>
      </c>
      <c r="H107" t="s">
        <v>476</v>
      </c>
      <c r="I107">
        <v>56.636388888888888</v>
      </c>
      <c r="J107">
        <v>9.4216666666666669</v>
      </c>
      <c r="K107" s="3">
        <v>29786</v>
      </c>
      <c r="L107" s="3">
        <v>29828</v>
      </c>
      <c r="M107" t="s">
        <v>22</v>
      </c>
      <c r="N107" t="s">
        <v>23</v>
      </c>
      <c r="O107" s="6" t="str">
        <f t="shared" si="1"/>
        <v>GEUS Well Info</v>
      </c>
      <c r="P107" s="9" t="s">
        <v>1670</v>
      </c>
    </row>
    <row r="108" spans="1:16" x14ac:dyDescent="0.25">
      <c r="A108" t="s">
        <v>477</v>
      </c>
      <c r="B108" s="1" t="s">
        <v>478</v>
      </c>
      <c r="C108" t="s">
        <v>209</v>
      </c>
      <c r="D108" s="1" t="s">
        <v>163</v>
      </c>
      <c r="E108" t="s">
        <v>234</v>
      </c>
      <c r="F108" t="s">
        <v>458</v>
      </c>
      <c r="G108" t="s">
        <v>479</v>
      </c>
      <c r="H108" t="s">
        <v>480</v>
      </c>
      <c r="I108">
        <v>55.752769444444446</v>
      </c>
      <c r="J108">
        <v>4.6656250000000004</v>
      </c>
      <c r="K108" s="3">
        <v>29806</v>
      </c>
      <c r="L108" s="3">
        <v>29897</v>
      </c>
      <c r="M108" t="s">
        <v>173</v>
      </c>
      <c r="N108" t="s">
        <v>23</v>
      </c>
      <c r="O108" s="6" t="str">
        <f t="shared" si="1"/>
        <v>GEUS Well Info</v>
      </c>
      <c r="P108" s="8" t="s">
        <v>1670</v>
      </c>
    </row>
    <row r="109" spans="1:16" x14ac:dyDescent="0.25">
      <c r="A109" t="s">
        <v>481</v>
      </c>
      <c r="B109" s="1" t="s">
        <v>482</v>
      </c>
      <c r="C109" t="s">
        <v>370</v>
      </c>
      <c r="D109" s="1" t="s">
        <v>371</v>
      </c>
      <c r="E109" t="s">
        <v>372</v>
      </c>
      <c r="F109" t="s">
        <v>471</v>
      </c>
      <c r="G109" t="s">
        <v>400</v>
      </c>
      <c r="H109" t="s">
        <v>74</v>
      </c>
      <c r="I109">
        <v>56.636944444444445</v>
      </c>
      <c r="J109">
        <v>9.4091666666666658</v>
      </c>
      <c r="K109" s="3">
        <v>29832</v>
      </c>
      <c r="L109" s="3">
        <v>29871</v>
      </c>
      <c r="M109" t="s">
        <v>22</v>
      </c>
      <c r="N109" t="s">
        <v>23</v>
      </c>
      <c r="O109" s="6" t="str">
        <f t="shared" si="1"/>
        <v>GEUS Well Info</v>
      </c>
      <c r="P109" s="9" t="s">
        <v>1670</v>
      </c>
    </row>
    <row r="110" spans="1:16" x14ac:dyDescent="0.25">
      <c r="A110" t="s">
        <v>483</v>
      </c>
      <c r="B110" s="1" t="s">
        <v>484</v>
      </c>
      <c r="C110" t="s">
        <v>16</v>
      </c>
      <c r="D110" s="1" t="s">
        <v>390</v>
      </c>
      <c r="E110" t="s">
        <v>372</v>
      </c>
      <c r="F110" t="s">
        <v>471</v>
      </c>
      <c r="G110" t="s">
        <v>485</v>
      </c>
      <c r="H110" t="s">
        <v>486</v>
      </c>
      <c r="I110">
        <v>56.781399999999998</v>
      </c>
      <c r="J110">
        <v>9.3637999999999995</v>
      </c>
      <c r="K110" s="3">
        <v>29881</v>
      </c>
      <c r="L110" s="3">
        <v>29975</v>
      </c>
      <c r="M110" t="s">
        <v>22</v>
      </c>
      <c r="N110" t="s">
        <v>23</v>
      </c>
      <c r="O110" s="6" t="str">
        <f t="shared" si="1"/>
        <v>GEUS Well Info</v>
      </c>
      <c r="P110" s="8" t="s">
        <v>1670</v>
      </c>
    </row>
    <row r="111" spans="1:16" x14ac:dyDescent="0.25">
      <c r="A111" t="s">
        <v>487</v>
      </c>
      <c r="B111" s="1" t="s">
        <v>488</v>
      </c>
      <c r="C111" t="s">
        <v>16</v>
      </c>
      <c r="D111" s="1" t="s">
        <v>163</v>
      </c>
      <c r="E111" t="s">
        <v>234</v>
      </c>
      <c r="F111" t="s">
        <v>458</v>
      </c>
      <c r="G111" t="s">
        <v>489</v>
      </c>
      <c r="H111" t="s">
        <v>490</v>
      </c>
      <c r="I111">
        <v>56.151969444444447</v>
      </c>
      <c r="J111">
        <v>4.1896972222222226</v>
      </c>
      <c r="K111" s="3">
        <v>29941</v>
      </c>
      <c r="L111" s="3">
        <v>30030</v>
      </c>
      <c r="M111" t="s">
        <v>173</v>
      </c>
      <c r="N111" t="s">
        <v>23</v>
      </c>
      <c r="O111" s="6" t="str">
        <f t="shared" si="1"/>
        <v>GEUS Well Info</v>
      </c>
      <c r="P111" s="9" t="s">
        <v>1670</v>
      </c>
    </row>
    <row r="112" spans="1:16" x14ac:dyDescent="0.25">
      <c r="A112" t="s">
        <v>491</v>
      </c>
      <c r="B112" s="1" t="s">
        <v>492</v>
      </c>
      <c r="C112" t="s">
        <v>16</v>
      </c>
      <c r="D112" s="1" t="s">
        <v>390</v>
      </c>
      <c r="E112" t="s">
        <v>372</v>
      </c>
      <c r="F112" s="2" t="s">
        <v>471</v>
      </c>
      <c r="G112" t="s">
        <v>493</v>
      </c>
      <c r="H112" t="s">
        <v>494</v>
      </c>
      <c r="I112">
        <v>56.96554722222222</v>
      </c>
      <c r="J112">
        <v>8.7157583333333335</v>
      </c>
      <c r="K112" s="3">
        <v>29986</v>
      </c>
      <c r="L112" s="3">
        <v>30038</v>
      </c>
      <c r="M112" t="s">
        <v>22</v>
      </c>
      <c r="N112" t="s">
        <v>23</v>
      </c>
      <c r="O112" s="6" t="str">
        <f t="shared" si="1"/>
        <v>GEUS Well Info</v>
      </c>
      <c r="P112" s="8" t="s">
        <v>1670</v>
      </c>
    </row>
    <row r="113" spans="1:16" x14ac:dyDescent="0.25">
      <c r="A113" t="s">
        <v>495</v>
      </c>
      <c r="B113" s="1" t="s">
        <v>496</v>
      </c>
      <c r="C113" t="s">
        <v>16</v>
      </c>
      <c r="D113" s="1" t="s">
        <v>163</v>
      </c>
      <c r="E113" t="s">
        <v>234</v>
      </c>
      <c r="F113" t="s">
        <v>458</v>
      </c>
      <c r="G113" t="s">
        <v>497</v>
      </c>
      <c r="H113" t="s">
        <v>498</v>
      </c>
      <c r="I113">
        <v>55.713505555555557</v>
      </c>
      <c r="J113">
        <v>4.5381361111111111</v>
      </c>
      <c r="K113" s="3">
        <v>30034</v>
      </c>
      <c r="L113" s="3">
        <v>30217</v>
      </c>
      <c r="M113" t="s">
        <v>173</v>
      </c>
      <c r="N113" t="s">
        <v>23</v>
      </c>
      <c r="O113" s="6" t="str">
        <f t="shared" si="1"/>
        <v>GEUS Well Info</v>
      </c>
      <c r="P113" s="9" t="s">
        <v>1670</v>
      </c>
    </row>
    <row r="114" spans="1:16" x14ac:dyDescent="0.25">
      <c r="A114" t="s">
        <v>499</v>
      </c>
      <c r="B114" s="1" t="s">
        <v>500</v>
      </c>
      <c r="C114" t="s">
        <v>16</v>
      </c>
      <c r="D114" s="1" t="s">
        <v>163</v>
      </c>
      <c r="E114" t="s">
        <v>234</v>
      </c>
      <c r="F114" s="2" t="s">
        <v>501</v>
      </c>
      <c r="G114" t="s">
        <v>502</v>
      </c>
      <c r="H114" t="s">
        <v>503</v>
      </c>
      <c r="I114">
        <v>55.833919444444447</v>
      </c>
      <c r="J114">
        <v>4.6776277777777775</v>
      </c>
      <c r="K114" s="3">
        <v>30042</v>
      </c>
      <c r="L114" s="3">
        <v>30110</v>
      </c>
      <c r="M114" t="s">
        <v>173</v>
      </c>
      <c r="N114" t="s">
        <v>23</v>
      </c>
      <c r="O114" s="6" t="str">
        <f t="shared" si="1"/>
        <v>GEUS Well Info</v>
      </c>
      <c r="P114" s="8" t="s">
        <v>1670</v>
      </c>
    </row>
    <row r="115" spans="1:16" x14ac:dyDescent="0.25">
      <c r="A115" t="s">
        <v>504</v>
      </c>
      <c r="B115" s="1" t="s">
        <v>505</v>
      </c>
      <c r="C115" t="s">
        <v>16</v>
      </c>
      <c r="D115" s="1" t="s">
        <v>163</v>
      </c>
      <c r="E115" t="s">
        <v>234</v>
      </c>
      <c r="F115" t="s">
        <v>458</v>
      </c>
      <c r="G115" t="s">
        <v>506</v>
      </c>
      <c r="H115" t="s">
        <v>507</v>
      </c>
      <c r="I115">
        <v>56.276649999999997</v>
      </c>
      <c r="J115">
        <v>4.0043916666666668</v>
      </c>
      <c r="K115" s="3">
        <v>30227</v>
      </c>
      <c r="L115" s="3">
        <v>30356</v>
      </c>
      <c r="M115" t="s">
        <v>173</v>
      </c>
      <c r="N115" t="s">
        <v>23</v>
      </c>
      <c r="O115" s="6" t="str">
        <f t="shared" si="1"/>
        <v>GEUS Well Info</v>
      </c>
      <c r="P115" s="9" t="s">
        <v>1670</v>
      </c>
    </row>
    <row r="116" spans="1:16" x14ac:dyDescent="0.25">
      <c r="A116" t="s">
        <v>508</v>
      </c>
      <c r="B116" s="1" t="s">
        <v>509</v>
      </c>
      <c r="C116" t="s">
        <v>16</v>
      </c>
      <c r="D116" s="1" t="s">
        <v>163</v>
      </c>
      <c r="E116" t="s">
        <v>234</v>
      </c>
      <c r="F116" t="s">
        <v>328</v>
      </c>
      <c r="G116" t="s">
        <v>510</v>
      </c>
      <c r="H116" t="s">
        <v>511</v>
      </c>
      <c r="I116">
        <v>55.492252777777779</v>
      </c>
      <c r="J116">
        <v>5.3576444444444444</v>
      </c>
      <c r="K116" s="3">
        <v>30250</v>
      </c>
      <c r="L116" s="3">
        <v>30283</v>
      </c>
      <c r="M116" t="s">
        <v>173</v>
      </c>
      <c r="N116" t="s">
        <v>23</v>
      </c>
      <c r="O116" s="6" t="str">
        <f t="shared" si="1"/>
        <v>GEUS Well Info</v>
      </c>
      <c r="P116" s="8" t="s">
        <v>1670</v>
      </c>
    </row>
    <row r="117" spans="1:16" x14ac:dyDescent="0.25">
      <c r="A117" t="s">
        <v>512</v>
      </c>
      <c r="B117" s="1" t="s">
        <v>513</v>
      </c>
      <c r="C117" t="s">
        <v>16</v>
      </c>
      <c r="D117" s="1" t="s">
        <v>163</v>
      </c>
      <c r="E117" t="s">
        <v>314</v>
      </c>
      <c r="F117" t="s">
        <v>275</v>
      </c>
      <c r="G117" t="s">
        <v>514</v>
      </c>
      <c r="H117" t="s">
        <v>515</v>
      </c>
      <c r="I117">
        <v>54.801388888888887</v>
      </c>
      <c r="J117">
        <v>11.298611111111111</v>
      </c>
      <c r="K117" s="3">
        <v>30251</v>
      </c>
      <c r="L117" s="3">
        <v>30296</v>
      </c>
      <c r="M117" t="s">
        <v>22</v>
      </c>
      <c r="N117" t="s">
        <v>23</v>
      </c>
      <c r="O117" s="6" t="str">
        <f t="shared" si="1"/>
        <v>GEUS Well Info</v>
      </c>
      <c r="P117" s="9" t="s">
        <v>1670</v>
      </c>
    </row>
    <row r="118" spans="1:16" x14ac:dyDescent="0.25">
      <c r="A118" t="s">
        <v>516</v>
      </c>
      <c r="B118" s="1" t="s">
        <v>517</v>
      </c>
      <c r="C118" t="s">
        <v>209</v>
      </c>
      <c r="D118" s="1" t="s">
        <v>163</v>
      </c>
      <c r="E118" t="s">
        <v>314</v>
      </c>
      <c r="F118" t="s">
        <v>328</v>
      </c>
      <c r="G118" t="s">
        <v>518</v>
      </c>
      <c r="H118" t="s">
        <v>519</v>
      </c>
      <c r="I118">
        <v>55.474519444444446</v>
      </c>
      <c r="J118">
        <v>5.0857944444444447</v>
      </c>
      <c r="K118" s="3">
        <v>30301</v>
      </c>
      <c r="L118" s="3">
        <v>30363</v>
      </c>
      <c r="M118" t="s">
        <v>173</v>
      </c>
      <c r="N118" t="s">
        <v>23</v>
      </c>
      <c r="O118" s="6" t="str">
        <f t="shared" si="1"/>
        <v>GEUS Well Info</v>
      </c>
      <c r="P118" s="8" t="s">
        <v>1670</v>
      </c>
    </row>
    <row r="119" spans="1:16" x14ac:dyDescent="0.25">
      <c r="A119" t="s">
        <v>520</v>
      </c>
      <c r="B119" s="1" t="s">
        <v>521</v>
      </c>
      <c r="C119" t="s">
        <v>16</v>
      </c>
      <c r="D119" s="1" t="s">
        <v>163</v>
      </c>
      <c r="E119" t="s">
        <v>234</v>
      </c>
      <c r="F119" t="s">
        <v>522</v>
      </c>
      <c r="G119" t="s">
        <v>523</v>
      </c>
      <c r="H119" t="s">
        <v>524</v>
      </c>
      <c r="I119">
        <v>55.947511111111112</v>
      </c>
      <c r="J119">
        <v>4.3722416666666666</v>
      </c>
      <c r="K119" s="3">
        <v>30343</v>
      </c>
      <c r="L119" s="3">
        <v>30433</v>
      </c>
      <c r="M119" t="s">
        <v>173</v>
      </c>
      <c r="N119" t="s">
        <v>23</v>
      </c>
      <c r="O119" s="6" t="str">
        <f t="shared" si="1"/>
        <v>GEUS Well Info</v>
      </c>
      <c r="P119" s="9" t="s">
        <v>1670</v>
      </c>
    </row>
    <row r="120" spans="1:16" x14ac:dyDescent="0.25">
      <c r="A120" t="s">
        <v>525</v>
      </c>
      <c r="B120" s="1" t="s">
        <v>526</v>
      </c>
      <c r="C120" t="s">
        <v>209</v>
      </c>
      <c r="D120" s="1" t="s">
        <v>371</v>
      </c>
      <c r="E120" t="s">
        <v>372</v>
      </c>
      <c r="F120" t="s">
        <v>527</v>
      </c>
      <c r="G120" t="s">
        <v>528</v>
      </c>
      <c r="H120" t="s">
        <v>529</v>
      </c>
      <c r="I120">
        <v>54.95086388888889</v>
      </c>
      <c r="J120">
        <v>8.8319833333333335</v>
      </c>
      <c r="K120" s="3">
        <v>30360</v>
      </c>
      <c r="L120" s="3">
        <v>30384</v>
      </c>
      <c r="M120" t="s">
        <v>22</v>
      </c>
      <c r="N120" t="s">
        <v>23</v>
      </c>
      <c r="O120" s="6" t="str">
        <f t="shared" si="1"/>
        <v>GEUS Well Info</v>
      </c>
      <c r="P120" s="8" t="s">
        <v>1670</v>
      </c>
    </row>
    <row r="121" spans="1:16" x14ac:dyDescent="0.25">
      <c r="A121" t="s">
        <v>530</v>
      </c>
      <c r="B121" s="1" t="s">
        <v>531</v>
      </c>
      <c r="C121" t="s">
        <v>16</v>
      </c>
      <c r="D121" s="1" t="s">
        <v>163</v>
      </c>
      <c r="E121" t="s">
        <v>234</v>
      </c>
      <c r="F121" t="s">
        <v>458</v>
      </c>
      <c r="G121" t="s">
        <v>532</v>
      </c>
      <c r="H121" t="s">
        <v>533</v>
      </c>
      <c r="I121">
        <v>56.12992222222222</v>
      </c>
      <c r="J121">
        <v>3.6263027777777777</v>
      </c>
      <c r="K121" s="3">
        <v>30364</v>
      </c>
      <c r="L121" s="3">
        <v>30423</v>
      </c>
      <c r="M121" t="s">
        <v>173</v>
      </c>
      <c r="N121" t="s">
        <v>23</v>
      </c>
      <c r="O121" s="6" t="str">
        <f t="shared" si="1"/>
        <v>GEUS Well Info</v>
      </c>
      <c r="P121" s="9" t="s">
        <v>1670</v>
      </c>
    </row>
    <row r="122" spans="1:16" x14ac:dyDescent="0.25">
      <c r="A122" t="s">
        <v>534</v>
      </c>
      <c r="B122" s="1" t="s">
        <v>535</v>
      </c>
      <c r="C122" t="s">
        <v>16</v>
      </c>
      <c r="D122" s="1" t="s">
        <v>163</v>
      </c>
      <c r="E122" t="s">
        <v>234</v>
      </c>
      <c r="F122" s="2" t="s">
        <v>536</v>
      </c>
      <c r="G122" t="s">
        <v>537</v>
      </c>
      <c r="H122" t="s">
        <v>538</v>
      </c>
      <c r="I122">
        <v>55.565363888888889</v>
      </c>
      <c r="J122">
        <v>5.2672499999999998</v>
      </c>
      <c r="K122" s="3">
        <v>30367</v>
      </c>
      <c r="L122" s="3">
        <v>30413</v>
      </c>
      <c r="M122" t="s">
        <v>173</v>
      </c>
      <c r="N122" t="s">
        <v>23</v>
      </c>
      <c r="O122" s="6" t="str">
        <f t="shared" si="1"/>
        <v>GEUS Well Info</v>
      </c>
      <c r="P122" s="8" t="s">
        <v>1670</v>
      </c>
    </row>
    <row r="123" spans="1:16" x14ac:dyDescent="0.25">
      <c r="A123" t="s">
        <v>539</v>
      </c>
      <c r="B123" s="1" t="s">
        <v>540</v>
      </c>
      <c r="C123" t="s">
        <v>209</v>
      </c>
      <c r="D123" s="1" t="s">
        <v>371</v>
      </c>
      <c r="E123" t="s">
        <v>372</v>
      </c>
      <c r="F123" t="s">
        <v>527</v>
      </c>
      <c r="G123" t="s">
        <v>541</v>
      </c>
      <c r="H123" t="s">
        <v>542</v>
      </c>
      <c r="I123">
        <v>54.959722222222226</v>
      </c>
      <c r="J123">
        <v>8.8469583333333333</v>
      </c>
      <c r="K123" s="3">
        <v>30388</v>
      </c>
      <c r="L123" s="3">
        <v>30405</v>
      </c>
      <c r="M123" t="s">
        <v>22</v>
      </c>
      <c r="N123" t="s">
        <v>23</v>
      </c>
      <c r="O123" s="6" t="str">
        <f t="shared" si="1"/>
        <v>GEUS Well Info</v>
      </c>
      <c r="P123" s="9" t="s">
        <v>1670</v>
      </c>
    </row>
    <row r="124" spans="1:16" x14ac:dyDescent="0.25">
      <c r="A124" t="s">
        <v>543</v>
      </c>
      <c r="B124" s="1" t="s">
        <v>544</v>
      </c>
      <c r="C124" t="s">
        <v>16</v>
      </c>
      <c r="D124" s="1" t="s">
        <v>163</v>
      </c>
      <c r="E124" t="s">
        <v>234</v>
      </c>
      <c r="F124" t="s">
        <v>328</v>
      </c>
      <c r="G124" t="s">
        <v>545</v>
      </c>
      <c r="H124" t="s">
        <v>546</v>
      </c>
      <c r="I124">
        <v>55.972388888888887</v>
      </c>
      <c r="J124">
        <v>3.7349805555555555</v>
      </c>
      <c r="K124" s="3">
        <v>30421</v>
      </c>
      <c r="L124" s="3">
        <v>30523</v>
      </c>
      <c r="M124" t="s">
        <v>173</v>
      </c>
      <c r="N124" t="s">
        <v>23</v>
      </c>
      <c r="O124" s="6" t="str">
        <f t="shared" si="1"/>
        <v>GEUS Well Info</v>
      </c>
      <c r="P124" s="8" t="s">
        <v>1670</v>
      </c>
    </row>
    <row r="125" spans="1:16" x14ac:dyDescent="0.25">
      <c r="A125" t="s">
        <v>547</v>
      </c>
      <c r="B125" s="1" t="s">
        <v>548</v>
      </c>
      <c r="C125" t="s">
        <v>209</v>
      </c>
      <c r="D125" s="1" t="s">
        <v>163</v>
      </c>
      <c r="E125" t="s">
        <v>234</v>
      </c>
      <c r="F125" s="2" t="s">
        <v>458</v>
      </c>
      <c r="G125" t="s">
        <v>549</v>
      </c>
      <c r="H125" t="s">
        <v>550</v>
      </c>
      <c r="I125">
        <v>56.179000000000002</v>
      </c>
      <c r="J125">
        <v>4.1800027777777782</v>
      </c>
      <c r="K125" s="3">
        <v>30429</v>
      </c>
      <c r="L125" s="3">
        <v>30504</v>
      </c>
      <c r="M125" t="s">
        <v>173</v>
      </c>
      <c r="N125" t="s">
        <v>23</v>
      </c>
      <c r="O125" s="6" t="str">
        <f t="shared" si="1"/>
        <v>GEUS Well Info</v>
      </c>
      <c r="P125" s="9" t="s">
        <v>1670</v>
      </c>
    </row>
    <row r="126" spans="1:16" x14ac:dyDescent="0.25">
      <c r="A126" t="s">
        <v>551</v>
      </c>
      <c r="B126" s="1" t="s">
        <v>552</v>
      </c>
      <c r="C126" t="s">
        <v>16</v>
      </c>
      <c r="D126" s="1" t="s">
        <v>163</v>
      </c>
      <c r="E126" t="s">
        <v>234</v>
      </c>
      <c r="F126" t="s">
        <v>522</v>
      </c>
      <c r="G126" t="s">
        <v>553</v>
      </c>
      <c r="H126" t="s">
        <v>554</v>
      </c>
      <c r="I126">
        <v>55.579788888888892</v>
      </c>
      <c r="J126">
        <v>4.6115555555555554</v>
      </c>
      <c r="K126" s="3">
        <v>30437</v>
      </c>
      <c r="L126" s="3">
        <v>30500</v>
      </c>
      <c r="M126" t="s">
        <v>173</v>
      </c>
      <c r="N126" t="s">
        <v>23</v>
      </c>
      <c r="O126" s="6" t="str">
        <f t="shared" si="1"/>
        <v>GEUS Well Info</v>
      </c>
      <c r="P126" s="8" t="s">
        <v>1670</v>
      </c>
    </row>
    <row r="127" spans="1:16" x14ac:dyDescent="0.25">
      <c r="A127" t="s">
        <v>555</v>
      </c>
      <c r="B127" s="1" t="s">
        <v>556</v>
      </c>
      <c r="C127" t="s">
        <v>209</v>
      </c>
      <c r="D127" s="1" t="s">
        <v>163</v>
      </c>
      <c r="E127" t="s">
        <v>234</v>
      </c>
      <c r="F127" t="s">
        <v>522</v>
      </c>
      <c r="G127" t="s">
        <v>557</v>
      </c>
      <c r="H127" t="s">
        <v>558</v>
      </c>
      <c r="I127">
        <v>55.605016666666664</v>
      </c>
      <c r="J127">
        <v>4.4892722222222226</v>
      </c>
      <c r="K127" s="3">
        <v>30504</v>
      </c>
      <c r="L127" s="3">
        <v>30567</v>
      </c>
      <c r="M127" t="s">
        <v>173</v>
      </c>
      <c r="N127" t="s">
        <v>23</v>
      </c>
      <c r="O127" s="6" t="str">
        <f t="shared" si="1"/>
        <v>GEUS Well Info</v>
      </c>
      <c r="P127" s="9" t="s">
        <v>1670</v>
      </c>
    </row>
    <row r="128" spans="1:16" x14ac:dyDescent="0.25">
      <c r="A128" t="s">
        <v>559</v>
      </c>
      <c r="B128" s="1" t="s">
        <v>560</v>
      </c>
      <c r="C128" t="s">
        <v>16</v>
      </c>
      <c r="D128" s="1" t="s">
        <v>163</v>
      </c>
      <c r="E128" t="s">
        <v>234</v>
      </c>
      <c r="F128" t="s">
        <v>536</v>
      </c>
      <c r="G128" t="s">
        <v>561</v>
      </c>
      <c r="H128" t="s">
        <v>562</v>
      </c>
      <c r="I128">
        <v>55.653216666666665</v>
      </c>
      <c r="J128">
        <v>4.4199166666666665</v>
      </c>
      <c r="K128" s="3">
        <v>30509</v>
      </c>
      <c r="L128" s="3">
        <v>30597</v>
      </c>
      <c r="M128" t="s">
        <v>173</v>
      </c>
      <c r="N128" t="s">
        <v>23</v>
      </c>
      <c r="O128" s="6" t="str">
        <f t="shared" si="1"/>
        <v>GEUS Well Info</v>
      </c>
      <c r="P128" s="8" t="s">
        <v>1670</v>
      </c>
    </row>
    <row r="129" spans="1:16" x14ac:dyDescent="0.25">
      <c r="A129" t="s">
        <v>563</v>
      </c>
      <c r="B129" s="1" t="s">
        <v>564</v>
      </c>
      <c r="C129" t="s">
        <v>16</v>
      </c>
      <c r="D129" s="1" t="s">
        <v>163</v>
      </c>
      <c r="E129" t="s">
        <v>234</v>
      </c>
      <c r="F129" t="s">
        <v>458</v>
      </c>
      <c r="G129" t="s">
        <v>565</v>
      </c>
      <c r="H129" t="s">
        <v>566</v>
      </c>
      <c r="I129">
        <v>56.295308333333331</v>
      </c>
      <c r="J129">
        <v>4.0534638888888885</v>
      </c>
      <c r="K129" s="3">
        <v>30509</v>
      </c>
      <c r="L129" s="3">
        <v>30593</v>
      </c>
      <c r="M129" t="s">
        <v>173</v>
      </c>
      <c r="N129" t="s">
        <v>23</v>
      </c>
      <c r="O129" s="6" t="str">
        <f t="shared" si="1"/>
        <v>GEUS Well Info</v>
      </c>
      <c r="P129" s="9" t="s">
        <v>1670</v>
      </c>
    </row>
    <row r="130" spans="1:16" x14ac:dyDescent="0.25">
      <c r="A130" t="s">
        <v>567</v>
      </c>
      <c r="B130" s="1" t="s">
        <v>568</v>
      </c>
      <c r="C130" t="s">
        <v>16</v>
      </c>
      <c r="D130" s="1" t="s">
        <v>163</v>
      </c>
      <c r="E130" t="s">
        <v>314</v>
      </c>
      <c r="F130" t="s">
        <v>328</v>
      </c>
      <c r="G130" t="s">
        <v>569</v>
      </c>
      <c r="H130" t="s">
        <v>570</v>
      </c>
      <c r="I130">
        <v>56.365305555555558</v>
      </c>
      <c r="J130">
        <v>12.013888888888889</v>
      </c>
      <c r="K130" s="3">
        <v>30532</v>
      </c>
      <c r="L130" s="3">
        <v>30598</v>
      </c>
      <c r="M130" t="s">
        <v>173</v>
      </c>
      <c r="N130" t="s">
        <v>23</v>
      </c>
      <c r="O130" s="6" t="str">
        <f t="shared" ref="O130:O193" si="2">IF(N130="YES",HYPERLINK("http://data.geus.dk/geusmapmore/samba/info_samba.jsp?iSector=DANISH&amp;iWellName="&amp;A130,"GEUS Well Info"),"")</f>
        <v>GEUS Well Info</v>
      </c>
      <c r="P130" s="8" t="s">
        <v>1670</v>
      </c>
    </row>
    <row r="131" spans="1:16" x14ac:dyDescent="0.25">
      <c r="A131" t="s">
        <v>571</v>
      </c>
      <c r="B131" s="1" t="s">
        <v>572</v>
      </c>
      <c r="C131" t="s">
        <v>573</v>
      </c>
      <c r="D131" s="1" t="s">
        <v>390</v>
      </c>
      <c r="E131" t="s">
        <v>372</v>
      </c>
      <c r="F131" t="s">
        <v>527</v>
      </c>
      <c r="G131" t="s">
        <v>574</v>
      </c>
      <c r="H131" t="s">
        <v>575</v>
      </c>
      <c r="I131">
        <v>56.966450000000002</v>
      </c>
      <c r="J131">
        <v>8.7404888888888888</v>
      </c>
      <c r="K131" s="3">
        <v>30538</v>
      </c>
      <c r="L131" s="3">
        <v>30554</v>
      </c>
      <c r="M131" t="s">
        <v>22</v>
      </c>
      <c r="N131" t="s">
        <v>23</v>
      </c>
      <c r="O131" s="6" t="str">
        <f t="shared" si="2"/>
        <v>GEUS Well Info</v>
      </c>
      <c r="P131" s="9" t="s">
        <v>1670</v>
      </c>
    </row>
    <row r="132" spans="1:16" x14ac:dyDescent="0.25">
      <c r="A132" t="s">
        <v>576</v>
      </c>
      <c r="B132" s="1" t="s">
        <v>577</v>
      </c>
      <c r="C132" t="s">
        <v>16</v>
      </c>
      <c r="D132" s="1" t="s">
        <v>163</v>
      </c>
      <c r="E132" t="s">
        <v>234</v>
      </c>
      <c r="F132" t="s">
        <v>522</v>
      </c>
      <c r="G132" t="s">
        <v>578</v>
      </c>
      <c r="H132" t="s">
        <v>579</v>
      </c>
      <c r="I132">
        <v>56.340575000000001</v>
      </c>
      <c r="J132">
        <v>4.2243083333333331</v>
      </c>
      <c r="K132" s="3">
        <v>30570</v>
      </c>
      <c r="L132" s="3">
        <v>30697</v>
      </c>
      <c r="M132" t="s">
        <v>173</v>
      </c>
      <c r="N132" t="s">
        <v>23</v>
      </c>
      <c r="O132" s="6" t="str">
        <f t="shared" si="2"/>
        <v>GEUS Well Info</v>
      </c>
      <c r="P132" s="8" t="s">
        <v>1670</v>
      </c>
    </row>
    <row r="133" spans="1:16" x14ac:dyDescent="0.25">
      <c r="A133" t="s">
        <v>580</v>
      </c>
      <c r="B133" s="1" t="s">
        <v>581</v>
      </c>
      <c r="C133" t="s">
        <v>16</v>
      </c>
      <c r="D133" s="1" t="s">
        <v>163</v>
      </c>
      <c r="E133" t="s">
        <v>234</v>
      </c>
      <c r="F133" t="s">
        <v>458</v>
      </c>
      <c r="G133" t="s">
        <v>582</v>
      </c>
      <c r="H133" t="s">
        <v>583</v>
      </c>
      <c r="I133">
        <v>55.969213888888888</v>
      </c>
      <c r="J133">
        <v>4.4012388888888889</v>
      </c>
      <c r="K133" s="3">
        <v>30599</v>
      </c>
      <c r="L133" s="3">
        <v>30740</v>
      </c>
      <c r="M133" t="s">
        <v>173</v>
      </c>
      <c r="N133" t="s">
        <v>23</v>
      </c>
      <c r="O133" s="6" t="str">
        <f t="shared" si="2"/>
        <v>GEUS Well Info</v>
      </c>
      <c r="P133" s="9" t="s">
        <v>1670</v>
      </c>
    </row>
    <row r="134" spans="1:16" x14ac:dyDescent="0.25">
      <c r="A134" t="s">
        <v>584</v>
      </c>
      <c r="B134" s="1" t="s">
        <v>585</v>
      </c>
      <c r="C134" t="s">
        <v>16</v>
      </c>
      <c r="D134" s="1" t="s">
        <v>163</v>
      </c>
      <c r="E134" t="s">
        <v>234</v>
      </c>
      <c r="F134" t="s">
        <v>536</v>
      </c>
      <c r="G134" t="s">
        <v>586</v>
      </c>
      <c r="H134" t="s">
        <v>587</v>
      </c>
      <c r="I134">
        <v>55.413224999999997</v>
      </c>
      <c r="J134">
        <v>4.8125694444444447</v>
      </c>
      <c r="K134" s="3">
        <v>30613</v>
      </c>
      <c r="L134" s="3">
        <v>30631</v>
      </c>
      <c r="M134" t="s">
        <v>173</v>
      </c>
      <c r="N134" t="s">
        <v>23</v>
      </c>
      <c r="O134" s="6" t="str">
        <f t="shared" si="2"/>
        <v>GEUS Well Info</v>
      </c>
      <c r="P134" s="8" t="s">
        <v>1670</v>
      </c>
    </row>
    <row r="135" spans="1:16" x14ac:dyDescent="0.25">
      <c r="A135" t="s">
        <v>588</v>
      </c>
      <c r="B135" s="1" t="s">
        <v>589</v>
      </c>
      <c r="C135" t="s">
        <v>209</v>
      </c>
      <c r="D135" s="1" t="s">
        <v>163</v>
      </c>
      <c r="E135" t="s">
        <v>234</v>
      </c>
      <c r="F135" t="s">
        <v>536</v>
      </c>
      <c r="G135" t="s">
        <v>590</v>
      </c>
      <c r="H135" t="s">
        <v>591</v>
      </c>
      <c r="I135">
        <v>55.587175000000002</v>
      </c>
      <c r="J135">
        <v>4.5855972222222219</v>
      </c>
      <c r="K135" s="3">
        <v>30634</v>
      </c>
      <c r="L135" s="3">
        <v>30706</v>
      </c>
      <c r="M135" t="s">
        <v>173</v>
      </c>
      <c r="N135" t="s">
        <v>23</v>
      </c>
      <c r="O135" s="6" t="str">
        <f t="shared" si="2"/>
        <v>GEUS Well Info</v>
      </c>
      <c r="P135" s="9" t="s">
        <v>1670</v>
      </c>
    </row>
    <row r="136" spans="1:16" x14ac:dyDescent="0.25">
      <c r="A136" t="s">
        <v>592</v>
      </c>
      <c r="B136" s="1" t="s">
        <v>593</v>
      </c>
      <c r="C136" t="s">
        <v>594</v>
      </c>
      <c r="D136" s="1" t="s">
        <v>163</v>
      </c>
      <c r="E136" t="s">
        <v>234</v>
      </c>
      <c r="F136" t="s">
        <v>536</v>
      </c>
      <c r="G136" t="s">
        <v>595</v>
      </c>
      <c r="H136" t="s">
        <v>596</v>
      </c>
      <c r="I136">
        <v>55.393961111111111</v>
      </c>
      <c r="J136">
        <v>5.0797305555555559</v>
      </c>
      <c r="K136" s="3">
        <v>30712</v>
      </c>
      <c r="L136" s="3">
        <v>30837</v>
      </c>
      <c r="M136" t="s">
        <v>173</v>
      </c>
      <c r="N136" t="s">
        <v>23</v>
      </c>
      <c r="O136" s="6" t="str">
        <f t="shared" si="2"/>
        <v>GEUS Well Info</v>
      </c>
      <c r="P136" s="8" t="s">
        <v>1670</v>
      </c>
    </row>
    <row r="137" spans="1:16" x14ac:dyDescent="0.25">
      <c r="A137" t="s">
        <v>597</v>
      </c>
      <c r="B137" s="1" t="s">
        <v>598</v>
      </c>
      <c r="C137" t="s">
        <v>16</v>
      </c>
      <c r="D137" s="1" t="s">
        <v>163</v>
      </c>
      <c r="E137" t="s">
        <v>234</v>
      </c>
      <c r="F137" t="s">
        <v>522</v>
      </c>
      <c r="G137" t="s">
        <v>599</v>
      </c>
      <c r="H137" t="s">
        <v>600</v>
      </c>
      <c r="I137">
        <v>56.389869444444443</v>
      </c>
      <c r="J137">
        <v>4.4229722222222225</v>
      </c>
      <c r="K137" s="3">
        <v>30718</v>
      </c>
      <c r="L137" s="3">
        <v>30801</v>
      </c>
      <c r="M137" t="s">
        <v>173</v>
      </c>
      <c r="N137" t="s">
        <v>23</v>
      </c>
      <c r="O137" s="6" t="str">
        <f t="shared" si="2"/>
        <v>GEUS Well Info</v>
      </c>
      <c r="P137" s="9" t="s">
        <v>1670</v>
      </c>
    </row>
    <row r="138" spans="1:16" x14ac:dyDescent="0.25">
      <c r="A138" t="s">
        <v>601</v>
      </c>
      <c r="B138" s="1" t="s">
        <v>602</v>
      </c>
      <c r="C138" t="s">
        <v>16</v>
      </c>
      <c r="D138" s="1" t="s">
        <v>163</v>
      </c>
      <c r="E138" t="s">
        <v>234</v>
      </c>
      <c r="F138" t="s">
        <v>522</v>
      </c>
      <c r="G138" t="s">
        <v>603</v>
      </c>
      <c r="H138" t="s">
        <v>604</v>
      </c>
      <c r="I138">
        <v>56.219230555555555</v>
      </c>
      <c r="J138">
        <v>3.7324416666666669</v>
      </c>
      <c r="K138" s="3">
        <v>30803</v>
      </c>
      <c r="L138" s="3">
        <v>30893</v>
      </c>
      <c r="M138" t="s">
        <v>173</v>
      </c>
      <c r="N138" t="s">
        <v>23</v>
      </c>
      <c r="O138" s="6" t="str">
        <f t="shared" si="2"/>
        <v>GEUS Well Info</v>
      </c>
      <c r="P138" s="8" t="s">
        <v>1670</v>
      </c>
    </row>
    <row r="139" spans="1:16" x14ac:dyDescent="0.25">
      <c r="A139" t="s">
        <v>605</v>
      </c>
      <c r="B139" s="1" t="s">
        <v>606</v>
      </c>
      <c r="C139" t="s">
        <v>16</v>
      </c>
      <c r="D139" s="1" t="s">
        <v>163</v>
      </c>
      <c r="E139" t="s">
        <v>234</v>
      </c>
      <c r="F139" t="s">
        <v>536</v>
      </c>
      <c r="G139" t="s">
        <v>607</v>
      </c>
      <c r="H139" t="s">
        <v>608</v>
      </c>
      <c r="I139">
        <v>55.787500000000001</v>
      </c>
      <c r="J139">
        <v>4.2944444444444443</v>
      </c>
      <c r="K139" s="3">
        <v>30841</v>
      </c>
      <c r="L139" s="3">
        <v>30909</v>
      </c>
      <c r="M139" t="s">
        <v>173</v>
      </c>
      <c r="N139" t="s">
        <v>23</v>
      </c>
      <c r="O139" s="6" t="str">
        <f t="shared" si="2"/>
        <v>GEUS Well Info</v>
      </c>
      <c r="P139" s="9" t="s">
        <v>1670</v>
      </c>
    </row>
    <row r="140" spans="1:16" x14ac:dyDescent="0.25">
      <c r="A140" t="s">
        <v>609</v>
      </c>
      <c r="B140" s="1" t="s">
        <v>610</v>
      </c>
      <c r="C140" t="s">
        <v>16</v>
      </c>
      <c r="D140" s="1" t="s">
        <v>163</v>
      </c>
      <c r="E140" t="s">
        <v>234</v>
      </c>
      <c r="F140" s="2" t="s">
        <v>522</v>
      </c>
      <c r="G140" t="s">
        <v>611</v>
      </c>
      <c r="H140" t="s">
        <v>612</v>
      </c>
      <c r="I140">
        <v>55.92561388888889</v>
      </c>
      <c r="J140">
        <v>3.8252555555555556</v>
      </c>
      <c r="K140" s="3">
        <v>30896</v>
      </c>
      <c r="L140" s="3">
        <v>30955</v>
      </c>
      <c r="M140" t="s">
        <v>173</v>
      </c>
      <c r="N140" t="s">
        <v>23</v>
      </c>
      <c r="O140" s="6" t="str">
        <f t="shared" si="2"/>
        <v>GEUS Well Info</v>
      </c>
      <c r="P140" s="8" t="s">
        <v>1670</v>
      </c>
    </row>
    <row r="141" spans="1:16" x14ac:dyDescent="0.25">
      <c r="A141" t="s">
        <v>613</v>
      </c>
      <c r="B141" s="1" t="s">
        <v>614</v>
      </c>
      <c r="C141" t="s">
        <v>209</v>
      </c>
      <c r="D141" s="1" t="s">
        <v>163</v>
      </c>
      <c r="E141" t="s">
        <v>234</v>
      </c>
      <c r="F141" t="s">
        <v>501</v>
      </c>
      <c r="G141" t="s">
        <v>615</v>
      </c>
      <c r="H141" t="s">
        <v>616</v>
      </c>
      <c r="I141">
        <v>55.797222222222224</v>
      </c>
      <c r="J141">
        <v>4.8905555555555553</v>
      </c>
      <c r="K141" s="3">
        <v>30925</v>
      </c>
      <c r="L141" s="3">
        <v>30980</v>
      </c>
      <c r="M141" t="s">
        <v>173</v>
      </c>
      <c r="N141" t="s">
        <v>23</v>
      </c>
      <c r="O141" s="6" t="str">
        <f t="shared" si="2"/>
        <v>GEUS Well Info</v>
      </c>
      <c r="P141" s="9" t="s">
        <v>1670</v>
      </c>
    </row>
    <row r="142" spans="1:16" x14ac:dyDescent="0.25">
      <c r="A142" t="s">
        <v>617</v>
      </c>
      <c r="B142" s="1" t="s">
        <v>618</v>
      </c>
      <c r="C142" t="s">
        <v>209</v>
      </c>
      <c r="D142" s="1" t="s">
        <v>163</v>
      </c>
      <c r="E142" t="s">
        <v>314</v>
      </c>
      <c r="F142" t="s">
        <v>501</v>
      </c>
      <c r="G142" t="s">
        <v>619</v>
      </c>
      <c r="H142" t="s">
        <v>620</v>
      </c>
      <c r="I142">
        <v>55.385983333333336</v>
      </c>
      <c r="J142">
        <v>5.2280611111111108</v>
      </c>
      <c r="K142" s="3">
        <v>30986</v>
      </c>
      <c r="L142" s="3">
        <v>31045</v>
      </c>
      <c r="M142" t="s">
        <v>173</v>
      </c>
      <c r="N142" t="s">
        <v>23</v>
      </c>
      <c r="O142" s="6" t="str">
        <f t="shared" si="2"/>
        <v>GEUS Well Info</v>
      </c>
      <c r="P142" s="8" t="s">
        <v>1670</v>
      </c>
    </row>
    <row r="143" spans="1:16" x14ac:dyDescent="0.25">
      <c r="A143" t="s">
        <v>621</v>
      </c>
      <c r="B143" s="1" t="s">
        <v>622</v>
      </c>
      <c r="C143" t="s">
        <v>16</v>
      </c>
      <c r="D143" s="1" t="s">
        <v>623</v>
      </c>
      <c r="E143" t="s">
        <v>624</v>
      </c>
      <c r="F143" s="2" t="s">
        <v>625</v>
      </c>
      <c r="G143" t="s">
        <v>626</v>
      </c>
      <c r="H143" t="s">
        <v>627</v>
      </c>
      <c r="I143">
        <v>56.112605555555554</v>
      </c>
      <c r="J143">
        <v>4.3057166666666671</v>
      </c>
      <c r="K143" s="3">
        <v>30991</v>
      </c>
      <c r="L143" s="3">
        <v>31102</v>
      </c>
      <c r="M143" t="s">
        <v>173</v>
      </c>
      <c r="N143" t="s">
        <v>23</v>
      </c>
      <c r="O143" s="6" t="str">
        <f t="shared" si="2"/>
        <v>GEUS Well Info</v>
      </c>
      <c r="P143" s="9" t="s">
        <v>1670</v>
      </c>
    </row>
    <row r="144" spans="1:16" x14ac:dyDescent="0.25">
      <c r="A144" t="s">
        <v>628</v>
      </c>
      <c r="B144" s="1" t="s">
        <v>629</v>
      </c>
      <c r="C144" t="s">
        <v>16</v>
      </c>
      <c r="D144" s="1" t="s">
        <v>163</v>
      </c>
      <c r="E144" t="s">
        <v>234</v>
      </c>
      <c r="F144" t="s">
        <v>501</v>
      </c>
      <c r="G144" t="s">
        <v>630</v>
      </c>
      <c r="H144" t="s">
        <v>631</v>
      </c>
      <c r="I144">
        <v>55.803586111111109</v>
      </c>
      <c r="J144">
        <v>4.973213888888889</v>
      </c>
      <c r="K144" s="3">
        <v>31048</v>
      </c>
      <c r="L144" s="3">
        <v>31095</v>
      </c>
      <c r="M144" t="s">
        <v>173</v>
      </c>
      <c r="N144" t="s">
        <v>23</v>
      </c>
      <c r="O144" s="6" t="str">
        <f t="shared" si="2"/>
        <v>GEUS Well Info</v>
      </c>
      <c r="P144" s="8" t="s">
        <v>1670</v>
      </c>
    </row>
    <row r="145" spans="1:16" x14ac:dyDescent="0.25">
      <c r="A145" t="s">
        <v>632</v>
      </c>
      <c r="B145" s="1" t="s">
        <v>633</v>
      </c>
      <c r="C145" t="s">
        <v>209</v>
      </c>
      <c r="D145" s="1" t="s">
        <v>163</v>
      </c>
      <c r="E145" t="s">
        <v>234</v>
      </c>
      <c r="F145" t="s">
        <v>501</v>
      </c>
      <c r="G145" t="s">
        <v>634</v>
      </c>
      <c r="H145" t="s">
        <v>635</v>
      </c>
      <c r="I145">
        <v>56.329930555555556</v>
      </c>
      <c r="J145">
        <v>4.2036027777777774</v>
      </c>
      <c r="K145" s="3">
        <v>31099</v>
      </c>
      <c r="L145" s="3">
        <v>31166</v>
      </c>
      <c r="M145" t="s">
        <v>173</v>
      </c>
      <c r="N145" t="s">
        <v>23</v>
      </c>
      <c r="O145" s="6" t="str">
        <f t="shared" si="2"/>
        <v>GEUS Well Info</v>
      </c>
      <c r="P145" s="9" t="s">
        <v>1670</v>
      </c>
    </row>
    <row r="146" spans="1:16" x14ac:dyDescent="0.25">
      <c r="A146" t="s">
        <v>636</v>
      </c>
      <c r="B146" s="1" t="s">
        <v>637</v>
      </c>
      <c r="C146" t="s">
        <v>209</v>
      </c>
      <c r="D146" s="1" t="s">
        <v>163</v>
      </c>
      <c r="E146" t="s">
        <v>234</v>
      </c>
      <c r="F146" t="s">
        <v>536</v>
      </c>
      <c r="G146" t="s">
        <v>638</v>
      </c>
      <c r="H146" t="s">
        <v>639</v>
      </c>
      <c r="I146">
        <v>56.196950000000001</v>
      </c>
      <c r="J146">
        <v>3.7808805555555556</v>
      </c>
      <c r="K146" s="3">
        <v>31105</v>
      </c>
      <c r="L146" s="3">
        <v>31224</v>
      </c>
      <c r="M146" t="s">
        <v>173</v>
      </c>
      <c r="N146" t="s">
        <v>23</v>
      </c>
      <c r="O146" s="6" t="str">
        <f t="shared" si="2"/>
        <v>GEUS Well Info</v>
      </c>
      <c r="P146" s="8" t="s">
        <v>1670</v>
      </c>
    </row>
    <row r="147" spans="1:16" x14ac:dyDescent="0.25">
      <c r="A147" t="s">
        <v>640</v>
      </c>
      <c r="B147" s="1" t="s">
        <v>641</v>
      </c>
      <c r="C147" t="s">
        <v>16</v>
      </c>
      <c r="D147" s="1" t="s">
        <v>163</v>
      </c>
      <c r="E147" t="s">
        <v>234</v>
      </c>
      <c r="F147" s="2" t="s">
        <v>501</v>
      </c>
      <c r="G147" t="s">
        <v>642</v>
      </c>
      <c r="H147" t="s">
        <v>643</v>
      </c>
      <c r="I147">
        <v>56.44809166666667</v>
      </c>
      <c r="J147">
        <v>4.5287333333333333</v>
      </c>
      <c r="K147" s="3">
        <v>31169</v>
      </c>
      <c r="L147" s="3">
        <v>31211</v>
      </c>
      <c r="M147" t="s">
        <v>173</v>
      </c>
      <c r="N147" t="s">
        <v>23</v>
      </c>
      <c r="O147" s="6" t="str">
        <f t="shared" si="2"/>
        <v>GEUS Well Info</v>
      </c>
      <c r="P147" s="9" t="s">
        <v>1670</v>
      </c>
    </row>
    <row r="148" spans="1:16" x14ac:dyDescent="0.25">
      <c r="A148" t="s">
        <v>644</v>
      </c>
      <c r="B148" s="1" t="s">
        <v>645</v>
      </c>
      <c r="C148" t="s">
        <v>16</v>
      </c>
      <c r="D148" s="1" t="s">
        <v>646</v>
      </c>
      <c r="E148" t="s">
        <v>647</v>
      </c>
      <c r="F148" s="2" t="s">
        <v>648</v>
      </c>
      <c r="G148" t="s">
        <v>649</v>
      </c>
      <c r="H148" t="s">
        <v>650</v>
      </c>
      <c r="I148">
        <v>55.720827777777778</v>
      </c>
      <c r="J148">
        <v>5.2028249999999998</v>
      </c>
      <c r="K148" s="3">
        <v>31174</v>
      </c>
      <c r="L148" s="3">
        <v>31222</v>
      </c>
      <c r="M148" t="s">
        <v>173</v>
      </c>
      <c r="N148" t="s">
        <v>23</v>
      </c>
      <c r="O148" s="6" t="str">
        <f t="shared" si="2"/>
        <v>GEUS Well Info</v>
      </c>
      <c r="P148" s="8" t="s">
        <v>1670</v>
      </c>
    </row>
    <row r="149" spans="1:16" x14ac:dyDescent="0.25">
      <c r="A149" t="s">
        <v>651</v>
      </c>
      <c r="B149" s="1" t="s">
        <v>652</v>
      </c>
      <c r="C149" t="s">
        <v>16</v>
      </c>
      <c r="D149" s="1" t="s">
        <v>653</v>
      </c>
      <c r="E149" t="s">
        <v>654</v>
      </c>
      <c r="F149" t="s">
        <v>655</v>
      </c>
      <c r="G149" t="s">
        <v>656</v>
      </c>
      <c r="H149" t="s">
        <v>657</v>
      </c>
      <c r="I149">
        <v>57.021336111111111</v>
      </c>
      <c r="J149">
        <v>8.6981055555555553</v>
      </c>
      <c r="K149" s="3">
        <v>31186</v>
      </c>
      <c r="L149" s="3">
        <v>31246</v>
      </c>
      <c r="M149" t="s">
        <v>22</v>
      </c>
      <c r="N149" t="s">
        <v>23</v>
      </c>
      <c r="O149" s="6" t="str">
        <f t="shared" si="2"/>
        <v>GEUS Well Info</v>
      </c>
      <c r="P149" s="9" t="s">
        <v>1670</v>
      </c>
    </row>
    <row r="150" spans="1:16" x14ac:dyDescent="0.25">
      <c r="A150" t="s">
        <v>658</v>
      </c>
      <c r="B150" s="1" t="s">
        <v>659</v>
      </c>
      <c r="C150" t="s">
        <v>16</v>
      </c>
      <c r="D150" s="1" t="s">
        <v>660</v>
      </c>
      <c r="E150" t="s">
        <v>654</v>
      </c>
      <c r="F150" t="s">
        <v>522</v>
      </c>
      <c r="G150" t="s">
        <v>661</v>
      </c>
      <c r="H150" t="s">
        <v>662</v>
      </c>
      <c r="I150">
        <v>56.344072222222223</v>
      </c>
      <c r="J150">
        <v>11.505663888888888</v>
      </c>
      <c r="K150" s="3">
        <v>31193</v>
      </c>
      <c r="L150" s="3">
        <v>31276</v>
      </c>
      <c r="M150" t="s">
        <v>173</v>
      </c>
      <c r="N150" t="s">
        <v>23</v>
      </c>
      <c r="O150" s="6" t="str">
        <f t="shared" si="2"/>
        <v>GEUS Well Info</v>
      </c>
      <c r="P150" s="8" t="s">
        <v>1670</v>
      </c>
    </row>
    <row r="151" spans="1:16" x14ac:dyDescent="0.25">
      <c r="A151" t="s">
        <v>663</v>
      </c>
      <c r="B151" s="1" t="s">
        <v>664</v>
      </c>
      <c r="C151" t="s">
        <v>16</v>
      </c>
      <c r="D151" s="1" t="s">
        <v>163</v>
      </c>
      <c r="E151" t="s">
        <v>234</v>
      </c>
      <c r="F151" t="s">
        <v>501</v>
      </c>
      <c r="G151" t="s">
        <v>665</v>
      </c>
      <c r="H151" t="s">
        <v>666</v>
      </c>
      <c r="I151">
        <v>55.407691666666665</v>
      </c>
      <c r="J151">
        <v>4.8359833333333331</v>
      </c>
      <c r="K151" s="3">
        <v>31218</v>
      </c>
      <c r="L151" s="3">
        <v>31247</v>
      </c>
      <c r="M151" t="s">
        <v>173</v>
      </c>
      <c r="N151" t="s">
        <v>23</v>
      </c>
      <c r="O151" s="6" t="str">
        <f t="shared" si="2"/>
        <v>GEUS Well Info</v>
      </c>
      <c r="P151" s="9" t="s">
        <v>1670</v>
      </c>
    </row>
    <row r="152" spans="1:16" x14ac:dyDescent="0.25">
      <c r="A152" t="s">
        <v>667</v>
      </c>
      <c r="B152" s="1" t="s">
        <v>668</v>
      </c>
      <c r="C152" t="s">
        <v>16</v>
      </c>
      <c r="D152" s="1" t="s">
        <v>163</v>
      </c>
      <c r="E152" t="s">
        <v>234</v>
      </c>
      <c r="F152" s="2" t="s">
        <v>536</v>
      </c>
      <c r="G152" t="s">
        <v>669</v>
      </c>
      <c r="H152" t="s">
        <v>670</v>
      </c>
      <c r="I152">
        <v>56.143022222222221</v>
      </c>
      <c r="J152">
        <v>3.5327055555555558</v>
      </c>
      <c r="K152" s="3">
        <v>31228</v>
      </c>
      <c r="L152" s="3">
        <v>31293</v>
      </c>
      <c r="M152" t="s">
        <v>173</v>
      </c>
      <c r="N152" t="s">
        <v>23</v>
      </c>
      <c r="O152" s="6" t="str">
        <f t="shared" si="2"/>
        <v>GEUS Well Info</v>
      </c>
      <c r="P152" s="8" t="s">
        <v>1670</v>
      </c>
    </row>
    <row r="153" spans="1:16" x14ac:dyDescent="0.25">
      <c r="A153" t="s">
        <v>671</v>
      </c>
      <c r="B153" s="1" t="s">
        <v>672</v>
      </c>
      <c r="C153" t="s">
        <v>16</v>
      </c>
      <c r="D153" s="1" t="s">
        <v>163</v>
      </c>
      <c r="E153" t="s">
        <v>314</v>
      </c>
      <c r="F153" t="s">
        <v>655</v>
      </c>
      <c r="G153" t="s">
        <v>673</v>
      </c>
      <c r="H153" t="s">
        <v>674</v>
      </c>
      <c r="I153">
        <v>54.940930555555553</v>
      </c>
      <c r="J153">
        <v>9.4802611111111119</v>
      </c>
      <c r="K153" s="3">
        <v>31255</v>
      </c>
      <c r="L153" s="3">
        <v>31296</v>
      </c>
      <c r="M153" t="s">
        <v>22</v>
      </c>
      <c r="N153" t="s">
        <v>23</v>
      </c>
      <c r="O153" s="6" t="str">
        <f t="shared" si="2"/>
        <v>GEUS Well Info</v>
      </c>
      <c r="P153" s="9" t="s">
        <v>1670</v>
      </c>
    </row>
    <row r="154" spans="1:16" x14ac:dyDescent="0.25">
      <c r="A154" t="s">
        <v>675</v>
      </c>
      <c r="B154" s="1" t="s">
        <v>676</v>
      </c>
      <c r="C154" t="s">
        <v>16</v>
      </c>
      <c r="D154" s="1" t="s">
        <v>163</v>
      </c>
      <c r="E154" t="s">
        <v>234</v>
      </c>
      <c r="F154" s="2" t="s">
        <v>328</v>
      </c>
      <c r="G154" t="s">
        <v>677</v>
      </c>
      <c r="H154" t="s">
        <v>678</v>
      </c>
      <c r="I154">
        <v>55.833066666666667</v>
      </c>
      <c r="J154">
        <v>4.559911111111111</v>
      </c>
      <c r="K154" s="3">
        <v>31266</v>
      </c>
      <c r="L154" s="3">
        <v>31363</v>
      </c>
      <c r="M154" t="s">
        <v>173</v>
      </c>
      <c r="N154" t="s">
        <v>23</v>
      </c>
      <c r="O154" s="6" t="str">
        <f t="shared" si="2"/>
        <v>GEUS Well Info</v>
      </c>
      <c r="P154" s="8" t="s">
        <v>1670</v>
      </c>
    </row>
    <row r="155" spans="1:16" x14ac:dyDescent="0.25">
      <c r="A155" t="s">
        <v>679</v>
      </c>
      <c r="B155" s="1" t="s">
        <v>680</v>
      </c>
      <c r="C155" t="s">
        <v>16</v>
      </c>
      <c r="D155" s="1" t="s">
        <v>681</v>
      </c>
      <c r="E155" t="s">
        <v>682</v>
      </c>
      <c r="F155" s="5" t="s">
        <v>683</v>
      </c>
      <c r="G155" t="s">
        <v>684</v>
      </c>
      <c r="H155" t="s">
        <v>685</v>
      </c>
      <c r="I155">
        <v>57.361405555555557</v>
      </c>
      <c r="J155">
        <v>10.395844444444444</v>
      </c>
      <c r="K155" s="3">
        <v>31266</v>
      </c>
      <c r="L155" s="3">
        <v>31287</v>
      </c>
      <c r="M155" t="s">
        <v>22</v>
      </c>
      <c r="N155" t="s">
        <v>23</v>
      </c>
      <c r="O155" s="6" t="str">
        <f t="shared" si="2"/>
        <v>GEUS Well Info</v>
      </c>
      <c r="P155" s="9" t="s">
        <v>1670</v>
      </c>
    </row>
    <row r="156" spans="1:16" x14ac:dyDescent="0.25">
      <c r="A156" t="s">
        <v>686</v>
      </c>
      <c r="B156" s="1" t="s">
        <v>687</v>
      </c>
      <c r="C156" t="s">
        <v>16</v>
      </c>
      <c r="D156" s="1" t="s">
        <v>688</v>
      </c>
      <c r="E156" t="s">
        <v>689</v>
      </c>
      <c r="F156" t="s">
        <v>522</v>
      </c>
      <c r="G156" t="s">
        <v>690</v>
      </c>
      <c r="H156" t="s">
        <v>691</v>
      </c>
      <c r="I156">
        <v>54.847561111111112</v>
      </c>
      <c r="J156">
        <v>10.087555555555555</v>
      </c>
      <c r="K156" s="3">
        <v>31280</v>
      </c>
      <c r="L156" s="3">
        <v>31325</v>
      </c>
      <c r="M156" t="s">
        <v>173</v>
      </c>
      <c r="N156" t="s">
        <v>23</v>
      </c>
      <c r="O156" s="6" t="str">
        <f t="shared" si="2"/>
        <v>GEUS Well Info</v>
      </c>
      <c r="P156" s="8" t="s">
        <v>1670</v>
      </c>
    </row>
    <row r="157" spans="1:16" x14ac:dyDescent="0.25">
      <c r="A157" t="s">
        <v>692</v>
      </c>
      <c r="B157" s="1" t="s">
        <v>693</v>
      </c>
      <c r="C157" t="s">
        <v>16</v>
      </c>
      <c r="D157" s="1" t="s">
        <v>694</v>
      </c>
      <c r="E157" t="s">
        <v>647</v>
      </c>
      <c r="F157" t="s">
        <v>683</v>
      </c>
      <c r="G157" t="s">
        <v>695</v>
      </c>
      <c r="H157" t="s">
        <v>696</v>
      </c>
      <c r="I157">
        <v>56.593630555555556</v>
      </c>
      <c r="J157">
        <v>9.0058388888888885</v>
      </c>
      <c r="K157" s="3">
        <v>31293</v>
      </c>
      <c r="L157" s="3">
        <v>31315</v>
      </c>
      <c r="M157" t="s">
        <v>22</v>
      </c>
      <c r="N157" t="s">
        <v>23</v>
      </c>
      <c r="O157" s="6" t="str">
        <f t="shared" si="2"/>
        <v>GEUS Well Info</v>
      </c>
      <c r="P157" s="9" t="s">
        <v>1670</v>
      </c>
    </row>
    <row r="158" spans="1:16" x14ac:dyDescent="0.25">
      <c r="A158" t="s">
        <v>697</v>
      </c>
      <c r="B158" s="1" t="s">
        <v>698</v>
      </c>
      <c r="C158" t="s">
        <v>209</v>
      </c>
      <c r="D158" s="1" t="s">
        <v>163</v>
      </c>
      <c r="E158" t="s">
        <v>234</v>
      </c>
      <c r="F158" t="s">
        <v>536</v>
      </c>
      <c r="G158" t="s">
        <v>699</v>
      </c>
      <c r="H158" t="s">
        <v>700</v>
      </c>
      <c r="I158">
        <v>56.349424999999997</v>
      </c>
      <c r="J158">
        <v>4.2093722222222221</v>
      </c>
      <c r="K158" s="3">
        <v>31302</v>
      </c>
      <c r="L158" s="3">
        <v>31392</v>
      </c>
      <c r="M158" t="s">
        <v>173</v>
      </c>
      <c r="N158" t="s">
        <v>23</v>
      </c>
      <c r="O158" s="6" t="str">
        <f t="shared" si="2"/>
        <v>GEUS Well Info</v>
      </c>
      <c r="P158" s="8" t="s">
        <v>1670</v>
      </c>
    </row>
    <row r="159" spans="1:16" x14ac:dyDescent="0.25">
      <c r="A159" t="s">
        <v>701</v>
      </c>
      <c r="B159" s="1" t="s">
        <v>702</v>
      </c>
      <c r="C159" t="s">
        <v>16</v>
      </c>
      <c r="D159" s="1" t="s">
        <v>163</v>
      </c>
      <c r="E159" t="s">
        <v>234</v>
      </c>
      <c r="F159" t="s">
        <v>703</v>
      </c>
      <c r="G159" t="s">
        <v>704</v>
      </c>
      <c r="H159" t="s">
        <v>705</v>
      </c>
      <c r="I159">
        <v>56.11752222222222</v>
      </c>
      <c r="J159">
        <v>3.4983472222222223</v>
      </c>
      <c r="K159" s="3">
        <v>31320</v>
      </c>
      <c r="L159" s="3">
        <v>31412</v>
      </c>
      <c r="M159" t="s">
        <v>173</v>
      </c>
      <c r="N159" t="s">
        <v>23</v>
      </c>
      <c r="O159" s="6" t="str">
        <f t="shared" si="2"/>
        <v>GEUS Well Info</v>
      </c>
      <c r="P159" s="9" t="s">
        <v>1670</v>
      </c>
    </row>
    <row r="160" spans="1:16" x14ac:dyDescent="0.25">
      <c r="A160" t="s">
        <v>706</v>
      </c>
      <c r="B160" s="1" t="s">
        <v>707</v>
      </c>
      <c r="C160" t="s">
        <v>16</v>
      </c>
      <c r="D160" s="1" t="s">
        <v>163</v>
      </c>
      <c r="E160" t="s">
        <v>234</v>
      </c>
      <c r="F160" t="s">
        <v>328</v>
      </c>
      <c r="G160" t="s">
        <v>708</v>
      </c>
      <c r="H160" t="s">
        <v>709</v>
      </c>
      <c r="I160">
        <v>55.833086111111108</v>
      </c>
      <c r="J160">
        <v>4.5598694444444448</v>
      </c>
      <c r="K160" s="3">
        <v>31367</v>
      </c>
      <c r="L160" s="3">
        <v>31415</v>
      </c>
      <c r="M160" t="s">
        <v>173</v>
      </c>
      <c r="N160" t="s">
        <v>23</v>
      </c>
      <c r="O160" s="6" t="str">
        <f t="shared" si="2"/>
        <v>GEUS Well Info</v>
      </c>
      <c r="P160" s="8" t="s">
        <v>1670</v>
      </c>
    </row>
    <row r="161" spans="1:16" x14ac:dyDescent="0.25">
      <c r="A161" t="s">
        <v>710</v>
      </c>
      <c r="B161" s="1" t="s">
        <v>711</v>
      </c>
      <c r="C161" t="s">
        <v>209</v>
      </c>
      <c r="D161" s="1" t="s">
        <v>163</v>
      </c>
      <c r="E161" t="s">
        <v>314</v>
      </c>
      <c r="F161" t="s">
        <v>536</v>
      </c>
      <c r="G161" t="s">
        <v>712</v>
      </c>
      <c r="H161" t="s">
        <v>713</v>
      </c>
      <c r="I161">
        <v>56.318441666666665</v>
      </c>
      <c r="J161">
        <v>4.2918222222222226</v>
      </c>
      <c r="K161" s="3">
        <v>31396</v>
      </c>
      <c r="L161" s="3">
        <v>31489</v>
      </c>
      <c r="M161" t="s">
        <v>173</v>
      </c>
      <c r="N161" t="s">
        <v>23</v>
      </c>
      <c r="O161" s="6" t="str">
        <f t="shared" si="2"/>
        <v>GEUS Well Info</v>
      </c>
      <c r="P161" s="9" t="s">
        <v>1670</v>
      </c>
    </row>
    <row r="162" spans="1:16" x14ac:dyDescent="0.25">
      <c r="A162" t="s">
        <v>714</v>
      </c>
      <c r="B162" s="1" t="s">
        <v>715</v>
      </c>
      <c r="C162" t="s">
        <v>16</v>
      </c>
      <c r="D162" s="1" t="s">
        <v>716</v>
      </c>
      <c r="E162" t="s">
        <v>717</v>
      </c>
      <c r="F162" t="s">
        <v>703</v>
      </c>
      <c r="G162" t="s">
        <v>718</v>
      </c>
      <c r="H162" t="s">
        <v>719</v>
      </c>
      <c r="I162">
        <v>56.006461111111108</v>
      </c>
      <c r="J162">
        <v>3.8956111111111111</v>
      </c>
      <c r="K162" s="3">
        <v>31423</v>
      </c>
      <c r="L162" s="3">
        <v>31489</v>
      </c>
      <c r="M162" t="s">
        <v>173</v>
      </c>
      <c r="N162" t="s">
        <v>23</v>
      </c>
      <c r="O162" s="6" t="str">
        <f t="shared" si="2"/>
        <v>GEUS Well Info</v>
      </c>
      <c r="P162" s="8" t="s">
        <v>1670</v>
      </c>
    </row>
    <row r="163" spans="1:16" x14ac:dyDescent="0.25">
      <c r="A163" t="s">
        <v>720</v>
      </c>
      <c r="B163" s="1" t="s">
        <v>721</v>
      </c>
      <c r="C163" t="s">
        <v>209</v>
      </c>
      <c r="D163" s="1" t="s">
        <v>163</v>
      </c>
      <c r="E163" t="s">
        <v>314</v>
      </c>
      <c r="F163" t="s">
        <v>522</v>
      </c>
      <c r="G163" t="s">
        <v>722</v>
      </c>
      <c r="H163" t="s">
        <v>723</v>
      </c>
      <c r="I163">
        <v>55.593552777777781</v>
      </c>
      <c r="J163">
        <v>4.6086055555555552</v>
      </c>
      <c r="K163" s="3">
        <v>31432</v>
      </c>
      <c r="L163" s="3">
        <v>31490</v>
      </c>
      <c r="M163" t="s">
        <v>173</v>
      </c>
      <c r="N163" t="s">
        <v>23</v>
      </c>
      <c r="O163" s="6" t="str">
        <f t="shared" si="2"/>
        <v>GEUS Well Info</v>
      </c>
      <c r="P163" s="9" t="s">
        <v>1670</v>
      </c>
    </row>
    <row r="164" spans="1:16" x14ac:dyDescent="0.25">
      <c r="A164" t="s">
        <v>724</v>
      </c>
      <c r="B164" s="1" t="s">
        <v>725</v>
      </c>
      <c r="C164" t="s">
        <v>16</v>
      </c>
      <c r="D164" s="1" t="s">
        <v>163</v>
      </c>
      <c r="E164" t="s">
        <v>314</v>
      </c>
      <c r="F164" s="2" t="s">
        <v>536</v>
      </c>
      <c r="G164" t="s">
        <v>726</v>
      </c>
      <c r="H164" t="s">
        <v>727</v>
      </c>
      <c r="I164">
        <v>55.564197222222219</v>
      </c>
      <c r="J164">
        <v>4.6316750000000004</v>
      </c>
      <c r="K164" s="3">
        <v>31495</v>
      </c>
      <c r="L164" s="3">
        <v>31532</v>
      </c>
      <c r="M164" t="s">
        <v>173</v>
      </c>
      <c r="N164" t="s">
        <v>23</v>
      </c>
      <c r="O164" s="6" t="str">
        <f t="shared" si="2"/>
        <v>GEUS Well Info</v>
      </c>
      <c r="P164" s="8" t="s">
        <v>1670</v>
      </c>
    </row>
    <row r="165" spans="1:16" x14ac:dyDescent="0.25">
      <c r="A165" t="s">
        <v>728</v>
      </c>
      <c r="B165" s="1" t="s">
        <v>729</v>
      </c>
      <c r="C165" t="s">
        <v>16</v>
      </c>
      <c r="D165" s="1" t="s">
        <v>730</v>
      </c>
      <c r="E165" t="s">
        <v>654</v>
      </c>
      <c r="F165" t="s">
        <v>522</v>
      </c>
      <c r="G165" t="s">
        <v>731</v>
      </c>
      <c r="H165" t="s">
        <v>732</v>
      </c>
      <c r="I165">
        <v>55.876619444444444</v>
      </c>
      <c r="J165">
        <v>4.231127777777778</v>
      </c>
      <c r="K165" s="3">
        <v>31495</v>
      </c>
      <c r="L165" s="3">
        <v>31614</v>
      </c>
      <c r="M165" t="s">
        <v>173</v>
      </c>
      <c r="N165" t="s">
        <v>23</v>
      </c>
      <c r="O165" s="6" t="str">
        <f t="shared" si="2"/>
        <v>GEUS Well Info</v>
      </c>
      <c r="P165" s="9" t="s">
        <v>1670</v>
      </c>
    </row>
    <row r="166" spans="1:16" x14ac:dyDescent="0.25">
      <c r="A166" t="s">
        <v>733</v>
      </c>
      <c r="B166" s="1" t="s">
        <v>734</v>
      </c>
      <c r="C166" t="s">
        <v>16</v>
      </c>
      <c r="D166" s="1" t="s">
        <v>163</v>
      </c>
      <c r="E166" t="s">
        <v>314</v>
      </c>
      <c r="F166" t="s">
        <v>536</v>
      </c>
      <c r="G166" t="s">
        <v>735</v>
      </c>
      <c r="H166" t="s">
        <v>736</v>
      </c>
      <c r="I166">
        <v>55.590905555555558</v>
      </c>
      <c r="J166">
        <v>4.5258527777777777</v>
      </c>
      <c r="K166" s="3">
        <v>31536</v>
      </c>
      <c r="L166" s="3">
        <v>31574</v>
      </c>
      <c r="M166" t="s">
        <v>173</v>
      </c>
      <c r="N166" t="s">
        <v>23</v>
      </c>
      <c r="O166" s="6" t="str">
        <f t="shared" si="2"/>
        <v>GEUS Well Info</v>
      </c>
      <c r="P166" s="8" t="s">
        <v>1670</v>
      </c>
    </row>
    <row r="167" spans="1:16" x14ac:dyDescent="0.25">
      <c r="A167" t="s">
        <v>737</v>
      </c>
      <c r="B167" s="1" t="s">
        <v>738</v>
      </c>
      <c r="C167" t="s">
        <v>209</v>
      </c>
      <c r="D167" s="1" t="s">
        <v>163</v>
      </c>
      <c r="E167" t="s">
        <v>314</v>
      </c>
      <c r="F167" t="s">
        <v>536</v>
      </c>
      <c r="G167" t="s">
        <v>739</v>
      </c>
      <c r="H167" t="s">
        <v>740</v>
      </c>
      <c r="I167">
        <v>56.31795833333333</v>
      </c>
      <c r="J167">
        <v>4.1714194444444441</v>
      </c>
      <c r="K167" s="3">
        <v>31621</v>
      </c>
      <c r="L167" s="3">
        <v>31668</v>
      </c>
      <c r="M167" t="s">
        <v>173</v>
      </c>
      <c r="N167" t="s">
        <v>23</v>
      </c>
      <c r="O167" s="6" t="str">
        <f t="shared" si="2"/>
        <v>GEUS Well Info</v>
      </c>
      <c r="P167" s="9" t="s">
        <v>1670</v>
      </c>
    </row>
    <row r="168" spans="1:16" x14ac:dyDescent="0.25">
      <c r="A168" t="s">
        <v>741</v>
      </c>
      <c r="B168" s="1" t="s">
        <v>742</v>
      </c>
      <c r="C168" t="s">
        <v>209</v>
      </c>
      <c r="D168" s="1" t="s">
        <v>163</v>
      </c>
      <c r="E168" t="s">
        <v>314</v>
      </c>
      <c r="F168" t="s">
        <v>536</v>
      </c>
      <c r="G168" t="s">
        <v>743</v>
      </c>
      <c r="H168" t="s">
        <v>744</v>
      </c>
      <c r="I168">
        <v>56.114183333333337</v>
      </c>
      <c r="J168">
        <v>4.0694527777777774</v>
      </c>
      <c r="K168" s="3">
        <v>31685</v>
      </c>
      <c r="L168" s="3">
        <v>31761</v>
      </c>
      <c r="M168" t="s">
        <v>173</v>
      </c>
      <c r="N168" t="s">
        <v>23</v>
      </c>
      <c r="O168" s="6" t="str">
        <f t="shared" si="2"/>
        <v>GEUS Well Info</v>
      </c>
      <c r="P168" s="8" t="s">
        <v>1670</v>
      </c>
    </row>
    <row r="169" spans="1:16" x14ac:dyDescent="0.25">
      <c r="A169" t="s">
        <v>745</v>
      </c>
      <c r="B169" s="1" t="s">
        <v>746</v>
      </c>
      <c r="C169" t="s">
        <v>16</v>
      </c>
      <c r="D169" s="1" t="s">
        <v>747</v>
      </c>
      <c r="E169" t="s">
        <v>717</v>
      </c>
      <c r="F169" t="s">
        <v>748</v>
      </c>
      <c r="G169" t="s">
        <v>749</v>
      </c>
      <c r="H169" t="s">
        <v>750</v>
      </c>
      <c r="I169">
        <v>56.377247222222223</v>
      </c>
      <c r="J169">
        <v>8.6766749999999995</v>
      </c>
      <c r="K169" s="3">
        <v>31858</v>
      </c>
      <c r="L169" s="3">
        <v>31896</v>
      </c>
      <c r="M169" t="s">
        <v>22</v>
      </c>
      <c r="N169" t="s">
        <v>23</v>
      </c>
      <c r="O169" s="6" t="str">
        <f t="shared" si="2"/>
        <v>GEUS Well Info</v>
      </c>
      <c r="P169" s="9" t="s">
        <v>1670</v>
      </c>
    </row>
    <row r="170" spans="1:16" x14ac:dyDescent="0.25">
      <c r="A170" t="s">
        <v>601</v>
      </c>
      <c r="B170" s="1" t="s">
        <v>602</v>
      </c>
      <c r="C170" t="s">
        <v>16</v>
      </c>
      <c r="D170" s="1" t="s">
        <v>163</v>
      </c>
      <c r="E170" t="s">
        <v>234</v>
      </c>
      <c r="F170" s="2" t="s">
        <v>536</v>
      </c>
      <c r="G170" t="s">
        <v>603</v>
      </c>
      <c r="H170" t="s">
        <v>604</v>
      </c>
      <c r="I170">
        <v>56.219230555555555</v>
      </c>
      <c r="J170">
        <v>3.7324416666666669</v>
      </c>
      <c r="K170" s="3">
        <v>31906</v>
      </c>
      <c r="L170" s="3">
        <v>31970</v>
      </c>
      <c r="M170" t="s">
        <v>173</v>
      </c>
      <c r="N170" t="s">
        <v>23</v>
      </c>
      <c r="O170" s="6" t="str">
        <f t="shared" si="2"/>
        <v>GEUS Well Info</v>
      </c>
      <c r="P170" s="8" t="s">
        <v>1670</v>
      </c>
    </row>
    <row r="171" spans="1:16" x14ac:dyDescent="0.25">
      <c r="A171" t="s">
        <v>751</v>
      </c>
      <c r="B171" s="1" t="s">
        <v>752</v>
      </c>
      <c r="C171" t="s">
        <v>16</v>
      </c>
      <c r="D171" s="1" t="s">
        <v>753</v>
      </c>
      <c r="E171" t="s">
        <v>754</v>
      </c>
      <c r="F171" t="s">
        <v>755</v>
      </c>
      <c r="G171" t="s">
        <v>756</v>
      </c>
      <c r="H171" t="s">
        <v>757</v>
      </c>
      <c r="I171">
        <v>57.438222222222223</v>
      </c>
      <c r="J171">
        <v>8.3113944444444439</v>
      </c>
      <c r="K171" s="3">
        <v>31962</v>
      </c>
      <c r="L171" s="3">
        <v>32113</v>
      </c>
      <c r="M171" t="s">
        <v>173</v>
      </c>
      <c r="N171" t="s">
        <v>23</v>
      </c>
      <c r="O171" s="6" t="str">
        <f t="shared" si="2"/>
        <v>GEUS Well Info</v>
      </c>
      <c r="P171" s="9" t="s">
        <v>1670</v>
      </c>
    </row>
    <row r="172" spans="1:16" x14ac:dyDescent="0.25">
      <c r="A172" t="s">
        <v>758</v>
      </c>
      <c r="B172" s="1" t="s">
        <v>759</v>
      </c>
      <c r="C172" t="s">
        <v>209</v>
      </c>
      <c r="D172" s="1" t="s">
        <v>163</v>
      </c>
      <c r="E172" t="s">
        <v>314</v>
      </c>
      <c r="F172" t="s">
        <v>536</v>
      </c>
      <c r="G172" t="s">
        <v>760</v>
      </c>
      <c r="H172" t="s">
        <v>761</v>
      </c>
      <c r="I172">
        <v>56.21200833333333</v>
      </c>
      <c r="J172">
        <v>3.7636166666666666</v>
      </c>
      <c r="K172" s="3">
        <v>31979</v>
      </c>
      <c r="L172" s="3">
        <v>32078</v>
      </c>
      <c r="M172" t="s">
        <v>173</v>
      </c>
      <c r="N172" t="s">
        <v>23</v>
      </c>
      <c r="O172" s="6" t="str">
        <f t="shared" si="2"/>
        <v>GEUS Well Info</v>
      </c>
      <c r="P172" s="8" t="s">
        <v>1670</v>
      </c>
    </row>
    <row r="173" spans="1:16" x14ac:dyDescent="0.25">
      <c r="A173" t="s">
        <v>762</v>
      </c>
      <c r="B173" s="1" t="s">
        <v>763</v>
      </c>
      <c r="C173" t="s">
        <v>764</v>
      </c>
      <c r="D173" s="1" t="s">
        <v>371</v>
      </c>
      <c r="E173" t="s">
        <v>682</v>
      </c>
      <c r="F173" t="s">
        <v>748</v>
      </c>
      <c r="G173" t="s">
        <v>765</v>
      </c>
      <c r="H173" t="s">
        <v>766</v>
      </c>
      <c r="I173">
        <v>55.538147222222221</v>
      </c>
      <c r="J173">
        <v>11.610880555555555</v>
      </c>
      <c r="K173" s="3">
        <v>31985</v>
      </c>
      <c r="L173" s="3">
        <v>32017</v>
      </c>
      <c r="M173" t="s">
        <v>22</v>
      </c>
      <c r="N173" t="s">
        <v>23</v>
      </c>
      <c r="O173" s="6" t="str">
        <f t="shared" si="2"/>
        <v>GEUS Well Info</v>
      </c>
      <c r="P173" s="9" t="s">
        <v>1670</v>
      </c>
    </row>
    <row r="174" spans="1:16" x14ac:dyDescent="0.25">
      <c r="A174" t="s">
        <v>767</v>
      </c>
      <c r="B174" s="1" t="s">
        <v>768</v>
      </c>
      <c r="C174" t="s">
        <v>16</v>
      </c>
      <c r="D174" s="1" t="s">
        <v>769</v>
      </c>
      <c r="E174" t="s">
        <v>717</v>
      </c>
      <c r="F174" t="s">
        <v>770</v>
      </c>
      <c r="G174" t="s">
        <v>771</v>
      </c>
      <c r="H174" t="s">
        <v>772</v>
      </c>
      <c r="I174">
        <v>56.390433333333334</v>
      </c>
      <c r="J174">
        <v>5.9746416666666669</v>
      </c>
      <c r="K174" s="3">
        <v>32000</v>
      </c>
      <c r="L174" s="3">
        <v>32044</v>
      </c>
      <c r="M174" t="s">
        <v>173</v>
      </c>
      <c r="N174" t="s">
        <v>23</v>
      </c>
      <c r="O174" s="6" t="str">
        <f t="shared" si="2"/>
        <v>GEUS Well Info</v>
      </c>
      <c r="P174" s="8" t="s">
        <v>1670</v>
      </c>
    </row>
    <row r="175" spans="1:16" x14ac:dyDescent="0.25">
      <c r="A175" t="s">
        <v>773</v>
      </c>
      <c r="B175" s="1" t="s">
        <v>774</v>
      </c>
      <c r="C175" t="s">
        <v>16</v>
      </c>
      <c r="D175" s="1" t="s">
        <v>163</v>
      </c>
      <c r="E175" t="s">
        <v>314</v>
      </c>
      <c r="F175" t="s">
        <v>775</v>
      </c>
      <c r="G175" t="s">
        <v>776</v>
      </c>
      <c r="H175" t="s">
        <v>777</v>
      </c>
      <c r="I175">
        <v>55.567747222222224</v>
      </c>
      <c r="J175">
        <v>4.7639750000000003</v>
      </c>
      <c r="K175" s="3">
        <v>32007</v>
      </c>
      <c r="L175" s="3">
        <v>32115</v>
      </c>
      <c r="M175" t="s">
        <v>173</v>
      </c>
      <c r="N175" t="s">
        <v>23</v>
      </c>
      <c r="O175" s="6" t="str">
        <f t="shared" si="2"/>
        <v>GEUS Well Info</v>
      </c>
      <c r="P175" s="9" t="s">
        <v>1670</v>
      </c>
    </row>
    <row r="176" spans="1:16" x14ac:dyDescent="0.25">
      <c r="A176" t="s">
        <v>778</v>
      </c>
      <c r="B176" s="1" t="s">
        <v>779</v>
      </c>
      <c r="C176" t="s">
        <v>764</v>
      </c>
      <c r="D176" s="1" t="s">
        <v>371</v>
      </c>
      <c r="E176" t="s">
        <v>682</v>
      </c>
      <c r="F176" t="s">
        <v>748</v>
      </c>
      <c r="G176" t="s">
        <v>780</v>
      </c>
      <c r="H176" t="s">
        <v>781</v>
      </c>
      <c r="I176">
        <v>55.538055555555559</v>
      </c>
      <c r="J176">
        <v>11.605</v>
      </c>
      <c r="K176" s="3">
        <v>32019</v>
      </c>
      <c r="L176" s="3">
        <v>32036</v>
      </c>
      <c r="M176" t="s">
        <v>22</v>
      </c>
      <c r="N176" t="s">
        <v>23</v>
      </c>
      <c r="O176" s="6" t="str">
        <f t="shared" si="2"/>
        <v>GEUS Well Info</v>
      </c>
      <c r="P176" s="8" t="s">
        <v>1670</v>
      </c>
    </row>
    <row r="177" spans="1:16" x14ac:dyDescent="0.25">
      <c r="A177" t="s">
        <v>782</v>
      </c>
      <c r="B177" s="1" t="s">
        <v>783</v>
      </c>
      <c r="C177" t="s">
        <v>209</v>
      </c>
      <c r="D177" s="1" t="s">
        <v>730</v>
      </c>
      <c r="E177" t="s">
        <v>654</v>
      </c>
      <c r="F177" s="2" t="s">
        <v>501</v>
      </c>
      <c r="G177" t="s">
        <v>784</v>
      </c>
      <c r="H177" t="s">
        <v>785</v>
      </c>
      <c r="I177">
        <v>55.842758333333336</v>
      </c>
      <c r="J177">
        <v>4.2278583333333337</v>
      </c>
      <c r="K177" s="3">
        <v>32036</v>
      </c>
      <c r="L177" s="3">
        <v>32098</v>
      </c>
      <c r="M177" t="s">
        <v>173</v>
      </c>
      <c r="N177" t="s">
        <v>23</v>
      </c>
      <c r="O177" s="6" t="str">
        <f t="shared" si="2"/>
        <v>GEUS Well Info</v>
      </c>
      <c r="P177" s="9" t="s">
        <v>1670</v>
      </c>
    </row>
    <row r="178" spans="1:16" x14ac:dyDescent="0.25">
      <c r="A178" t="s">
        <v>786</v>
      </c>
      <c r="B178" s="1" t="s">
        <v>787</v>
      </c>
      <c r="C178" t="s">
        <v>209</v>
      </c>
      <c r="D178" s="1" t="s">
        <v>163</v>
      </c>
      <c r="E178" t="s">
        <v>314</v>
      </c>
      <c r="F178" t="s">
        <v>788</v>
      </c>
      <c r="G178" t="s">
        <v>789</v>
      </c>
      <c r="H178" t="s">
        <v>790</v>
      </c>
      <c r="I178">
        <v>55.788516666666666</v>
      </c>
      <c r="J178">
        <v>4.317911111111111</v>
      </c>
      <c r="K178" s="3">
        <v>32096</v>
      </c>
      <c r="L178" s="3">
        <v>32294</v>
      </c>
      <c r="M178" t="s">
        <v>173</v>
      </c>
      <c r="N178" t="s">
        <v>23</v>
      </c>
      <c r="O178" s="6" t="str">
        <f t="shared" si="2"/>
        <v>GEUS Well Info</v>
      </c>
      <c r="P178" s="8" t="s">
        <v>1670</v>
      </c>
    </row>
    <row r="179" spans="1:16" x14ac:dyDescent="0.25">
      <c r="A179" t="s">
        <v>791</v>
      </c>
      <c r="B179" s="1" t="s">
        <v>792</v>
      </c>
      <c r="C179" t="s">
        <v>16</v>
      </c>
      <c r="D179" s="1" t="s">
        <v>793</v>
      </c>
      <c r="E179" t="s">
        <v>794</v>
      </c>
      <c r="F179" t="s">
        <v>755</v>
      </c>
      <c r="G179" t="s">
        <v>795</v>
      </c>
      <c r="H179" t="s">
        <v>796</v>
      </c>
      <c r="I179">
        <v>56.184477777777779</v>
      </c>
      <c r="J179">
        <v>3.9100138888888889</v>
      </c>
      <c r="K179" s="3">
        <v>32121</v>
      </c>
      <c r="L179" s="3">
        <v>32204</v>
      </c>
      <c r="M179" t="s">
        <v>173</v>
      </c>
      <c r="N179" t="s">
        <v>23</v>
      </c>
      <c r="O179" s="6" t="str">
        <f t="shared" si="2"/>
        <v>GEUS Well Info</v>
      </c>
      <c r="P179" s="9" t="s">
        <v>1670</v>
      </c>
    </row>
    <row r="180" spans="1:16" x14ac:dyDescent="0.25">
      <c r="A180" t="s">
        <v>797</v>
      </c>
      <c r="B180" s="1" t="s">
        <v>798</v>
      </c>
      <c r="C180" t="s">
        <v>16</v>
      </c>
      <c r="D180" s="1" t="s">
        <v>799</v>
      </c>
      <c r="E180" t="s">
        <v>800</v>
      </c>
      <c r="F180" t="s">
        <v>801</v>
      </c>
      <c r="G180" t="s">
        <v>802</v>
      </c>
      <c r="H180" t="s">
        <v>803</v>
      </c>
      <c r="I180">
        <v>55.049174999999998</v>
      </c>
      <c r="J180">
        <v>8.8063638888888889</v>
      </c>
      <c r="K180" s="3">
        <v>32251</v>
      </c>
      <c r="L180" s="3">
        <v>32292</v>
      </c>
      <c r="M180" t="s">
        <v>22</v>
      </c>
      <c r="N180" t="s">
        <v>23</v>
      </c>
      <c r="O180" s="6" t="str">
        <f t="shared" si="2"/>
        <v>GEUS Well Info</v>
      </c>
      <c r="P180" s="8" t="s">
        <v>1670</v>
      </c>
    </row>
    <row r="181" spans="1:16" x14ac:dyDescent="0.25">
      <c r="A181" t="s">
        <v>804</v>
      </c>
      <c r="B181" s="1" t="s">
        <v>805</v>
      </c>
      <c r="C181" t="s">
        <v>16</v>
      </c>
      <c r="D181" s="1" t="s">
        <v>806</v>
      </c>
      <c r="E181" t="s">
        <v>754</v>
      </c>
      <c r="F181" t="s">
        <v>536</v>
      </c>
      <c r="G181" t="s">
        <v>807</v>
      </c>
      <c r="H181" t="s">
        <v>808</v>
      </c>
      <c r="I181">
        <v>56.170308333333331</v>
      </c>
      <c r="J181">
        <v>4.4447055555555552</v>
      </c>
      <c r="K181" s="3">
        <v>32298</v>
      </c>
      <c r="L181" s="3">
        <v>32405</v>
      </c>
      <c r="M181" t="s">
        <v>173</v>
      </c>
      <c r="N181" t="s">
        <v>23</v>
      </c>
      <c r="O181" s="6" t="str">
        <f t="shared" si="2"/>
        <v>GEUS Well Info</v>
      </c>
      <c r="P181" s="9" t="s">
        <v>1670</v>
      </c>
    </row>
    <row r="182" spans="1:16" x14ac:dyDescent="0.25">
      <c r="A182" t="s">
        <v>809</v>
      </c>
      <c r="B182" s="1" t="s">
        <v>810</v>
      </c>
      <c r="C182" t="s">
        <v>764</v>
      </c>
      <c r="D182" s="1" t="s">
        <v>371</v>
      </c>
      <c r="E182" t="s">
        <v>800</v>
      </c>
      <c r="F182" t="s">
        <v>748</v>
      </c>
      <c r="G182" t="s">
        <v>811</v>
      </c>
      <c r="H182" t="s">
        <v>812</v>
      </c>
      <c r="I182">
        <v>55.518463888888888</v>
      </c>
      <c r="J182">
        <v>11.587138888888889</v>
      </c>
      <c r="K182" s="3">
        <v>32343</v>
      </c>
      <c r="L182" s="3">
        <v>32364</v>
      </c>
      <c r="M182" t="s">
        <v>22</v>
      </c>
      <c r="N182" t="s">
        <v>23</v>
      </c>
      <c r="O182" s="6" t="str">
        <f t="shared" si="2"/>
        <v>GEUS Well Info</v>
      </c>
      <c r="P182" s="8" t="s">
        <v>1670</v>
      </c>
    </row>
    <row r="183" spans="1:16" x14ac:dyDescent="0.25">
      <c r="A183" t="s">
        <v>813</v>
      </c>
      <c r="B183" s="1" t="s">
        <v>814</v>
      </c>
      <c r="C183" t="s">
        <v>764</v>
      </c>
      <c r="D183" s="1" t="s">
        <v>371</v>
      </c>
      <c r="E183" t="s">
        <v>682</v>
      </c>
      <c r="F183" t="s">
        <v>748</v>
      </c>
      <c r="G183" t="s">
        <v>815</v>
      </c>
      <c r="H183" t="s">
        <v>816</v>
      </c>
      <c r="I183">
        <v>55.535625000000003</v>
      </c>
      <c r="J183">
        <v>11.6259</v>
      </c>
      <c r="K183" s="3">
        <v>32369</v>
      </c>
      <c r="L183" s="3">
        <v>32389</v>
      </c>
      <c r="M183" t="s">
        <v>22</v>
      </c>
      <c r="N183" t="s">
        <v>23</v>
      </c>
      <c r="O183" s="6" t="str">
        <f t="shared" si="2"/>
        <v>GEUS Well Info</v>
      </c>
      <c r="P183" s="9" t="s">
        <v>1670</v>
      </c>
    </row>
    <row r="184" spans="1:16" x14ac:dyDescent="0.25">
      <c r="A184" t="s">
        <v>817</v>
      </c>
      <c r="B184" s="1" t="s">
        <v>818</v>
      </c>
      <c r="C184" t="s">
        <v>764</v>
      </c>
      <c r="D184" s="1" t="s">
        <v>371</v>
      </c>
      <c r="E184" t="s">
        <v>800</v>
      </c>
      <c r="F184" t="s">
        <v>748</v>
      </c>
      <c r="G184" t="s">
        <v>819</v>
      </c>
      <c r="H184" t="s">
        <v>820</v>
      </c>
      <c r="I184">
        <v>55.557986111111113</v>
      </c>
      <c r="J184">
        <v>11.652366666666667</v>
      </c>
      <c r="K184" s="3">
        <v>32393</v>
      </c>
      <c r="L184" s="3">
        <v>32413</v>
      </c>
      <c r="M184" t="s">
        <v>22</v>
      </c>
      <c r="N184" t="s">
        <v>23</v>
      </c>
      <c r="O184" s="6" t="str">
        <f t="shared" si="2"/>
        <v>GEUS Well Info</v>
      </c>
      <c r="P184" s="8" t="s">
        <v>1670</v>
      </c>
    </row>
    <row r="185" spans="1:16" x14ac:dyDescent="0.25">
      <c r="A185" t="s">
        <v>821</v>
      </c>
      <c r="B185" s="1" t="s">
        <v>822</v>
      </c>
      <c r="C185" t="s">
        <v>16</v>
      </c>
      <c r="D185" s="1" t="s">
        <v>823</v>
      </c>
      <c r="E185" t="s">
        <v>800</v>
      </c>
      <c r="F185" t="s">
        <v>788</v>
      </c>
      <c r="G185" t="s">
        <v>824</v>
      </c>
      <c r="H185" t="s">
        <v>825</v>
      </c>
      <c r="I185">
        <v>55.938633333333335</v>
      </c>
      <c r="J185">
        <v>3.5420222222222222</v>
      </c>
      <c r="K185" s="3">
        <v>32491</v>
      </c>
      <c r="L185" s="3">
        <v>32543</v>
      </c>
      <c r="M185" t="s">
        <v>173</v>
      </c>
      <c r="N185" t="s">
        <v>23</v>
      </c>
      <c r="O185" s="6" t="str">
        <f t="shared" si="2"/>
        <v>GEUS Well Info</v>
      </c>
      <c r="P185" s="9" t="s">
        <v>1670</v>
      </c>
    </row>
    <row r="186" spans="1:16" x14ac:dyDescent="0.25">
      <c r="A186" t="s">
        <v>826</v>
      </c>
      <c r="B186" s="1" t="s">
        <v>827</v>
      </c>
      <c r="C186" t="s">
        <v>16</v>
      </c>
      <c r="D186" s="1" t="s">
        <v>828</v>
      </c>
      <c r="E186" t="s">
        <v>794</v>
      </c>
      <c r="F186" t="s">
        <v>829</v>
      </c>
      <c r="G186" t="s">
        <v>830</v>
      </c>
      <c r="H186" t="s">
        <v>831</v>
      </c>
      <c r="I186">
        <v>55.015025000000001</v>
      </c>
      <c r="J186">
        <v>14.311983333333334</v>
      </c>
      <c r="K186" s="3">
        <v>32607</v>
      </c>
      <c r="L186" s="3">
        <v>32665</v>
      </c>
      <c r="M186" t="s">
        <v>173</v>
      </c>
      <c r="N186" t="s">
        <v>23</v>
      </c>
      <c r="O186" s="6" t="str">
        <f t="shared" si="2"/>
        <v>GEUS Well Info</v>
      </c>
      <c r="P186" s="8" t="s">
        <v>1670</v>
      </c>
    </row>
    <row r="187" spans="1:16" x14ac:dyDescent="0.25">
      <c r="A187" t="s">
        <v>832</v>
      </c>
      <c r="B187" s="1" t="s">
        <v>833</v>
      </c>
      <c r="C187" t="s">
        <v>16</v>
      </c>
      <c r="D187" s="1" t="s">
        <v>834</v>
      </c>
      <c r="E187" t="s">
        <v>654</v>
      </c>
      <c r="F187" t="s">
        <v>829</v>
      </c>
      <c r="G187" t="s">
        <v>835</v>
      </c>
      <c r="H187" t="s">
        <v>836</v>
      </c>
      <c r="I187">
        <v>54.788866666666664</v>
      </c>
      <c r="J187">
        <v>14.62876111111111</v>
      </c>
      <c r="K187" s="3">
        <v>32671</v>
      </c>
      <c r="L187" s="3">
        <v>32700</v>
      </c>
      <c r="M187" t="s">
        <v>173</v>
      </c>
      <c r="N187" t="s">
        <v>23</v>
      </c>
      <c r="O187" s="6" t="str">
        <f t="shared" si="2"/>
        <v>GEUS Well Info</v>
      </c>
      <c r="P187" s="9" t="s">
        <v>1670</v>
      </c>
    </row>
    <row r="188" spans="1:16" x14ac:dyDescent="0.25">
      <c r="A188" t="s">
        <v>837</v>
      </c>
      <c r="B188" s="1" t="s">
        <v>838</v>
      </c>
      <c r="C188" t="s">
        <v>16</v>
      </c>
      <c r="D188" s="1" t="s">
        <v>730</v>
      </c>
      <c r="E188" t="s">
        <v>654</v>
      </c>
      <c r="F188" t="s">
        <v>829</v>
      </c>
      <c r="G188" t="s">
        <v>839</v>
      </c>
      <c r="H188" t="s">
        <v>840</v>
      </c>
      <c r="I188">
        <v>55.833622222222225</v>
      </c>
      <c r="J188">
        <v>4.313625</v>
      </c>
      <c r="K188" s="3">
        <v>32713</v>
      </c>
      <c r="L188" s="3">
        <v>32756</v>
      </c>
      <c r="M188" t="s">
        <v>173</v>
      </c>
      <c r="N188" t="s">
        <v>23</v>
      </c>
      <c r="O188" s="6" t="str">
        <f t="shared" si="2"/>
        <v>GEUS Well Info</v>
      </c>
      <c r="P188" s="8" t="s">
        <v>1670</v>
      </c>
    </row>
    <row r="189" spans="1:16" x14ac:dyDescent="0.25">
      <c r="A189" t="s">
        <v>841</v>
      </c>
      <c r="B189" s="1" t="s">
        <v>842</v>
      </c>
      <c r="C189" t="s">
        <v>209</v>
      </c>
      <c r="D189" s="1" t="s">
        <v>163</v>
      </c>
      <c r="E189" t="s">
        <v>314</v>
      </c>
      <c r="F189" t="s">
        <v>536</v>
      </c>
      <c r="G189" t="s">
        <v>843</v>
      </c>
      <c r="H189" t="s">
        <v>844</v>
      </c>
      <c r="I189">
        <v>56.221613888888889</v>
      </c>
      <c r="J189">
        <v>3.7298805555555554</v>
      </c>
      <c r="K189" s="3">
        <v>32814</v>
      </c>
      <c r="L189" s="3">
        <v>33009</v>
      </c>
      <c r="M189" t="s">
        <v>173</v>
      </c>
      <c r="N189" t="s">
        <v>23</v>
      </c>
      <c r="O189" s="6" t="str">
        <f t="shared" si="2"/>
        <v>GEUS Well Info</v>
      </c>
      <c r="P189" s="9" t="s">
        <v>1670</v>
      </c>
    </row>
    <row r="190" spans="1:16" x14ac:dyDescent="0.25">
      <c r="A190" t="s">
        <v>845</v>
      </c>
      <c r="B190" s="1" t="s">
        <v>846</v>
      </c>
      <c r="C190" t="s">
        <v>16</v>
      </c>
      <c r="D190" s="1" t="s">
        <v>163</v>
      </c>
      <c r="E190" t="s">
        <v>314</v>
      </c>
      <c r="F190" t="s">
        <v>847</v>
      </c>
      <c r="G190" t="s">
        <v>848</v>
      </c>
      <c r="H190" t="s">
        <v>849</v>
      </c>
      <c r="I190">
        <v>55.482608333333332</v>
      </c>
      <c r="J190">
        <v>5.2091972222222225</v>
      </c>
      <c r="K190" s="3">
        <v>32950</v>
      </c>
      <c r="L190" s="3">
        <v>33101</v>
      </c>
      <c r="M190" t="s">
        <v>173</v>
      </c>
      <c r="N190" t="s">
        <v>23</v>
      </c>
      <c r="O190" s="6" t="str">
        <f t="shared" si="2"/>
        <v>GEUS Well Info</v>
      </c>
      <c r="P190" s="8" t="s">
        <v>1670</v>
      </c>
    </row>
    <row r="191" spans="1:16" x14ac:dyDescent="0.25">
      <c r="A191" t="s">
        <v>850</v>
      </c>
      <c r="B191" s="1" t="s">
        <v>851</v>
      </c>
      <c r="C191" t="s">
        <v>16</v>
      </c>
      <c r="D191" s="1" t="s">
        <v>806</v>
      </c>
      <c r="E191" t="s">
        <v>754</v>
      </c>
      <c r="F191" t="s">
        <v>788</v>
      </c>
      <c r="G191" t="s">
        <v>852</v>
      </c>
      <c r="H191" t="s">
        <v>853</v>
      </c>
      <c r="I191">
        <v>56.244297222222222</v>
      </c>
      <c r="J191">
        <v>4.3673027777777778</v>
      </c>
      <c r="K191" s="3">
        <v>33086</v>
      </c>
      <c r="L191" s="3">
        <v>33406</v>
      </c>
      <c r="M191" t="s">
        <v>173</v>
      </c>
      <c r="N191" t="s">
        <v>23</v>
      </c>
      <c r="O191" s="6" t="str">
        <f t="shared" si="2"/>
        <v>GEUS Well Info</v>
      </c>
      <c r="P191" s="9" t="s">
        <v>1670</v>
      </c>
    </row>
    <row r="192" spans="1:16" x14ac:dyDescent="0.25">
      <c r="A192" t="s">
        <v>854</v>
      </c>
      <c r="B192" s="1" t="s">
        <v>855</v>
      </c>
      <c r="C192" t="s">
        <v>764</v>
      </c>
      <c r="D192" s="1" t="s">
        <v>371</v>
      </c>
      <c r="E192" t="s">
        <v>800</v>
      </c>
      <c r="F192" t="s">
        <v>655</v>
      </c>
      <c r="G192" t="s">
        <v>856</v>
      </c>
      <c r="H192" t="s">
        <v>857</v>
      </c>
      <c r="I192">
        <v>55.538333333333334</v>
      </c>
      <c r="J192">
        <v>11.6075</v>
      </c>
      <c r="K192" s="3">
        <v>33126</v>
      </c>
      <c r="L192" s="3">
        <v>33224</v>
      </c>
      <c r="M192" t="s">
        <v>22</v>
      </c>
      <c r="N192" t="s">
        <v>23</v>
      </c>
      <c r="O192" s="6" t="str">
        <f t="shared" si="2"/>
        <v>GEUS Well Info</v>
      </c>
      <c r="P192" s="8" t="s">
        <v>1670</v>
      </c>
    </row>
    <row r="193" spans="1:16" x14ac:dyDescent="0.25">
      <c r="A193" t="s">
        <v>858</v>
      </c>
      <c r="B193" s="1" t="s">
        <v>859</v>
      </c>
      <c r="C193" t="s">
        <v>209</v>
      </c>
      <c r="D193" s="1" t="s">
        <v>163</v>
      </c>
      <c r="E193" t="s">
        <v>314</v>
      </c>
      <c r="F193" s="2" t="s">
        <v>860</v>
      </c>
      <c r="G193" t="s">
        <v>861</v>
      </c>
      <c r="H193" t="s">
        <v>862</v>
      </c>
      <c r="I193">
        <v>55.67348611111111</v>
      </c>
      <c r="J193">
        <v>4.8864194444444449</v>
      </c>
      <c r="K193" s="3">
        <v>33274</v>
      </c>
      <c r="L193" s="3">
        <v>33369</v>
      </c>
      <c r="M193" t="s">
        <v>173</v>
      </c>
      <c r="N193" t="s">
        <v>23</v>
      </c>
      <c r="O193" s="6" t="str">
        <f t="shared" si="2"/>
        <v>GEUS Well Info</v>
      </c>
      <c r="P193" s="9" t="s">
        <v>1670</v>
      </c>
    </row>
    <row r="194" spans="1:16" x14ac:dyDescent="0.25">
      <c r="A194" t="s">
        <v>863</v>
      </c>
      <c r="B194" s="1" t="s">
        <v>864</v>
      </c>
      <c r="C194" t="s">
        <v>16</v>
      </c>
      <c r="D194" s="1" t="s">
        <v>163</v>
      </c>
      <c r="E194" t="s">
        <v>314</v>
      </c>
      <c r="F194" t="s">
        <v>865</v>
      </c>
      <c r="G194" t="s">
        <v>866</v>
      </c>
      <c r="H194" t="s">
        <v>867</v>
      </c>
      <c r="I194">
        <v>55.556508333333333</v>
      </c>
      <c r="J194">
        <v>4.8975055555555551</v>
      </c>
      <c r="K194" s="3">
        <v>33368</v>
      </c>
      <c r="L194" s="3">
        <v>33503</v>
      </c>
      <c r="M194" t="s">
        <v>173</v>
      </c>
      <c r="N194" t="s">
        <v>23</v>
      </c>
      <c r="O194" s="6" t="str">
        <f t="shared" ref="O194:O257" si="3">IF(N194="YES",HYPERLINK("http://data.geus.dk/geusmapmore/samba/info_samba.jsp?iSector=DANISH&amp;iWellName="&amp;A194,"GEUS Well Info"),"")</f>
        <v>GEUS Well Info</v>
      </c>
      <c r="P194" s="8" t="s">
        <v>1670</v>
      </c>
    </row>
    <row r="195" spans="1:16" x14ac:dyDescent="0.25">
      <c r="A195" t="s">
        <v>868</v>
      </c>
      <c r="B195" s="1" t="s">
        <v>869</v>
      </c>
      <c r="C195" t="s">
        <v>16</v>
      </c>
      <c r="D195" s="1" t="s">
        <v>870</v>
      </c>
      <c r="E195" t="s">
        <v>871</v>
      </c>
      <c r="F195" t="s">
        <v>788</v>
      </c>
      <c r="G195" t="s">
        <v>872</v>
      </c>
      <c r="H195" t="s">
        <v>873</v>
      </c>
      <c r="I195">
        <v>55.952611111111111</v>
      </c>
      <c r="J195">
        <v>3.9735</v>
      </c>
      <c r="K195" s="3">
        <v>33413</v>
      </c>
      <c r="L195" s="3">
        <v>33504</v>
      </c>
      <c r="M195" t="s">
        <v>173</v>
      </c>
      <c r="N195" t="s">
        <v>23</v>
      </c>
      <c r="O195" s="6" t="str">
        <f t="shared" si="3"/>
        <v>GEUS Well Info</v>
      </c>
      <c r="P195" s="9" t="s">
        <v>1670</v>
      </c>
    </row>
    <row r="196" spans="1:16" x14ac:dyDescent="0.25">
      <c r="A196" t="s">
        <v>874</v>
      </c>
      <c r="B196" s="1" t="s">
        <v>875</v>
      </c>
      <c r="C196" t="s">
        <v>16</v>
      </c>
      <c r="D196" s="1" t="s">
        <v>876</v>
      </c>
      <c r="E196" t="s">
        <v>794</v>
      </c>
      <c r="F196" t="s">
        <v>877</v>
      </c>
      <c r="G196" t="s">
        <v>878</v>
      </c>
      <c r="H196" t="s">
        <v>879</v>
      </c>
      <c r="I196">
        <v>56.028966666666669</v>
      </c>
      <c r="J196">
        <v>4.2580444444444447</v>
      </c>
      <c r="K196" s="3">
        <v>33444</v>
      </c>
      <c r="L196" s="3">
        <v>33451</v>
      </c>
      <c r="M196" t="s">
        <v>173</v>
      </c>
      <c r="N196" t="s">
        <v>23</v>
      </c>
      <c r="O196" s="6" t="str">
        <f t="shared" si="3"/>
        <v>GEUS Well Info</v>
      </c>
      <c r="P196" s="8" t="s">
        <v>1670</v>
      </c>
    </row>
    <row r="197" spans="1:16" x14ac:dyDescent="0.25">
      <c r="A197" t="s">
        <v>880</v>
      </c>
      <c r="B197" s="1" t="s">
        <v>881</v>
      </c>
      <c r="C197" t="s">
        <v>16</v>
      </c>
      <c r="D197" s="1" t="s">
        <v>876</v>
      </c>
      <c r="E197" t="s">
        <v>794</v>
      </c>
      <c r="F197" t="s">
        <v>877</v>
      </c>
      <c r="G197" t="s">
        <v>882</v>
      </c>
      <c r="H197" t="s">
        <v>883</v>
      </c>
      <c r="I197">
        <v>56.028799999999997</v>
      </c>
      <c r="J197">
        <v>4.2581749999999996</v>
      </c>
      <c r="K197" s="3">
        <v>33451</v>
      </c>
      <c r="L197" s="3">
        <v>33616</v>
      </c>
      <c r="M197" t="s">
        <v>173</v>
      </c>
      <c r="N197" t="s">
        <v>23</v>
      </c>
      <c r="O197" s="6" t="str">
        <f t="shared" si="3"/>
        <v>GEUS Well Info</v>
      </c>
      <c r="P197" s="9" t="s">
        <v>1670</v>
      </c>
    </row>
    <row r="198" spans="1:16" x14ac:dyDescent="0.25">
      <c r="A198" t="s">
        <v>884</v>
      </c>
      <c r="B198" s="1" t="s">
        <v>885</v>
      </c>
      <c r="C198" t="s">
        <v>594</v>
      </c>
      <c r="D198" s="1" t="s">
        <v>163</v>
      </c>
      <c r="E198" t="s">
        <v>314</v>
      </c>
      <c r="F198" s="2" t="s">
        <v>536</v>
      </c>
      <c r="G198" t="s">
        <v>886</v>
      </c>
      <c r="H198" t="s">
        <v>887</v>
      </c>
      <c r="I198">
        <v>55.788355555555555</v>
      </c>
      <c r="J198">
        <v>4.366969444444444</v>
      </c>
      <c r="K198" s="3">
        <v>33493</v>
      </c>
      <c r="L198" s="3">
        <v>33646</v>
      </c>
      <c r="M198" t="s">
        <v>173</v>
      </c>
      <c r="N198" t="s">
        <v>23</v>
      </c>
      <c r="O198" s="6" t="str">
        <f t="shared" si="3"/>
        <v>GEUS Well Info</v>
      </c>
      <c r="P198" s="8" t="s">
        <v>1670</v>
      </c>
    </row>
    <row r="199" spans="1:16" x14ac:dyDescent="0.25">
      <c r="A199" t="s">
        <v>888</v>
      </c>
      <c r="B199" s="1" t="s">
        <v>889</v>
      </c>
      <c r="C199" t="s">
        <v>890</v>
      </c>
      <c r="D199" s="1" t="s">
        <v>163</v>
      </c>
      <c r="E199" t="s">
        <v>314</v>
      </c>
      <c r="F199" t="s">
        <v>847</v>
      </c>
      <c r="G199" t="s">
        <v>891</v>
      </c>
      <c r="H199" t="s">
        <v>892</v>
      </c>
      <c r="I199">
        <v>55.715480555555558</v>
      </c>
      <c r="J199">
        <v>4.7488444444444449</v>
      </c>
      <c r="K199" s="3">
        <v>33495</v>
      </c>
      <c r="L199" s="3">
        <v>33620</v>
      </c>
      <c r="M199" t="s">
        <v>173</v>
      </c>
      <c r="N199" t="s">
        <v>23</v>
      </c>
      <c r="O199" s="6" t="str">
        <f t="shared" si="3"/>
        <v>GEUS Well Info</v>
      </c>
      <c r="P199" s="9" t="s">
        <v>1670</v>
      </c>
    </row>
    <row r="200" spans="1:16" x14ac:dyDescent="0.25">
      <c r="A200" t="s">
        <v>893</v>
      </c>
      <c r="B200" s="1" t="s">
        <v>894</v>
      </c>
      <c r="C200" t="s">
        <v>764</v>
      </c>
      <c r="D200" s="1" t="s">
        <v>895</v>
      </c>
      <c r="E200" t="s">
        <v>800</v>
      </c>
      <c r="F200" t="s">
        <v>655</v>
      </c>
      <c r="G200" t="s">
        <v>896</v>
      </c>
      <c r="H200" t="s">
        <v>897</v>
      </c>
      <c r="I200">
        <v>55.538594444444442</v>
      </c>
      <c r="J200">
        <v>11.607172222222221</v>
      </c>
      <c r="K200" s="3">
        <v>33550</v>
      </c>
      <c r="L200" s="3">
        <v>33619</v>
      </c>
      <c r="M200" t="s">
        <v>22</v>
      </c>
      <c r="N200" t="s">
        <v>23</v>
      </c>
      <c r="O200" s="6" t="str">
        <f t="shared" si="3"/>
        <v>GEUS Well Info</v>
      </c>
      <c r="P200" s="8" t="s">
        <v>1670</v>
      </c>
    </row>
    <row r="201" spans="1:16" x14ac:dyDescent="0.25">
      <c r="A201" t="s">
        <v>898</v>
      </c>
      <c r="B201" s="1" t="s">
        <v>899</v>
      </c>
      <c r="C201" t="s">
        <v>573</v>
      </c>
      <c r="D201" s="1" t="s">
        <v>163</v>
      </c>
      <c r="E201" t="s">
        <v>314</v>
      </c>
      <c r="F201" t="s">
        <v>865</v>
      </c>
      <c r="G201" t="s">
        <v>900</v>
      </c>
      <c r="H201" t="s">
        <v>901</v>
      </c>
      <c r="I201">
        <v>55.716436111111108</v>
      </c>
      <c r="J201">
        <v>4.7498416666666667</v>
      </c>
      <c r="K201" s="3">
        <v>33600</v>
      </c>
      <c r="L201" s="3">
        <v>33689</v>
      </c>
      <c r="M201" t="s">
        <v>173</v>
      </c>
      <c r="N201" t="s">
        <v>23</v>
      </c>
      <c r="O201" s="6" t="str">
        <f t="shared" si="3"/>
        <v>GEUS Well Info</v>
      </c>
      <c r="P201" s="9" t="s">
        <v>1670</v>
      </c>
    </row>
    <row r="202" spans="1:16" x14ac:dyDescent="0.25">
      <c r="A202" t="s">
        <v>902</v>
      </c>
      <c r="B202" s="1" t="s">
        <v>903</v>
      </c>
      <c r="C202" t="s">
        <v>764</v>
      </c>
      <c r="D202" s="1" t="s">
        <v>895</v>
      </c>
      <c r="E202" t="s">
        <v>800</v>
      </c>
      <c r="F202" s="2" t="s">
        <v>655</v>
      </c>
      <c r="G202" t="s">
        <v>904</v>
      </c>
      <c r="H202" t="s">
        <v>905</v>
      </c>
      <c r="I202">
        <v>55.538327777777781</v>
      </c>
      <c r="J202">
        <v>11.607094444444444</v>
      </c>
      <c r="K202" s="3">
        <v>33625</v>
      </c>
      <c r="L202" s="3">
        <v>33660</v>
      </c>
      <c r="M202" t="s">
        <v>22</v>
      </c>
      <c r="N202" t="s">
        <v>23</v>
      </c>
      <c r="O202" s="6" t="str">
        <f t="shared" si="3"/>
        <v>GEUS Well Info</v>
      </c>
      <c r="P202" s="8" t="s">
        <v>1670</v>
      </c>
    </row>
    <row r="203" spans="1:16" x14ac:dyDescent="0.25">
      <c r="A203" t="s">
        <v>906</v>
      </c>
      <c r="B203" s="1" t="s">
        <v>907</v>
      </c>
      <c r="C203" t="s">
        <v>16</v>
      </c>
      <c r="D203" s="1" t="s">
        <v>163</v>
      </c>
      <c r="E203" t="s">
        <v>314</v>
      </c>
      <c r="F203" t="s">
        <v>847</v>
      </c>
      <c r="G203" t="s">
        <v>908</v>
      </c>
      <c r="H203" t="s">
        <v>909</v>
      </c>
      <c r="I203">
        <v>55.798972222222226</v>
      </c>
      <c r="J203">
        <v>4.9185222222222222</v>
      </c>
      <c r="K203" s="3">
        <v>33629</v>
      </c>
      <c r="L203" s="3">
        <v>33668</v>
      </c>
      <c r="M203" t="s">
        <v>173</v>
      </c>
      <c r="N203" t="s">
        <v>23</v>
      </c>
      <c r="O203" s="6" t="str">
        <f t="shared" si="3"/>
        <v>GEUS Well Info</v>
      </c>
      <c r="P203" s="9" t="s">
        <v>1670</v>
      </c>
    </row>
    <row r="204" spans="1:16" x14ac:dyDescent="0.25">
      <c r="A204" t="s">
        <v>910</v>
      </c>
      <c r="B204" s="1" t="s">
        <v>911</v>
      </c>
      <c r="C204" t="s">
        <v>209</v>
      </c>
      <c r="D204" s="1" t="s">
        <v>163</v>
      </c>
      <c r="E204" t="s">
        <v>314</v>
      </c>
      <c r="F204" t="s">
        <v>536</v>
      </c>
      <c r="G204" t="s">
        <v>912</v>
      </c>
      <c r="H204" t="s">
        <v>913</v>
      </c>
      <c r="I204">
        <v>55.584330555555553</v>
      </c>
      <c r="J204">
        <v>4.5973555555555556</v>
      </c>
      <c r="K204" s="3">
        <v>33656</v>
      </c>
      <c r="L204" s="3">
        <v>33705</v>
      </c>
      <c r="M204" t="s">
        <v>173</v>
      </c>
      <c r="N204" t="s">
        <v>23</v>
      </c>
      <c r="O204" s="6" t="str">
        <f t="shared" si="3"/>
        <v>GEUS Well Info</v>
      </c>
      <c r="P204" s="8" t="s">
        <v>1670</v>
      </c>
    </row>
    <row r="205" spans="1:16" x14ac:dyDescent="0.25">
      <c r="A205" t="s">
        <v>914</v>
      </c>
      <c r="B205" s="1" t="s">
        <v>915</v>
      </c>
      <c r="C205" t="s">
        <v>764</v>
      </c>
      <c r="D205" s="1" t="s">
        <v>895</v>
      </c>
      <c r="E205" t="s">
        <v>800</v>
      </c>
      <c r="F205" t="s">
        <v>655</v>
      </c>
      <c r="G205" t="s">
        <v>916</v>
      </c>
      <c r="H205" t="s">
        <v>917</v>
      </c>
      <c r="I205">
        <v>55.550036111111112</v>
      </c>
      <c r="J205">
        <v>11.599658333333334</v>
      </c>
      <c r="K205" s="3">
        <v>33660</v>
      </c>
      <c r="L205" s="3">
        <v>33690</v>
      </c>
      <c r="M205" t="s">
        <v>22</v>
      </c>
      <c r="N205" t="s">
        <v>23</v>
      </c>
      <c r="O205" s="6" t="str">
        <f t="shared" si="3"/>
        <v>GEUS Well Info</v>
      </c>
      <c r="P205" s="9" t="s">
        <v>1670</v>
      </c>
    </row>
    <row r="206" spans="1:16" x14ac:dyDescent="0.25">
      <c r="A206" t="s">
        <v>918</v>
      </c>
      <c r="B206" s="1" t="s">
        <v>919</v>
      </c>
      <c r="C206" t="s">
        <v>209</v>
      </c>
      <c r="D206" s="1" t="s">
        <v>163</v>
      </c>
      <c r="E206" t="s">
        <v>314</v>
      </c>
      <c r="F206" t="s">
        <v>847</v>
      </c>
      <c r="G206" t="s">
        <v>920</v>
      </c>
      <c r="H206" t="s">
        <v>921</v>
      </c>
      <c r="I206">
        <v>55.674722222222222</v>
      </c>
      <c r="J206">
        <v>4.8895027777777775</v>
      </c>
      <c r="K206" s="3">
        <v>33675</v>
      </c>
      <c r="L206" s="3">
        <v>33736</v>
      </c>
      <c r="M206" t="s">
        <v>173</v>
      </c>
      <c r="N206" t="s">
        <v>23</v>
      </c>
      <c r="O206" s="6" t="str">
        <f t="shared" si="3"/>
        <v>GEUS Well Info</v>
      </c>
      <c r="P206" s="8" t="s">
        <v>1670</v>
      </c>
    </row>
    <row r="207" spans="1:16" x14ac:dyDescent="0.25">
      <c r="A207" t="s">
        <v>922</v>
      </c>
      <c r="B207" s="1" t="s">
        <v>923</v>
      </c>
      <c r="C207" t="s">
        <v>764</v>
      </c>
      <c r="D207" s="1" t="s">
        <v>895</v>
      </c>
      <c r="E207" t="s">
        <v>800</v>
      </c>
      <c r="F207" s="2" t="s">
        <v>655</v>
      </c>
      <c r="G207" t="s">
        <v>924</v>
      </c>
      <c r="H207" t="s">
        <v>925</v>
      </c>
      <c r="I207">
        <v>55.538613888888889</v>
      </c>
      <c r="J207">
        <v>11.606669444444444</v>
      </c>
      <c r="K207" s="3">
        <v>33699</v>
      </c>
      <c r="L207" s="3">
        <v>33754</v>
      </c>
      <c r="M207" t="s">
        <v>22</v>
      </c>
      <c r="N207" t="s">
        <v>23</v>
      </c>
      <c r="O207" s="6" t="str">
        <f t="shared" si="3"/>
        <v>GEUS Well Info</v>
      </c>
      <c r="P207" s="9" t="s">
        <v>1670</v>
      </c>
    </row>
    <row r="208" spans="1:16" x14ac:dyDescent="0.25">
      <c r="A208" t="s">
        <v>926</v>
      </c>
      <c r="B208" s="1" t="s">
        <v>927</v>
      </c>
      <c r="C208" t="s">
        <v>16</v>
      </c>
      <c r="D208" s="1" t="s">
        <v>163</v>
      </c>
      <c r="E208" t="s">
        <v>314</v>
      </c>
      <c r="F208" t="s">
        <v>847</v>
      </c>
      <c r="G208" t="s">
        <v>928</v>
      </c>
      <c r="H208" t="s">
        <v>929</v>
      </c>
      <c r="I208">
        <v>56.346083333333333</v>
      </c>
      <c r="J208">
        <v>4.2732138888888889</v>
      </c>
      <c r="K208" s="3">
        <v>33741</v>
      </c>
      <c r="L208" s="3">
        <v>33958</v>
      </c>
      <c r="M208" t="s">
        <v>173</v>
      </c>
      <c r="N208" t="s">
        <v>23</v>
      </c>
      <c r="O208" s="6" t="str">
        <f t="shared" si="3"/>
        <v>GEUS Well Info</v>
      </c>
      <c r="P208" s="8" t="s">
        <v>1670</v>
      </c>
    </row>
    <row r="209" spans="1:16" x14ac:dyDescent="0.25">
      <c r="A209" t="s">
        <v>930</v>
      </c>
      <c r="B209" s="1" t="s">
        <v>931</v>
      </c>
      <c r="C209" t="s">
        <v>209</v>
      </c>
      <c r="D209" s="1" t="s">
        <v>163</v>
      </c>
      <c r="E209" t="s">
        <v>314</v>
      </c>
      <c r="F209" s="2" t="s">
        <v>860</v>
      </c>
      <c r="G209" t="s">
        <v>932</v>
      </c>
      <c r="H209" t="s">
        <v>933</v>
      </c>
      <c r="I209">
        <v>55.678508333333333</v>
      </c>
      <c r="J209">
        <v>4.8234250000000003</v>
      </c>
      <c r="K209" s="3">
        <v>33764</v>
      </c>
      <c r="L209" s="3">
        <v>33805</v>
      </c>
      <c r="M209" t="s">
        <v>173</v>
      </c>
      <c r="N209" t="s">
        <v>23</v>
      </c>
      <c r="O209" s="6" t="str">
        <f t="shared" si="3"/>
        <v>GEUS Well Info</v>
      </c>
      <c r="P209" s="9" t="s">
        <v>1670</v>
      </c>
    </row>
    <row r="210" spans="1:16" x14ac:dyDescent="0.25">
      <c r="A210" t="s">
        <v>934</v>
      </c>
      <c r="B210" s="1" t="s">
        <v>935</v>
      </c>
      <c r="C210" t="s">
        <v>16</v>
      </c>
      <c r="D210" s="1" t="s">
        <v>936</v>
      </c>
      <c r="E210" t="s">
        <v>800</v>
      </c>
      <c r="F210" t="s">
        <v>937</v>
      </c>
      <c r="G210" t="s">
        <v>938</v>
      </c>
      <c r="H210" t="s">
        <v>939</v>
      </c>
      <c r="I210">
        <v>56.036658333333335</v>
      </c>
      <c r="J210">
        <v>3.9673833333333333</v>
      </c>
      <c r="K210" s="3">
        <v>33782</v>
      </c>
      <c r="L210" s="3">
        <v>33884</v>
      </c>
      <c r="M210" t="s">
        <v>173</v>
      </c>
      <c r="N210" t="s">
        <v>23</v>
      </c>
      <c r="O210" s="6" t="str">
        <f t="shared" si="3"/>
        <v>GEUS Well Info</v>
      </c>
      <c r="P210" s="8" t="s">
        <v>1670</v>
      </c>
    </row>
    <row r="211" spans="1:16" x14ac:dyDescent="0.25">
      <c r="A211" t="s">
        <v>940</v>
      </c>
      <c r="B211" s="1" t="s">
        <v>899</v>
      </c>
      <c r="C211" t="s">
        <v>573</v>
      </c>
      <c r="D211" s="1" t="s">
        <v>163</v>
      </c>
      <c r="E211" t="s">
        <v>314</v>
      </c>
      <c r="F211" t="s">
        <v>536</v>
      </c>
      <c r="G211" t="s">
        <v>941</v>
      </c>
      <c r="H211" t="s">
        <v>942</v>
      </c>
      <c r="I211">
        <v>55.715422222222223</v>
      </c>
      <c r="J211">
        <v>4.7489694444444446</v>
      </c>
      <c r="K211" s="3">
        <v>33810</v>
      </c>
      <c r="L211" s="3">
        <v>33858</v>
      </c>
      <c r="M211" t="s">
        <v>173</v>
      </c>
      <c r="N211" t="s">
        <v>23</v>
      </c>
      <c r="O211" s="6" t="str">
        <f t="shared" si="3"/>
        <v>GEUS Well Info</v>
      </c>
      <c r="P211" s="9" t="s">
        <v>1670</v>
      </c>
    </row>
    <row r="212" spans="1:16" x14ac:dyDescent="0.25">
      <c r="A212" t="s">
        <v>943</v>
      </c>
      <c r="B212" s="1" t="s">
        <v>944</v>
      </c>
      <c r="C212" t="s">
        <v>16</v>
      </c>
      <c r="D212" s="1" t="s">
        <v>945</v>
      </c>
      <c r="E212" t="s">
        <v>654</v>
      </c>
      <c r="F212" s="2" t="s">
        <v>946</v>
      </c>
      <c r="G212" t="s">
        <v>947</v>
      </c>
      <c r="H212" t="s">
        <v>948</v>
      </c>
      <c r="I212">
        <v>56.536527777777778</v>
      </c>
      <c r="J212">
        <v>6.1162333333333336</v>
      </c>
      <c r="K212" s="3">
        <v>33861</v>
      </c>
      <c r="L212" s="3">
        <v>33877</v>
      </c>
      <c r="M212" t="s">
        <v>173</v>
      </c>
      <c r="N212" t="s">
        <v>23</v>
      </c>
      <c r="O212" s="6" t="str">
        <f t="shared" si="3"/>
        <v>GEUS Well Info</v>
      </c>
      <c r="P212" s="8" t="s">
        <v>1670</v>
      </c>
    </row>
    <row r="213" spans="1:16" x14ac:dyDescent="0.25">
      <c r="A213" t="s">
        <v>949</v>
      </c>
      <c r="B213" s="1" t="s">
        <v>950</v>
      </c>
      <c r="C213" t="s">
        <v>16</v>
      </c>
      <c r="D213" s="1" t="s">
        <v>951</v>
      </c>
      <c r="E213" t="s">
        <v>314</v>
      </c>
      <c r="F213" s="2" t="s">
        <v>536</v>
      </c>
      <c r="G213" t="s">
        <v>952</v>
      </c>
      <c r="H213" t="s">
        <v>953</v>
      </c>
      <c r="I213">
        <v>56.152408333333334</v>
      </c>
      <c r="J213">
        <v>3.570211111111111</v>
      </c>
      <c r="K213" s="3">
        <v>33865</v>
      </c>
      <c r="L213" s="3">
        <v>34031</v>
      </c>
      <c r="M213" t="s">
        <v>173</v>
      </c>
      <c r="N213" t="s">
        <v>23</v>
      </c>
      <c r="O213" s="6" t="str">
        <f t="shared" si="3"/>
        <v>GEUS Well Info</v>
      </c>
      <c r="P213" s="9" t="s">
        <v>1670</v>
      </c>
    </row>
    <row r="214" spans="1:16" x14ac:dyDescent="0.25">
      <c r="A214" t="s">
        <v>954</v>
      </c>
      <c r="B214" s="1" t="s">
        <v>955</v>
      </c>
      <c r="C214" t="s">
        <v>16</v>
      </c>
      <c r="D214" s="1" t="s">
        <v>956</v>
      </c>
      <c r="E214" t="s">
        <v>654</v>
      </c>
      <c r="F214" t="s">
        <v>946</v>
      </c>
      <c r="G214" t="s">
        <v>957</v>
      </c>
      <c r="H214" t="s">
        <v>958</v>
      </c>
      <c r="I214">
        <v>55.72056388888889</v>
      </c>
      <c r="J214">
        <v>4.416119444444444</v>
      </c>
      <c r="K214" s="3">
        <v>33881</v>
      </c>
      <c r="L214" s="3">
        <v>33925</v>
      </c>
      <c r="M214" t="s">
        <v>173</v>
      </c>
      <c r="N214" t="s">
        <v>23</v>
      </c>
      <c r="O214" s="6" t="str">
        <f t="shared" si="3"/>
        <v>GEUS Well Info</v>
      </c>
      <c r="P214" s="8" t="s">
        <v>1670</v>
      </c>
    </row>
    <row r="215" spans="1:16" x14ac:dyDescent="0.25">
      <c r="A215" t="s">
        <v>959</v>
      </c>
      <c r="B215" s="1" t="s">
        <v>960</v>
      </c>
      <c r="C215" t="s">
        <v>16</v>
      </c>
      <c r="D215" s="1" t="s">
        <v>961</v>
      </c>
      <c r="E215" t="s">
        <v>800</v>
      </c>
      <c r="F215" t="s">
        <v>655</v>
      </c>
      <c r="G215" t="s">
        <v>962</v>
      </c>
      <c r="H215" t="s">
        <v>963</v>
      </c>
      <c r="I215">
        <v>55.739180555555556</v>
      </c>
      <c r="J215">
        <v>9.3758333333333326</v>
      </c>
      <c r="K215" s="3">
        <v>33882</v>
      </c>
      <c r="L215" s="3">
        <v>33901</v>
      </c>
      <c r="M215" t="s">
        <v>22</v>
      </c>
      <c r="N215" t="s">
        <v>23</v>
      </c>
      <c r="O215" s="6" t="str">
        <f t="shared" si="3"/>
        <v>GEUS Well Info</v>
      </c>
      <c r="P215" s="9" t="s">
        <v>1670</v>
      </c>
    </row>
    <row r="216" spans="1:16" x14ac:dyDescent="0.25">
      <c r="A216" t="s">
        <v>964</v>
      </c>
      <c r="B216" s="1" t="s">
        <v>965</v>
      </c>
      <c r="C216" t="s">
        <v>209</v>
      </c>
      <c r="D216" s="1" t="s">
        <v>163</v>
      </c>
      <c r="E216" t="s">
        <v>314</v>
      </c>
      <c r="F216" s="2" t="s">
        <v>966</v>
      </c>
      <c r="G216" t="s">
        <v>967</v>
      </c>
      <c r="H216" t="s">
        <v>968</v>
      </c>
      <c r="I216">
        <v>55.497236111111114</v>
      </c>
      <c r="J216">
        <v>5.2270611111111114</v>
      </c>
      <c r="K216" s="3">
        <v>33895</v>
      </c>
      <c r="L216" s="3">
        <v>34006</v>
      </c>
      <c r="M216" t="s">
        <v>173</v>
      </c>
      <c r="N216" t="s">
        <v>23</v>
      </c>
      <c r="O216" s="6" t="str">
        <f t="shared" si="3"/>
        <v>GEUS Well Info</v>
      </c>
      <c r="P216" s="8" t="s">
        <v>1670</v>
      </c>
    </row>
    <row r="217" spans="1:16" x14ac:dyDescent="0.25">
      <c r="A217" t="s">
        <v>969</v>
      </c>
      <c r="B217" s="1" t="s">
        <v>970</v>
      </c>
      <c r="C217" t="s">
        <v>16</v>
      </c>
      <c r="D217" s="1" t="s">
        <v>971</v>
      </c>
      <c r="E217" t="s">
        <v>800</v>
      </c>
      <c r="F217" s="2" t="s">
        <v>655</v>
      </c>
      <c r="G217" t="s">
        <v>972</v>
      </c>
      <c r="H217" t="s">
        <v>973</v>
      </c>
      <c r="I217">
        <v>55.033380555555553</v>
      </c>
      <c r="J217">
        <v>8.9421750000000007</v>
      </c>
      <c r="K217" s="3">
        <v>34213</v>
      </c>
      <c r="L217" s="3">
        <v>34260</v>
      </c>
      <c r="M217" t="s">
        <v>22</v>
      </c>
      <c r="N217" t="s">
        <v>23</v>
      </c>
      <c r="O217" s="6" t="str">
        <f t="shared" si="3"/>
        <v>GEUS Well Info</v>
      </c>
      <c r="P217" s="9" t="s">
        <v>1670</v>
      </c>
    </row>
    <row r="218" spans="1:16" x14ac:dyDescent="0.25">
      <c r="A218" t="s">
        <v>974</v>
      </c>
      <c r="B218" s="1" t="s">
        <v>975</v>
      </c>
      <c r="C218" t="s">
        <v>209</v>
      </c>
      <c r="D218" s="1" t="s">
        <v>806</v>
      </c>
      <c r="E218" t="s">
        <v>754</v>
      </c>
      <c r="F218" t="s">
        <v>829</v>
      </c>
      <c r="G218" t="s">
        <v>976</v>
      </c>
      <c r="H218" t="s">
        <v>977</v>
      </c>
      <c r="I218">
        <v>56.227083333333333</v>
      </c>
      <c r="J218">
        <v>4.3965444444444444</v>
      </c>
      <c r="K218" s="3">
        <v>34225</v>
      </c>
      <c r="L218" s="3">
        <v>34313</v>
      </c>
      <c r="M218" t="s">
        <v>173</v>
      </c>
      <c r="N218" t="s">
        <v>23</v>
      </c>
      <c r="O218" s="6" t="str">
        <f t="shared" si="3"/>
        <v>GEUS Well Info</v>
      </c>
      <c r="P218" s="8" t="s">
        <v>1670</v>
      </c>
    </row>
    <row r="219" spans="1:16" x14ac:dyDescent="0.25">
      <c r="A219" t="s">
        <v>978</v>
      </c>
      <c r="B219" s="1" t="s">
        <v>979</v>
      </c>
      <c r="C219" t="s">
        <v>764</v>
      </c>
      <c r="D219" s="1" t="s">
        <v>895</v>
      </c>
      <c r="E219" t="s">
        <v>800</v>
      </c>
      <c r="F219" s="2" t="s">
        <v>655</v>
      </c>
      <c r="G219" t="s">
        <v>980</v>
      </c>
      <c r="H219" t="s">
        <v>981</v>
      </c>
      <c r="I219">
        <v>55.53841388888889</v>
      </c>
      <c r="J219">
        <v>11.606155555555555</v>
      </c>
      <c r="K219" s="3">
        <v>34345</v>
      </c>
      <c r="L219" s="3">
        <v>34373</v>
      </c>
      <c r="M219" t="s">
        <v>22</v>
      </c>
      <c r="N219" t="s">
        <v>23</v>
      </c>
      <c r="O219" s="6" t="str">
        <f t="shared" si="3"/>
        <v>GEUS Well Info</v>
      </c>
      <c r="P219" s="9" t="s">
        <v>1670</v>
      </c>
    </row>
    <row r="220" spans="1:16" x14ac:dyDescent="0.25">
      <c r="A220" t="s">
        <v>982</v>
      </c>
      <c r="B220" s="1" t="s">
        <v>983</v>
      </c>
      <c r="C220" t="s">
        <v>764</v>
      </c>
      <c r="D220" s="1" t="s">
        <v>895</v>
      </c>
      <c r="E220" t="s">
        <v>800</v>
      </c>
      <c r="F220" t="s">
        <v>655</v>
      </c>
      <c r="G220" t="s">
        <v>984</v>
      </c>
      <c r="H220" t="s">
        <v>985</v>
      </c>
      <c r="I220">
        <v>55.538344444444448</v>
      </c>
      <c r="J220">
        <v>11.605566666666666</v>
      </c>
      <c r="K220" s="3">
        <v>34378</v>
      </c>
      <c r="L220" s="3">
        <v>34407</v>
      </c>
      <c r="M220" t="s">
        <v>22</v>
      </c>
      <c r="N220" t="s">
        <v>23</v>
      </c>
      <c r="O220" s="6" t="str">
        <f t="shared" si="3"/>
        <v>GEUS Well Info</v>
      </c>
      <c r="P220" s="8" t="s">
        <v>1670</v>
      </c>
    </row>
    <row r="221" spans="1:16" x14ac:dyDescent="0.25">
      <c r="A221" t="s">
        <v>986</v>
      </c>
      <c r="B221" s="1" t="s">
        <v>987</v>
      </c>
      <c r="C221" t="s">
        <v>209</v>
      </c>
      <c r="D221" s="1" t="s">
        <v>163</v>
      </c>
      <c r="E221" t="s">
        <v>314</v>
      </c>
      <c r="F221" s="2" t="s">
        <v>865</v>
      </c>
      <c r="G221" t="s">
        <v>988</v>
      </c>
      <c r="H221" t="s">
        <v>989</v>
      </c>
      <c r="I221">
        <v>55.637063888888889</v>
      </c>
      <c r="J221">
        <v>4.9866527777777776</v>
      </c>
      <c r="K221" s="3">
        <v>34434</v>
      </c>
      <c r="L221" s="3">
        <v>34491</v>
      </c>
      <c r="M221" t="s">
        <v>173</v>
      </c>
      <c r="N221" t="s">
        <v>23</v>
      </c>
      <c r="O221" s="6" t="str">
        <f t="shared" si="3"/>
        <v>GEUS Well Info</v>
      </c>
      <c r="P221" s="9" t="s">
        <v>1670</v>
      </c>
    </row>
    <row r="222" spans="1:16" x14ac:dyDescent="0.25">
      <c r="A222" t="s">
        <v>990</v>
      </c>
      <c r="B222" s="1" t="s">
        <v>991</v>
      </c>
      <c r="C222" t="s">
        <v>16</v>
      </c>
      <c r="D222" s="1" t="s">
        <v>876</v>
      </c>
      <c r="E222" t="s">
        <v>992</v>
      </c>
      <c r="F222" t="s">
        <v>847</v>
      </c>
      <c r="G222" t="s">
        <v>993</v>
      </c>
      <c r="H222" t="s">
        <v>994</v>
      </c>
      <c r="I222">
        <v>56.089458333333333</v>
      </c>
      <c r="J222">
        <v>4.2146472222222222</v>
      </c>
      <c r="K222" s="3">
        <v>34694</v>
      </c>
      <c r="L222" s="3">
        <v>34755</v>
      </c>
      <c r="M222" t="s">
        <v>173</v>
      </c>
      <c r="N222" t="s">
        <v>23</v>
      </c>
      <c r="O222" s="6" t="str">
        <f t="shared" si="3"/>
        <v>GEUS Well Info</v>
      </c>
      <c r="P222" s="8" t="s">
        <v>1670</v>
      </c>
    </row>
    <row r="223" spans="1:16" x14ac:dyDescent="0.25">
      <c r="A223" t="s">
        <v>995</v>
      </c>
      <c r="B223" s="1" t="s">
        <v>996</v>
      </c>
      <c r="C223" t="s">
        <v>573</v>
      </c>
      <c r="D223" s="1" t="s">
        <v>163</v>
      </c>
      <c r="E223" t="s">
        <v>314</v>
      </c>
      <c r="F223" s="2" t="s">
        <v>536</v>
      </c>
      <c r="G223" t="s">
        <v>997</v>
      </c>
      <c r="H223" t="s">
        <v>998</v>
      </c>
      <c r="I223">
        <v>55.531705555555554</v>
      </c>
      <c r="J223">
        <v>4.9104083333333337</v>
      </c>
      <c r="K223" s="3">
        <v>34696</v>
      </c>
      <c r="L223" s="3">
        <v>34752</v>
      </c>
      <c r="M223" t="s">
        <v>173</v>
      </c>
      <c r="N223" t="s">
        <v>23</v>
      </c>
      <c r="O223" s="6" t="str">
        <f t="shared" si="3"/>
        <v>GEUS Well Info</v>
      </c>
      <c r="P223" s="9" t="s">
        <v>1670</v>
      </c>
    </row>
    <row r="224" spans="1:16" x14ac:dyDescent="0.25">
      <c r="A224" t="s">
        <v>999</v>
      </c>
      <c r="B224" s="1" t="s">
        <v>1000</v>
      </c>
      <c r="C224" t="s">
        <v>764</v>
      </c>
      <c r="D224" s="1" t="s">
        <v>895</v>
      </c>
      <c r="E224" t="s">
        <v>800</v>
      </c>
      <c r="F224" t="s">
        <v>655</v>
      </c>
      <c r="G224" t="s">
        <v>1001</v>
      </c>
      <c r="H224" t="s">
        <v>1002</v>
      </c>
      <c r="I224">
        <v>55.538680555555558</v>
      </c>
      <c r="J224">
        <v>11.606233333333334</v>
      </c>
      <c r="K224" s="3">
        <v>34854</v>
      </c>
      <c r="L224" s="3">
        <v>34901</v>
      </c>
      <c r="M224" t="s">
        <v>22</v>
      </c>
      <c r="N224" t="s">
        <v>23</v>
      </c>
      <c r="O224" s="6" t="str">
        <f t="shared" si="3"/>
        <v>GEUS Well Info</v>
      </c>
      <c r="P224" s="8" t="s">
        <v>1670</v>
      </c>
    </row>
    <row r="225" spans="1:16" x14ac:dyDescent="0.25">
      <c r="A225" t="s">
        <v>1003</v>
      </c>
      <c r="B225" s="1" t="s">
        <v>1004</v>
      </c>
      <c r="C225" t="s">
        <v>1005</v>
      </c>
      <c r="D225" s="1" t="s">
        <v>895</v>
      </c>
      <c r="E225" t="s">
        <v>800</v>
      </c>
      <c r="F225" t="s">
        <v>655</v>
      </c>
      <c r="G225" t="s">
        <v>1006</v>
      </c>
      <c r="H225" t="s">
        <v>1007</v>
      </c>
      <c r="I225">
        <v>55.511605555555555</v>
      </c>
      <c r="J225">
        <v>11.565569444444444</v>
      </c>
      <c r="K225" s="3">
        <v>34902</v>
      </c>
      <c r="L225" s="3">
        <v>34934</v>
      </c>
      <c r="M225" t="s">
        <v>22</v>
      </c>
      <c r="N225" t="s">
        <v>23</v>
      </c>
      <c r="O225" s="6" t="str">
        <f t="shared" si="3"/>
        <v>GEUS Well Info</v>
      </c>
      <c r="P225" s="9" t="s">
        <v>1670</v>
      </c>
    </row>
    <row r="226" spans="1:16" x14ac:dyDescent="0.25">
      <c r="A226" t="s">
        <v>1008</v>
      </c>
      <c r="B226" s="1" t="s">
        <v>1009</v>
      </c>
      <c r="C226" t="s">
        <v>16</v>
      </c>
      <c r="D226" s="1" t="s">
        <v>1010</v>
      </c>
      <c r="E226" t="s">
        <v>754</v>
      </c>
      <c r="F226" t="s">
        <v>1011</v>
      </c>
      <c r="G226" t="s">
        <v>1012</v>
      </c>
      <c r="H226" t="s">
        <v>1013</v>
      </c>
      <c r="I226">
        <v>56.486416666666663</v>
      </c>
      <c r="J226">
        <v>4.9159694444444444</v>
      </c>
      <c r="K226" s="3">
        <v>35031</v>
      </c>
      <c r="L226" s="3">
        <v>35057</v>
      </c>
      <c r="M226" t="s">
        <v>173</v>
      </c>
      <c r="N226" t="s">
        <v>23</v>
      </c>
      <c r="O226" s="6" t="str">
        <f t="shared" si="3"/>
        <v>GEUS Well Info</v>
      </c>
      <c r="P226" s="8" t="s">
        <v>1670</v>
      </c>
    </row>
    <row r="227" spans="1:16" x14ac:dyDescent="0.25">
      <c r="A227" t="s">
        <v>1014</v>
      </c>
      <c r="B227" s="1" t="s">
        <v>1015</v>
      </c>
      <c r="C227" t="s">
        <v>764</v>
      </c>
      <c r="D227" s="1" t="s">
        <v>895</v>
      </c>
      <c r="E227" t="s">
        <v>800</v>
      </c>
      <c r="F227" t="s">
        <v>1016</v>
      </c>
      <c r="G227" t="s">
        <v>1017</v>
      </c>
      <c r="H227" t="s">
        <v>1018</v>
      </c>
      <c r="I227">
        <v>55.538724999999999</v>
      </c>
      <c r="J227">
        <v>11.605763888888889</v>
      </c>
      <c r="K227" s="3">
        <v>35101</v>
      </c>
      <c r="L227" s="3">
        <v>35148</v>
      </c>
      <c r="M227" t="s">
        <v>22</v>
      </c>
      <c r="N227" t="s">
        <v>23</v>
      </c>
      <c r="O227" s="6" t="str">
        <f t="shared" si="3"/>
        <v>GEUS Well Info</v>
      </c>
      <c r="P227" s="9" t="s">
        <v>1670</v>
      </c>
    </row>
    <row r="228" spans="1:16" x14ac:dyDescent="0.25">
      <c r="A228" t="s">
        <v>1019</v>
      </c>
      <c r="B228" s="1" t="s">
        <v>1020</v>
      </c>
      <c r="C228" t="s">
        <v>209</v>
      </c>
      <c r="D228" s="1" t="s">
        <v>876</v>
      </c>
      <c r="E228" t="s">
        <v>992</v>
      </c>
      <c r="F228" s="2" t="s">
        <v>1021</v>
      </c>
      <c r="G228" t="s">
        <v>1022</v>
      </c>
      <c r="H228" t="s">
        <v>1023</v>
      </c>
      <c r="I228">
        <v>56.097652777777775</v>
      </c>
      <c r="J228">
        <v>4.2191416666666663</v>
      </c>
      <c r="K228" s="3">
        <v>35196</v>
      </c>
      <c r="L228" s="3">
        <v>35275</v>
      </c>
      <c r="M228" t="s">
        <v>173</v>
      </c>
      <c r="N228" t="s">
        <v>23</v>
      </c>
      <c r="O228" s="6" t="str">
        <f t="shared" si="3"/>
        <v>GEUS Well Info</v>
      </c>
      <c r="P228" s="8" t="s">
        <v>1670</v>
      </c>
    </row>
    <row r="229" spans="1:16" x14ac:dyDescent="0.25">
      <c r="A229" t="s">
        <v>1024</v>
      </c>
      <c r="B229" s="1" t="s">
        <v>1025</v>
      </c>
      <c r="C229" t="s">
        <v>209</v>
      </c>
      <c r="D229" s="1" t="s">
        <v>1010</v>
      </c>
      <c r="E229" t="s">
        <v>754</v>
      </c>
      <c r="F229" s="2" t="s">
        <v>1021</v>
      </c>
      <c r="G229" t="s">
        <v>1026</v>
      </c>
      <c r="H229" t="s">
        <v>1027</v>
      </c>
      <c r="I229">
        <v>56.494591666666665</v>
      </c>
      <c r="J229">
        <v>4.8703500000000002</v>
      </c>
      <c r="K229" s="3">
        <v>35280</v>
      </c>
      <c r="L229" s="3">
        <v>35304</v>
      </c>
      <c r="M229" t="s">
        <v>173</v>
      </c>
      <c r="N229" t="s">
        <v>23</v>
      </c>
      <c r="O229" s="6" t="str">
        <f t="shared" si="3"/>
        <v>GEUS Well Info</v>
      </c>
      <c r="P229" s="9" t="s">
        <v>1670</v>
      </c>
    </row>
    <row r="230" spans="1:16" x14ac:dyDescent="0.25">
      <c r="A230" t="s">
        <v>1028</v>
      </c>
      <c r="B230" s="1" t="s">
        <v>1029</v>
      </c>
      <c r="C230" t="s">
        <v>573</v>
      </c>
      <c r="D230" s="1" t="s">
        <v>163</v>
      </c>
      <c r="E230" t="s">
        <v>314</v>
      </c>
      <c r="F230" t="s">
        <v>966</v>
      </c>
      <c r="G230" t="s">
        <v>1030</v>
      </c>
      <c r="H230" t="s">
        <v>1031</v>
      </c>
      <c r="I230">
        <v>55.479586111111111</v>
      </c>
      <c r="J230">
        <v>5.1086944444444446</v>
      </c>
      <c r="K230" s="3">
        <v>35286</v>
      </c>
      <c r="L230" s="3">
        <v>35420</v>
      </c>
      <c r="M230" t="s">
        <v>173</v>
      </c>
      <c r="N230" t="s">
        <v>23</v>
      </c>
      <c r="O230" s="6" t="str">
        <f t="shared" si="3"/>
        <v>GEUS Well Info</v>
      </c>
      <c r="P230" s="8" t="s">
        <v>1670</v>
      </c>
    </row>
    <row r="231" spans="1:16" x14ac:dyDescent="0.25">
      <c r="A231" t="s">
        <v>1032</v>
      </c>
      <c r="B231" s="1" t="s">
        <v>996</v>
      </c>
      <c r="C231" t="s">
        <v>573</v>
      </c>
      <c r="D231" s="1" t="s">
        <v>163</v>
      </c>
      <c r="E231" t="s">
        <v>314</v>
      </c>
      <c r="F231" s="2" t="s">
        <v>536</v>
      </c>
      <c r="G231" t="s">
        <v>1033</v>
      </c>
      <c r="H231" t="s">
        <v>1034</v>
      </c>
      <c r="I231">
        <v>55.531691666666667</v>
      </c>
      <c r="J231">
        <v>4.9103916666666665</v>
      </c>
      <c r="K231" s="3">
        <v>35295</v>
      </c>
      <c r="L231" s="3">
        <v>35324</v>
      </c>
      <c r="M231" t="s">
        <v>173</v>
      </c>
      <c r="N231" t="s">
        <v>23</v>
      </c>
      <c r="O231" s="6" t="str">
        <f t="shared" si="3"/>
        <v>GEUS Well Info</v>
      </c>
      <c r="P231" s="9" t="s">
        <v>1670</v>
      </c>
    </row>
    <row r="232" spans="1:16" x14ac:dyDescent="0.25">
      <c r="A232" t="s">
        <v>1035</v>
      </c>
      <c r="B232" s="1" t="s">
        <v>1036</v>
      </c>
      <c r="C232" t="s">
        <v>16</v>
      </c>
      <c r="D232" s="1" t="s">
        <v>1010</v>
      </c>
      <c r="E232" t="s">
        <v>754</v>
      </c>
      <c r="F232" s="2" t="s">
        <v>1021</v>
      </c>
      <c r="G232" t="s">
        <v>1037</v>
      </c>
      <c r="H232" t="s">
        <v>1038</v>
      </c>
      <c r="I232">
        <v>56.509700000000002</v>
      </c>
      <c r="J232">
        <v>5.0634083333333333</v>
      </c>
      <c r="K232" s="3">
        <v>35307</v>
      </c>
      <c r="L232" s="3">
        <v>35349</v>
      </c>
      <c r="M232" t="s">
        <v>173</v>
      </c>
      <c r="N232" t="s">
        <v>23</v>
      </c>
      <c r="O232" s="6" t="str">
        <f t="shared" si="3"/>
        <v>GEUS Well Info</v>
      </c>
      <c r="P232" s="8" t="s">
        <v>1670</v>
      </c>
    </row>
    <row r="233" spans="1:16" x14ac:dyDescent="0.25">
      <c r="A233" t="s">
        <v>1039</v>
      </c>
      <c r="B233" s="1" t="s">
        <v>1040</v>
      </c>
      <c r="C233" t="s">
        <v>764</v>
      </c>
      <c r="D233" s="1" t="s">
        <v>895</v>
      </c>
      <c r="E233" t="s">
        <v>800</v>
      </c>
      <c r="F233" t="s">
        <v>1016</v>
      </c>
      <c r="G233" t="s">
        <v>1041</v>
      </c>
      <c r="H233" t="s">
        <v>1042</v>
      </c>
      <c r="I233">
        <v>55.533869444444441</v>
      </c>
      <c r="J233">
        <v>11.598877777777778</v>
      </c>
      <c r="K233" s="3">
        <v>35331</v>
      </c>
      <c r="L233" s="3">
        <v>35370</v>
      </c>
      <c r="M233" t="s">
        <v>22</v>
      </c>
      <c r="N233" t="s">
        <v>23</v>
      </c>
      <c r="O233" s="6" t="str">
        <f t="shared" si="3"/>
        <v>GEUS Well Info</v>
      </c>
      <c r="P233" s="9" t="s">
        <v>1670</v>
      </c>
    </row>
    <row r="234" spans="1:16" x14ac:dyDescent="0.25">
      <c r="A234" t="s">
        <v>1043</v>
      </c>
      <c r="B234" s="1" t="s">
        <v>1044</v>
      </c>
      <c r="C234" t="s">
        <v>764</v>
      </c>
      <c r="D234" s="1" t="s">
        <v>895</v>
      </c>
      <c r="E234" t="s">
        <v>800</v>
      </c>
      <c r="F234" s="2" t="s">
        <v>1016</v>
      </c>
      <c r="G234" t="s">
        <v>1045</v>
      </c>
      <c r="H234" t="s">
        <v>1046</v>
      </c>
      <c r="I234">
        <v>55.533972222222225</v>
      </c>
      <c r="J234">
        <v>11.598438888888889</v>
      </c>
      <c r="K234" s="3">
        <v>35371</v>
      </c>
      <c r="L234" s="3">
        <v>35411</v>
      </c>
      <c r="M234" t="s">
        <v>22</v>
      </c>
      <c r="N234" t="s">
        <v>23</v>
      </c>
      <c r="O234" s="6" t="str">
        <f t="shared" si="3"/>
        <v>GEUS Well Info</v>
      </c>
      <c r="P234" s="8" t="s">
        <v>1670</v>
      </c>
    </row>
    <row r="235" spans="1:16" x14ac:dyDescent="0.25">
      <c r="A235" t="s">
        <v>1047</v>
      </c>
      <c r="B235" s="1" t="s">
        <v>1048</v>
      </c>
      <c r="C235" t="s">
        <v>1049</v>
      </c>
      <c r="D235" s="1" t="s">
        <v>163</v>
      </c>
      <c r="E235" t="s">
        <v>314</v>
      </c>
      <c r="F235" t="s">
        <v>966</v>
      </c>
      <c r="G235" t="s">
        <v>1050</v>
      </c>
      <c r="H235" t="s">
        <v>1051</v>
      </c>
      <c r="I235">
        <v>55.477902777777778</v>
      </c>
      <c r="J235">
        <v>5.1093111111111114</v>
      </c>
      <c r="K235" s="3">
        <v>35432</v>
      </c>
      <c r="L235" s="3">
        <v>35544</v>
      </c>
      <c r="M235" t="s">
        <v>173</v>
      </c>
      <c r="N235" t="s">
        <v>23</v>
      </c>
      <c r="O235" s="6" t="str">
        <f t="shared" si="3"/>
        <v>GEUS Well Info</v>
      </c>
      <c r="P235" s="9" t="s">
        <v>1670</v>
      </c>
    </row>
    <row r="236" spans="1:16" x14ac:dyDescent="0.25">
      <c r="A236" t="s">
        <v>1052</v>
      </c>
      <c r="B236" s="1" t="s">
        <v>1053</v>
      </c>
      <c r="C236" t="s">
        <v>16</v>
      </c>
      <c r="D236" s="1" t="s">
        <v>1054</v>
      </c>
      <c r="E236" t="s">
        <v>992</v>
      </c>
      <c r="F236" t="s">
        <v>788</v>
      </c>
      <c r="G236" t="s">
        <v>1055</v>
      </c>
      <c r="H236" t="s">
        <v>1056</v>
      </c>
      <c r="I236">
        <v>55.981222222222222</v>
      </c>
      <c r="J236">
        <v>3.436061111111111</v>
      </c>
      <c r="K236" s="3">
        <v>35503</v>
      </c>
      <c r="L236" s="3">
        <v>35545</v>
      </c>
      <c r="M236" t="s">
        <v>173</v>
      </c>
      <c r="N236" t="s">
        <v>23</v>
      </c>
      <c r="O236" s="6" t="str">
        <f t="shared" si="3"/>
        <v>GEUS Well Info</v>
      </c>
      <c r="P236" s="8" t="s">
        <v>1670</v>
      </c>
    </row>
    <row r="237" spans="1:16" x14ac:dyDescent="0.25">
      <c r="A237" t="s">
        <v>1057</v>
      </c>
      <c r="B237" s="1" t="s">
        <v>1058</v>
      </c>
      <c r="C237" t="s">
        <v>209</v>
      </c>
      <c r="D237" s="1" t="s">
        <v>163</v>
      </c>
      <c r="E237" t="s">
        <v>314</v>
      </c>
      <c r="F237" t="s">
        <v>1059</v>
      </c>
      <c r="G237" t="s">
        <v>1060</v>
      </c>
      <c r="H237" t="s">
        <v>1061</v>
      </c>
      <c r="I237">
        <v>55.402730555555557</v>
      </c>
      <c r="J237">
        <v>5.0797444444444446</v>
      </c>
      <c r="K237" s="3">
        <v>35505</v>
      </c>
      <c r="L237" s="3">
        <v>35595</v>
      </c>
      <c r="M237" t="s">
        <v>173</v>
      </c>
      <c r="N237" t="s">
        <v>23</v>
      </c>
      <c r="O237" s="6" t="str">
        <f t="shared" si="3"/>
        <v>GEUS Well Info</v>
      </c>
      <c r="P237" s="9" t="s">
        <v>1670</v>
      </c>
    </row>
    <row r="238" spans="1:16" x14ac:dyDescent="0.25">
      <c r="A238" t="s">
        <v>1062</v>
      </c>
      <c r="B238" s="1" t="s">
        <v>1063</v>
      </c>
      <c r="C238" t="s">
        <v>16</v>
      </c>
      <c r="D238" s="1" t="s">
        <v>1064</v>
      </c>
      <c r="E238" t="s">
        <v>800</v>
      </c>
      <c r="F238" t="s">
        <v>788</v>
      </c>
      <c r="G238" t="s">
        <v>1065</v>
      </c>
      <c r="H238" t="s">
        <v>1066</v>
      </c>
      <c r="I238">
        <v>56.627280555555558</v>
      </c>
      <c r="J238">
        <v>5.1839194444444443</v>
      </c>
      <c r="K238" s="3">
        <v>35551</v>
      </c>
      <c r="L238" s="3">
        <v>35569</v>
      </c>
      <c r="M238" t="s">
        <v>173</v>
      </c>
      <c r="N238" t="s">
        <v>23</v>
      </c>
      <c r="O238" s="6" t="str">
        <f t="shared" si="3"/>
        <v>GEUS Well Info</v>
      </c>
      <c r="P238" s="7" t="str">
        <f>HYPERLINK("https://ens.dk/sites/ens.dk/files/OlieGas/PM/nolde-1.pdf","DEA press release")</f>
        <v>DEA press release</v>
      </c>
    </row>
    <row r="239" spans="1:16" x14ac:dyDescent="0.25">
      <c r="A239" t="s">
        <v>1067</v>
      </c>
      <c r="B239" s="1" t="s">
        <v>1068</v>
      </c>
      <c r="C239" t="s">
        <v>16</v>
      </c>
      <c r="D239" s="1" t="s">
        <v>1069</v>
      </c>
      <c r="E239" t="s">
        <v>800</v>
      </c>
      <c r="F239" t="s">
        <v>788</v>
      </c>
      <c r="G239" t="s">
        <v>1070</v>
      </c>
      <c r="H239" t="s">
        <v>1071</v>
      </c>
      <c r="I239">
        <v>56.017144444444448</v>
      </c>
      <c r="J239">
        <v>3.7236555555555557</v>
      </c>
      <c r="K239" s="3">
        <v>35574</v>
      </c>
      <c r="L239" s="3">
        <v>35609</v>
      </c>
      <c r="M239" t="s">
        <v>173</v>
      </c>
      <c r="N239" t="s">
        <v>23</v>
      </c>
      <c r="O239" s="6" t="str">
        <f t="shared" si="3"/>
        <v>GEUS Well Info</v>
      </c>
      <c r="P239" s="7" t="str">
        <f>HYPERLINK("https://ens.dk/sites/ens.dk/files/OlieGas/PM/isak-1.pdf","DEA press release")</f>
        <v>DEA press release</v>
      </c>
    </row>
    <row r="240" spans="1:16" x14ac:dyDescent="0.25">
      <c r="A240" t="s">
        <v>1072</v>
      </c>
      <c r="B240" s="1" t="s">
        <v>1073</v>
      </c>
      <c r="C240" t="s">
        <v>16</v>
      </c>
      <c r="D240" s="1" t="s">
        <v>1074</v>
      </c>
      <c r="E240" t="s">
        <v>314</v>
      </c>
      <c r="F240" s="2" t="s">
        <v>1059</v>
      </c>
      <c r="G240" t="s">
        <v>1075</v>
      </c>
      <c r="H240" t="s">
        <v>1076</v>
      </c>
      <c r="I240">
        <v>55.875188888888886</v>
      </c>
      <c r="J240">
        <v>4.783722222222222</v>
      </c>
      <c r="K240" s="3">
        <v>35608</v>
      </c>
      <c r="L240" s="3">
        <v>35659</v>
      </c>
      <c r="M240" t="s">
        <v>173</v>
      </c>
      <c r="N240" t="s">
        <v>23</v>
      </c>
      <c r="O240" s="6" t="str">
        <f t="shared" si="3"/>
        <v>GEUS Well Info</v>
      </c>
      <c r="P240" s="7" t="str">
        <f>HYPERLINK("https://ens.dk/sites/ens.dk/files/OlieGas/PM/nw-adda-1.pdf","DEA press release")</f>
        <v>DEA press release</v>
      </c>
    </row>
    <row r="241" spans="1:16" x14ac:dyDescent="0.25">
      <c r="A241" t="s">
        <v>1077</v>
      </c>
      <c r="B241" s="1" t="s">
        <v>1078</v>
      </c>
      <c r="C241" t="s">
        <v>573</v>
      </c>
      <c r="D241" s="1" t="s">
        <v>163</v>
      </c>
      <c r="E241" t="s">
        <v>314</v>
      </c>
      <c r="F241" t="s">
        <v>1079</v>
      </c>
      <c r="G241" t="s">
        <v>1080</v>
      </c>
      <c r="H241" t="s">
        <v>1081</v>
      </c>
      <c r="I241">
        <v>55.577166666666663</v>
      </c>
      <c r="J241">
        <v>4.6196444444444449</v>
      </c>
      <c r="K241" s="3">
        <v>35611</v>
      </c>
      <c r="L241" s="3">
        <v>35648</v>
      </c>
      <c r="M241" t="s">
        <v>173</v>
      </c>
      <c r="N241" t="s">
        <v>23</v>
      </c>
      <c r="O241" s="6" t="str">
        <f t="shared" si="3"/>
        <v>GEUS Well Info</v>
      </c>
      <c r="P241" s="9" t="s">
        <v>1670</v>
      </c>
    </row>
    <row r="242" spans="1:16" x14ac:dyDescent="0.25">
      <c r="A242" t="s">
        <v>1082</v>
      </c>
      <c r="B242" s="1" t="s">
        <v>1083</v>
      </c>
      <c r="C242" t="s">
        <v>16</v>
      </c>
      <c r="D242" s="1" t="s">
        <v>1084</v>
      </c>
      <c r="E242" t="s">
        <v>800</v>
      </c>
      <c r="F242" s="2" t="s">
        <v>1085</v>
      </c>
      <c r="G242" t="s">
        <v>1086</v>
      </c>
      <c r="H242" t="s">
        <v>1087</v>
      </c>
      <c r="I242">
        <v>56.287263888888887</v>
      </c>
      <c r="J242">
        <v>5.0306111111111109</v>
      </c>
      <c r="K242" s="3">
        <v>35637</v>
      </c>
      <c r="L242" s="3">
        <v>35681</v>
      </c>
      <c r="M242" t="s">
        <v>173</v>
      </c>
      <c r="N242" t="s">
        <v>23</v>
      </c>
      <c r="O242" s="6" t="str">
        <f t="shared" si="3"/>
        <v>GEUS Well Info</v>
      </c>
      <c r="P242" s="7" t="str">
        <f>HYPERLINK("https://ens.dk/sites/ens.dk/files/OlieGas/PM/frida-1.pdf","DEA press release")</f>
        <v>DEA press release</v>
      </c>
    </row>
    <row r="243" spans="1:16" x14ac:dyDescent="0.25">
      <c r="A243" t="s">
        <v>1088</v>
      </c>
      <c r="B243" s="1" t="s">
        <v>1089</v>
      </c>
      <c r="C243" t="s">
        <v>209</v>
      </c>
      <c r="D243" s="1" t="s">
        <v>163</v>
      </c>
      <c r="E243" t="s">
        <v>314</v>
      </c>
      <c r="F243" t="s">
        <v>966</v>
      </c>
      <c r="G243" t="s">
        <v>1090</v>
      </c>
      <c r="H243" t="s">
        <v>1091</v>
      </c>
      <c r="I243">
        <v>55.823480555555555</v>
      </c>
      <c r="J243">
        <v>4.8650500000000001</v>
      </c>
      <c r="K243" s="3">
        <v>35662</v>
      </c>
      <c r="L243" s="3">
        <v>35850</v>
      </c>
      <c r="M243" t="s">
        <v>173</v>
      </c>
      <c r="N243" t="s">
        <v>23</v>
      </c>
      <c r="O243" s="6" t="str">
        <f t="shared" si="3"/>
        <v>GEUS Well Info</v>
      </c>
    </row>
    <row r="244" spans="1:16" x14ac:dyDescent="0.25">
      <c r="A244" t="s">
        <v>1092</v>
      </c>
      <c r="B244" s="1" t="s">
        <v>1093</v>
      </c>
      <c r="C244" t="s">
        <v>16</v>
      </c>
      <c r="D244" s="1" t="s">
        <v>1054</v>
      </c>
      <c r="E244" t="s">
        <v>992</v>
      </c>
      <c r="F244" t="s">
        <v>1094</v>
      </c>
      <c r="G244" t="s">
        <v>1095</v>
      </c>
      <c r="H244" t="s">
        <v>1096</v>
      </c>
      <c r="I244">
        <v>55.995955555555554</v>
      </c>
      <c r="J244">
        <v>3.4904000000000002</v>
      </c>
      <c r="K244" s="3">
        <v>35699</v>
      </c>
      <c r="L244" s="3">
        <v>35745</v>
      </c>
      <c r="M244" t="s">
        <v>173</v>
      </c>
      <c r="N244" t="s">
        <v>23</v>
      </c>
      <c r="O244" s="6" t="str">
        <f t="shared" si="3"/>
        <v>GEUS Well Info</v>
      </c>
      <c r="P244" s="7" t="str">
        <f>HYPERLINK("https://ens.dk/sites/ens.dk/files/OlieGas/PM/wessel-1.pdf","DEA press release")</f>
        <v>DEA press release</v>
      </c>
    </row>
    <row r="245" spans="1:16" x14ac:dyDescent="0.25">
      <c r="A245" t="s">
        <v>1097</v>
      </c>
      <c r="B245" s="1" t="s">
        <v>1098</v>
      </c>
      <c r="C245" t="s">
        <v>573</v>
      </c>
      <c r="D245" s="1" t="s">
        <v>163</v>
      </c>
      <c r="E245" t="s">
        <v>314</v>
      </c>
      <c r="F245" t="s">
        <v>1059</v>
      </c>
      <c r="G245" t="s">
        <v>1099</v>
      </c>
      <c r="H245" t="s">
        <v>1100</v>
      </c>
      <c r="I245">
        <v>55.606630555555554</v>
      </c>
      <c r="J245">
        <v>4.4929083333333333</v>
      </c>
      <c r="K245" s="3">
        <v>35875</v>
      </c>
      <c r="L245" s="3">
        <v>35955</v>
      </c>
      <c r="M245" t="s">
        <v>173</v>
      </c>
      <c r="N245" t="s">
        <v>23</v>
      </c>
      <c r="O245" s="6" t="str">
        <f t="shared" si="3"/>
        <v>GEUS Well Info</v>
      </c>
      <c r="P245" s="9" t="s">
        <v>1670</v>
      </c>
    </row>
    <row r="246" spans="1:16" x14ac:dyDescent="0.25">
      <c r="A246" t="s">
        <v>1101</v>
      </c>
      <c r="B246" s="1" t="s">
        <v>1102</v>
      </c>
      <c r="C246" t="s">
        <v>573</v>
      </c>
      <c r="D246" s="1" t="s">
        <v>163</v>
      </c>
      <c r="E246" t="s">
        <v>314</v>
      </c>
      <c r="F246" s="2" t="s">
        <v>966</v>
      </c>
      <c r="G246" t="s">
        <v>1103</v>
      </c>
      <c r="H246" t="s">
        <v>1104</v>
      </c>
      <c r="I246">
        <v>55.477708333333332</v>
      </c>
      <c r="J246">
        <v>5.1089527777777777</v>
      </c>
      <c r="K246" s="3">
        <v>35939</v>
      </c>
      <c r="L246" s="3">
        <v>36193</v>
      </c>
      <c r="M246" t="s">
        <v>173</v>
      </c>
      <c r="N246" t="s">
        <v>23</v>
      </c>
      <c r="O246" s="6" t="str">
        <f t="shared" si="3"/>
        <v>GEUS Well Info</v>
      </c>
      <c r="P246" s="9" t="s">
        <v>1670</v>
      </c>
    </row>
    <row r="247" spans="1:16" x14ac:dyDescent="0.25">
      <c r="A247" t="s">
        <v>1105</v>
      </c>
      <c r="B247" s="1" t="s">
        <v>1106</v>
      </c>
      <c r="C247" t="s">
        <v>16</v>
      </c>
      <c r="D247" s="1" t="s">
        <v>1010</v>
      </c>
      <c r="E247" t="s">
        <v>754</v>
      </c>
      <c r="F247" t="s">
        <v>1107</v>
      </c>
      <c r="G247" t="s">
        <v>1108</v>
      </c>
      <c r="H247" t="s">
        <v>1109</v>
      </c>
      <c r="I247">
        <v>56.587036111111111</v>
      </c>
      <c r="J247">
        <v>5.0264416666666669</v>
      </c>
      <c r="K247" s="3">
        <v>35964</v>
      </c>
      <c r="L247" s="3">
        <v>35991</v>
      </c>
      <c r="M247" t="s">
        <v>173</v>
      </c>
      <c r="N247" t="s">
        <v>23</v>
      </c>
      <c r="O247" s="6" t="str">
        <f t="shared" si="3"/>
        <v>GEUS Well Info</v>
      </c>
      <c r="P247" s="7" t="str">
        <f>HYPERLINK("https://ens.dk/sites/ens.dk/files/OlieGas/PM/sandra-1.pdf","DEA press release")</f>
        <v>DEA press release</v>
      </c>
    </row>
    <row r="248" spans="1:16" x14ac:dyDescent="0.25">
      <c r="A248" t="s">
        <v>1110</v>
      </c>
      <c r="B248" s="1" t="s">
        <v>1111</v>
      </c>
      <c r="C248" t="s">
        <v>16</v>
      </c>
      <c r="D248" s="1" t="s">
        <v>1112</v>
      </c>
      <c r="E248" t="s">
        <v>800</v>
      </c>
      <c r="F248" t="s">
        <v>1107</v>
      </c>
      <c r="G248" t="s">
        <v>1113</v>
      </c>
      <c r="H248" t="s">
        <v>1114</v>
      </c>
      <c r="I248">
        <v>56.374430555555556</v>
      </c>
      <c r="J248">
        <v>4.8014722222222224</v>
      </c>
      <c r="K248" s="3">
        <v>35996</v>
      </c>
      <c r="L248" s="3">
        <v>36027</v>
      </c>
      <c r="M248" t="s">
        <v>173</v>
      </c>
      <c r="N248" t="s">
        <v>23</v>
      </c>
      <c r="O248" s="6" t="str">
        <f t="shared" si="3"/>
        <v>GEUS Well Info</v>
      </c>
      <c r="P248" s="7" t="str">
        <f>HYPERLINK("https://ens.dk/sites/ens.dk/files/OlieGas/PM/franciska-1.pdf","DEA press release")</f>
        <v>DEA press release</v>
      </c>
    </row>
    <row r="249" spans="1:16" x14ac:dyDescent="0.25">
      <c r="A249" t="s">
        <v>1115</v>
      </c>
      <c r="B249" s="1" t="s">
        <v>1116</v>
      </c>
      <c r="C249" t="s">
        <v>16</v>
      </c>
      <c r="D249" s="1" t="s">
        <v>1117</v>
      </c>
      <c r="E249" t="s">
        <v>314</v>
      </c>
      <c r="F249" t="s">
        <v>1059</v>
      </c>
      <c r="G249" t="s">
        <v>1118</v>
      </c>
      <c r="H249" t="s">
        <v>1119</v>
      </c>
      <c r="I249">
        <v>55.297627777777777</v>
      </c>
      <c r="J249">
        <v>5.4277249999999997</v>
      </c>
      <c r="K249" s="3">
        <v>36020</v>
      </c>
      <c r="L249" s="3">
        <v>36048</v>
      </c>
      <c r="M249" t="s">
        <v>173</v>
      </c>
      <c r="N249" t="s">
        <v>23</v>
      </c>
      <c r="O249" s="6" t="str">
        <f t="shared" si="3"/>
        <v>GEUS Well Info</v>
      </c>
      <c r="P249" s="9" t="s">
        <v>1670</v>
      </c>
    </row>
    <row r="250" spans="1:16" x14ac:dyDescent="0.25">
      <c r="A250" t="s">
        <v>1120</v>
      </c>
      <c r="B250" s="1" t="s">
        <v>1121</v>
      </c>
      <c r="C250" t="s">
        <v>573</v>
      </c>
      <c r="D250" s="1" t="s">
        <v>163</v>
      </c>
      <c r="E250" t="s">
        <v>314</v>
      </c>
      <c r="F250" s="2" t="s">
        <v>536</v>
      </c>
      <c r="G250" t="s">
        <v>1122</v>
      </c>
      <c r="H250" t="s">
        <v>1123</v>
      </c>
      <c r="I250">
        <v>55.720813888888891</v>
      </c>
      <c r="J250">
        <v>4.8002888888888888</v>
      </c>
      <c r="K250" s="3">
        <v>36119</v>
      </c>
      <c r="L250" s="3">
        <v>36213</v>
      </c>
      <c r="M250" t="s">
        <v>173</v>
      </c>
      <c r="N250" t="s">
        <v>23</v>
      </c>
      <c r="O250" s="6" t="str">
        <f t="shared" si="3"/>
        <v>GEUS Well Info</v>
      </c>
      <c r="P250" s="9" t="s">
        <v>1670</v>
      </c>
    </row>
    <row r="251" spans="1:16" x14ac:dyDescent="0.25">
      <c r="A251" t="s">
        <v>1124</v>
      </c>
      <c r="B251" s="1" t="s">
        <v>1125</v>
      </c>
      <c r="C251" t="s">
        <v>573</v>
      </c>
      <c r="D251" s="1" t="s">
        <v>163</v>
      </c>
      <c r="E251" t="s">
        <v>314</v>
      </c>
      <c r="F251" t="s">
        <v>1126</v>
      </c>
      <c r="G251" t="s">
        <v>1127</v>
      </c>
      <c r="H251" t="s">
        <v>1128</v>
      </c>
      <c r="I251">
        <v>56.179049999999997</v>
      </c>
      <c r="J251">
        <v>4.1807611111111109</v>
      </c>
      <c r="K251" s="3">
        <v>36172</v>
      </c>
      <c r="L251" s="3">
        <v>36323</v>
      </c>
      <c r="M251" t="s">
        <v>173</v>
      </c>
      <c r="N251" t="s">
        <v>23</v>
      </c>
      <c r="O251" s="6" t="str">
        <f t="shared" si="3"/>
        <v>GEUS Well Info</v>
      </c>
      <c r="P251" s="9" t="s">
        <v>1670</v>
      </c>
    </row>
    <row r="252" spans="1:16" x14ac:dyDescent="0.25">
      <c r="A252" t="s">
        <v>1129</v>
      </c>
      <c r="B252" s="1" t="s">
        <v>1130</v>
      </c>
      <c r="C252" t="s">
        <v>16</v>
      </c>
      <c r="D252" s="1" t="s">
        <v>163</v>
      </c>
      <c r="E252" t="s">
        <v>314</v>
      </c>
      <c r="F252" t="s">
        <v>1059</v>
      </c>
      <c r="G252" t="s">
        <v>1131</v>
      </c>
      <c r="H252" t="s">
        <v>1132</v>
      </c>
      <c r="I252">
        <v>55.530608333333333</v>
      </c>
      <c r="J252">
        <v>5.007280555555556</v>
      </c>
      <c r="K252" s="3">
        <v>36198</v>
      </c>
      <c r="L252" s="3">
        <v>36319</v>
      </c>
      <c r="M252" t="s">
        <v>173</v>
      </c>
      <c r="N252" t="s">
        <v>23</v>
      </c>
      <c r="O252" s="6" t="str">
        <f t="shared" si="3"/>
        <v>GEUS Well Info</v>
      </c>
      <c r="P252" s="9" t="s">
        <v>1670</v>
      </c>
    </row>
    <row r="253" spans="1:16" x14ac:dyDescent="0.25">
      <c r="A253" t="s">
        <v>1133</v>
      </c>
      <c r="B253" s="1" t="s">
        <v>1134</v>
      </c>
      <c r="C253" t="s">
        <v>209</v>
      </c>
      <c r="D253" s="1" t="s">
        <v>876</v>
      </c>
      <c r="E253" t="s">
        <v>1135</v>
      </c>
      <c r="F253" s="2" t="s">
        <v>1094</v>
      </c>
      <c r="G253" t="s">
        <v>1136</v>
      </c>
      <c r="H253" t="s">
        <v>1137</v>
      </c>
      <c r="I253">
        <v>56.103297222222224</v>
      </c>
      <c r="J253">
        <v>4.237708333333333</v>
      </c>
      <c r="K253" s="3">
        <v>36297</v>
      </c>
      <c r="L253" s="3">
        <v>36335</v>
      </c>
      <c r="M253" t="s">
        <v>173</v>
      </c>
      <c r="N253" t="s">
        <v>23</v>
      </c>
      <c r="O253" s="6" t="str">
        <f t="shared" si="3"/>
        <v>GEUS Well Info</v>
      </c>
      <c r="P253" s="7" t="str">
        <f>HYPERLINK("https://ens.dk/sites/ens.dk/files/OlieGas/PM/modi-1.pdf","DEA press release")</f>
        <v>DEA press release</v>
      </c>
    </row>
    <row r="254" spans="1:16" x14ac:dyDescent="0.25">
      <c r="A254" t="s">
        <v>1138</v>
      </c>
      <c r="B254" s="1" t="s">
        <v>1139</v>
      </c>
      <c r="C254" t="s">
        <v>1140</v>
      </c>
      <c r="D254" s="1" t="s">
        <v>1010</v>
      </c>
      <c r="E254" t="s">
        <v>754</v>
      </c>
      <c r="F254" t="s">
        <v>1141</v>
      </c>
      <c r="G254" t="s">
        <v>1142</v>
      </c>
      <c r="H254" t="s">
        <v>1143</v>
      </c>
      <c r="I254">
        <v>56.483369444444442</v>
      </c>
      <c r="J254">
        <v>4.9125611111111107</v>
      </c>
      <c r="K254" s="3">
        <v>36321</v>
      </c>
      <c r="L254" s="3">
        <v>36371</v>
      </c>
      <c r="M254" t="s">
        <v>173</v>
      </c>
      <c r="N254" t="s">
        <v>23</v>
      </c>
      <c r="O254" s="6" t="str">
        <f t="shared" si="3"/>
        <v>GEUS Well Info</v>
      </c>
      <c r="P254" s="7" t="str">
        <f>HYPERLINK("https://ens.dk/sites/ens.dk/files/OlieGas/PM/sca-4.pdf","DEA press release")</f>
        <v>DEA press release</v>
      </c>
    </row>
    <row r="255" spans="1:16" x14ac:dyDescent="0.25">
      <c r="A255" t="s">
        <v>1144</v>
      </c>
      <c r="B255" s="1" t="s">
        <v>1145</v>
      </c>
      <c r="C255" t="s">
        <v>16</v>
      </c>
      <c r="D255" s="1" t="s">
        <v>1010</v>
      </c>
      <c r="E255" t="s">
        <v>754</v>
      </c>
      <c r="F255" t="s">
        <v>1141</v>
      </c>
      <c r="G255" t="s">
        <v>1146</v>
      </c>
      <c r="H255" t="s">
        <v>1147</v>
      </c>
      <c r="I255">
        <v>56.483330555555554</v>
      </c>
      <c r="J255">
        <v>4.912552777777778</v>
      </c>
      <c r="K255" s="3">
        <v>36370</v>
      </c>
      <c r="L255" s="3">
        <v>36429</v>
      </c>
      <c r="M255" t="s">
        <v>173</v>
      </c>
      <c r="N255" t="s">
        <v>23</v>
      </c>
      <c r="O255" s="6" t="str">
        <f t="shared" si="3"/>
        <v>GEUS Well Info</v>
      </c>
      <c r="P255" s="7" t="str">
        <f>HYPERLINK("https://ens.dk/sites/ens.dk/files/OlieGas/PM/sca-11.pdf","DEA press release")</f>
        <v>DEA press release</v>
      </c>
    </row>
    <row r="256" spans="1:16" x14ac:dyDescent="0.25">
      <c r="A256" t="s">
        <v>1148</v>
      </c>
      <c r="B256" s="1" t="s">
        <v>1149</v>
      </c>
      <c r="C256" t="s">
        <v>16</v>
      </c>
      <c r="D256" s="1" t="s">
        <v>163</v>
      </c>
      <c r="E256" t="s">
        <v>314</v>
      </c>
      <c r="F256" t="s">
        <v>966</v>
      </c>
      <c r="G256" t="s">
        <v>1150</v>
      </c>
      <c r="H256" t="s">
        <v>1151</v>
      </c>
      <c r="I256">
        <v>55.581263888888891</v>
      </c>
      <c r="J256">
        <v>5.038413888888889</v>
      </c>
      <c r="K256" s="3">
        <v>36395</v>
      </c>
      <c r="L256" s="3">
        <v>36484</v>
      </c>
      <c r="M256" t="s">
        <v>173</v>
      </c>
      <c r="N256" t="s">
        <v>23</v>
      </c>
      <c r="O256" s="6" t="str">
        <f t="shared" si="3"/>
        <v>GEUS Well Info</v>
      </c>
      <c r="P256" s="9" t="s">
        <v>1670</v>
      </c>
    </row>
    <row r="257" spans="1:16" x14ac:dyDescent="0.25">
      <c r="A257" t="s">
        <v>1152</v>
      </c>
      <c r="B257" s="1" t="s">
        <v>1153</v>
      </c>
      <c r="C257" t="s">
        <v>573</v>
      </c>
      <c r="D257" s="1" t="s">
        <v>163</v>
      </c>
      <c r="E257" t="s">
        <v>314</v>
      </c>
      <c r="F257" s="2" t="s">
        <v>536</v>
      </c>
      <c r="G257" t="s">
        <v>1154</v>
      </c>
      <c r="H257" t="s">
        <v>1155</v>
      </c>
      <c r="I257">
        <v>55.5306</v>
      </c>
      <c r="J257">
        <v>5.0073027777777774</v>
      </c>
      <c r="K257" s="3">
        <v>36403</v>
      </c>
      <c r="L257" s="3">
        <v>36451</v>
      </c>
      <c r="M257" t="s">
        <v>173</v>
      </c>
      <c r="N257" t="s">
        <v>23</v>
      </c>
      <c r="O257" s="6" t="str">
        <f t="shared" si="3"/>
        <v>GEUS Well Info</v>
      </c>
      <c r="P257" s="9" t="s">
        <v>1670</v>
      </c>
    </row>
    <row r="258" spans="1:16" x14ac:dyDescent="0.25">
      <c r="A258" t="s">
        <v>1156</v>
      </c>
      <c r="B258" s="1" t="s">
        <v>1157</v>
      </c>
      <c r="C258" t="s">
        <v>209</v>
      </c>
      <c r="D258" s="1" t="s">
        <v>163</v>
      </c>
      <c r="E258" t="s">
        <v>314</v>
      </c>
      <c r="F258" t="s">
        <v>1126</v>
      </c>
      <c r="G258" t="s">
        <v>1158</v>
      </c>
      <c r="H258" t="s">
        <v>1159</v>
      </c>
      <c r="I258">
        <v>55.580030555555552</v>
      </c>
      <c r="J258">
        <v>5.1208333333333336</v>
      </c>
      <c r="K258" s="3">
        <v>36408</v>
      </c>
      <c r="L258" s="3">
        <v>36429</v>
      </c>
      <c r="M258" t="s">
        <v>173</v>
      </c>
      <c r="N258" t="s">
        <v>23</v>
      </c>
      <c r="O258" s="6" t="str">
        <f t="shared" ref="O258:O320" si="4">IF(N258="YES",HYPERLINK("http://data.geus.dk/geusmapmore/samba/info_samba.jsp?iSector=DANISH&amp;iWellName="&amp;A258,"GEUS Well Info"),"")</f>
        <v>GEUS Well Info</v>
      </c>
      <c r="P258" s="9" t="s">
        <v>1670</v>
      </c>
    </row>
    <row r="259" spans="1:16" x14ac:dyDescent="0.25">
      <c r="A259" t="s">
        <v>1160</v>
      </c>
      <c r="B259" s="1" t="s">
        <v>1161</v>
      </c>
      <c r="C259" t="s">
        <v>209</v>
      </c>
      <c r="D259" s="1" t="s">
        <v>163</v>
      </c>
      <c r="E259" t="s">
        <v>314</v>
      </c>
      <c r="F259" s="2" t="s">
        <v>1126</v>
      </c>
      <c r="G259" t="s">
        <v>1162</v>
      </c>
      <c r="H259" t="s">
        <v>1163</v>
      </c>
      <c r="I259">
        <v>55.640386111111113</v>
      </c>
      <c r="J259">
        <v>4.8843111111111108</v>
      </c>
      <c r="K259" s="3">
        <v>36444</v>
      </c>
      <c r="L259" s="3">
        <v>36515</v>
      </c>
      <c r="M259" t="s">
        <v>173</v>
      </c>
      <c r="N259" t="s">
        <v>23</v>
      </c>
      <c r="O259" s="6" t="str">
        <f t="shared" si="4"/>
        <v>GEUS Well Info</v>
      </c>
      <c r="P259" s="9" t="s">
        <v>1670</v>
      </c>
    </row>
    <row r="260" spans="1:16" x14ac:dyDescent="0.25">
      <c r="A260" t="s">
        <v>1164</v>
      </c>
      <c r="B260" s="1" t="s">
        <v>1165</v>
      </c>
      <c r="C260" t="s">
        <v>573</v>
      </c>
      <c r="D260" s="1" t="s">
        <v>163</v>
      </c>
      <c r="E260" t="s">
        <v>314</v>
      </c>
      <c r="F260" t="s">
        <v>536</v>
      </c>
      <c r="G260" t="s">
        <v>1166</v>
      </c>
      <c r="H260" t="s">
        <v>1167</v>
      </c>
      <c r="I260">
        <v>55.530588888888886</v>
      </c>
      <c r="J260">
        <v>5.0072944444444447</v>
      </c>
      <c r="K260" s="3">
        <v>36453</v>
      </c>
      <c r="L260" s="3">
        <v>36585</v>
      </c>
      <c r="M260" t="s">
        <v>173</v>
      </c>
      <c r="N260" t="s">
        <v>23</v>
      </c>
      <c r="O260" s="6" t="str">
        <f t="shared" si="4"/>
        <v>GEUS Well Info</v>
      </c>
      <c r="P260" s="9" t="s">
        <v>1670</v>
      </c>
    </row>
    <row r="261" spans="1:16" x14ac:dyDescent="0.25">
      <c r="A261" t="s">
        <v>1168</v>
      </c>
      <c r="B261" s="1" t="s">
        <v>1169</v>
      </c>
      <c r="C261" t="s">
        <v>16</v>
      </c>
      <c r="D261" s="1" t="s">
        <v>163</v>
      </c>
      <c r="E261" t="s">
        <v>314</v>
      </c>
      <c r="F261" t="s">
        <v>1126</v>
      </c>
      <c r="G261" t="s">
        <v>1170</v>
      </c>
      <c r="H261" t="s">
        <v>1171</v>
      </c>
      <c r="I261">
        <v>55.708655555555552</v>
      </c>
      <c r="J261">
        <v>4.6655749999999996</v>
      </c>
      <c r="K261" s="3">
        <v>36528</v>
      </c>
      <c r="L261" s="3">
        <v>36547</v>
      </c>
      <c r="M261" t="s">
        <v>173</v>
      </c>
      <c r="N261" t="s">
        <v>23</v>
      </c>
      <c r="O261" s="6" t="str">
        <f t="shared" si="4"/>
        <v>GEUS Well Info</v>
      </c>
      <c r="P261" s="9" t="s">
        <v>1670</v>
      </c>
    </row>
    <row r="262" spans="1:16" x14ac:dyDescent="0.25">
      <c r="A262" t="s">
        <v>1172</v>
      </c>
      <c r="B262" s="1" t="s">
        <v>899</v>
      </c>
      <c r="C262" t="s">
        <v>573</v>
      </c>
      <c r="D262" s="1" t="s">
        <v>163</v>
      </c>
      <c r="E262" t="s">
        <v>314</v>
      </c>
      <c r="F262" t="s">
        <v>1126</v>
      </c>
      <c r="G262" t="s">
        <v>1173</v>
      </c>
      <c r="H262" t="s">
        <v>1174</v>
      </c>
      <c r="I262">
        <v>55.715400000000002</v>
      </c>
      <c r="J262">
        <v>4.7489055555555559</v>
      </c>
      <c r="K262" s="3">
        <v>36557</v>
      </c>
      <c r="L262" s="3">
        <v>36634</v>
      </c>
      <c r="M262" t="s">
        <v>173</v>
      </c>
      <c r="N262" t="s">
        <v>23</v>
      </c>
      <c r="O262" s="6" t="str">
        <f t="shared" si="4"/>
        <v>GEUS Well Info</v>
      </c>
      <c r="P262" s="9" t="s">
        <v>1670</v>
      </c>
    </row>
    <row r="263" spans="1:16" x14ac:dyDescent="0.25">
      <c r="A263" t="s">
        <v>1175</v>
      </c>
      <c r="B263" s="1" t="s">
        <v>1176</v>
      </c>
      <c r="C263" t="s">
        <v>573</v>
      </c>
      <c r="D263" s="1" t="s">
        <v>163</v>
      </c>
      <c r="E263" t="s">
        <v>314</v>
      </c>
      <c r="F263" s="2" t="s">
        <v>536</v>
      </c>
      <c r="G263" t="s">
        <v>1177</v>
      </c>
      <c r="H263" t="s">
        <v>1178</v>
      </c>
      <c r="I263">
        <v>55.53059722222222</v>
      </c>
      <c r="J263">
        <v>5.0072694444444448</v>
      </c>
      <c r="K263" s="3">
        <v>36579</v>
      </c>
      <c r="L263" s="3">
        <v>36679</v>
      </c>
      <c r="M263" t="s">
        <v>173</v>
      </c>
      <c r="N263" t="s">
        <v>23</v>
      </c>
      <c r="O263" s="6" t="str">
        <f t="shared" si="4"/>
        <v>GEUS Well Info</v>
      </c>
      <c r="P263" s="9" t="s">
        <v>1670</v>
      </c>
    </row>
    <row r="264" spans="1:16" x14ac:dyDescent="0.25">
      <c r="A264" t="s">
        <v>1179</v>
      </c>
      <c r="B264" s="1" t="s">
        <v>996</v>
      </c>
      <c r="C264" t="s">
        <v>573</v>
      </c>
      <c r="D264" s="1" t="s">
        <v>163</v>
      </c>
      <c r="E264" t="s">
        <v>314</v>
      </c>
      <c r="F264" t="s">
        <v>1059</v>
      </c>
      <c r="G264" t="s">
        <v>1180</v>
      </c>
      <c r="H264" t="s">
        <v>1181</v>
      </c>
      <c r="I264">
        <v>55.53134166666667</v>
      </c>
      <c r="J264">
        <v>4.9098750000000004</v>
      </c>
      <c r="K264" s="3">
        <v>36595</v>
      </c>
      <c r="L264" s="3">
        <v>36674</v>
      </c>
      <c r="M264" t="s">
        <v>173</v>
      </c>
      <c r="N264" t="s">
        <v>23</v>
      </c>
      <c r="O264" s="6" t="str">
        <f t="shared" si="4"/>
        <v>GEUS Well Info</v>
      </c>
      <c r="P264" s="9" t="s">
        <v>1670</v>
      </c>
    </row>
    <row r="265" spans="1:16" x14ac:dyDescent="0.25">
      <c r="A265" t="s">
        <v>1182</v>
      </c>
      <c r="B265" s="1" t="s">
        <v>1183</v>
      </c>
      <c r="C265" t="s">
        <v>16</v>
      </c>
      <c r="D265" s="1" t="s">
        <v>1184</v>
      </c>
      <c r="E265" t="s">
        <v>1185</v>
      </c>
      <c r="F265" t="s">
        <v>1186</v>
      </c>
      <c r="G265" t="s">
        <v>1187</v>
      </c>
      <c r="H265" t="s">
        <v>1188</v>
      </c>
      <c r="I265">
        <v>55.76443888888889</v>
      </c>
      <c r="J265">
        <v>5.2551111111111108</v>
      </c>
      <c r="K265" s="3">
        <v>36633</v>
      </c>
      <c r="L265" s="3">
        <v>36657</v>
      </c>
      <c r="M265" t="s">
        <v>173</v>
      </c>
      <c r="N265" t="s">
        <v>23</v>
      </c>
      <c r="O265" s="6" t="str">
        <f t="shared" si="4"/>
        <v>GEUS Well Info</v>
      </c>
      <c r="P265" s="7" t="str">
        <f>HYPERLINK("https://ens.dk/sites/ens.dk/files/OlieGas/PM/roxanne-1.pdf","DEA press release")</f>
        <v>DEA press release</v>
      </c>
    </row>
    <row r="266" spans="1:16" x14ac:dyDescent="0.25">
      <c r="A266" t="s">
        <v>1189</v>
      </c>
      <c r="B266" s="1" t="s">
        <v>899</v>
      </c>
      <c r="C266" t="s">
        <v>573</v>
      </c>
      <c r="D266" s="1" t="s">
        <v>163</v>
      </c>
      <c r="E266" t="s">
        <v>314</v>
      </c>
      <c r="F266" t="s">
        <v>1126</v>
      </c>
      <c r="G266" t="s">
        <v>1190</v>
      </c>
      <c r="H266" t="s">
        <v>1191</v>
      </c>
      <c r="I266">
        <v>55.715394444444442</v>
      </c>
      <c r="J266">
        <v>4.7488944444444448</v>
      </c>
      <c r="K266" s="3">
        <v>36636</v>
      </c>
      <c r="L266" s="3">
        <v>36675</v>
      </c>
      <c r="M266" t="s">
        <v>173</v>
      </c>
      <c r="N266" t="s">
        <v>23</v>
      </c>
      <c r="O266" s="6" t="str">
        <f t="shared" si="4"/>
        <v>GEUS Well Info</v>
      </c>
      <c r="P266" s="9" t="s">
        <v>1670</v>
      </c>
    </row>
    <row r="267" spans="1:16" x14ac:dyDescent="0.25">
      <c r="A267" t="s">
        <v>1192</v>
      </c>
      <c r="B267" s="1" t="s">
        <v>1193</v>
      </c>
      <c r="C267" t="s">
        <v>16</v>
      </c>
      <c r="D267" s="1" t="s">
        <v>1194</v>
      </c>
      <c r="E267" t="s">
        <v>1195</v>
      </c>
      <c r="F267" t="s">
        <v>1186</v>
      </c>
      <c r="G267" t="s">
        <v>1196</v>
      </c>
      <c r="H267" t="s">
        <v>1197</v>
      </c>
      <c r="I267">
        <v>55.959472222222225</v>
      </c>
      <c r="J267">
        <v>3.5849805555555556</v>
      </c>
      <c r="K267" s="3">
        <v>36661</v>
      </c>
      <c r="L267" s="3">
        <v>36706</v>
      </c>
      <c r="M267" t="s">
        <v>173</v>
      </c>
      <c r="N267" t="s">
        <v>23</v>
      </c>
      <c r="O267" s="6" t="str">
        <f t="shared" si="4"/>
        <v>GEUS Well Info</v>
      </c>
      <c r="P267" s="7" t="str">
        <f>HYPERLINK("https://ens.dk/sites/ens.dk/files/OlieGas/PM/lilje-1.pdf","DEA press release")</f>
        <v>DEA press release</v>
      </c>
    </row>
    <row r="268" spans="1:16" x14ac:dyDescent="0.25">
      <c r="A268" t="s">
        <v>1198</v>
      </c>
      <c r="B268" s="1" t="s">
        <v>1199</v>
      </c>
      <c r="C268" t="s">
        <v>573</v>
      </c>
      <c r="D268" s="1" t="s">
        <v>163</v>
      </c>
      <c r="E268" t="s">
        <v>314</v>
      </c>
      <c r="F268" s="2" t="s">
        <v>1126</v>
      </c>
      <c r="G268" t="s">
        <v>928</v>
      </c>
      <c r="H268" t="s">
        <v>1200</v>
      </c>
      <c r="I268">
        <v>56.346083333333333</v>
      </c>
      <c r="J268">
        <v>4.2732083333333337</v>
      </c>
      <c r="K268" s="3">
        <v>36688</v>
      </c>
      <c r="L268" s="3">
        <v>36825</v>
      </c>
      <c r="M268" t="s">
        <v>173</v>
      </c>
      <c r="N268" t="s">
        <v>23</v>
      </c>
      <c r="O268" s="6" t="str">
        <f t="shared" si="4"/>
        <v>GEUS Well Info</v>
      </c>
      <c r="P268" s="9" t="s">
        <v>1670</v>
      </c>
    </row>
    <row r="269" spans="1:16" x14ac:dyDescent="0.25">
      <c r="A269" t="s">
        <v>1201</v>
      </c>
      <c r="B269" s="1" t="s">
        <v>1202</v>
      </c>
      <c r="C269" t="s">
        <v>16</v>
      </c>
      <c r="D269" s="1" t="s">
        <v>1064</v>
      </c>
      <c r="E269" t="s">
        <v>800</v>
      </c>
      <c r="F269" t="s">
        <v>1186</v>
      </c>
      <c r="G269" t="s">
        <v>1203</v>
      </c>
      <c r="H269" t="s">
        <v>1204</v>
      </c>
      <c r="I269">
        <v>56.641969444444442</v>
      </c>
      <c r="J269">
        <v>5.3210750000000004</v>
      </c>
      <c r="K269" s="3">
        <v>36711</v>
      </c>
      <c r="L269" s="3">
        <v>36762</v>
      </c>
      <c r="M269" t="s">
        <v>173</v>
      </c>
      <c r="N269" t="s">
        <v>23</v>
      </c>
      <c r="O269" s="6" t="str">
        <f t="shared" si="4"/>
        <v>GEUS Well Info</v>
      </c>
      <c r="P269" s="7" t="str">
        <f>HYPERLINK("https://ens.dk/sites/ens.dk/files/OlieGas/PM/nini-1-1a.pdf","DEA press release")</f>
        <v>DEA press release</v>
      </c>
    </row>
    <row r="270" spans="1:16" x14ac:dyDescent="0.25">
      <c r="A270" t="s">
        <v>1205</v>
      </c>
      <c r="B270" s="1" t="s">
        <v>1206</v>
      </c>
      <c r="C270" t="s">
        <v>434</v>
      </c>
      <c r="D270" s="1" t="s">
        <v>895</v>
      </c>
      <c r="E270" t="s">
        <v>800</v>
      </c>
      <c r="F270" s="2" t="s">
        <v>1207</v>
      </c>
      <c r="G270" t="s">
        <v>1208</v>
      </c>
      <c r="H270" t="s">
        <v>1209</v>
      </c>
      <c r="I270">
        <v>55.533619444444447</v>
      </c>
      <c r="J270">
        <v>11.598694444444444</v>
      </c>
      <c r="K270" s="3">
        <v>36726</v>
      </c>
      <c r="L270" s="3">
        <v>36759</v>
      </c>
      <c r="M270" t="s">
        <v>22</v>
      </c>
      <c r="N270" t="s">
        <v>23</v>
      </c>
      <c r="O270" s="6" t="str">
        <f t="shared" si="4"/>
        <v>GEUS Well Info</v>
      </c>
      <c r="P270" s="9" t="s">
        <v>1670</v>
      </c>
    </row>
    <row r="271" spans="1:16" x14ac:dyDescent="0.25">
      <c r="A271" t="s">
        <v>1210</v>
      </c>
      <c r="B271" s="1" t="s">
        <v>1211</v>
      </c>
      <c r="C271" t="s">
        <v>209</v>
      </c>
      <c r="D271" s="1" t="s">
        <v>163</v>
      </c>
      <c r="E271" t="s">
        <v>314</v>
      </c>
      <c r="F271" t="s">
        <v>536</v>
      </c>
      <c r="G271" t="s">
        <v>1212</v>
      </c>
      <c r="H271" t="s">
        <v>1213</v>
      </c>
      <c r="I271">
        <v>55.56261388888889</v>
      </c>
      <c r="J271">
        <v>5.0111249999999998</v>
      </c>
      <c r="K271" s="3">
        <v>36767</v>
      </c>
      <c r="L271" s="3">
        <v>36790</v>
      </c>
      <c r="M271" t="s">
        <v>173</v>
      </c>
      <c r="N271" t="s">
        <v>23</v>
      </c>
      <c r="O271" s="6" t="str">
        <f t="shared" si="4"/>
        <v>GEUS Well Info</v>
      </c>
      <c r="P271" s="9" t="s">
        <v>1670</v>
      </c>
    </row>
    <row r="272" spans="1:16" x14ac:dyDescent="0.25">
      <c r="A272" t="s">
        <v>1214</v>
      </c>
      <c r="B272" s="1" t="s">
        <v>1215</v>
      </c>
      <c r="C272" t="s">
        <v>573</v>
      </c>
      <c r="D272" s="1" t="s">
        <v>163</v>
      </c>
      <c r="E272" t="s">
        <v>314</v>
      </c>
      <c r="F272" t="s">
        <v>1059</v>
      </c>
      <c r="G272" t="s">
        <v>1216</v>
      </c>
      <c r="H272" t="s">
        <v>1217</v>
      </c>
      <c r="I272">
        <v>55.531416666666665</v>
      </c>
      <c r="J272">
        <v>4.9097972222222221</v>
      </c>
      <c r="K272" s="3">
        <v>36767</v>
      </c>
      <c r="L272" s="3">
        <v>36899</v>
      </c>
      <c r="M272" t="s">
        <v>173</v>
      </c>
      <c r="N272" t="s">
        <v>23</v>
      </c>
      <c r="O272" s="6" t="str">
        <f t="shared" si="4"/>
        <v>GEUS Well Info</v>
      </c>
      <c r="P272" s="9" t="s">
        <v>1670</v>
      </c>
    </row>
    <row r="273" spans="1:16" x14ac:dyDescent="0.25">
      <c r="A273" t="s">
        <v>1218</v>
      </c>
      <c r="B273" s="1" t="s">
        <v>1219</v>
      </c>
      <c r="C273" t="s">
        <v>16</v>
      </c>
      <c r="D273" s="1" t="s">
        <v>1220</v>
      </c>
      <c r="E273" t="s">
        <v>1221</v>
      </c>
      <c r="F273" t="s">
        <v>1186</v>
      </c>
      <c r="G273" t="s">
        <v>1222</v>
      </c>
      <c r="H273" t="s">
        <v>1223</v>
      </c>
      <c r="I273">
        <v>56.463494444444443</v>
      </c>
      <c r="J273">
        <v>5.2797499999999999</v>
      </c>
      <c r="K273" s="3">
        <v>36771</v>
      </c>
      <c r="L273" s="3">
        <v>36783</v>
      </c>
      <c r="M273" t="s">
        <v>173</v>
      </c>
      <c r="N273" t="s">
        <v>23</v>
      </c>
      <c r="O273" s="6" t="str">
        <f t="shared" si="4"/>
        <v>GEUS Well Info</v>
      </c>
      <c r="P273" s="7" t="str">
        <f>HYPERLINK("https://ens.dk/sites/ens.dk/files/OlieGas/PM/floki-1.pdf","DEA press release")</f>
        <v>DEA press release</v>
      </c>
    </row>
    <row r="274" spans="1:16" x14ac:dyDescent="0.25">
      <c r="A274" t="s">
        <v>1224</v>
      </c>
      <c r="B274" s="1" t="s">
        <v>1225</v>
      </c>
      <c r="C274" t="s">
        <v>16</v>
      </c>
      <c r="D274" s="1" t="s">
        <v>1226</v>
      </c>
      <c r="E274" t="s">
        <v>1185</v>
      </c>
      <c r="F274" t="s">
        <v>1186</v>
      </c>
      <c r="G274" t="s">
        <v>1227</v>
      </c>
      <c r="H274" t="s">
        <v>1228</v>
      </c>
      <c r="I274">
        <v>56.364497222222219</v>
      </c>
      <c r="J274">
        <v>5.5072472222222224</v>
      </c>
      <c r="K274" s="3">
        <v>36790</v>
      </c>
      <c r="L274" s="3">
        <v>36800</v>
      </c>
      <c r="M274" t="s">
        <v>173</v>
      </c>
      <c r="N274" t="s">
        <v>23</v>
      </c>
      <c r="O274" s="6" t="str">
        <f t="shared" si="4"/>
        <v>GEUS Well Info</v>
      </c>
      <c r="P274" s="7" t="str">
        <f>HYPERLINK("https://ens.dk/sites/ens.dk/files/OlieGas/PM/vanessa-1.pdf","DEA press release")</f>
        <v>DEA press release</v>
      </c>
    </row>
    <row r="275" spans="1:16" x14ac:dyDescent="0.25">
      <c r="A275" t="s">
        <v>1175</v>
      </c>
      <c r="B275" s="1" t="s">
        <v>1176</v>
      </c>
      <c r="C275" t="s">
        <v>573</v>
      </c>
      <c r="D275" s="1" t="s">
        <v>163</v>
      </c>
      <c r="E275" t="s">
        <v>314</v>
      </c>
      <c r="F275" s="2" t="s">
        <v>536</v>
      </c>
      <c r="G275" t="s">
        <v>1177</v>
      </c>
      <c r="H275" t="s">
        <v>1178</v>
      </c>
      <c r="I275">
        <v>55.53059722222222</v>
      </c>
      <c r="J275">
        <v>5.0072694444444448</v>
      </c>
      <c r="K275" s="3">
        <v>36805</v>
      </c>
      <c r="L275" s="3">
        <v>36814</v>
      </c>
      <c r="M275" t="s">
        <v>173</v>
      </c>
      <c r="N275" t="s">
        <v>23</v>
      </c>
      <c r="O275" s="6" t="str">
        <f t="shared" si="4"/>
        <v>GEUS Well Info</v>
      </c>
      <c r="P275" s="9" t="s">
        <v>1670</v>
      </c>
    </row>
    <row r="276" spans="1:16" x14ac:dyDescent="0.25">
      <c r="A276" t="s">
        <v>1229</v>
      </c>
      <c r="B276" s="1" t="s">
        <v>1230</v>
      </c>
      <c r="C276" t="s">
        <v>16</v>
      </c>
      <c r="D276" s="1" t="s">
        <v>1231</v>
      </c>
      <c r="E276" t="s">
        <v>1232</v>
      </c>
      <c r="F276" t="s">
        <v>1186</v>
      </c>
      <c r="G276" t="s">
        <v>1233</v>
      </c>
      <c r="H276" t="s">
        <v>1234</v>
      </c>
      <c r="I276">
        <v>56.406605555555558</v>
      </c>
      <c r="J276">
        <v>4.761652777777778</v>
      </c>
      <c r="K276" s="3">
        <v>36817</v>
      </c>
      <c r="L276" s="3">
        <v>36872</v>
      </c>
      <c r="M276" t="s">
        <v>173</v>
      </c>
      <c r="N276" t="s">
        <v>23</v>
      </c>
      <c r="O276" s="6" t="str">
        <f t="shared" si="4"/>
        <v>GEUS Well Info</v>
      </c>
      <c r="P276" s="7" t="str">
        <f>HYPERLINK("https://ens.dk/sites/ens.dk/files/OlieGas/PM/cecilie-1.pdf","DEA press release")</f>
        <v>DEA press release</v>
      </c>
    </row>
    <row r="277" spans="1:16" x14ac:dyDescent="0.25">
      <c r="A277" t="s">
        <v>1235</v>
      </c>
      <c r="B277" s="1" t="s">
        <v>1236</v>
      </c>
      <c r="C277" t="s">
        <v>573</v>
      </c>
      <c r="D277" s="1" t="s">
        <v>163</v>
      </c>
      <c r="E277" t="s">
        <v>314</v>
      </c>
      <c r="F277" t="s">
        <v>1126</v>
      </c>
      <c r="G277" t="s">
        <v>1237</v>
      </c>
      <c r="H277" t="s">
        <v>1238</v>
      </c>
      <c r="I277">
        <v>55.834991666666667</v>
      </c>
      <c r="J277">
        <v>4.5628722222222224</v>
      </c>
      <c r="K277" s="3">
        <v>36851</v>
      </c>
      <c r="L277" s="3">
        <v>37015</v>
      </c>
      <c r="M277" t="s">
        <v>173</v>
      </c>
      <c r="N277" t="s">
        <v>23</v>
      </c>
      <c r="O277" s="6" t="str">
        <f t="shared" si="4"/>
        <v>GEUS Well Info</v>
      </c>
      <c r="P277" s="9" t="s">
        <v>1670</v>
      </c>
    </row>
    <row r="278" spans="1:16" x14ac:dyDescent="0.25">
      <c r="A278" t="s">
        <v>1239</v>
      </c>
      <c r="B278" s="1" t="s">
        <v>1240</v>
      </c>
      <c r="C278" t="s">
        <v>209</v>
      </c>
      <c r="D278" s="1" t="s">
        <v>1064</v>
      </c>
      <c r="E278" t="s">
        <v>1232</v>
      </c>
      <c r="F278" t="s">
        <v>1186</v>
      </c>
      <c r="G278" t="s">
        <v>1241</v>
      </c>
      <c r="H278" t="s">
        <v>1242</v>
      </c>
      <c r="I278">
        <v>56.631347222222225</v>
      </c>
      <c r="J278">
        <v>5.2997833333333331</v>
      </c>
      <c r="K278" s="3">
        <v>36883</v>
      </c>
      <c r="L278" s="3">
        <v>36894</v>
      </c>
      <c r="M278" t="s">
        <v>173</v>
      </c>
      <c r="N278" t="s">
        <v>23</v>
      </c>
      <c r="O278" s="6" t="str">
        <f t="shared" si="4"/>
        <v>GEUS Well Info</v>
      </c>
      <c r="P278" s="7" t="str">
        <f>HYPERLINK("https://ens.dk/sites/ens.dk/files/OlieGas/PM/nini-2.pdf","DEA press release")</f>
        <v>DEA press release</v>
      </c>
    </row>
    <row r="279" spans="1:16" x14ac:dyDescent="0.25">
      <c r="A279" t="s">
        <v>1243</v>
      </c>
      <c r="B279" s="1" t="s">
        <v>1244</v>
      </c>
      <c r="C279" t="s">
        <v>209</v>
      </c>
      <c r="D279" s="1" t="s">
        <v>1064</v>
      </c>
      <c r="E279" t="s">
        <v>1232</v>
      </c>
      <c r="F279" s="2" t="s">
        <v>1186</v>
      </c>
      <c r="G279" t="s">
        <v>1245</v>
      </c>
      <c r="H279" t="s">
        <v>1246</v>
      </c>
      <c r="I279">
        <v>56.692211111111114</v>
      </c>
      <c r="J279">
        <v>5.4034305555555555</v>
      </c>
      <c r="K279" s="3">
        <v>36905</v>
      </c>
      <c r="L279" s="3">
        <v>36920</v>
      </c>
      <c r="M279" t="s">
        <v>173</v>
      </c>
      <c r="N279" t="s">
        <v>23</v>
      </c>
      <c r="O279" s="6" t="str">
        <f t="shared" si="4"/>
        <v>GEUS Well Info</v>
      </c>
      <c r="P279" s="7" t="str">
        <f>HYPERLINK("https://ens.dk/sites/ens.dk/files/OlieGas/PM/nini-3.pdf","DEA press release")</f>
        <v>DEA press release</v>
      </c>
    </row>
    <row r="280" spans="1:16" x14ac:dyDescent="0.25">
      <c r="A280" t="s">
        <v>1247</v>
      </c>
      <c r="B280" s="1" t="s">
        <v>1248</v>
      </c>
      <c r="C280" t="s">
        <v>573</v>
      </c>
      <c r="D280" s="1" t="s">
        <v>163</v>
      </c>
      <c r="E280" t="s">
        <v>314</v>
      </c>
      <c r="F280" t="s">
        <v>1249</v>
      </c>
      <c r="G280" t="s">
        <v>1250</v>
      </c>
      <c r="H280" t="s">
        <v>1251</v>
      </c>
      <c r="I280">
        <v>55.469436111111108</v>
      </c>
      <c r="J280">
        <v>5.135072222222222</v>
      </c>
      <c r="K280" s="3">
        <v>36912</v>
      </c>
      <c r="L280" s="3">
        <v>36989</v>
      </c>
      <c r="M280" t="s">
        <v>173</v>
      </c>
      <c r="N280" t="s">
        <v>23</v>
      </c>
      <c r="O280" s="6" t="str">
        <f t="shared" si="4"/>
        <v>GEUS Well Info</v>
      </c>
      <c r="P280" s="9" t="s">
        <v>1670</v>
      </c>
    </row>
    <row r="281" spans="1:16" x14ac:dyDescent="0.25">
      <c r="A281" t="s">
        <v>1252</v>
      </c>
      <c r="B281" s="1" t="s">
        <v>1253</v>
      </c>
      <c r="C281" t="s">
        <v>16</v>
      </c>
      <c r="D281" s="1" t="s">
        <v>1231</v>
      </c>
      <c r="E281" t="s">
        <v>1232</v>
      </c>
      <c r="F281" t="s">
        <v>1186</v>
      </c>
      <c r="G281" t="s">
        <v>1254</v>
      </c>
      <c r="H281" t="s">
        <v>1255</v>
      </c>
      <c r="I281">
        <v>56.407872222222224</v>
      </c>
      <c r="J281">
        <v>4.7084333333333337</v>
      </c>
      <c r="K281" s="3">
        <v>36926</v>
      </c>
      <c r="L281" s="3">
        <v>36940</v>
      </c>
      <c r="M281" t="s">
        <v>173</v>
      </c>
      <c r="N281" t="s">
        <v>23</v>
      </c>
      <c r="O281" s="6" t="str">
        <f t="shared" si="4"/>
        <v>GEUS Well Info</v>
      </c>
      <c r="P281" s="7" t="str">
        <f>HYPERLINK("https://ens.dk/sites/ens.dk/files/OlieGas/PM/connie-1.pdf","DEA press release")</f>
        <v>DEA press release</v>
      </c>
    </row>
    <row r="282" spans="1:16" x14ac:dyDescent="0.25">
      <c r="A282" t="s">
        <v>1256</v>
      </c>
      <c r="B282" s="1" t="s">
        <v>1257</v>
      </c>
      <c r="C282" t="s">
        <v>209</v>
      </c>
      <c r="D282" s="1" t="s">
        <v>806</v>
      </c>
      <c r="E282" t="s">
        <v>1232</v>
      </c>
      <c r="F282" t="s">
        <v>1186</v>
      </c>
      <c r="G282" t="s">
        <v>1258</v>
      </c>
      <c r="H282" t="s">
        <v>1259</v>
      </c>
      <c r="I282">
        <v>56.299286111111108</v>
      </c>
      <c r="J282">
        <v>4.4013416666666663</v>
      </c>
      <c r="K282" s="3">
        <v>36956</v>
      </c>
      <c r="L282" s="3">
        <v>36977</v>
      </c>
      <c r="M282" t="s">
        <v>173</v>
      </c>
      <c r="N282" t="s">
        <v>23</v>
      </c>
      <c r="O282" s="6" t="str">
        <f t="shared" si="4"/>
        <v>GEUS Well Info</v>
      </c>
      <c r="P282" s="7" t="str">
        <f>HYPERLINK("https://ens.dk/sites/ens.dk/files/OlieGas/PM/augusta-1.pdf","DEA press release")</f>
        <v>DEA press release</v>
      </c>
    </row>
    <row r="283" spans="1:16" x14ac:dyDescent="0.25">
      <c r="A283" t="s">
        <v>1260</v>
      </c>
      <c r="B283" s="1" t="s">
        <v>1261</v>
      </c>
      <c r="C283" t="s">
        <v>573</v>
      </c>
      <c r="D283" s="1" t="s">
        <v>163</v>
      </c>
      <c r="E283" t="s">
        <v>314</v>
      </c>
      <c r="F283" s="2" t="s">
        <v>1094</v>
      </c>
      <c r="G283" t="s">
        <v>1262</v>
      </c>
      <c r="H283" t="s">
        <v>1263</v>
      </c>
      <c r="I283">
        <v>55.76817777777778</v>
      </c>
      <c r="J283">
        <v>4.6497111111111114</v>
      </c>
      <c r="K283" s="3">
        <v>36989</v>
      </c>
      <c r="L283" s="3">
        <v>37036</v>
      </c>
      <c r="M283" t="s">
        <v>173</v>
      </c>
      <c r="N283" t="s">
        <v>23</v>
      </c>
      <c r="O283" s="6" t="str">
        <f t="shared" si="4"/>
        <v>GEUS Well Info</v>
      </c>
      <c r="P283" s="9" t="s">
        <v>1670</v>
      </c>
    </row>
    <row r="284" spans="1:16" x14ac:dyDescent="0.25">
      <c r="A284" t="s">
        <v>1264</v>
      </c>
      <c r="B284" s="1" t="s">
        <v>1265</v>
      </c>
      <c r="C284" t="s">
        <v>16</v>
      </c>
      <c r="D284" s="1" t="s">
        <v>1266</v>
      </c>
      <c r="E284" t="s">
        <v>717</v>
      </c>
      <c r="F284" s="2" t="s">
        <v>1186</v>
      </c>
      <c r="G284" t="s">
        <v>1267</v>
      </c>
      <c r="H284" t="s">
        <v>1268</v>
      </c>
      <c r="I284">
        <v>56.243186111111115</v>
      </c>
      <c r="J284">
        <v>3.9669333333333334</v>
      </c>
      <c r="K284" s="3">
        <v>36991</v>
      </c>
      <c r="L284" s="3">
        <v>37125</v>
      </c>
      <c r="M284" t="s">
        <v>173</v>
      </c>
      <c r="N284" t="s">
        <v>23</v>
      </c>
      <c r="O284" s="6" t="str">
        <f t="shared" si="4"/>
        <v>GEUS Well Info</v>
      </c>
      <c r="P284" s="7" t="str">
        <f>HYPERLINK("https://ens.dk/sites/ens.dk/files/OlieGas/PM/hejre-1.pdf","DEA press release")</f>
        <v>DEA press release</v>
      </c>
    </row>
    <row r="285" spans="1:16" x14ac:dyDescent="0.25">
      <c r="A285" t="s">
        <v>1269</v>
      </c>
      <c r="B285" s="1" t="s">
        <v>1270</v>
      </c>
      <c r="C285" t="s">
        <v>573</v>
      </c>
      <c r="D285" s="1" t="s">
        <v>163</v>
      </c>
      <c r="E285" t="s">
        <v>314</v>
      </c>
      <c r="F285" t="s">
        <v>1249</v>
      </c>
      <c r="G285" t="s">
        <v>1271</v>
      </c>
      <c r="H285" t="s">
        <v>1272</v>
      </c>
      <c r="I285">
        <v>55.579136111111112</v>
      </c>
      <c r="J285">
        <v>4.7581416666666669</v>
      </c>
      <c r="K285" s="3">
        <v>37008</v>
      </c>
      <c r="L285" s="3">
        <v>37130</v>
      </c>
      <c r="M285" t="s">
        <v>173</v>
      </c>
      <c r="N285" t="s">
        <v>23</v>
      </c>
      <c r="O285" s="6" t="str">
        <f t="shared" si="4"/>
        <v>GEUS Well Info</v>
      </c>
      <c r="P285" s="9" t="s">
        <v>1670</v>
      </c>
    </row>
    <row r="286" spans="1:16" x14ac:dyDescent="0.25">
      <c r="A286" t="s">
        <v>1273</v>
      </c>
      <c r="B286" s="1" t="s">
        <v>1274</v>
      </c>
      <c r="C286" t="s">
        <v>573</v>
      </c>
      <c r="D286" s="1" t="s">
        <v>163</v>
      </c>
      <c r="E286" t="s">
        <v>314</v>
      </c>
      <c r="F286" t="s">
        <v>1126</v>
      </c>
      <c r="G286" t="s">
        <v>1275</v>
      </c>
      <c r="H286" t="s">
        <v>1276</v>
      </c>
      <c r="I286">
        <v>55.835000000000001</v>
      </c>
      <c r="J286">
        <v>4.562875</v>
      </c>
      <c r="K286" s="3">
        <v>37022</v>
      </c>
      <c r="L286" s="3">
        <v>37138</v>
      </c>
      <c r="M286" t="s">
        <v>173</v>
      </c>
      <c r="N286" t="s">
        <v>23</v>
      </c>
      <c r="O286" s="6" t="str">
        <f t="shared" si="4"/>
        <v>GEUS Well Info</v>
      </c>
      <c r="P286" s="9" t="s">
        <v>1670</v>
      </c>
    </row>
    <row r="287" spans="1:16" x14ac:dyDescent="0.25">
      <c r="A287" t="s">
        <v>1277</v>
      </c>
      <c r="B287" s="1" t="s">
        <v>1278</v>
      </c>
      <c r="C287" t="s">
        <v>16</v>
      </c>
      <c r="D287" s="1" t="s">
        <v>1279</v>
      </c>
      <c r="E287" t="s">
        <v>314</v>
      </c>
      <c r="F287" t="s">
        <v>1094</v>
      </c>
      <c r="G287" t="s">
        <v>1280</v>
      </c>
      <c r="H287" t="s">
        <v>1281</v>
      </c>
      <c r="I287">
        <v>56.179180555555554</v>
      </c>
      <c r="J287">
        <v>4.0838861111111111</v>
      </c>
      <c r="K287" s="3">
        <v>37042</v>
      </c>
      <c r="L287" s="3">
        <v>37099</v>
      </c>
      <c r="M287" t="s">
        <v>173</v>
      </c>
      <c r="N287" t="s">
        <v>23</v>
      </c>
      <c r="O287" s="6" t="str">
        <f t="shared" si="4"/>
        <v>GEUS Well Info</v>
      </c>
      <c r="P287" s="7" t="str">
        <f>HYPERLINK("https://ens.dk/sites/ens.dk/files/OlieGas/PM/kit-1xp.pdf","DEA press release")</f>
        <v>DEA press release</v>
      </c>
    </row>
    <row r="288" spans="1:16" x14ac:dyDescent="0.25">
      <c r="A288" t="s">
        <v>1282</v>
      </c>
      <c r="B288" s="1" t="s">
        <v>1283</v>
      </c>
      <c r="C288" t="s">
        <v>209</v>
      </c>
      <c r="D288" s="1" t="s">
        <v>1010</v>
      </c>
      <c r="E288" t="s">
        <v>754</v>
      </c>
      <c r="F288" t="s">
        <v>1141</v>
      </c>
      <c r="G288" t="s">
        <v>1284</v>
      </c>
      <c r="H288" t="s">
        <v>1285</v>
      </c>
      <c r="I288">
        <v>56.489122222222221</v>
      </c>
      <c r="J288">
        <v>4.9925444444444445</v>
      </c>
      <c r="K288" s="3">
        <v>37055</v>
      </c>
      <c r="L288" s="3">
        <v>37066</v>
      </c>
      <c r="M288" t="s">
        <v>173</v>
      </c>
      <c r="N288" t="s">
        <v>23</v>
      </c>
      <c r="O288" s="6" t="str">
        <f t="shared" si="4"/>
        <v>GEUS Well Info</v>
      </c>
      <c r="P288" s="7" t="str">
        <f>HYPERLINK("https://ens.dk/sites/ens.dk/files/OlieGas/PM/siri-4.pdf","DEA press release")</f>
        <v>DEA press release</v>
      </c>
    </row>
    <row r="289" spans="1:16" x14ac:dyDescent="0.25">
      <c r="A289" t="s">
        <v>1286</v>
      </c>
      <c r="B289" s="1" t="s">
        <v>1287</v>
      </c>
      <c r="C289" t="s">
        <v>573</v>
      </c>
      <c r="D289" s="1" t="s">
        <v>1010</v>
      </c>
      <c r="E289" t="s">
        <v>754</v>
      </c>
      <c r="F289" t="s">
        <v>1141</v>
      </c>
      <c r="G289" t="s">
        <v>1288</v>
      </c>
      <c r="H289" t="s">
        <v>1289</v>
      </c>
      <c r="I289">
        <v>56.483355555555555</v>
      </c>
      <c r="J289">
        <v>4.9125972222222218</v>
      </c>
      <c r="K289" s="3">
        <v>37074</v>
      </c>
      <c r="L289" s="3">
        <v>37144</v>
      </c>
      <c r="M289" t="s">
        <v>173</v>
      </c>
      <c r="N289" t="s">
        <v>23</v>
      </c>
      <c r="O289" s="6" t="str">
        <f t="shared" si="4"/>
        <v>GEUS Well Info</v>
      </c>
      <c r="P289" s="7" t="str">
        <f>HYPERLINK("https://ens.dk/sites/ens.dk/files/OlieGas/PM/sca-7.pdf","DEA press release")</f>
        <v>DEA press release</v>
      </c>
    </row>
    <row r="290" spans="1:16" x14ac:dyDescent="0.25">
      <c r="A290" t="s">
        <v>1290</v>
      </c>
      <c r="B290" s="1" t="s">
        <v>1291</v>
      </c>
      <c r="C290" t="s">
        <v>16</v>
      </c>
      <c r="D290" s="1" t="s">
        <v>163</v>
      </c>
      <c r="E290" t="s">
        <v>314</v>
      </c>
      <c r="F290" s="2" t="s">
        <v>1126</v>
      </c>
      <c r="G290" t="s">
        <v>1292</v>
      </c>
      <c r="H290" t="s">
        <v>1293</v>
      </c>
      <c r="I290">
        <v>55.504674999999999</v>
      </c>
      <c r="J290">
        <v>4.7633888888888887</v>
      </c>
      <c r="K290" s="3">
        <v>37104</v>
      </c>
      <c r="L290" s="3">
        <v>37123</v>
      </c>
      <c r="M290" t="s">
        <v>173</v>
      </c>
      <c r="N290" t="s">
        <v>23</v>
      </c>
      <c r="O290" s="6" t="str">
        <f t="shared" si="4"/>
        <v>GEUS Well Info</v>
      </c>
      <c r="P290" s="9" t="s">
        <v>1670</v>
      </c>
    </row>
    <row r="291" spans="1:16" x14ac:dyDescent="0.25">
      <c r="A291" t="s">
        <v>1294</v>
      </c>
      <c r="B291" s="1" t="s">
        <v>1295</v>
      </c>
      <c r="C291" t="s">
        <v>16</v>
      </c>
      <c r="D291" s="1" t="s">
        <v>1296</v>
      </c>
      <c r="E291" t="s">
        <v>314</v>
      </c>
      <c r="F291" t="s">
        <v>1059</v>
      </c>
      <c r="G291" t="s">
        <v>1297</v>
      </c>
      <c r="H291" t="s">
        <v>1298</v>
      </c>
      <c r="I291">
        <v>55.424952777777776</v>
      </c>
      <c r="J291">
        <v>7.2568833333333336</v>
      </c>
      <c r="K291" s="3">
        <v>37107</v>
      </c>
      <c r="L291" s="3">
        <v>37140</v>
      </c>
      <c r="M291" t="s">
        <v>173</v>
      </c>
      <c r="N291" t="s">
        <v>23</v>
      </c>
      <c r="O291" s="6" t="str">
        <f t="shared" si="4"/>
        <v>GEUS Well Info</v>
      </c>
      <c r="P291" s="7" t="str">
        <f>HYPERLINK("https://ens.dk/sites/ens.dk/files/OlieGas/PM/erik-1x.pdf","DEA press release")</f>
        <v>DEA press release</v>
      </c>
    </row>
    <row r="292" spans="1:16" x14ac:dyDescent="0.25">
      <c r="A292" t="s">
        <v>1299</v>
      </c>
      <c r="B292" s="1" t="s">
        <v>1300</v>
      </c>
      <c r="C292" t="s">
        <v>16</v>
      </c>
      <c r="D292" s="1" t="s">
        <v>1301</v>
      </c>
      <c r="E292" t="s">
        <v>1302</v>
      </c>
      <c r="F292" s="2" t="s">
        <v>1186</v>
      </c>
      <c r="G292" t="s">
        <v>1303</v>
      </c>
      <c r="H292" t="s">
        <v>1304</v>
      </c>
      <c r="I292">
        <v>56.130711111111111</v>
      </c>
      <c r="J292">
        <v>4.4100611111111112</v>
      </c>
      <c r="K292" s="3">
        <v>37128</v>
      </c>
      <c r="L292" s="3">
        <v>37474</v>
      </c>
      <c r="M292" t="s">
        <v>173</v>
      </c>
      <c r="N292" t="s">
        <v>23</v>
      </c>
      <c r="O292" s="6" t="str">
        <f t="shared" si="4"/>
        <v>GEUS Well Info</v>
      </c>
      <c r="P292" s="7" t="str">
        <f>HYPERLINK("https://ens.dk/sites/ens.dk/files/OlieGas/PM/svane-1.pdf","DEA press release")</f>
        <v>DEA press release</v>
      </c>
    </row>
    <row r="293" spans="1:16" x14ac:dyDescent="0.25">
      <c r="A293" t="s">
        <v>1305</v>
      </c>
      <c r="B293" s="1" t="s">
        <v>1306</v>
      </c>
      <c r="C293" t="s">
        <v>573</v>
      </c>
      <c r="D293" s="1" t="s">
        <v>163</v>
      </c>
      <c r="E293" t="s">
        <v>314</v>
      </c>
      <c r="F293" t="s">
        <v>1126</v>
      </c>
      <c r="G293" t="s">
        <v>1307</v>
      </c>
      <c r="H293" t="s">
        <v>1308</v>
      </c>
      <c r="I293">
        <v>56.179047222222223</v>
      </c>
      <c r="J293">
        <v>4.1807472222222222</v>
      </c>
      <c r="K293" s="3">
        <v>37164</v>
      </c>
      <c r="L293" s="3">
        <v>37403</v>
      </c>
      <c r="M293" t="s">
        <v>173</v>
      </c>
      <c r="N293" t="s">
        <v>23</v>
      </c>
      <c r="O293" s="6" t="str">
        <f t="shared" si="4"/>
        <v>GEUS Well Info</v>
      </c>
      <c r="P293" s="9" t="s">
        <v>1670</v>
      </c>
    </row>
    <row r="294" spans="1:16" x14ac:dyDescent="0.25">
      <c r="A294" t="s">
        <v>1309</v>
      </c>
      <c r="B294" s="1" t="s">
        <v>1310</v>
      </c>
      <c r="C294" t="s">
        <v>573</v>
      </c>
      <c r="D294" s="1" t="s">
        <v>163</v>
      </c>
      <c r="E294" t="s">
        <v>314</v>
      </c>
      <c r="F294" t="s">
        <v>1126</v>
      </c>
      <c r="G294" t="s">
        <v>1311</v>
      </c>
      <c r="H294" t="s">
        <v>1312</v>
      </c>
      <c r="I294">
        <v>56.179063888888891</v>
      </c>
      <c r="J294">
        <v>4.180741666666667</v>
      </c>
      <c r="K294" s="3">
        <v>37215</v>
      </c>
      <c r="L294" s="3">
        <v>37387</v>
      </c>
      <c r="M294" t="s">
        <v>173</v>
      </c>
      <c r="N294" t="s">
        <v>23</v>
      </c>
      <c r="O294" s="6" t="str">
        <f t="shared" si="4"/>
        <v>GEUS Well Info</v>
      </c>
      <c r="P294" s="9" t="s">
        <v>1670</v>
      </c>
    </row>
    <row r="295" spans="1:16" x14ac:dyDescent="0.25">
      <c r="A295" t="s">
        <v>1313</v>
      </c>
      <c r="B295" s="1" t="s">
        <v>1314</v>
      </c>
      <c r="C295" t="s">
        <v>573</v>
      </c>
      <c r="D295" s="1" t="s">
        <v>163</v>
      </c>
      <c r="E295" t="s">
        <v>314</v>
      </c>
      <c r="F295" t="s">
        <v>1059</v>
      </c>
      <c r="G295" t="s">
        <v>1315</v>
      </c>
      <c r="H295" t="s">
        <v>1316</v>
      </c>
      <c r="I295">
        <v>55.640341666666664</v>
      </c>
      <c r="J295">
        <v>4.8840194444444442</v>
      </c>
      <c r="K295" s="3">
        <v>37228</v>
      </c>
      <c r="L295" s="3">
        <v>37321</v>
      </c>
      <c r="M295" t="s">
        <v>173</v>
      </c>
      <c r="N295" t="s">
        <v>23</v>
      </c>
      <c r="O295" s="6" t="str">
        <f t="shared" si="4"/>
        <v>GEUS Well Info</v>
      </c>
      <c r="P295" s="9" t="s">
        <v>1670</v>
      </c>
    </row>
    <row r="296" spans="1:16" x14ac:dyDescent="0.25">
      <c r="A296" t="s">
        <v>1317</v>
      </c>
      <c r="B296" s="1" t="s">
        <v>1176</v>
      </c>
      <c r="C296" t="s">
        <v>573</v>
      </c>
      <c r="D296" s="1" t="s">
        <v>163</v>
      </c>
      <c r="E296" t="s">
        <v>314</v>
      </c>
      <c r="F296" t="s">
        <v>536</v>
      </c>
      <c r="G296" t="s">
        <v>1318</v>
      </c>
      <c r="H296" t="s">
        <v>1319</v>
      </c>
      <c r="I296">
        <v>55.530561111111112</v>
      </c>
      <c r="J296">
        <v>5.0072277777777776</v>
      </c>
      <c r="K296" s="3">
        <v>37266</v>
      </c>
      <c r="L296" s="3">
        <v>37339</v>
      </c>
      <c r="M296" t="s">
        <v>173</v>
      </c>
      <c r="N296" t="s">
        <v>23</v>
      </c>
      <c r="O296" s="6" t="str">
        <f t="shared" si="4"/>
        <v>GEUS Well Info</v>
      </c>
      <c r="P296" s="9" t="s">
        <v>1670</v>
      </c>
    </row>
    <row r="297" spans="1:16" x14ac:dyDescent="0.25">
      <c r="A297" t="s">
        <v>1320</v>
      </c>
      <c r="B297" s="1" t="s">
        <v>1321</v>
      </c>
      <c r="C297" t="s">
        <v>573</v>
      </c>
      <c r="D297" s="1" t="s">
        <v>163</v>
      </c>
      <c r="E297" t="s">
        <v>314</v>
      </c>
      <c r="F297" t="s">
        <v>1059</v>
      </c>
      <c r="G297" t="s">
        <v>1322</v>
      </c>
      <c r="H297" t="s">
        <v>1323</v>
      </c>
      <c r="I297">
        <v>55.640300000000003</v>
      </c>
      <c r="J297">
        <v>4.884033333333333</v>
      </c>
      <c r="K297" s="3">
        <v>37401</v>
      </c>
      <c r="L297" s="3">
        <v>37463</v>
      </c>
      <c r="M297" t="s">
        <v>173</v>
      </c>
      <c r="N297" t="s">
        <v>23</v>
      </c>
      <c r="O297" s="6" t="str">
        <f t="shared" si="4"/>
        <v>GEUS Well Info</v>
      </c>
      <c r="P297" s="9" t="s">
        <v>1670</v>
      </c>
    </row>
    <row r="298" spans="1:16" x14ac:dyDescent="0.25">
      <c r="A298" t="s">
        <v>1324</v>
      </c>
      <c r="B298" s="1" t="s">
        <v>1325</v>
      </c>
      <c r="C298" t="s">
        <v>16</v>
      </c>
      <c r="D298" s="1" t="s">
        <v>1326</v>
      </c>
      <c r="E298" t="s">
        <v>1232</v>
      </c>
      <c r="F298" t="s">
        <v>1327</v>
      </c>
      <c r="G298" t="s">
        <v>1328</v>
      </c>
      <c r="H298" t="s">
        <v>1329</v>
      </c>
      <c r="I298">
        <v>55.689233333333334</v>
      </c>
      <c r="J298">
        <v>12.633533333333334</v>
      </c>
      <c r="K298" s="3">
        <v>37408</v>
      </c>
      <c r="L298" s="3">
        <v>37451</v>
      </c>
      <c r="M298" t="s">
        <v>22</v>
      </c>
      <c r="N298" t="s">
        <v>23</v>
      </c>
      <c r="O298" s="6" t="str">
        <f t="shared" si="4"/>
        <v>GEUS Well Info</v>
      </c>
      <c r="P298" s="9" t="s">
        <v>1670</v>
      </c>
    </row>
    <row r="299" spans="1:16" x14ac:dyDescent="0.25">
      <c r="A299" t="s">
        <v>1330</v>
      </c>
      <c r="B299" s="1" t="s">
        <v>1331</v>
      </c>
      <c r="C299" t="s">
        <v>209</v>
      </c>
      <c r="D299" s="1" t="s">
        <v>163</v>
      </c>
      <c r="E299" t="s">
        <v>314</v>
      </c>
      <c r="F299" t="s">
        <v>1126</v>
      </c>
      <c r="G299" t="s">
        <v>1332</v>
      </c>
      <c r="H299" t="s">
        <v>1333</v>
      </c>
      <c r="I299">
        <v>55.557905555555557</v>
      </c>
      <c r="J299">
        <v>5.1358805555555556</v>
      </c>
      <c r="K299" s="3">
        <v>37410</v>
      </c>
      <c r="L299" s="3">
        <v>37568</v>
      </c>
      <c r="M299" t="s">
        <v>173</v>
      </c>
      <c r="N299" t="s">
        <v>23</v>
      </c>
      <c r="O299" s="6" t="str">
        <f t="shared" si="4"/>
        <v>GEUS Well Info</v>
      </c>
      <c r="P299" s="9" t="s">
        <v>1670</v>
      </c>
    </row>
    <row r="300" spans="1:16" x14ac:dyDescent="0.25">
      <c r="A300" t="s">
        <v>1334</v>
      </c>
      <c r="B300" s="1" t="s">
        <v>1335</v>
      </c>
      <c r="C300" t="s">
        <v>209</v>
      </c>
      <c r="D300" s="1" t="s">
        <v>163</v>
      </c>
      <c r="E300" t="s">
        <v>314</v>
      </c>
      <c r="F300" t="s">
        <v>755</v>
      </c>
      <c r="G300" t="s">
        <v>1336</v>
      </c>
      <c r="H300" t="s">
        <v>1337</v>
      </c>
      <c r="I300">
        <v>55.860852777777779</v>
      </c>
      <c r="J300">
        <v>4.6747638888888892</v>
      </c>
      <c r="K300" s="3">
        <v>37510</v>
      </c>
      <c r="L300" s="3">
        <v>37640</v>
      </c>
      <c r="M300" t="s">
        <v>173</v>
      </c>
      <c r="N300" t="s">
        <v>23</v>
      </c>
      <c r="O300" s="6" t="str">
        <f t="shared" si="4"/>
        <v>GEUS Well Info</v>
      </c>
      <c r="P300" s="9" t="s">
        <v>1670</v>
      </c>
    </row>
    <row r="301" spans="1:16" x14ac:dyDescent="0.25">
      <c r="A301" t="s">
        <v>1338</v>
      </c>
      <c r="B301" s="1" t="s">
        <v>1176</v>
      </c>
      <c r="C301" t="s">
        <v>573</v>
      </c>
      <c r="D301" s="1" t="s">
        <v>163</v>
      </c>
      <c r="E301" t="s">
        <v>314</v>
      </c>
      <c r="F301" s="2" t="s">
        <v>1249</v>
      </c>
      <c r="G301" t="s">
        <v>1339</v>
      </c>
      <c r="H301" t="s">
        <v>1340</v>
      </c>
      <c r="I301">
        <v>55.538766666666668</v>
      </c>
      <c r="J301">
        <v>5.0321638888888893</v>
      </c>
      <c r="K301" s="3">
        <v>37521</v>
      </c>
      <c r="L301" s="3">
        <v>37705</v>
      </c>
      <c r="M301" t="s">
        <v>173</v>
      </c>
      <c r="N301" t="s">
        <v>23</v>
      </c>
      <c r="O301" s="6" t="str">
        <f t="shared" si="4"/>
        <v>GEUS Well Info</v>
      </c>
      <c r="P301" s="9" t="s">
        <v>1670</v>
      </c>
    </row>
    <row r="302" spans="1:16" x14ac:dyDescent="0.25">
      <c r="A302" t="s">
        <v>1341</v>
      </c>
      <c r="B302" s="1" t="s">
        <v>1342</v>
      </c>
      <c r="C302" t="s">
        <v>16</v>
      </c>
      <c r="D302" s="1" t="s">
        <v>1343</v>
      </c>
      <c r="E302" t="s">
        <v>1344</v>
      </c>
      <c r="F302" t="s">
        <v>1186</v>
      </c>
      <c r="G302" t="s">
        <v>1345</v>
      </c>
      <c r="H302" t="s">
        <v>1346</v>
      </c>
      <c r="I302">
        <v>56.055972222222223</v>
      </c>
      <c r="J302">
        <v>4.8698499999999996</v>
      </c>
      <c r="K302" s="3">
        <v>37533</v>
      </c>
      <c r="L302" s="3">
        <v>37549</v>
      </c>
      <c r="M302" t="s">
        <v>173</v>
      </c>
      <c r="N302" t="s">
        <v>23</v>
      </c>
      <c r="O302" s="6" t="str">
        <f t="shared" si="4"/>
        <v>GEUS Well Info</v>
      </c>
      <c r="P302" s="7" t="str">
        <f>HYPERLINK("https://ens.dk/sites/ens.dk/files/OlieGas/PM/oscar-1.pdf","DEA press release")</f>
        <v>DEA press release</v>
      </c>
    </row>
    <row r="303" spans="1:16" x14ac:dyDescent="0.25">
      <c r="A303" t="s">
        <v>1347</v>
      </c>
      <c r="B303" s="1" t="s">
        <v>1348</v>
      </c>
      <c r="C303" t="s">
        <v>209</v>
      </c>
      <c r="D303" s="1" t="s">
        <v>1064</v>
      </c>
      <c r="E303" t="s">
        <v>1232</v>
      </c>
      <c r="F303" t="s">
        <v>1186</v>
      </c>
      <c r="G303" t="s">
        <v>1349</v>
      </c>
      <c r="H303" t="s">
        <v>1350</v>
      </c>
      <c r="I303">
        <v>56.628705555555555</v>
      </c>
      <c r="J303">
        <v>5.2789833333333336</v>
      </c>
      <c r="K303" s="3">
        <v>37581</v>
      </c>
      <c r="L303" s="3">
        <v>37600</v>
      </c>
      <c r="M303" t="s">
        <v>173</v>
      </c>
      <c r="N303" t="s">
        <v>23</v>
      </c>
      <c r="O303" s="6" t="str">
        <f t="shared" si="4"/>
        <v>GEUS Well Info</v>
      </c>
      <c r="P303" s="7" t="str">
        <f>HYPERLINK("https://ens.dk/sites/ens.dk/files/OlieGas/PM/nini-4.pdf","DEA press release")</f>
        <v>DEA press release</v>
      </c>
    </row>
    <row r="304" spans="1:16" x14ac:dyDescent="0.25">
      <c r="A304" t="s">
        <v>1351</v>
      </c>
      <c r="B304" s="1" t="s">
        <v>1352</v>
      </c>
      <c r="C304" t="s">
        <v>209</v>
      </c>
      <c r="D304" s="1" t="s">
        <v>1010</v>
      </c>
      <c r="E304" t="s">
        <v>1232</v>
      </c>
      <c r="F304" t="s">
        <v>1353</v>
      </c>
      <c r="G304" t="s">
        <v>1354</v>
      </c>
      <c r="H304" t="s">
        <v>1355</v>
      </c>
      <c r="I304">
        <v>56.47676388888889</v>
      </c>
      <c r="J304">
        <v>4.9864666666666668</v>
      </c>
      <c r="K304" s="3">
        <v>37581</v>
      </c>
      <c r="L304" s="3">
        <v>37603</v>
      </c>
      <c r="M304" t="s">
        <v>173</v>
      </c>
      <c r="N304" t="s">
        <v>23</v>
      </c>
      <c r="O304" s="6" t="str">
        <f t="shared" si="4"/>
        <v>GEUS Well Info</v>
      </c>
      <c r="P304" s="7" t="str">
        <f>HYPERLINK("https://ens.dk/sites/ens.dk/files/OlieGas/PM/siri-5.pdf","DEA press release")</f>
        <v>DEA press release</v>
      </c>
    </row>
    <row r="305" spans="1:16" x14ac:dyDescent="0.25">
      <c r="A305" t="s">
        <v>1356</v>
      </c>
      <c r="B305" s="1" t="s">
        <v>1357</v>
      </c>
      <c r="C305" t="s">
        <v>209</v>
      </c>
      <c r="D305" s="1" t="s">
        <v>1231</v>
      </c>
      <c r="E305" t="s">
        <v>1232</v>
      </c>
      <c r="F305" s="2" t="s">
        <v>1186</v>
      </c>
      <c r="G305" t="s">
        <v>1358</v>
      </c>
      <c r="H305" t="s">
        <v>1359</v>
      </c>
      <c r="I305">
        <v>56.39863888888889</v>
      </c>
      <c r="J305">
        <v>4.7722138888888885</v>
      </c>
      <c r="K305" s="3">
        <v>37614</v>
      </c>
      <c r="L305" s="3">
        <v>37630</v>
      </c>
      <c r="M305" t="s">
        <v>173</v>
      </c>
      <c r="N305" t="s">
        <v>23</v>
      </c>
      <c r="O305" s="6" t="str">
        <f t="shared" si="4"/>
        <v>GEUS Well Info</v>
      </c>
      <c r="P305" s="7" t="str">
        <f>HYPERLINK("https://ens.dk/sites/ens.dk/files/OlieGas/PM/cecilie-2.pdf","DEA press release")</f>
        <v>DEA press release</v>
      </c>
    </row>
    <row r="306" spans="1:16" x14ac:dyDescent="0.25">
      <c r="A306" t="s">
        <v>1360</v>
      </c>
      <c r="B306" s="1" t="s">
        <v>1361</v>
      </c>
      <c r="C306" t="s">
        <v>16</v>
      </c>
      <c r="D306" s="1" t="s">
        <v>1362</v>
      </c>
      <c r="E306" t="s">
        <v>314</v>
      </c>
      <c r="F306" t="s">
        <v>755</v>
      </c>
      <c r="G306" t="s">
        <v>1363</v>
      </c>
      <c r="H306" t="s">
        <v>1364</v>
      </c>
      <c r="I306">
        <v>55.373975000000002</v>
      </c>
      <c r="J306">
        <v>5.0745611111111115</v>
      </c>
      <c r="K306" s="3">
        <v>37650</v>
      </c>
      <c r="L306" s="3">
        <v>37781</v>
      </c>
      <c r="M306" t="s">
        <v>173</v>
      </c>
      <c r="N306" t="s">
        <v>23</v>
      </c>
      <c r="O306" s="6" t="str">
        <f t="shared" si="4"/>
        <v>GEUS Well Info</v>
      </c>
      <c r="P306" s="7" t="str">
        <f>HYPERLINK("https://ens.dk/sites/ens.dk/files/OlieGas/PM/olga-1x.pdf","DEA press release")</f>
        <v>DEA press release</v>
      </c>
    </row>
    <row r="307" spans="1:16" x14ac:dyDescent="0.25">
      <c r="A307" t="s">
        <v>1365</v>
      </c>
      <c r="B307" s="1" t="s">
        <v>1366</v>
      </c>
      <c r="C307" t="s">
        <v>1049</v>
      </c>
      <c r="D307" s="1" t="s">
        <v>1064</v>
      </c>
      <c r="E307" t="s">
        <v>1232</v>
      </c>
      <c r="F307" t="s">
        <v>1186</v>
      </c>
      <c r="G307" t="s">
        <v>1367</v>
      </c>
      <c r="H307" t="s">
        <v>1368</v>
      </c>
      <c r="I307">
        <v>56.641452777777779</v>
      </c>
      <c r="J307">
        <v>5.3225444444444445</v>
      </c>
      <c r="K307" s="3">
        <v>37702</v>
      </c>
      <c r="L307" s="3">
        <v>37935</v>
      </c>
      <c r="M307" t="s">
        <v>173</v>
      </c>
      <c r="N307" t="s">
        <v>23</v>
      </c>
      <c r="O307" s="6" t="str">
        <f t="shared" si="4"/>
        <v>GEUS Well Info</v>
      </c>
      <c r="P307" s="9" t="s">
        <v>1670</v>
      </c>
    </row>
    <row r="308" spans="1:16" x14ac:dyDescent="0.25">
      <c r="A308" t="s">
        <v>1369</v>
      </c>
      <c r="B308" s="1" t="s">
        <v>1370</v>
      </c>
      <c r="C308" t="s">
        <v>573</v>
      </c>
      <c r="D308" s="1" t="s">
        <v>163</v>
      </c>
      <c r="E308" t="s">
        <v>314</v>
      </c>
      <c r="F308" t="s">
        <v>1371</v>
      </c>
      <c r="G308" t="s">
        <v>1372</v>
      </c>
      <c r="H308" t="s">
        <v>1373</v>
      </c>
      <c r="I308">
        <v>55.834997222222221</v>
      </c>
      <c r="J308">
        <v>4.5628833333333336</v>
      </c>
      <c r="K308" s="3">
        <v>37717</v>
      </c>
      <c r="L308" s="3">
        <v>37781</v>
      </c>
      <c r="M308" t="s">
        <v>173</v>
      </c>
      <c r="N308" t="s">
        <v>23</v>
      </c>
      <c r="O308" s="6" t="str">
        <f t="shared" si="4"/>
        <v>GEUS Well Info</v>
      </c>
      <c r="P308" s="9" t="s">
        <v>1670</v>
      </c>
    </row>
    <row r="309" spans="1:16" x14ac:dyDescent="0.25">
      <c r="A309" t="s">
        <v>1374</v>
      </c>
      <c r="B309" s="1" t="s">
        <v>1375</v>
      </c>
      <c r="C309" t="s">
        <v>209</v>
      </c>
      <c r="D309" s="1" t="s">
        <v>1326</v>
      </c>
      <c r="E309" t="s">
        <v>1232</v>
      </c>
      <c r="F309" t="s">
        <v>1327</v>
      </c>
      <c r="G309" t="s">
        <v>1376</v>
      </c>
      <c r="H309" t="s">
        <v>1377</v>
      </c>
      <c r="I309">
        <v>55.689769444444444</v>
      </c>
      <c r="J309">
        <v>12.634716666666666</v>
      </c>
      <c r="K309" s="3">
        <v>37738</v>
      </c>
      <c r="L309" s="3">
        <v>37800</v>
      </c>
      <c r="M309" t="s">
        <v>22</v>
      </c>
      <c r="N309" t="s">
        <v>23</v>
      </c>
      <c r="O309" s="6" t="str">
        <f t="shared" si="4"/>
        <v>GEUS Well Info</v>
      </c>
      <c r="P309" s="9" t="s">
        <v>1670</v>
      </c>
    </row>
    <row r="310" spans="1:16" x14ac:dyDescent="0.25">
      <c r="A310" t="s">
        <v>1378</v>
      </c>
      <c r="B310" s="1" t="s">
        <v>1379</v>
      </c>
      <c r="C310" t="s">
        <v>16</v>
      </c>
      <c r="D310" s="1" t="s">
        <v>876</v>
      </c>
      <c r="E310" t="s">
        <v>1344</v>
      </c>
      <c r="F310" t="s">
        <v>1380</v>
      </c>
      <c r="G310" t="s">
        <v>1381</v>
      </c>
      <c r="H310" t="s">
        <v>1382</v>
      </c>
      <c r="I310">
        <v>56.081305555555552</v>
      </c>
      <c r="J310">
        <v>4.0861055555555552</v>
      </c>
      <c r="K310" s="3">
        <v>37740</v>
      </c>
      <c r="L310" s="3">
        <v>37806</v>
      </c>
      <c r="M310" t="s">
        <v>173</v>
      </c>
      <c r="N310" t="s">
        <v>23</v>
      </c>
      <c r="O310" s="6" t="str">
        <f t="shared" si="4"/>
        <v>GEUS Well Info</v>
      </c>
      <c r="P310" s="7" t="str">
        <f>HYPERLINK("https://ens.dk/sites/ens.dk/files/OlieGas/PM/jette-1.pdf","DEA press release")</f>
        <v>DEA press release</v>
      </c>
    </row>
    <row r="311" spans="1:16" x14ac:dyDescent="0.25">
      <c r="A311" t="s">
        <v>1383</v>
      </c>
      <c r="B311" s="1" t="s">
        <v>1384</v>
      </c>
      <c r="C311" t="s">
        <v>573</v>
      </c>
      <c r="D311" s="1" t="s">
        <v>163</v>
      </c>
      <c r="E311" t="s">
        <v>314</v>
      </c>
      <c r="F311" t="s">
        <v>1249</v>
      </c>
      <c r="G311" t="s">
        <v>1385</v>
      </c>
      <c r="H311" t="s">
        <v>1386</v>
      </c>
      <c r="I311">
        <v>55.538783333333335</v>
      </c>
      <c r="J311">
        <v>5.0321749999999996</v>
      </c>
      <c r="K311" s="3">
        <v>37742</v>
      </c>
      <c r="L311" s="3">
        <v>37813</v>
      </c>
      <c r="M311" t="s">
        <v>173</v>
      </c>
      <c r="N311" t="s">
        <v>23</v>
      </c>
      <c r="O311" s="6" t="str">
        <f t="shared" si="4"/>
        <v>GEUS Well Info</v>
      </c>
      <c r="P311" s="9" t="s">
        <v>1670</v>
      </c>
    </row>
    <row r="312" spans="1:16" x14ac:dyDescent="0.25">
      <c r="A312" t="s">
        <v>1387</v>
      </c>
      <c r="B312" s="1" t="s">
        <v>1388</v>
      </c>
      <c r="C312" t="s">
        <v>16</v>
      </c>
      <c r="D312" s="1" t="s">
        <v>1010</v>
      </c>
      <c r="E312" t="s">
        <v>1232</v>
      </c>
      <c r="F312" t="s">
        <v>1353</v>
      </c>
      <c r="G312" t="s">
        <v>1389</v>
      </c>
      <c r="H312" t="s">
        <v>1390</v>
      </c>
      <c r="I312">
        <v>56.582019444444441</v>
      </c>
      <c r="J312">
        <v>5.1641694444444441</v>
      </c>
      <c r="K312" s="3">
        <v>37744</v>
      </c>
      <c r="L312" s="3">
        <v>37758</v>
      </c>
      <c r="M312" t="s">
        <v>173</v>
      </c>
      <c r="N312" t="s">
        <v>23</v>
      </c>
      <c r="O312" s="6" t="str">
        <f t="shared" si="4"/>
        <v>GEUS Well Info</v>
      </c>
      <c r="P312" s="7" t="str">
        <f>HYPERLINK("https://ens.dk/sites/ens.dk/files/OlieGas/PM/sofie-1.pdf","DEA press release")</f>
        <v>DEA press release</v>
      </c>
    </row>
    <row r="313" spans="1:16" x14ac:dyDescent="0.25">
      <c r="A313" t="s">
        <v>1391</v>
      </c>
      <c r="B313" s="1" t="s">
        <v>1392</v>
      </c>
      <c r="C313" t="s">
        <v>573</v>
      </c>
      <c r="D313" s="1" t="s">
        <v>163</v>
      </c>
      <c r="E313" t="s">
        <v>314</v>
      </c>
      <c r="F313" t="s">
        <v>1371</v>
      </c>
      <c r="G313" t="s">
        <v>1393</v>
      </c>
      <c r="H313" t="s">
        <v>1394</v>
      </c>
      <c r="I313">
        <v>55.835002777777781</v>
      </c>
      <c r="J313">
        <v>4.5628527777777776</v>
      </c>
      <c r="K313" s="3">
        <v>37795</v>
      </c>
      <c r="L313" s="3">
        <v>37866</v>
      </c>
      <c r="M313" t="s">
        <v>173</v>
      </c>
      <c r="N313" t="s">
        <v>23</v>
      </c>
      <c r="O313" s="6" t="str">
        <f t="shared" si="4"/>
        <v>GEUS Well Info</v>
      </c>
      <c r="P313" s="9" t="s">
        <v>1670</v>
      </c>
    </row>
    <row r="314" spans="1:16" x14ac:dyDescent="0.25">
      <c r="A314" t="s">
        <v>1395</v>
      </c>
      <c r="B314" s="1" t="s">
        <v>1396</v>
      </c>
      <c r="C314" t="s">
        <v>16</v>
      </c>
      <c r="D314" s="1" t="s">
        <v>1397</v>
      </c>
      <c r="E314" t="s">
        <v>1232</v>
      </c>
      <c r="F314" t="s">
        <v>1380</v>
      </c>
      <c r="G314" t="s">
        <v>1398</v>
      </c>
      <c r="H314" t="s">
        <v>1399</v>
      </c>
      <c r="I314">
        <v>55.861541666666668</v>
      </c>
      <c r="J314">
        <v>4.3978777777777776</v>
      </c>
      <c r="K314" s="3">
        <v>37813</v>
      </c>
      <c r="L314" s="3">
        <v>37835</v>
      </c>
      <c r="M314" t="s">
        <v>173</v>
      </c>
      <c r="N314" t="s">
        <v>23</v>
      </c>
      <c r="O314" s="6" t="str">
        <f t="shared" si="4"/>
        <v>GEUS Well Info</v>
      </c>
      <c r="P314" s="7" t="str">
        <f>HYPERLINK("https://ens.dk/sites/ens.dk/files/OlieGas/PM/hanne-1.pdf","DEA press release")</f>
        <v>DEA press release</v>
      </c>
    </row>
    <row r="315" spans="1:16" x14ac:dyDescent="0.25">
      <c r="A315" t="s">
        <v>1400</v>
      </c>
      <c r="B315" s="1" t="s">
        <v>1401</v>
      </c>
      <c r="C315" t="s">
        <v>16</v>
      </c>
      <c r="D315" s="1" t="s">
        <v>936</v>
      </c>
      <c r="E315" t="s">
        <v>1232</v>
      </c>
      <c r="F315" t="s">
        <v>1380</v>
      </c>
      <c r="G315" t="s">
        <v>1402</v>
      </c>
      <c r="H315" t="s">
        <v>1403</v>
      </c>
      <c r="I315">
        <v>56.09665833333333</v>
      </c>
      <c r="J315">
        <v>3.9980666666666669</v>
      </c>
      <c r="K315" s="3">
        <v>37851</v>
      </c>
      <c r="L315" s="3">
        <v>37921</v>
      </c>
      <c r="M315" t="s">
        <v>173</v>
      </c>
      <c r="N315" t="s">
        <v>23</v>
      </c>
      <c r="O315" s="6" t="str">
        <f t="shared" si="4"/>
        <v>GEUS Well Info</v>
      </c>
      <c r="P315" s="7" t="str">
        <f>HYPERLINK("https://ens.dk/sites/ens.dk/files/OlieGas/PM/ophelia-1.pdf","DEA press release")</f>
        <v>DEA press release</v>
      </c>
    </row>
    <row r="316" spans="1:16" x14ac:dyDescent="0.25">
      <c r="A316" t="s">
        <v>1404</v>
      </c>
      <c r="B316" s="1" t="s">
        <v>1405</v>
      </c>
      <c r="C316" t="s">
        <v>209</v>
      </c>
      <c r="D316" s="1" t="s">
        <v>163</v>
      </c>
      <c r="E316" t="s">
        <v>314</v>
      </c>
      <c r="F316" t="s">
        <v>1371</v>
      </c>
      <c r="G316" t="s">
        <v>1406</v>
      </c>
      <c r="H316" t="s">
        <v>1407</v>
      </c>
      <c r="I316">
        <v>55.593924999999999</v>
      </c>
      <c r="J316">
        <v>4.9502694444444444</v>
      </c>
      <c r="K316" s="3">
        <v>37874</v>
      </c>
      <c r="L316" s="3">
        <v>37884</v>
      </c>
      <c r="M316" t="s">
        <v>173</v>
      </c>
      <c r="N316" t="s">
        <v>23</v>
      </c>
      <c r="O316" s="6" t="str">
        <f t="shared" si="4"/>
        <v>GEUS Well Info</v>
      </c>
      <c r="P316" s="9" t="s">
        <v>1670</v>
      </c>
    </row>
    <row r="317" spans="1:16" x14ac:dyDescent="0.25">
      <c r="A317" t="s">
        <v>1408</v>
      </c>
      <c r="B317" s="1" t="s">
        <v>1409</v>
      </c>
      <c r="C317" t="s">
        <v>209</v>
      </c>
      <c r="D317" s="1" t="s">
        <v>876</v>
      </c>
      <c r="E317" t="s">
        <v>1410</v>
      </c>
      <c r="F317" s="2" t="s">
        <v>1249</v>
      </c>
      <c r="G317" t="s">
        <v>1411</v>
      </c>
      <c r="H317" t="s">
        <v>1412</v>
      </c>
      <c r="I317">
        <v>56.061408333333333</v>
      </c>
      <c r="J317">
        <v>4.2554805555555557</v>
      </c>
      <c r="K317" s="3">
        <v>37888</v>
      </c>
      <c r="L317" s="3">
        <v>37981</v>
      </c>
      <c r="M317" t="s">
        <v>173</v>
      </c>
      <c r="N317" t="s">
        <v>23</v>
      </c>
      <c r="O317" s="6" t="str">
        <f t="shared" si="4"/>
        <v>GEUS Well Info</v>
      </c>
      <c r="P317" s="7" t="str">
        <f>HYPERLINK("https://ens.dk/sites/ens.dk/files/OlieGas/PM/katherine-1.pdf","DEA press release")</f>
        <v>DEA press release</v>
      </c>
    </row>
    <row r="318" spans="1:16" x14ac:dyDescent="0.25">
      <c r="A318" t="s">
        <v>1413</v>
      </c>
      <c r="B318" s="1" t="s">
        <v>1414</v>
      </c>
      <c r="C318" t="s">
        <v>573</v>
      </c>
      <c r="D318" s="1" t="s">
        <v>1010</v>
      </c>
      <c r="E318" t="s">
        <v>1232</v>
      </c>
      <c r="F318" s="2" t="s">
        <v>1249</v>
      </c>
      <c r="G318" t="s">
        <v>1415</v>
      </c>
      <c r="H318" t="s">
        <v>1416</v>
      </c>
      <c r="I318">
        <v>56.506599999999999</v>
      </c>
      <c r="J318">
        <v>5.0423777777777774</v>
      </c>
      <c r="K318" s="3">
        <v>38039</v>
      </c>
      <c r="L318" s="3">
        <v>38107</v>
      </c>
      <c r="M318" t="s">
        <v>173</v>
      </c>
      <c r="N318" t="s">
        <v>23</v>
      </c>
      <c r="O318" s="6" t="str">
        <f t="shared" si="4"/>
        <v>GEUS Well Info</v>
      </c>
      <c r="P318" s="7" t="str">
        <f>HYPERLINK("https://ens.dk/sites/ens.dk/files/OlieGas/PM/scb-1x.pdf","DEA press release")</f>
        <v>DEA press release</v>
      </c>
    </row>
    <row r="319" spans="1:16" x14ac:dyDescent="0.25">
      <c r="A319" t="s">
        <v>1417</v>
      </c>
      <c r="B319" s="1" t="s">
        <v>1418</v>
      </c>
      <c r="C319" t="s">
        <v>209</v>
      </c>
      <c r="D319" s="1" t="s">
        <v>1231</v>
      </c>
      <c r="E319" t="s">
        <v>1232</v>
      </c>
      <c r="F319" t="s">
        <v>1186</v>
      </c>
      <c r="G319" t="s">
        <v>1419</v>
      </c>
      <c r="H319" t="s">
        <v>1420</v>
      </c>
      <c r="I319">
        <v>56.402799999999999</v>
      </c>
      <c r="J319">
        <v>4.7610749999999999</v>
      </c>
      <c r="K319" s="3">
        <v>38084</v>
      </c>
      <c r="L319" s="3">
        <v>38179</v>
      </c>
      <c r="M319" t="s">
        <v>173</v>
      </c>
      <c r="N319" t="s">
        <v>23</v>
      </c>
      <c r="O319" s="6" t="str">
        <f t="shared" si="4"/>
        <v>GEUS Well Info</v>
      </c>
      <c r="P319" s="7" t="str">
        <f>HYPERLINK("https://ens.dk/sites/ens.dk/files/OlieGas/PM/ca-3.pdf","DEA press release")</f>
        <v>DEA press release</v>
      </c>
    </row>
    <row r="320" spans="1:16" x14ac:dyDescent="0.25">
      <c r="A320" t="s">
        <v>1421</v>
      </c>
      <c r="B320" s="1" t="s">
        <v>1422</v>
      </c>
      <c r="C320" t="s">
        <v>16</v>
      </c>
      <c r="D320" s="1" t="s">
        <v>1423</v>
      </c>
      <c r="E320" t="s">
        <v>1424</v>
      </c>
      <c r="F320" t="s">
        <v>1249</v>
      </c>
      <c r="G320" t="s">
        <v>1425</v>
      </c>
      <c r="H320" t="s">
        <v>1426</v>
      </c>
      <c r="I320">
        <v>55.656399999999998</v>
      </c>
      <c r="J320">
        <v>5.0094527777777778</v>
      </c>
      <c r="K320" s="3">
        <v>38127</v>
      </c>
      <c r="L320" s="3">
        <v>38181</v>
      </c>
      <c r="M320" t="s">
        <v>173</v>
      </c>
      <c r="N320" t="s">
        <v>23</v>
      </c>
      <c r="O320" s="6" t="str">
        <f t="shared" si="4"/>
        <v>GEUS Well Info</v>
      </c>
      <c r="P320" s="7" t="str">
        <f>HYPERLINK("https://ens.dk/sites/ens.dk/files/OlieGas/PM/fasan-1.pdf","DEA press release")</f>
        <v>DEA press release</v>
      </c>
    </row>
    <row r="321" spans="1:16" x14ac:dyDescent="0.25">
      <c r="A321" t="s">
        <v>1427</v>
      </c>
      <c r="B321" s="1" t="s">
        <v>1428</v>
      </c>
      <c r="C321" t="s">
        <v>209</v>
      </c>
      <c r="D321" s="1" t="s">
        <v>163</v>
      </c>
      <c r="E321" t="s">
        <v>314</v>
      </c>
      <c r="F321" t="s">
        <v>755</v>
      </c>
      <c r="G321" t="s">
        <v>1429</v>
      </c>
      <c r="H321" t="s">
        <v>1430</v>
      </c>
      <c r="I321">
        <v>55.794402777777776</v>
      </c>
      <c r="J321">
        <v>4.5454555555555558</v>
      </c>
      <c r="K321" s="3">
        <v>38162</v>
      </c>
      <c r="L321" s="3">
        <v>38178</v>
      </c>
      <c r="M321" t="s">
        <v>173</v>
      </c>
      <c r="N321" t="s">
        <v>23</v>
      </c>
      <c r="O321" s="6" t="str">
        <f t="shared" ref="O321:O358" si="5">IF(N321="YES",HYPERLINK("http://data.geus.dk/geusmapmore/samba/info_samba.jsp?iSector=DANISH&amp;iWellName="&amp;A321,"GEUS Well Info"),"")</f>
        <v>GEUS Well Info</v>
      </c>
      <c r="P321" s="9" t="s">
        <v>1670</v>
      </c>
    </row>
    <row r="322" spans="1:16" x14ac:dyDescent="0.25">
      <c r="A322" t="s">
        <v>1431</v>
      </c>
      <c r="B322" s="1" t="s">
        <v>1432</v>
      </c>
      <c r="C322" t="s">
        <v>16</v>
      </c>
      <c r="D322" s="1" t="s">
        <v>1064</v>
      </c>
      <c r="E322" t="s">
        <v>1232</v>
      </c>
      <c r="F322" t="s">
        <v>1186</v>
      </c>
      <c r="G322" t="s">
        <v>1433</v>
      </c>
      <c r="H322" t="s">
        <v>1434</v>
      </c>
      <c r="I322">
        <v>56.722533333333331</v>
      </c>
      <c r="J322">
        <v>5.484577777777778</v>
      </c>
      <c r="K322" s="3">
        <v>38217</v>
      </c>
      <c r="L322" s="3">
        <v>38233</v>
      </c>
      <c r="M322" t="s">
        <v>173</v>
      </c>
      <c r="N322" t="s">
        <v>23</v>
      </c>
      <c r="O322" s="6" t="str">
        <f t="shared" si="5"/>
        <v>GEUS Well Info</v>
      </c>
      <c r="P322" s="7" t="str">
        <f>HYPERLINK("https://ens.dk/sites/ens.dk/files/OlieGas/PM/vivi-1.pdf","DEA press release")</f>
        <v>DEA press release</v>
      </c>
    </row>
    <row r="323" spans="1:16" x14ac:dyDescent="0.25">
      <c r="A323" t="s">
        <v>1435</v>
      </c>
      <c r="B323" s="1" t="s">
        <v>1436</v>
      </c>
      <c r="C323" t="s">
        <v>573</v>
      </c>
      <c r="D323" s="1" t="s">
        <v>163</v>
      </c>
      <c r="E323" t="s">
        <v>314</v>
      </c>
      <c r="F323" t="s">
        <v>1126</v>
      </c>
      <c r="G323" t="s">
        <v>1437</v>
      </c>
      <c r="H323" t="s">
        <v>1438</v>
      </c>
      <c r="I323">
        <v>55.538788888888888</v>
      </c>
      <c r="J323">
        <v>5.0321944444444444</v>
      </c>
      <c r="K323" s="3">
        <v>38228</v>
      </c>
      <c r="L323" s="3">
        <v>38309</v>
      </c>
      <c r="M323" t="s">
        <v>173</v>
      </c>
      <c r="N323" t="s">
        <v>23</v>
      </c>
      <c r="O323" s="6" t="str">
        <f t="shared" si="5"/>
        <v>GEUS Well Info</v>
      </c>
      <c r="P323" s="9" t="s">
        <v>1670</v>
      </c>
    </row>
    <row r="324" spans="1:16" x14ac:dyDescent="0.25">
      <c r="A324" t="s">
        <v>1439</v>
      </c>
      <c r="B324" s="1" t="s">
        <v>1440</v>
      </c>
      <c r="C324" t="s">
        <v>573</v>
      </c>
      <c r="D324" s="1" t="s">
        <v>1064</v>
      </c>
      <c r="E324" t="s">
        <v>1232</v>
      </c>
      <c r="F324" t="s">
        <v>1186</v>
      </c>
      <c r="G324" t="s">
        <v>1441</v>
      </c>
      <c r="H324" t="s">
        <v>1442</v>
      </c>
      <c r="I324">
        <v>56.641447222222219</v>
      </c>
      <c r="J324">
        <v>5.3225333333333333</v>
      </c>
      <c r="K324" s="3">
        <v>38236</v>
      </c>
      <c r="L324" s="3">
        <v>38300</v>
      </c>
      <c r="M324" t="s">
        <v>173</v>
      </c>
      <c r="N324" t="s">
        <v>23</v>
      </c>
      <c r="O324" s="6" t="str">
        <f t="shared" si="5"/>
        <v>GEUS Well Info</v>
      </c>
      <c r="P324" s="9" t="s">
        <v>1670</v>
      </c>
    </row>
    <row r="325" spans="1:16" x14ac:dyDescent="0.25">
      <c r="A325" t="s">
        <v>1443</v>
      </c>
      <c r="B325" s="1" t="s">
        <v>1444</v>
      </c>
      <c r="C325" t="s">
        <v>573</v>
      </c>
      <c r="D325" s="1" t="s">
        <v>163</v>
      </c>
      <c r="E325" t="s">
        <v>314</v>
      </c>
      <c r="F325" t="s">
        <v>1371</v>
      </c>
      <c r="G325" t="s">
        <v>1445</v>
      </c>
      <c r="H325" t="s">
        <v>1446</v>
      </c>
      <c r="I325">
        <v>55.720844444444445</v>
      </c>
      <c r="J325">
        <v>4.8003472222222223</v>
      </c>
      <c r="K325" s="3">
        <v>38280</v>
      </c>
      <c r="L325" s="3">
        <v>38333</v>
      </c>
      <c r="M325" t="s">
        <v>173</v>
      </c>
      <c r="N325" t="s">
        <v>23</v>
      </c>
      <c r="O325" s="6" t="str">
        <f t="shared" si="5"/>
        <v>GEUS Well Info</v>
      </c>
      <c r="P325" s="9" t="s">
        <v>1670</v>
      </c>
    </row>
    <row r="326" spans="1:16" x14ac:dyDescent="0.25">
      <c r="A326" t="s">
        <v>1447</v>
      </c>
      <c r="B326" s="1" t="s">
        <v>1448</v>
      </c>
      <c r="C326" t="s">
        <v>209</v>
      </c>
      <c r="D326" s="1" t="s">
        <v>1266</v>
      </c>
      <c r="E326" t="s">
        <v>1449</v>
      </c>
      <c r="F326" s="2" t="s">
        <v>1380</v>
      </c>
      <c r="G326" t="s">
        <v>1450</v>
      </c>
      <c r="H326" t="s">
        <v>1451</v>
      </c>
      <c r="I326">
        <v>56.245919444444446</v>
      </c>
      <c r="J326">
        <v>3.9837527777777777</v>
      </c>
      <c r="K326" s="3">
        <v>38293</v>
      </c>
      <c r="L326" s="3">
        <v>38410</v>
      </c>
      <c r="M326" t="s">
        <v>173</v>
      </c>
      <c r="N326" t="s">
        <v>23</v>
      </c>
      <c r="O326" s="6" t="str">
        <f t="shared" si="5"/>
        <v>GEUS Well Info</v>
      </c>
      <c r="P326" s="7" t="str">
        <f>HYPERLINK("https://ens.dk/sites/ens.dk/files/OlieGas/PM/hejre-2.pdf","DEA press release")</f>
        <v>DEA press release</v>
      </c>
    </row>
    <row r="327" spans="1:16" x14ac:dyDescent="0.25">
      <c r="A327" t="s">
        <v>1452</v>
      </c>
      <c r="B327" s="1" t="s">
        <v>1453</v>
      </c>
      <c r="C327" t="s">
        <v>209</v>
      </c>
      <c r="D327" s="1" t="s">
        <v>1010</v>
      </c>
      <c r="E327" t="s">
        <v>1232</v>
      </c>
      <c r="F327" t="s">
        <v>1186</v>
      </c>
      <c r="G327" t="s">
        <v>1454</v>
      </c>
      <c r="H327" t="s">
        <v>1455</v>
      </c>
      <c r="I327">
        <v>56.578891666666664</v>
      </c>
      <c r="J327">
        <v>5.1964666666666668</v>
      </c>
      <c r="K327" s="3">
        <v>38336</v>
      </c>
      <c r="L327" s="3">
        <v>38356</v>
      </c>
      <c r="M327" t="s">
        <v>173</v>
      </c>
      <c r="N327" t="s">
        <v>23</v>
      </c>
      <c r="O327" s="6" t="str">
        <f t="shared" si="5"/>
        <v>GEUS Well Info</v>
      </c>
      <c r="P327" s="7" t="str">
        <f>HYPERLINK("https://ens.dk/sites/ens.dk/files/OlieGas/PM/sofie-2.pdf","DEA press release")</f>
        <v>DEA press release</v>
      </c>
    </row>
    <row r="328" spans="1:16" x14ac:dyDescent="0.25">
      <c r="A328" t="s">
        <v>1456</v>
      </c>
      <c r="B328" s="1" t="s">
        <v>1457</v>
      </c>
      <c r="C328" t="s">
        <v>16</v>
      </c>
      <c r="D328" s="1" t="s">
        <v>1010</v>
      </c>
      <c r="E328" t="s">
        <v>1232</v>
      </c>
      <c r="F328" t="s">
        <v>1186</v>
      </c>
      <c r="G328" t="s">
        <v>1458</v>
      </c>
      <c r="H328" t="s">
        <v>1459</v>
      </c>
      <c r="I328">
        <v>56.561561111111111</v>
      </c>
      <c r="J328">
        <v>5.1073611111111115</v>
      </c>
      <c r="K328" s="3">
        <v>38425</v>
      </c>
      <c r="L328" s="3">
        <v>38435</v>
      </c>
      <c r="M328" t="s">
        <v>173</v>
      </c>
      <c r="N328" t="s">
        <v>23</v>
      </c>
      <c r="O328" s="6" t="str">
        <f t="shared" si="5"/>
        <v>GEUS Well Info</v>
      </c>
      <c r="P328" s="7" t="str">
        <f>HYPERLINK("https://ens.dk/sites/ens.dk/files/OlieGas/PM/sissel-1.pdf","DEA press release")</f>
        <v>DEA press release</v>
      </c>
    </row>
    <row r="329" spans="1:16" x14ac:dyDescent="0.25">
      <c r="A329" t="s">
        <v>1460</v>
      </c>
      <c r="B329" s="1" t="s">
        <v>1461</v>
      </c>
      <c r="C329" t="s">
        <v>573</v>
      </c>
      <c r="D329" s="1" t="s">
        <v>1064</v>
      </c>
      <c r="E329" t="s">
        <v>1232</v>
      </c>
      <c r="F329" t="s">
        <v>1380</v>
      </c>
      <c r="G329" t="s">
        <v>1462</v>
      </c>
      <c r="H329" t="s">
        <v>1463</v>
      </c>
      <c r="I329">
        <v>56.641444444444446</v>
      </c>
      <c r="J329">
        <v>5.322516666666667</v>
      </c>
      <c r="K329" s="3">
        <v>38449</v>
      </c>
      <c r="L329" s="3">
        <v>38500</v>
      </c>
      <c r="M329" t="s">
        <v>173</v>
      </c>
      <c r="N329" t="s">
        <v>23</v>
      </c>
      <c r="O329" s="6" t="str">
        <f t="shared" si="5"/>
        <v>GEUS Well Info</v>
      </c>
      <c r="P329" s="9" t="s">
        <v>1670</v>
      </c>
    </row>
    <row r="330" spans="1:16" x14ac:dyDescent="0.25">
      <c r="A330" t="s">
        <v>1464</v>
      </c>
      <c r="B330" s="1" t="s">
        <v>1465</v>
      </c>
      <c r="C330" t="s">
        <v>573</v>
      </c>
      <c r="D330" s="1" t="s">
        <v>163</v>
      </c>
      <c r="E330" t="s">
        <v>314</v>
      </c>
      <c r="F330" t="s">
        <v>1126</v>
      </c>
      <c r="G330" t="s">
        <v>1466</v>
      </c>
      <c r="H330" t="s">
        <v>1467</v>
      </c>
      <c r="I330">
        <v>55.720836111111112</v>
      </c>
      <c r="J330">
        <v>4.800330555555556</v>
      </c>
      <c r="K330" s="3">
        <v>38570</v>
      </c>
      <c r="L330" s="3">
        <v>38839</v>
      </c>
      <c r="M330" t="s">
        <v>173</v>
      </c>
      <c r="N330" t="s">
        <v>23</v>
      </c>
      <c r="O330" s="6" t="str">
        <f t="shared" si="5"/>
        <v>GEUS Well Info</v>
      </c>
      <c r="P330" s="9" t="s">
        <v>1670</v>
      </c>
    </row>
    <row r="331" spans="1:16" x14ac:dyDescent="0.25">
      <c r="A331" t="s">
        <v>1468</v>
      </c>
      <c r="B331" s="1" t="s">
        <v>1469</v>
      </c>
      <c r="C331" t="s">
        <v>573</v>
      </c>
      <c r="D331" s="1" t="s">
        <v>163</v>
      </c>
      <c r="E331" t="s">
        <v>314</v>
      </c>
      <c r="F331" t="s">
        <v>1371</v>
      </c>
      <c r="G331" t="s">
        <v>1470</v>
      </c>
      <c r="H331" t="s">
        <v>1471</v>
      </c>
      <c r="I331">
        <v>55.834452777777777</v>
      </c>
      <c r="J331">
        <v>4.5633222222222223</v>
      </c>
      <c r="K331" s="3">
        <v>38707</v>
      </c>
      <c r="L331" s="3">
        <v>38847</v>
      </c>
      <c r="M331" t="s">
        <v>173</v>
      </c>
      <c r="N331" t="s">
        <v>23</v>
      </c>
      <c r="O331" s="6" t="str">
        <f t="shared" si="5"/>
        <v>GEUS Well Info</v>
      </c>
      <c r="P331" s="9" t="s">
        <v>1670</v>
      </c>
    </row>
    <row r="332" spans="1:16" x14ac:dyDescent="0.25">
      <c r="A332" t="s">
        <v>1472</v>
      </c>
      <c r="B332" s="1" t="s">
        <v>1473</v>
      </c>
      <c r="C332" t="s">
        <v>209</v>
      </c>
      <c r="D332" s="1" t="s">
        <v>876</v>
      </c>
      <c r="E332" t="s">
        <v>1410</v>
      </c>
      <c r="F332" t="s">
        <v>1474</v>
      </c>
      <c r="G332" t="s">
        <v>1475</v>
      </c>
      <c r="H332" t="s">
        <v>1476</v>
      </c>
      <c r="I332">
        <v>56.114513888888887</v>
      </c>
      <c r="J332">
        <v>4.1956055555555558</v>
      </c>
      <c r="K332" s="3">
        <v>38792</v>
      </c>
      <c r="L332" s="3">
        <v>38864</v>
      </c>
      <c r="M332" t="s">
        <v>173</v>
      </c>
      <c r="N332" t="s">
        <v>23</v>
      </c>
      <c r="O332" s="6" t="str">
        <f t="shared" si="5"/>
        <v>GEUS Well Info</v>
      </c>
      <c r="P332" s="7" t="str">
        <f>HYPERLINK("https://ens.dk/sites/ens.dk/files/OlieGas/PM/rigs-3.pdf","DEA press release")</f>
        <v>DEA press release</v>
      </c>
    </row>
    <row r="333" spans="1:16" x14ac:dyDescent="0.25">
      <c r="A333" t="s">
        <v>1477</v>
      </c>
      <c r="B333" s="1" t="s">
        <v>1478</v>
      </c>
      <c r="C333" t="s">
        <v>16</v>
      </c>
      <c r="D333" s="1" t="s">
        <v>1397</v>
      </c>
      <c r="E333" t="s">
        <v>1232</v>
      </c>
      <c r="F333" t="s">
        <v>1474</v>
      </c>
      <c r="G333" t="s">
        <v>1479</v>
      </c>
      <c r="H333" t="s">
        <v>1480</v>
      </c>
      <c r="I333">
        <v>55.860725000000002</v>
      </c>
      <c r="J333">
        <v>3.9861583333333335</v>
      </c>
      <c r="K333" s="3">
        <v>38875</v>
      </c>
      <c r="L333" s="3">
        <v>38908</v>
      </c>
      <c r="M333" t="s">
        <v>173</v>
      </c>
      <c r="N333" t="s">
        <v>23</v>
      </c>
      <c r="O333" s="6" t="str">
        <f t="shared" si="5"/>
        <v>GEUS Well Info</v>
      </c>
      <c r="P333" s="7" t="str">
        <f>HYPERLINK("https://ens.dk/sites/ens.dk/files/OlieGas/PM/robin-1.pdf","DEA press release")</f>
        <v>DEA press release</v>
      </c>
    </row>
    <row r="334" spans="1:16" x14ac:dyDescent="0.25">
      <c r="A334" t="s">
        <v>1481</v>
      </c>
      <c r="B334" s="1" t="s">
        <v>1482</v>
      </c>
      <c r="C334" t="s">
        <v>16</v>
      </c>
      <c r="D334" s="1" t="s">
        <v>1301</v>
      </c>
      <c r="E334" t="s">
        <v>1483</v>
      </c>
      <c r="F334" t="s">
        <v>1484</v>
      </c>
      <c r="G334" t="s">
        <v>1485</v>
      </c>
      <c r="H334" t="s">
        <v>1486</v>
      </c>
      <c r="I334">
        <v>56.112563888888886</v>
      </c>
      <c r="J334">
        <v>4.5900888888888893</v>
      </c>
      <c r="K334" s="3">
        <v>38959</v>
      </c>
      <c r="L334" s="3">
        <v>39031</v>
      </c>
      <c r="M334" t="s">
        <v>173</v>
      </c>
      <c r="N334" t="s">
        <v>23</v>
      </c>
      <c r="O334" s="6" t="str">
        <f t="shared" si="5"/>
        <v>GEUS Well Info</v>
      </c>
      <c r="P334" s="7" t="str">
        <f>HYPERLINK("https://ens.dk/sites/ens.dk/files/OlieGas/PM/stork-1.pdf","DEA press release")</f>
        <v>DEA press release</v>
      </c>
    </row>
    <row r="335" spans="1:16" x14ac:dyDescent="0.25">
      <c r="A335" t="s">
        <v>1487</v>
      </c>
      <c r="B335" s="1" t="s">
        <v>1488</v>
      </c>
      <c r="C335" t="s">
        <v>16</v>
      </c>
      <c r="D335" s="1" t="s">
        <v>1489</v>
      </c>
      <c r="E335" t="s">
        <v>1490</v>
      </c>
      <c r="F335" t="s">
        <v>1491</v>
      </c>
      <c r="G335" t="s">
        <v>1492</v>
      </c>
      <c r="H335" t="s">
        <v>1493</v>
      </c>
      <c r="I335">
        <v>55.920250000000003</v>
      </c>
      <c r="J335">
        <v>12.417802777777778</v>
      </c>
      <c r="K335" s="3">
        <v>38986</v>
      </c>
      <c r="L335" s="3">
        <v>39043</v>
      </c>
      <c r="M335" t="s">
        <v>22</v>
      </c>
      <c r="N335" t="s">
        <v>23</v>
      </c>
      <c r="O335" s="6" t="str">
        <f t="shared" si="5"/>
        <v>GEUS Well Info</v>
      </c>
      <c r="P335" s="7" t="str">
        <f>HYPERLINK("https://ens.dk/sites/ens.dk/files/OlieGas/PM/karlebo-1.pdf","DEA press release")</f>
        <v>DEA press release</v>
      </c>
    </row>
    <row r="336" spans="1:16" x14ac:dyDescent="0.25">
      <c r="A336" t="s">
        <v>1494</v>
      </c>
      <c r="B336" s="1" t="s">
        <v>1495</v>
      </c>
      <c r="C336" t="s">
        <v>209</v>
      </c>
      <c r="D336" s="1" t="s">
        <v>163</v>
      </c>
      <c r="E336" t="s">
        <v>314</v>
      </c>
      <c r="F336" t="s">
        <v>1021</v>
      </c>
      <c r="G336" t="s">
        <v>1496</v>
      </c>
      <c r="H336" t="s">
        <v>1497</v>
      </c>
      <c r="I336">
        <v>55.57716388888889</v>
      </c>
      <c r="J336">
        <v>4.6196333333333337</v>
      </c>
      <c r="K336" s="3">
        <v>39023</v>
      </c>
      <c r="L336" s="3">
        <v>39058</v>
      </c>
      <c r="M336" t="s">
        <v>173</v>
      </c>
      <c r="N336" t="s">
        <v>23</v>
      </c>
      <c r="O336" s="6" t="str">
        <f t="shared" si="5"/>
        <v>GEUS Well Info</v>
      </c>
      <c r="P336" s="9" t="s">
        <v>1670</v>
      </c>
    </row>
    <row r="337" spans="1:16" x14ac:dyDescent="0.25">
      <c r="A337" t="s">
        <v>1498</v>
      </c>
      <c r="B337" s="1" t="s">
        <v>1499</v>
      </c>
      <c r="C337" t="s">
        <v>573</v>
      </c>
      <c r="D337" s="1" t="s">
        <v>163</v>
      </c>
      <c r="E337" t="s">
        <v>314</v>
      </c>
      <c r="F337" t="s">
        <v>1059</v>
      </c>
      <c r="G337" t="s">
        <v>1500</v>
      </c>
      <c r="H337" t="s">
        <v>1501</v>
      </c>
      <c r="I337">
        <v>55.834447222222224</v>
      </c>
      <c r="J337">
        <v>4.5633583333333334</v>
      </c>
      <c r="K337" s="3">
        <v>39088</v>
      </c>
      <c r="L337" s="3">
        <v>39345</v>
      </c>
      <c r="M337" t="s">
        <v>173</v>
      </c>
      <c r="N337" t="s">
        <v>23</v>
      </c>
      <c r="O337" s="6" t="str">
        <f t="shared" si="5"/>
        <v>GEUS Well Info</v>
      </c>
      <c r="P337" s="9" t="s">
        <v>1670</v>
      </c>
    </row>
    <row r="338" spans="1:16" x14ac:dyDescent="0.25">
      <c r="A338" t="s">
        <v>1502</v>
      </c>
      <c r="B338" s="1" t="s">
        <v>1503</v>
      </c>
      <c r="C338" t="s">
        <v>16</v>
      </c>
      <c r="D338" s="1" t="s">
        <v>1504</v>
      </c>
      <c r="E338" t="s">
        <v>1505</v>
      </c>
      <c r="F338" t="s">
        <v>1141</v>
      </c>
      <c r="G338" t="s">
        <v>1506</v>
      </c>
      <c r="H338" t="s">
        <v>1507</v>
      </c>
      <c r="I338">
        <v>56.360255555555554</v>
      </c>
      <c r="J338">
        <v>4.6464999999999996</v>
      </c>
      <c r="K338" s="3">
        <v>39176</v>
      </c>
      <c r="L338" s="3">
        <v>39219</v>
      </c>
      <c r="M338" t="s">
        <v>173</v>
      </c>
      <c r="N338" t="s">
        <v>23</v>
      </c>
      <c r="O338" s="6" t="str">
        <f t="shared" si="5"/>
        <v>GEUS Well Info</v>
      </c>
      <c r="P338" s="7" t="str">
        <f>HYPERLINK("https://ens.dk/sites/ens.dk/files/OlieGas/PM/rau-1.pdf","DEA press release")</f>
        <v>DEA press release</v>
      </c>
    </row>
    <row r="339" spans="1:16" x14ac:dyDescent="0.25">
      <c r="A339" t="s">
        <v>1508</v>
      </c>
      <c r="B339" s="1" t="s">
        <v>1509</v>
      </c>
      <c r="C339" t="s">
        <v>209</v>
      </c>
      <c r="D339" s="1" t="s">
        <v>1064</v>
      </c>
      <c r="E339" t="s">
        <v>1232</v>
      </c>
      <c r="F339" t="s">
        <v>1141</v>
      </c>
      <c r="G339" t="s">
        <v>1510</v>
      </c>
      <c r="H339" t="s">
        <v>1511</v>
      </c>
      <c r="I339">
        <v>56.695250000000001</v>
      </c>
      <c r="J339">
        <v>5.4271638888888889</v>
      </c>
      <c r="K339" s="3">
        <v>39227</v>
      </c>
      <c r="L339" s="3">
        <v>39257</v>
      </c>
      <c r="M339" t="s">
        <v>173</v>
      </c>
      <c r="N339" t="s">
        <v>23</v>
      </c>
      <c r="O339" s="6" t="str">
        <f t="shared" si="5"/>
        <v>GEUS Well Info</v>
      </c>
      <c r="P339" s="7" t="str">
        <f>HYPERLINK("https://ens.dk/sites/ens.dk/files/OlieGas/PM/nini-5.pdf","DEA press release")</f>
        <v>DEA press release</v>
      </c>
    </row>
    <row r="340" spans="1:16" x14ac:dyDescent="0.25">
      <c r="A340" t="s">
        <v>1512</v>
      </c>
      <c r="B340" s="1" t="s">
        <v>1513</v>
      </c>
      <c r="C340" t="s">
        <v>16</v>
      </c>
      <c r="D340" s="1" t="s">
        <v>1514</v>
      </c>
      <c r="E340" t="s">
        <v>314</v>
      </c>
      <c r="F340" t="s">
        <v>1515</v>
      </c>
      <c r="G340" t="s">
        <v>1516</v>
      </c>
      <c r="H340" t="s">
        <v>1517</v>
      </c>
      <c r="I340">
        <v>55.617755555555554</v>
      </c>
      <c r="J340">
        <v>4.606983333333333</v>
      </c>
      <c r="K340" s="3">
        <v>39433</v>
      </c>
      <c r="L340" s="3">
        <v>39471</v>
      </c>
      <c r="M340" t="s">
        <v>173</v>
      </c>
      <c r="N340" t="s">
        <v>23</v>
      </c>
      <c r="O340" s="6" t="str">
        <f t="shared" si="5"/>
        <v>GEUS Well Info</v>
      </c>
      <c r="P340" s="7" t="str">
        <f>HYPERLINK("https://ens.dk/sites/ens.dk/files/OlieGas/PM/ebba-1x.pdf","DEA press release")</f>
        <v>DEA press release</v>
      </c>
    </row>
    <row r="341" spans="1:16" x14ac:dyDescent="0.25">
      <c r="A341" t="s">
        <v>1518</v>
      </c>
      <c r="B341" s="1" t="s">
        <v>1519</v>
      </c>
      <c r="C341" t="s">
        <v>209</v>
      </c>
      <c r="D341" s="1" t="s">
        <v>163</v>
      </c>
      <c r="E341" t="s">
        <v>314</v>
      </c>
      <c r="F341" s="2" t="s">
        <v>1520</v>
      </c>
      <c r="G341" t="s">
        <v>1521</v>
      </c>
      <c r="H341" t="s">
        <v>1522</v>
      </c>
      <c r="I341">
        <v>55.53767777777778</v>
      </c>
      <c r="J341">
        <v>5.0933194444444441</v>
      </c>
      <c r="K341" s="3">
        <v>39488</v>
      </c>
      <c r="L341" s="3">
        <v>39509</v>
      </c>
      <c r="M341" t="s">
        <v>173</v>
      </c>
      <c r="N341" t="s">
        <v>23</v>
      </c>
      <c r="O341" s="6" t="str">
        <f t="shared" si="5"/>
        <v>GEUS Well Info</v>
      </c>
      <c r="P341" s="9" t="s">
        <v>1670</v>
      </c>
    </row>
    <row r="342" spans="1:16" x14ac:dyDescent="0.25">
      <c r="A342" t="s">
        <v>1523</v>
      </c>
      <c r="B342" s="1" t="s">
        <v>1524</v>
      </c>
      <c r="C342" t="s">
        <v>209</v>
      </c>
      <c r="D342" s="1" t="s">
        <v>163</v>
      </c>
      <c r="E342" t="s">
        <v>314</v>
      </c>
      <c r="F342" t="s">
        <v>1520</v>
      </c>
      <c r="G342" t="s">
        <v>1525</v>
      </c>
      <c r="H342" t="s">
        <v>1526</v>
      </c>
      <c r="I342">
        <v>55.744533333333337</v>
      </c>
      <c r="J342">
        <v>4.5440722222222218</v>
      </c>
      <c r="K342" s="3">
        <v>39530</v>
      </c>
      <c r="L342" s="3">
        <v>39556</v>
      </c>
      <c r="M342" t="s">
        <v>173</v>
      </c>
      <c r="N342" t="s">
        <v>23</v>
      </c>
      <c r="O342" s="6" t="str">
        <f t="shared" si="5"/>
        <v>GEUS Well Info</v>
      </c>
      <c r="P342" s="9" t="s">
        <v>1670</v>
      </c>
    </row>
    <row r="343" spans="1:16" x14ac:dyDescent="0.25">
      <c r="A343" t="s">
        <v>1527</v>
      </c>
      <c r="B343" s="1" t="s">
        <v>1528</v>
      </c>
      <c r="C343" t="s">
        <v>209</v>
      </c>
      <c r="D343" s="1" t="s">
        <v>876</v>
      </c>
      <c r="E343" t="s">
        <v>1529</v>
      </c>
      <c r="F343" t="s">
        <v>1186</v>
      </c>
      <c r="G343" t="s">
        <v>1530</v>
      </c>
      <c r="H343" t="s">
        <v>1531</v>
      </c>
      <c r="I343">
        <v>56.01905277777778</v>
      </c>
      <c r="J343">
        <v>4.2966833333333332</v>
      </c>
      <c r="K343" s="3">
        <v>39632</v>
      </c>
      <c r="L343" s="3">
        <v>39667</v>
      </c>
      <c r="M343" t="s">
        <v>173</v>
      </c>
      <c r="N343" t="s">
        <v>23</v>
      </c>
      <c r="O343" s="6" t="str">
        <f t="shared" si="5"/>
        <v>GEUS Well Info</v>
      </c>
      <c r="P343" s="7" t="str">
        <f>HYPERLINK("https://ens.dk/sites/ens.dk/files/OlieGas/PM/rigs-4.pdf","DEA press release")</f>
        <v>DEA press release</v>
      </c>
    </row>
    <row r="344" spans="1:16" x14ac:dyDescent="0.25">
      <c r="A344" t="s">
        <v>1532</v>
      </c>
      <c r="B344" s="1" t="s">
        <v>1533</v>
      </c>
      <c r="C344" t="s">
        <v>573</v>
      </c>
      <c r="D344" s="1" t="s">
        <v>163</v>
      </c>
      <c r="E344" t="s">
        <v>314</v>
      </c>
      <c r="F344" t="s">
        <v>1126</v>
      </c>
      <c r="G344" t="s">
        <v>1534</v>
      </c>
      <c r="H344" t="s">
        <v>1535</v>
      </c>
      <c r="I344">
        <v>55.804744444444445</v>
      </c>
      <c r="J344">
        <v>4.5656999999999996</v>
      </c>
      <c r="K344" s="3">
        <v>39733</v>
      </c>
      <c r="L344" s="3">
        <v>39783</v>
      </c>
      <c r="M344" t="s">
        <v>173</v>
      </c>
      <c r="N344" t="s">
        <v>23</v>
      </c>
      <c r="O344" s="6" t="str">
        <f t="shared" si="5"/>
        <v>GEUS Well Info</v>
      </c>
      <c r="P344" s="9" t="s">
        <v>1670</v>
      </c>
    </row>
    <row r="345" spans="1:16" x14ac:dyDescent="0.25">
      <c r="A345" t="s">
        <v>1536</v>
      </c>
      <c r="B345" s="1" t="s">
        <v>1537</v>
      </c>
      <c r="C345" t="s">
        <v>573</v>
      </c>
      <c r="D345" s="1" t="s">
        <v>163</v>
      </c>
      <c r="E345" t="s">
        <v>314</v>
      </c>
      <c r="F345" t="s">
        <v>1520</v>
      </c>
      <c r="G345" t="s">
        <v>1538</v>
      </c>
      <c r="H345" t="s">
        <v>1539</v>
      </c>
      <c r="I345">
        <v>55.640302777777777</v>
      </c>
      <c r="J345">
        <v>4.8840361111111115</v>
      </c>
      <c r="K345" s="3">
        <v>39772</v>
      </c>
      <c r="L345" s="3">
        <v>39866</v>
      </c>
      <c r="M345" t="s">
        <v>173</v>
      </c>
      <c r="N345" t="s">
        <v>23</v>
      </c>
      <c r="O345" s="6" t="str">
        <f t="shared" si="5"/>
        <v>GEUS Well Info</v>
      </c>
      <c r="P345" s="9" t="s">
        <v>1670</v>
      </c>
    </row>
    <row r="346" spans="1:16" x14ac:dyDescent="0.25">
      <c r="A346" t="s">
        <v>1540</v>
      </c>
      <c r="B346" s="1" t="s">
        <v>1541</v>
      </c>
      <c r="C346" t="s">
        <v>16</v>
      </c>
      <c r="D346" s="1" t="s">
        <v>1542</v>
      </c>
      <c r="E346" t="s">
        <v>314</v>
      </c>
      <c r="F346" t="s">
        <v>1380</v>
      </c>
      <c r="G346" t="s">
        <v>1543</v>
      </c>
      <c r="H346" t="s">
        <v>1544</v>
      </c>
      <c r="I346">
        <v>56.261738888888885</v>
      </c>
      <c r="J346">
        <v>4.2874527777777773</v>
      </c>
      <c r="K346" s="3">
        <v>39798</v>
      </c>
      <c r="L346" s="3">
        <v>39924</v>
      </c>
      <c r="M346" t="s">
        <v>173</v>
      </c>
      <c r="N346" t="s">
        <v>23</v>
      </c>
      <c r="O346" s="6" t="str">
        <f t="shared" si="5"/>
        <v>GEUS Well Info</v>
      </c>
      <c r="P346" s="7" t="str">
        <f>HYPERLINK("https://ens.dk/sites/ens.dk/files/OlieGas/PM/gita-1x.pdf","DEA press release")</f>
        <v>DEA press release</v>
      </c>
    </row>
    <row r="347" spans="1:16" x14ac:dyDescent="0.25">
      <c r="A347" t="s">
        <v>1545</v>
      </c>
      <c r="B347" s="1" t="s">
        <v>1546</v>
      </c>
      <c r="C347" t="s">
        <v>16</v>
      </c>
      <c r="D347" s="1" t="s">
        <v>1010</v>
      </c>
      <c r="E347" t="s">
        <v>1232</v>
      </c>
      <c r="F347" t="s">
        <v>1547</v>
      </c>
      <c r="G347" t="s">
        <v>1548</v>
      </c>
      <c r="H347" t="s">
        <v>1549</v>
      </c>
      <c r="I347">
        <v>56.48106111111111</v>
      </c>
      <c r="J347">
        <v>4.8419444444444446</v>
      </c>
      <c r="K347" s="3">
        <v>39803</v>
      </c>
      <c r="L347" s="3">
        <v>39843</v>
      </c>
      <c r="M347" t="s">
        <v>173</v>
      </c>
      <c r="N347" t="s">
        <v>23</v>
      </c>
      <c r="O347" s="6" t="str">
        <f t="shared" si="5"/>
        <v>GEUS Well Info</v>
      </c>
      <c r="P347" s="7" t="str">
        <f>HYPERLINK("https://ens.dk/sites/ens.dk/files/OlieGas/PM/siri-6.pdf","DEA press release")</f>
        <v>DEA press release</v>
      </c>
    </row>
    <row r="348" spans="1:16" x14ac:dyDescent="0.25">
      <c r="A348" t="s">
        <v>1550</v>
      </c>
      <c r="B348" s="1" t="s">
        <v>1551</v>
      </c>
      <c r="C348" t="s">
        <v>16</v>
      </c>
      <c r="D348" s="1" t="s">
        <v>1514</v>
      </c>
      <c r="E348" t="s">
        <v>314</v>
      </c>
      <c r="F348" t="s">
        <v>1552</v>
      </c>
      <c r="G348" t="s">
        <v>1553</v>
      </c>
      <c r="H348" t="s">
        <v>1554</v>
      </c>
      <c r="I348">
        <v>55.763827777777777</v>
      </c>
      <c r="J348">
        <v>4.4412888888888888</v>
      </c>
      <c r="K348" s="3">
        <v>40032</v>
      </c>
      <c r="L348" s="3">
        <v>40216</v>
      </c>
      <c r="M348" t="s">
        <v>173</v>
      </c>
      <c r="N348" t="s">
        <v>23</v>
      </c>
      <c r="O348" s="6" t="str">
        <f t="shared" si="5"/>
        <v>GEUS Well Info</v>
      </c>
      <c r="P348" s="7" t="str">
        <f>HYPERLINK("https://ens.dk/sites/ens.dk/files/OlieGas/PM/luke-1x.pdf","DEA press release")</f>
        <v>DEA press release</v>
      </c>
    </row>
    <row r="349" spans="1:16" x14ac:dyDescent="0.25">
      <c r="A349" t="s">
        <v>1555</v>
      </c>
      <c r="B349" s="1" t="s">
        <v>1556</v>
      </c>
      <c r="C349" t="s">
        <v>209</v>
      </c>
      <c r="D349" s="1" t="s">
        <v>1557</v>
      </c>
      <c r="E349" t="s">
        <v>1558</v>
      </c>
      <c r="F349" t="s">
        <v>1141</v>
      </c>
      <c r="G349" t="s">
        <v>1559</v>
      </c>
      <c r="H349" t="s">
        <v>1560</v>
      </c>
      <c r="I349">
        <v>55.862963888888892</v>
      </c>
      <c r="J349">
        <v>4.2349500000000004</v>
      </c>
      <c r="K349" s="3">
        <v>40071</v>
      </c>
      <c r="L349" s="3">
        <v>40172</v>
      </c>
      <c r="M349" t="s">
        <v>173</v>
      </c>
      <c r="N349" t="s">
        <v>23</v>
      </c>
      <c r="O349" s="6" t="str">
        <f t="shared" si="5"/>
        <v>GEUS Well Info</v>
      </c>
      <c r="P349" s="7" t="str">
        <f>HYPERLINK("https://ens.dk/sites/ens.dk/files/OlieGas/PM/ravn-3.pdf","DEA press release")</f>
        <v>DEA press release</v>
      </c>
    </row>
    <row r="350" spans="1:16" x14ac:dyDescent="0.25">
      <c r="A350" t="s">
        <v>1561</v>
      </c>
      <c r="B350" s="1" t="s">
        <v>1562</v>
      </c>
      <c r="C350" t="s">
        <v>1563</v>
      </c>
      <c r="D350" s="1" t="s">
        <v>1564</v>
      </c>
      <c r="E350" t="s">
        <v>1232</v>
      </c>
      <c r="F350" t="s">
        <v>1565</v>
      </c>
      <c r="G350" t="s">
        <v>1566</v>
      </c>
      <c r="H350" t="s">
        <v>1567</v>
      </c>
      <c r="I350">
        <v>54.928802777777776</v>
      </c>
      <c r="J350">
        <v>9.8400222222222222</v>
      </c>
      <c r="K350" s="3">
        <v>40254</v>
      </c>
      <c r="L350" s="3">
        <v>40316</v>
      </c>
      <c r="M350" t="s">
        <v>22</v>
      </c>
      <c r="N350" t="s">
        <v>23</v>
      </c>
      <c r="O350" s="6" t="str">
        <f t="shared" si="5"/>
        <v>GEUS Well Info</v>
      </c>
      <c r="P350" s="9" t="s">
        <v>1670</v>
      </c>
    </row>
    <row r="351" spans="1:16" x14ac:dyDescent="0.25">
      <c r="A351" t="s">
        <v>1568</v>
      </c>
      <c r="B351" s="1" t="s">
        <v>1569</v>
      </c>
      <c r="C351" t="s">
        <v>16</v>
      </c>
      <c r="D351" s="1" t="s">
        <v>1301</v>
      </c>
      <c r="E351" t="s">
        <v>1232</v>
      </c>
      <c r="F351" s="2" t="s">
        <v>1547</v>
      </c>
      <c r="G351" t="s">
        <v>1570</v>
      </c>
      <c r="H351" t="s">
        <v>1571</v>
      </c>
      <c r="I351">
        <v>56.148622222222222</v>
      </c>
      <c r="J351">
        <v>4.3060749999999999</v>
      </c>
      <c r="K351" s="3">
        <v>40436</v>
      </c>
      <c r="L351" s="3">
        <v>40520</v>
      </c>
      <c r="M351" t="s">
        <v>173</v>
      </c>
      <c r="O351" s="10" t="str">
        <f>IF(N351="YES",HYPERLINK("http://data.geus.dk/geusmapmore/samba/info_samba.jsp?iSector=DANISH&amp;iWellName="&amp;A351,"GEUS Well Info"),"-")</f>
        <v>-</v>
      </c>
      <c r="P351" s="7" t="str">
        <f>HYPERLINK("https://ens.dk/sites/ens.dk/files/OlieGas/PM/solsort-1.pdf","DEA press release")</f>
        <v>DEA press release</v>
      </c>
    </row>
    <row r="352" spans="1:16" x14ac:dyDescent="0.25">
      <c r="A352" t="s">
        <v>1572</v>
      </c>
      <c r="B352" s="1" t="s">
        <v>1573</v>
      </c>
      <c r="C352" t="s">
        <v>16</v>
      </c>
      <c r="D352" s="1" t="s">
        <v>1010</v>
      </c>
      <c r="E352" t="s">
        <v>1232</v>
      </c>
      <c r="F352" t="s">
        <v>1547</v>
      </c>
      <c r="G352" t="s">
        <v>1574</v>
      </c>
      <c r="H352" t="s">
        <v>1575</v>
      </c>
      <c r="I352">
        <v>56.546205555555552</v>
      </c>
      <c r="J352">
        <v>4.9715999999999996</v>
      </c>
      <c r="K352" s="3">
        <v>40530</v>
      </c>
      <c r="L352" s="3">
        <v>40551</v>
      </c>
      <c r="M352" t="s">
        <v>173</v>
      </c>
      <c r="N352" t="s">
        <v>23</v>
      </c>
      <c r="O352" s="6" t="str">
        <f t="shared" si="5"/>
        <v>GEUS Well Info</v>
      </c>
      <c r="P352" s="7" t="str">
        <f>HYPERLINK("https://ens.dk/sites/ens.dk/files/OlieGas/PM/sara-1.pdf","DEA press release")</f>
        <v>DEA press release</v>
      </c>
    </row>
    <row r="353" spans="1:16" x14ac:dyDescent="0.25">
      <c r="A353" t="s">
        <v>1576</v>
      </c>
      <c r="B353" s="1" t="s">
        <v>1577</v>
      </c>
      <c r="C353" t="s">
        <v>16</v>
      </c>
      <c r="D353" s="1" t="s">
        <v>1578</v>
      </c>
      <c r="E353" t="s">
        <v>1579</v>
      </c>
      <c r="F353" t="s">
        <v>1580</v>
      </c>
      <c r="G353" t="s">
        <v>1581</v>
      </c>
      <c r="H353" t="s">
        <v>1582</v>
      </c>
      <c r="I353">
        <v>55.80222777777778</v>
      </c>
      <c r="J353">
        <v>9.381241666666666</v>
      </c>
      <c r="K353" s="3">
        <v>40675</v>
      </c>
      <c r="L353" s="3">
        <v>40699</v>
      </c>
      <c r="M353" t="s">
        <v>22</v>
      </c>
      <c r="N353" t="s">
        <v>23</v>
      </c>
      <c r="O353" s="6" t="str">
        <f t="shared" si="5"/>
        <v>GEUS Well Info</v>
      </c>
      <c r="P353" s="7" t="str">
        <f>HYPERLINK("https://ens.dk/sites/ens.dk/files/OlieGas/PM/loeve-1.pdf","DEA press release")</f>
        <v>DEA press release</v>
      </c>
    </row>
    <row r="354" spans="1:16" x14ac:dyDescent="0.25">
      <c r="A354" t="s">
        <v>1583</v>
      </c>
      <c r="B354" s="1" t="s">
        <v>1584</v>
      </c>
      <c r="C354" t="s">
        <v>16</v>
      </c>
      <c r="D354" s="1" t="s">
        <v>1585</v>
      </c>
      <c r="E354" t="s">
        <v>1586</v>
      </c>
      <c r="F354" t="s">
        <v>1186</v>
      </c>
      <c r="G354" t="s">
        <v>1587</v>
      </c>
      <c r="H354" t="s">
        <v>1588</v>
      </c>
      <c r="I354">
        <v>55.480583333333335</v>
      </c>
      <c r="J354">
        <v>4.8262388888888887</v>
      </c>
      <c r="K354" s="3">
        <v>40683</v>
      </c>
      <c r="L354" s="3">
        <v>40690</v>
      </c>
      <c r="M354" t="s">
        <v>173</v>
      </c>
      <c r="O354" s="10" t="str">
        <f>IF(N354="YES",HYPERLINK("http://data.geus.dk/geusmapmore/samba/info_samba.jsp?iSector=DANISH&amp;iWellName="&amp;A354,"GEUS Well Info"),"-")</f>
        <v>-</v>
      </c>
      <c r="P354" s="9" t="s">
        <v>1670</v>
      </c>
    </row>
    <row r="355" spans="1:16" x14ac:dyDescent="0.25">
      <c r="A355" t="s">
        <v>1589</v>
      </c>
      <c r="B355" s="1" t="s">
        <v>1590</v>
      </c>
      <c r="C355" t="s">
        <v>16</v>
      </c>
      <c r="D355" s="1" t="s">
        <v>1585</v>
      </c>
      <c r="E355" t="s">
        <v>1586</v>
      </c>
      <c r="F355" t="s">
        <v>1186</v>
      </c>
      <c r="G355" t="s">
        <v>1591</v>
      </c>
      <c r="H355" t="s">
        <v>1592</v>
      </c>
      <c r="I355">
        <v>55.480602777777776</v>
      </c>
      <c r="J355">
        <v>4.826194444444444</v>
      </c>
      <c r="K355" s="3">
        <v>40690</v>
      </c>
      <c r="L355" s="3">
        <v>40789</v>
      </c>
      <c r="M355" t="s">
        <v>173</v>
      </c>
      <c r="O355" s="10" t="str">
        <f t="shared" ref="O355:O356" si="6">IF(N355="YES",HYPERLINK("http://data.geus.dk/geusmapmore/samba/info_samba.jsp?iSector=DANISH&amp;iWellName="&amp;A355,"GEUS Well Info"),"-")</f>
        <v>-</v>
      </c>
      <c r="P355" s="7" t="str">
        <f>HYPERLINK("https://ens.dk/sites/ens.dk/files/OlieGas/PM/broder_tuck-2.pdf","DEA press release")</f>
        <v>DEA press release</v>
      </c>
    </row>
    <row r="356" spans="1:16" x14ac:dyDescent="0.25">
      <c r="A356" t="s">
        <v>1593</v>
      </c>
      <c r="B356" s="1" t="s">
        <v>1594</v>
      </c>
      <c r="C356" t="s">
        <v>16</v>
      </c>
      <c r="D356" s="1" t="s">
        <v>1585</v>
      </c>
      <c r="E356" t="s">
        <v>1586</v>
      </c>
      <c r="F356" t="s">
        <v>1186</v>
      </c>
      <c r="G356" t="s">
        <v>1595</v>
      </c>
      <c r="H356" t="s">
        <v>1596</v>
      </c>
      <c r="I356">
        <v>55.411005555555555</v>
      </c>
      <c r="J356">
        <v>4.8270222222222223</v>
      </c>
      <c r="K356" s="3">
        <v>40796</v>
      </c>
      <c r="L356" s="3">
        <v>40852</v>
      </c>
      <c r="M356" t="s">
        <v>173</v>
      </c>
      <c r="O356" s="10" t="str">
        <f t="shared" si="6"/>
        <v>-</v>
      </c>
      <c r="P356" s="7" t="str">
        <f>HYPERLINK("https://ens.dk/sites/ens.dk/files/OlieGas/PM/lille_john-1.pdf","DEA press release")</f>
        <v>DEA press release</v>
      </c>
    </row>
    <row r="357" spans="1:16" x14ac:dyDescent="0.25">
      <c r="A357" t="s">
        <v>1597</v>
      </c>
      <c r="B357" s="1" t="s">
        <v>1598</v>
      </c>
      <c r="C357" t="s">
        <v>16</v>
      </c>
      <c r="D357" s="1" t="s">
        <v>1599</v>
      </c>
      <c r="E357" t="s">
        <v>1600</v>
      </c>
      <c r="F357" s="2" t="s">
        <v>1601</v>
      </c>
      <c r="G357" t="s">
        <v>1602</v>
      </c>
      <c r="H357" t="s">
        <v>1603</v>
      </c>
      <c r="I357">
        <v>54.977119444444448</v>
      </c>
      <c r="J357">
        <v>9.5743083333333328</v>
      </c>
      <c r="K357" s="3">
        <v>40882</v>
      </c>
      <c r="L357" s="3">
        <v>40934</v>
      </c>
      <c r="M357" t="s">
        <v>22</v>
      </c>
      <c r="N357" t="s">
        <v>23</v>
      </c>
      <c r="O357" s="6" t="str">
        <f t="shared" si="5"/>
        <v>GEUS Well Info</v>
      </c>
      <c r="P357" s="7" t="str">
        <f>HYPERLINK("https://ens.dk/sites/ens.dk/files/OlieGas/PM/felsted-1.pdf","DEA press release")</f>
        <v>DEA press release</v>
      </c>
    </row>
    <row r="358" spans="1:16" x14ac:dyDescent="0.25">
      <c r="A358" t="s">
        <v>1604</v>
      </c>
      <c r="B358" s="1" t="s">
        <v>1605</v>
      </c>
      <c r="C358" t="s">
        <v>16</v>
      </c>
      <c r="D358" s="1" t="s">
        <v>1606</v>
      </c>
      <c r="E358" t="s">
        <v>1505</v>
      </c>
      <c r="F358" t="s">
        <v>1552</v>
      </c>
      <c r="G358" t="s">
        <v>1607</v>
      </c>
      <c r="H358" t="s">
        <v>1608</v>
      </c>
      <c r="I358">
        <v>56.099305555555553</v>
      </c>
      <c r="J358">
        <v>5.8810250000000002</v>
      </c>
      <c r="K358" s="3">
        <v>40958</v>
      </c>
      <c r="L358" s="3">
        <v>40991</v>
      </c>
      <c r="M358" t="s">
        <v>173</v>
      </c>
      <c r="N358" t="s">
        <v>23</v>
      </c>
      <c r="O358" s="6" t="str">
        <f t="shared" si="5"/>
        <v>GEUS Well Info</v>
      </c>
      <c r="P358" s="7" t="str">
        <f>HYPERLINK("https://ens.dk/sites/ens.dk/files/OlieGas/PM/luna-1.pdf","DEA press release")</f>
        <v>DEA press release</v>
      </c>
    </row>
    <row r="359" spans="1:16" x14ac:dyDescent="0.25">
      <c r="A359" t="s">
        <v>1609</v>
      </c>
      <c r="B359" s="1" t="s">
        <v>1610</v>
      </c>
      <c r="C359" t="s">
        <v>16</v>
      </c>
      <c r="D359" s="1" t="s">
        <v>1557</v>
      </c>
      <c r="E359" t="s">
        <v>1558</v>
      </c>
      <c r="F359" t="s">
        <v>1141</v>
      </c>
      <c r="G359" t="s">
        <v>1611</v>
      </c>
      <c r="H359" t="s">
        <v>1612</v>
      </c>
      <c r="I359">
        <v>55.924491666666668</v>
      </c>
      <c r="J359">
        <v>4.1737944444444448</v>
      </c>
      <c r="K359" s="3">
        <v>41162</v>
      </c>
      <c r="L359" s="3">
        <v>41375</v>
      </c>
      <c r="M359" t="s">
        <v>173</v>
      </c>
      <c r="O359" s="10" t="str">
        <f>IF(N359="YES",HYPERLINK("http://data.geus.dk/geusmapmore/samba/info_samba.jsp?iSector=DANISH&amp;iWellName="&amp;A359,"GEUS Well Info"),"-")</f>
        <v>-</v>
      </c>
      <c r="P359" s="7" t="str">
        <f>HYPERLINK("https://ens.dk/sites/ens.dk/files/OlieGas/PM/hibonite-1.pdf","DEA press release")</f>
        <v>DEA press release</v>
      </c>
    </row>
    <row r="360" spans="1:16" x14ac:dyDescent="0.25">
      <c r="A360" t="s">
        <v>1334</v>
      </c>
      <c r="B360" s="1" t="s">
        <v>1335</v>
      </c>
      <c r="C360" t="s">
        <v>1613</v>
      </c>
      <c r="D360" s="1" t="s">
        <v>163</v>
      </c>
      <c r="E360" t="s">
        <v>314</v>
      </c>
      <c r="F360" s="2" t="s">
        <v>1474</v>
      </c>
      <c r="G360" t="s">
        <v>1336</v>
      </c>
      <c r="H360" t="s">
        <v>1337</v>
      </c>
      <c r="I360">
        <v>55.860852777777779</v>
      </c>
      <c r="J360">
        <v>4.6747638888888892</v>
      </c>
      <c r="K360" s="3">
        <v>41368</v>
      </c>
      <c r="L360" s="3">
        <v>41505</v>
      </c>
      <c r="M360" t="s">
        <v>173</v>
      </c>
      <c r="O360" s="10" t="str">
        <f t="shared" ref="O360:O372" si="7">IF(N360="YES",HYPERLINK("http://data.geus.dk/geusmapmore/samba/info_samba.jsp?iSector=DANISH&amp;iWellName="&amp;A360,"GEUS Well Info"),"-")</f>
        <v>-</v>
      </c>
      <c r="P360" s="9" t="s">
        <v>1670</v>
      </c>
    </row>
    <row r="361" spans="1:16" x14ac:dyDescent="0.25">
      <c r="A361" t="s">
        <v>1614</v>
      </c>
      <c r="B361" s="1" t="s">
        <v>1615</v>
      </c>
      <c r="C361" t="s">
        <v>16</v>
      </c>
      <c r="D361" s="1" t="s">
        <v>1616</v>
      </c>
      <c r="E361" t="s">
        <v>1558</v>
      </c>
      <c r="F361" s="2" t="s">
        <v>1141</v>
      </c>
      <c r="G361" t="s">
        <v>1617</v>
      </c>
      <c r="H361" t="s">
        <v>1618</v>
      </c>
      <c r="I361">
        <v>55.929447222222223</v>
      </c>
      <c r="J361">
        <v>4.0645916666666668</v>
      </c>
      <c r="K361" s="3">
        <v>41385</v>
      </c>
      <c r="L361" s="3">
        <v>41437</v>
      </c>
      <c r="M361" t="s">
        <v>173</v>
      </c>
      <c r="O361" s="10" t="str">
        <f t="shared" si="7"/>
        <v>-</v>
      </c>
      <c r="P361" s="7" t="str">
        <f>HYPERLINK("https://ens.dk/sites/ens.dk/files/OlieGas/PM/spurv-1.pdf","DEA press release")</f>
        <v>DEA press release</v>
      </c>
    </row>
    <row r="362" spans="1:16" x14ac:dyDescent="0.25">
      <c r="A362" t="s">
        <v>1619</v>
      </c>
      <c r="B362" s="1" t="s">
        <v>1620</v>
      </c>
      <c r="C362" t="s">
        <v>209</v>
      </c>
      <c r="D362" s="1" t="s">
        <v>1621</v>
      </c>
      <c r="E362" t="s">
        <v>1232</v>
      </c>
      <c r="F362" t="s">
        <v>1552</v>
      </c>
      <c r="G362" t="s">
        <v>1622</v>
      </c>
      <c r="H362" t="s">
        <v>1623</v>
      </c>
      <c r="I362">
        <v>56.137658333333334</v>
      </c>
      <c r="J362">
        <v>4.2692805555555555</v>
      </c>
      <c r="K362" s="3">
        <v>41507</v>
      </c>
      <c r="L362" s="3">
        <v>41628</v>
      </c>
      <c r="M362" t="s">
        <v>173</v>
      </c>
      <c r="O362" s="10" t="str">
        <f t="shared" si="7"/>
        <v>-</v>
      </c>
      <c r="P362" s="7" t="str">
        <f>HYPERLINK("https://ens.dk/sites/ens.dk/files/OlieGas/PM/solsort-2.pdf","DEA press release")</f>
        <v>DEA press release</v>
      </c>
    </row>
    <row r="363" spans="1:16" x14ac:dyDescent="0.25">
      <c r="A363" t="s">
        <v>1624</v>
      </c>
      <c r="B363" s="1" t="s">
        <v>1625</v>
      </c>
      <c r="C363" t="s">
        <v>594</v>
      </c>
      <c r="D363" s="1" t="s">
        <v>163</v>
      </c>
      <c r="E363" t="s">
        <v>314</v>
      </c>
      <c r="F363" t="s">
        <v>1474</v>
      </c>
      <c r="G363" t="s">
        <v>1626</v>
      </c>
      <c r="H363" t="s">
        <v>1627</v>
      </c>
      <c r="I363">
        <v>55.782986111111114</v>
      </c>
      <c r="J363">
        <v>4.5556722222222223</v>
      </c>
      <c r="K363" s="3">
        <v>41522</v>
      </c>
      <c r="L363" s="3">
        <v>41552</v>
      </c>
      <c r="M363" t="s">
        <v>173</v>
      </c>
      <c r="O363" s="10" t="str">
        <f t="shared" si="7"/>
        <v>-</v>
      </c>
      <c r="P363" s="7" t="str">
        <f>HYPERLINK("https://ens.dk/sites/ens.dk/files/OlieGas/PM/bo-4x.pdf","DEA press release")</f>
        <v>DEA press release</v>
      </c>
    </row>
    <row r="364" spans="1:16" x14ac:dyDescent="0.25">
      <c r="A364" t="s">
        <v>1628</v>
      </c>
      <c r="B364" s="1" t="s">
        <v>1629</v>
      </c>
      <c r="C364" t="s">
        <v>16</v>
      </c>
      <c r="D364" s="1" t="s">
        <v>1630</v>
      </c>
      <c r="E364" t="s">
        <v>1232</v>
      </c>
      <c r="F364" s="2" t="s">
        <v>1552</v>
      </c>
      <c r="G364" t="s">
        <v>1631</v>
      </c>
      <c r="H364" t="s">
        <v>1632</v>
      </c>
      <c r="I364">
        <v>56.599869444444444</v>
      </c>
      <c r="J364">
        <v>5.3084833333333332</v>
      </c>
      <c r="K364" s="3">
        <v>41663</v>
      </c>
      <c r="L364" s="3">
        <v>41684</v>
      </c>
      <c r="M364" t="s">
        <v>173</v>
      </c>
      <c r="O364" s="10" t="str">
        <f t="shared" si="7"/>
        <v>-</v>
      </c>
      <c r="P364" s="7" t="str">
        <f>HYPERLINK("https://ens.dk/sites/ens.dk/files/OlieGas/PM/nena-1.pdf","DEA press release")</f>
        <v>DEA press release</v>
      </c>
    </row>
    <row r="365" spans="1:16" x14ac:dyDescent="0.25">
      <c r="A365" t="s">
        <v>1633</v>
      </c>
      <c r="B365" s="1" t="s">
        <v>1634</v>
      </c>
      <c r="C365" t="s">
        <v>16</v>
      </c>
      <c r="D365" s="1" t="s">
        <v>1616</v>
      </c>
      <c r="E365" t="s">
        <v>1558</v>
      </c>
      <c r="F365" s="2" t="s">
        <v>1635</v>
      </c>
      <c r="G365" t="s">
        <v>1636</v>
      </c>
      <c r="H365" t="s">
        <v>1637</v>
      </c>
      <c r="I365">
        <v>55.876399999999997</v>
      </c>
      <c r="J365">
        <v>3.7220666666666666</v>
      </c>
      <c r="K365" s="3">
        <v>41806</v>
      </c>
      <c r="L365" s="3">
        <v>41902</v>
      </c>
      <c r="M365" t="s">
        <v>173</v>
      </c>
      <c r="O365" s="10" t="str">
        <f t="shared" si="7"/>
        <v>-</v>
      </c>
      <c r="P365" s="7" t="str">
        <f>HYPERLINK("https://ens.dk/sites/ens.dk/files/OlieGas/PM/chabazite-1.pdf","DEA press release")</f>
        <v>DEA press release</v>
      </c>
    </row>
    <row r="366" spans="1:16" x14ac:dyDescent="0.25">
      <c r="A366" t="s">
        <v>1638</v>
      </c>
      <c r="B366" s="1" t="s">
        <v>1639</v>
      </c>
      <c r="C366" t="s">
        <v>16</v>
      </c>
      <c r="D366" s="1" t="s">
        <v>163</v>
      </c>
      <c r="E366" t="s">
        <v>314</v>
      </c>
      <c r="F366" t="s">
        <v>1474</v>
      </c>
      <c r="G366" t="s">
        <v>1640</v>
      </c>
      <c r="H366" t="s">
        <v>1641</v>
      </c>
      <c r="I366">
        <v>55.405261111111109</v>
      </c>
      <c r="J366">
        <v>5.1605611111111109</v>
      </c>
      <c r="K366" s="3">
        <v>41824</v>
      </c>
      <c r="L366" s="3">
        <v>41859</v>
      </c>
      <c r="M366" t="s">
        <v>173</v>
      </c>
      <c r="O366" s="10" t="str">
        <f t="shared" si="7"/>
        <v>-</v>
      </c>
      <c r="P366" s="7" t="str">
        <f>HYPERLINK("https://ens.dk/sites/ens.dk/files/OlieGas/PM/dany-1x.pdf","DEA press release")</f>
        <v>DEA press release</v>
      </c>
    </row>
    <row r="367" spans="1:16" x14ac:dyDescent="0.25">
      <c r="A367" t="s">
        <v>1642</v>
      </c>
      <c r="B367" s="1" t="s">
        <v>1643</v>
      </c>
      <c r="C367" t="s">
        <v>16</v>
      </c>
      <c r="D367" s="1" t="s">
        <v>163</v>
      </c>
      <c r="E367" t="s">
        <v>314</v>
      </c>
      <c r="F367" t="s">
        <v>1644</v>
      </c>
      <c r="G367" t="s">
        <v>1645</v>
      </c>
      <c r="H367" t="s">
        <v>1646</v>
      </c>
      <c r="I367">
        <v>55.862269444444443</v>
      </c>
      <c r="J367">
        <v>4.6594638888888893</v>
      </c>
      <c r="K367" s="3">
        <v>41885</v>
      </c>
      <c r="L367" s="3">
        <v>41975</v>
      </c>
      <c r="M367" t="s">
        <v>173</v>
      </c>
      <c r="O367" s="10" t="str">
        <f t="shared" si="7"/>
        <v>-</v>
      </c>
      <c r="P367" s="7" t="str">
        <f>HYPERLINK("https://ens.dk/sites/ens.dk/files/OlieGas/PM/siah_ne-1x.pdf","DEA press release")</f>
        <v>DEA press release</v>
      </c>
    </row>
    <row r="368" spans="1:16" x14ac:dyDescent="0.25">
      <c r="A368" t="s">
        <v>1647</v>
      </c>
      <c r="B368" s="1" t="s">
        <v>1648</v>
      </c>
      <c r="C368" t="s">
        <v>16</v>
      </c>
      <c r="D368" s="1" t="s">
        <v>1542</v>
      </c>
      <c r="E368" t="s">
        <v>314</v>
      </c>
      <c r="F368" t="s">
        <v>1644</v>
      </c>
      <c r="G368" t="s">
        <v>1649</v>
      </c>
      <c r="H368" t="s">
        <v>1650</v>
      </c>
      <c r="I368">
        <v>56.243341666666666</v>
      </c>
      <c r="J368">
        <v>4.2834916666666665</v>
      </c>
      <c r="K368" s="3">
        <v>41981</v>
      </c>
      <c r="L368" s="3">
        <v>42149</v>
      </c>
      <c r="M368" t="s">
        <v>173</v>
      </c>
      <c r="O368" s="10" t="str">
        <f t="shared" si="7"/>
        <v>-</v>
      </c>
      <c r="P368" s="7" t="str">
        <f>HYPERLINK("https://ens.dk/sites/ens.dk/files/OlieGas/PM/xana-1x.pdf","DEA press release")</f>
        <v>DEA press release</v>
      </c>
    </row>
    <row r="369" spans="1:16" x14ac:dyDescent="0.25">
      <c r="A369" t="s">
        <v>1651</v>
      </c>
      <c r="B369" s="1" t="s">
        <v>1652</v>
      </c>
      <c r="C369" t="s">
        <v>209</v>
      </c>
      <c r="D369" s="1" t="s">
        <v>1585</v>
      </c>
      <c r="E369" t="s">
        <v>1653</v>
      </c>
      <c r="F369" s="2" t="s">
        <v>1654</v>
      </c>
      <c r="G369" t="s">
        <v>1655</v>
      </c>
      <c r="H369" t="s">
        <v>1656</v>
      </c>
      <c r="I369">
        <v>55.419808333333336</v>
      </c>
      <c r="J369">
        <v>4.8357361111111112</v>
      </c>
      <c r="K369" s="3">
        <v>41986</v>
      </c>
      <c r="L369" s="3">
        <v>42048</v>
      </c>
      <c r="M369" t="s">
        <v>173</v>
      </c>
      <c r="O369" s="10" t="str">
        <f t="shared" si="7"/>
        <v>-</v>
      </c>
      <c r="P369" s="7" t="str">
        <f>HYPERLINK("https://ens.dk/sites/ens.dk/files/OlieGas/PM/lille_john-2.pdf","DEA press release")</f>
        <v>DEA press release</v>
      </c>
    </row>
    <row r="370" spans="1:16" x14ac:dyDescent="0.25">
      <c r="A370" t="s">
        <v>1657</v>
      </c>
      <c r="B370" s="1" t="s">
        <v>1658</v>
      </c>
      <c r="C370" t="s">
        <v>16</v>
      </c>
      <c r="D370" s="1" t="s">
        <v>1659</v>
      </c>
      <c r="E370" t="s">
        <v>1660</v>
      </c>
      <c r="F370" t="s">
        <v>1661</v>
      </c>
      <c r="G370" t="s">
        <v>1662</v>
      </c>
      <c r="H370" t="s">
        <v>1663</v>
      </c>
      <c r="I370">
        <v>57.28478611111111</v>
      </c>
      <c r="J370">
        <v>10.269694444444445</v>
      </c>
      <c r="K370" s="3">
        <v>42128</v>
      </c>
      <c r="L370" s="3">
        <v>42249</v>
      </c>
      <c r="M370" t="s">
        <v>22</v>
      </c>
      <c r="O370" s="10" t="str">
        <f t="shared" si="7"/>
        <v>-</v>
      </c>
      <c r="P370" s="7" t="str">
        <f>HYPERLINK("https://ens.dk/sites/ens.dk/files/OlieGas/PM/vendsyssel-1.pdf","DEA press release")</f>
        <v>DEA press release</v>
      </c>
    </row>
    <row r="371" spans="1:16" x14ac:dyDescent="0.25">
      <c r="A371" t="s">
        <v>1664</v>
      </c>
      <c r="B371" s="1" t="s">
        <v>1665</v>
      </c>
      <c r="C371" t="s">
        <v>209</v>
      </c>
      <c r="D371" s="1" t="s">
        <v>1514</v>
      </c>
      <c r="E371" t="s">
        <v>314</v>
      </c>
      <c r="F371" s="2" t="s">
        <v>1644</v>
      </c>
      <c r="G371" t="s">
        <v>1666</v>
      </c>
      <c r="H371" t="s">
        <v>1667</v>
      </c>
      <c r="I371">
        <v>55.76251388888889</v>
      </c>
      <c r="J371">
        <v>4.5480194444444448</v>
      </c>
      <c r="K371" s="3">
        <v>42157</v>
      </c>
      <c r="L371" s="3">
        <v>42237</v>
      </c>
      <c r="M371" t="s">
        <v>173</v>
      </c>
      <c r="O371" s="10" t="str">
        <f t="shared" si="7"/>
        <v>-</v>
      </c>
      <c r="P371" s="7" t="str">
        <f>HYPERLINK("https://ens.dk/sites/ens.dk/files/OlieGas/PM/jude-1.pdf","DEA press release")</f>
        <v>DEA press release</v>
      </c>
    </row>
    <row r="372" spans="1:16" x14ac:dyDescent="0.25">
      <c r="A372" t="s">
        <v>1671</v>
      </c>
      <c r="B372" s="1" t="s">
        <v>1672</v>
      </c>
      <c r="C372" t="s">
        <v>16</v>
      </c>
      <c r="D372" s="1" t="s">
        <v>1673</v>
      </c>
      <c r="E372" t="s">
        <v>1529</v>
      </c>
      <c r="F372" s="1" t="s">
        <v>1674</v>
      </c>
      <c r="G372" t="s">
        <v>1675</v>
      </c>
      <c r="H372" t="s">
        <v>1676</v>
      </c>
      <c r="I372">
        <v>56.061116666666663</v>
      </c>
      <c r="J372">
        <v>3.6923500000000002</v>
      </c>
      <c r="K372" s="3">
        <v>43733</v>
      </c>
      <c r="L372" s="3">
        <v>43780</v>
      </c>
      <c r="M372" t="s">
        <v>173</v>
      </c>
      <c r="O372" s="10" t="str">
        <f t="shared" si="7"/>
        <v>-</v>
      </c>
      <c r="P372" s="9" t="s">
        <v>1670</v>
      </c>
    </row>
    <row r="375" spans="1:16" x14ac:dyDescent="0.25">
      <c r="O375" s="2"/>
    </row>
    <row r="377" spans="1:16" x14ac:dyDescent="0.25">
      <c r="F377" s="2"/>
      <c r="O377" s="2"/>
    </row>
    <row r="381" spans="1:16" x14ac:dyDescent="0.25">
      <c r="F381" s="2"/>
    </row>
    <row r="382" spans="1:16" x14ac:dyDescent="0.25">
      <c r="O382" s="2"/>
    </row>
    <row r="383" spans="1:16" x14ac:dyDescent="0.25">
      <c r="O383" s="2"/>
    </row>
    <row r="385" spans="6:15" x14ac:dyDescent="0.25">
      <c r="F385" s="2"/>
      <c r="O385" s="2"/>
    </row>
    <row r="392" spans="6:15" x14ac:dyDescent="0.25">
      <c r="O392" s="2"/>
    </row>
    <row r="397" spans="6:15" x14ac:dyDescent="0.25">
      <c r="F397" s="2"/>
      <c r="O397" s="2"/>
    </row>
    <row r="402" spans="6:15" x14ac:dyDescent="0.25">
      <c r="F402" s="2"/>
      <c r="O402" s="2"/>
    </row>
    <row r="403" spans="6:15" x14ac:dyDescent="0.25">
      <c r="F403" s="2"/>
    </row>
    <row r="407" spans="6:15" x14ac:dyDescent="0.25">
      <c r="F407" s="2"/>
    </row>
    <row r="408" spans="6:15" x14ac:dyDescent="0.25">
      <c r="O408" s="2"/>
    </row>
    <row r="409" spans="6:15" x14ac:dyDescent="0.25">
      <c r="F409" s="2"/>
      <c r="O409" s="2"/>
    </row>
    <row r="410" spans="6:15" x14ac:dyDescent="0.25">
      <c r="F410" s="2"/>
    </row>
    <row r="411" spans="6:15" x14ac:dyDescent="0.25">
      <c r="F411" s="2"/>
      <c r="O41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1E9FC837-7FF1-4221-B723-DBAD66DB7306}"/>
</file>

<file path=customXml/itemProps2.xml><?xml version="1.0" encoding="utf-8"?>
<ds:datastoreItem xmlns:ds="http://schemas.openxmlformats.org/officeDocument/2006/customXml" ds:itemID="{D5E599AC-817D-429F-B3A5-BC550AB16A01}"/>
</file>

<file path=customXml/itemProps3.xml><?xml version="1.0" encoding="utf-8"?>
<ds:datastoreItem xmlns:ds="http://schemas.openxmlformats.org/officeDocument/2006/customXml" ds:itemID="{2FDCED1B-9BD3-43B0-BDDE-B095871A6F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geus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Steffen Bjørn</dc:creator>
  <cp:lastModifiedBy>Laura Strøm Magner</cp:lastModifiedBy>
  <dcterms:created xsi:type="dcterms:W3CDTF">2016-04-04T15:27:36Z</dcterms:created>
  <dcterms:modified xsi:type="dcterms:W3CDTF">2020-12-01T08:23:07Z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