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C:\Thomas\InterACT\__ENS-working_papers\"/>
    </mc:Choice>
  </mc:AlternateContent>
  <xr:revisionPtr revIDLastSave="0" documentId="13_ncr:1_{C8311D5E-8EFF-41D6-B697-5ED2425A3C41}" xr6:coauthVersionLast="40" xr6:coauthVersionMax="40" xr10:uidLastSave="{00000000-0000-0000-0000-000000000000}"/>
  <bookViews>
    <workbookView xWindow="0" yWindow="0" windowWidth="19200" windowHeight="6950" xr2:uid="{00000000-000D-0000-FFFF-FFFF00000000}"/>
  </bookViews>
  <sheets>
    <sheet name="Beregn" sheetId="2" r:id="rId1"/>
    <sheet name="Opgaver" sheetId="3" r:id="rId2"/>
  </sheets>
  <definedNames>
    <definedName name="alphaC_">Beregn!$T$13</definedName>
    <definedName name="alphaCD_">Beregn!$T$10</definedName>
    <definedName name="alphaD_">Beregn!$T$12</definedName>
    <definedName name="alphaE_">Beregn!$T$11</definedName>
    <definedName name="alphaG_">Beregn!$T$14</definedName>
    <definedName name="alphaHb_">Beregn!$T$17</definedName>
    <definedName name="alphaL_">Beregn!$T$16</definedName>
    <definedName name="alphaLE_">Beregn!$T$15</definedName>
    <definedName name="alphaQV_">Beregn!$T$19</definedName>
    <definedName name="alphaT_">Beregn!$T$18</definedName>
    <definedName name="alphaTdc_">Beregn!$T$20</definedName>
    <definedName name="alphaU_">Beregn!$T$19</definedName>
    <definedName name="alphaV_">Beregn!$T$9</definedName>
    <definedName name="C_">Beregn!$D$7</definedName>
    <definedName name="D_">Beregn!$D$6</definedName>
    <definedName name="d_t">Beregn!$M$4</definedName>
    <definedName name="d_t_start">Beregn!$U$5</definedName>
    <definedName name="d_tD">Beregn!$M$6</definedName>
    <definedName name="d_tE">Beregn!$M$5</definedName>
    <definedName name="d_Tr">Beregn!$M$3</definedName>
    <definedName name="E_">Beregn!$D$8</definedName>
    <definedName name="elaLL">Beregn!$K$11</definedName>
    <definedName name="elaLL_">Beregn!$J$11</definedName>
    <definedName name="G_">Beregn!$D$10</definedName>
    <definedName name="gammaV">Beregn!$T$21</definedName>
    <definedName name="gammaV_">Beregn!$T$21</definedName>
    <definedName name="I_">Beregn!$D$25</definedName>
    <definedName name="L_">Beregn!$D$11</definedName>
    <definedName name="PC_">Beregn!$D$17</definedName>
    <definedName name="PD_">Beregn!$D$16</definedName>
    <definedName name="PE_">Beregn!$D$18</definedName>
    <definedName name="phiV_">Beregn!$K$12</definedName>
    <definedName name="PnC_">Beregn!$D$23</definedName>
    <definedName name="PnD_">Beregn!$D$19</definedName>
    <definedName name="PnE_">Beregn!$D$20</definedName>
    <definedName name="PnG_">Beregn!$D$22</definedName>
    <definedName name="PnY_">Beregn!$D$21</definedName>
    <definedName name="PQ_">Beregn!$D$15</definedName>
    <definedName name="PU_">Beregn!$D$26</definedName>
    <definedName name="Q_">Beregn!$D$4</definedName>
    <definedName name="r_C">Beregn!$G$7</definedName>
    <definedName name="r_D">Beregn!$G$6</definedName>
    <definedName name="r_E">Beregn!$G$8</definedName>
    <definedName name="r_G">Beregn!$G$10</definedName>
    <definedName name="r_I">Beregn!$G$25</definedName>
    <definedName name="r_L">Beregn!$G$11</definedName>
    <definedName name="r_PC">Beregn!$G$17</definedName>
    <definedName name="r_PD">Beregn!$G$16</definedName>
    <definedName name="r_PE">Beregn!$G$18</definedName>
    <definedName name="r_PnC">Beregn!$G$23</definedName>
    <definedName name="r_PnD">Beregn!$G$19</definedName>
    <definedName name="r_PnE">Beregn!$G$20</definedName>
    <definedName name="r_PnG">Beregn!$G$22</definedName>
    <definedName name="r_PnY">Beregn!$G$21</definedName>
    <definedName name="r_PQ">Beregn!$G$15</definedName>
    <definedName name="r_Q">Beregn!$G$4</definedName>
    <definedName name="r_U">Beregn!$G$3</definedName>
    <definedName name="r_U_start">Beregn!$U$4</definedName>
    <definedName name="r_V">Beregn!$G$5</definedName>
    <definedName name="r_W">Beregn!$G$12</definedName>
    <definedName name="r_Wn">Beregn!$G$13</definedName>
    <definedName name="r_Y">Beregn!$G$9</definedName>
    <definedName name="sigmaCD_">Beregn!$K$9</definedName>
    <definedName name="sigmaLE_">Beregn!$K$10</definedName>
    <definedName name="sigmaV_">Beregn!$T$8</definedName>
    <definedName name="solver_adj" localSheetId="0" hidden="1">Beregn!$G$3,Beregn!$M$4</definedName>
    <definedName name="solver_cvg" localSheetId="0" hidden="1">0.0001</definedName>
    <definedName name="solver_drv" localSheetId="0" hidden="1">2</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Beregn!#REF!</definedName>
    <definedName name="solver_pre" localSheetId="0" hidden="1">0.000001</definedName>
    <definedName name="solver_rbv" localSheetId="0" hidden="1">2</definedName>
    <definedName name="solver_rlx" localSheetId="0" hidden="1">2</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2</definedName>
    <definedName name="solver_val" localSheetId="0" hidden="1">0</definedName>
    <definedName name="solver_ver" localSheetId="0" hidden="1">3</definedName>
    <definedName name="t_">Beregn!$K$4</definedName>
    <definedName name="tC_">Beregn!$K$7</definedName>
    <definedName name="tD_">Beregn!$K$6</definedName>
    <definedName name="tE_">Beregn!$K$5</definedName>
    <definedName name="Tr_">Beregn!$K$3</definedName>
    <definedName name="tVAT_">Beregn!$K$8</definedName>
    <definedName name="U_">Beregn!$D$3</definedName>
    <definedName name="V_">Beregn!$D$5</definedName>
    <definedName name="W_">Beregn!$D$12</definedName>
    <definedName name="Wn_">Beregn!$D$13</definedName>
    <definedName name="Y_">Beregn!$D$9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3" l="1"/>
  <c r="B5" i="3" s="1"/>
  <c r="B6" i="3" s="1"/>
  <c r="B7" i="3" s="1"/>
  <c r="B8" i="3" s="1"/>
  <c r="B9" i="3" s="1"/>
  <c r="B10" i="3" s="1"/>
  <c r="B11" i="3" s="1"/>
  <c r="B12" i="3" s="1"/>
  <c r="B13" i="3" s="1"/>
  <c r="B14" i="3" s="1"/>
  <c r="B15" i="3" s="1"/>
  <c r="B16" i="3" s="1"/>
  <c r="B18" i="3" s="1"/>
  <c r="B19" i="3" s="1"/>
  <c r="B20" i="3" s="1"/>
  <c r="B21" i="3" s="1"/>
  <c r="B22" i="3" s="1"/>
  <c r="B23" i="3" s="1"/>
  <c r="B24" i="3" s="1"/>
  <c r="B25" i="3" s="1"/>
  <c r="B26" i="3" s="1"/>
  <c r="B30" i="3" s="1"/>
  <c r="B31" i="3" s="1"/>
  <c r="B32" i="3" s="1"/>
  <c r="B33" i="3" s="1"/>
  <c r="B34" i="3" s="1"/>
  <c r="B35" i="3" s="1"/>
  <c r="B36" i="3" s="1"/>
  <c r="B37" i="3" s="1"/>
  <c r="B38" i="3" s="1"/>
  <c r="B39" i="3" s="1"/>
  <c r="B40" i="3" s="1"/>
  <c r="B41" i="3" s="1"/>
  <c r="D11" i="2" l="1"/>
  <c r="L6" i="2"/>
  <c r="L5" i="2"/>
  <c r="F21" i="2" l="1"/>
  <c r="F22" i="2"/>
  <c r="T21" i="2" l="1"/>
  <c r="D19" i="2"/>
  <c r="D23" i="2"/>
  <c r="T16" i="2" l="1"/>
  <c r="T8" i="2" s="1"/>
  <c r="D17" i="2" l="1"/>
  <c r="T20" i="2" l="1"/>
  <c r="E19" i="2" l="1"/>
  <c r="F19" i="2" s="1"/>
  <c r="E23" i="2"/>
  <c r="F23" i="2" s="1"/>
  <c r="E20" i="2"/>
  <c r="F20" i="2" s="1"/>
  <c r="D16" i="2" l="1"/>
  <c r="D18" i="2"/>
  <c r="G18" i="2" l="1"/>
  <c r="E17" i="2"/>
  <c r="G16" i="2"/>
  <c r="D4" i="2"/>
  <c r="T18" i="2"/>
  <c r="T10" i="2"/>
  <c r="D10" i="2"/>
  <c r="F17" i="2" l="1"/>
  <c r="E18" i="2"/>
  <c r="E16" i="2"/>
  <c r="D9" i="2"/>
  <c r="E10" i="2"/>
  <c r="F10" i="2" s="1"/>
  <c r="G15" i="2"/>
  <c r="F16" i="2" l="1"/>
  <c r="F18" i="2"/>
  <c r="E15" i="2"/>
  <c r="F15" i="2" s="1"/>
  <c r="D13" i="2"/>
  <c r="T12" i="2"/>
  <c r="T11" i="2"/>
  <c r="T13" i="2"/>
  <c r="T14" i="2"/>
  <c r="X4" i="2" l="1"/>
  <c r="T4" i="2"/>
  <c r="T51" i="2"/>
  <c r="T15" i="2"/>
  <c r="T50" i="2"/>
  <c r="T49" i="2"/>
  <c r="D12" i="2"/>
  <c r="S4" i="2" l="1"/>
  <c r="D14" i="2"/>
  <c r="T9" i="2"/>
  <c r="Y4" i="2" s="1"/>
  <c r="T48" i="2"/>
  <c r="G13" i="2"/>
  <c r="T45" i="2"/>
  <c r="T47" i="2"/>
  <c r="T41" i="2"/>
  <c r="T46" i="2"/>
  <c r="D25" i="2"/>
  <c r="D3" i="2"/>
  <c r="T19" i="2"/>
  <c r="T17" i="2"/>
  <c r="T44" i="2" l="1"/>
  <c r="T42" i="2"/>
  <c r="T43" i="2" s="1"/>
  <c r="AD5" i="2"/>
  <c r="AC5" i="2"/>
  <c r="E13" i="2"/>
  <c r="F13" i="2" s="1"/>
  <c r="Y5" i="2"/>
  <c r="X5" i="2"/>
  <c r="T5" i="2"/>
  <c r="V5" i="2" l="1"/>
  <c r="AE5" i="2"/>
  <c r="AF5" i="2"/>
  <c r="Z4" i="2" s="1"/>
  <c r="AH5" i="2"/>
  <c r="Z5" i="2"/>
  <c r="AG5" i="2"/>
  <c r="AL5" i="2" l="1"/>
  <c r="M4" i="2" s="1"/>
  <c r="AK5" i="2"/>
  <c r="V4" i="2"/>
  <c r="G12" i="2" l="1"/>
  <c r="L4" i="2"/>
  <c r="AI5" i="2"/>
  <c r="G3" i="2" s="1"/>
  <c r="AJ5" i="2"/>
  <c r="M3" i="2" s="1"/>
  <c r="L3" i="2" s="1"/>
  <c r="G26" i="2" l="1"/>
  <c r="E26" i="2" s="1"/>
  <c r="F26" i="2" s="1"/>
  <c r="G14" i="2"/>
  <c r="E14" i="2" s="1"/>
  <c r="F14" i="2" s="1"/>
  <c r="E12" i="2"/>
  <c r="F12" i="2" s="1"/>
  <c r="AB5" i="2"/>
  <c r="T25" i="2"/>
  <c r="G4" i="2"/>
  <c r="E3" i="2"/>
  <c r="F3" i="2" s="1"/>
  <c r="U51" i="2" l="1"/>
  <c r="U49" i="2"/>
  <c r="U50" i="2"/>
  <c r="U43" i="2"/>
  <c r="U45" i="2"/>
  <c r="U47" i="2"/>
  <c r="U48" i="2"/>
  <c r="U46" i="2"/>
  <c r="U44" i="2"/>
  <c r="E4" i="2"/>
  <c r="F4" i="2" s="1"/>
  <c r="G7" i="2"/>
  <c r="G6" i="2"/>
  <c r="E7" i="2" l="1"/>
  <c r="J19" i="2" s="1"/>
  <c r="G9" i="2"/>
  <c r="E6" i="2"/>
  <c r="J27" i="2" s="1"/>
  <c r="J18" i="2" l="1"/>
  <c r="M18" i="2"/>
  <c r="M20" i="2" s="1"/>
  <c r="M19" i="2"/>
  <c r="M21" i="2" s="1"/>
  <c r="F6" i="2"/>
  <c r="F7" i="2"/>
  <c r="G11" i="2"/>
  <c r="G8" i="2"/>
  <c r="T35" i="2"/>
  <c r="T34" i="2"/>
  <c r="E9" i="2"/>
  <c r="F9" i="2" l="1"/>
  <c r="T52" i="2"/>
  <c r="U52" i="2" s="1"/>
  <c r="E8" i="2"/>
  <c r="T33" i="2"/>
  <c r="E11" i="2"/>
  <c r="G5" i="2"/>
  <c r="AN5" i="2"/>
  <c r="S5" i="2" l="1"/>
  <c r="F11" i="2"/>
  <c r="M23" i="2"/>
  <c r="M17" i="2"/>
  <c r="M22" i="2" s="1"/>
  <c r="T32" i="2"/>
  <c r="T29" i="2" s="1"/>
  <c r="F8" i="2"/>
  <c r="T31" i="2"/>
  <c r="T28" i="2" s="1"/>
  <c r="T37" i="2"/>
  <c r="J26" i="2" s="1"/>
  <c r="T53" i="2"/>
  <c r="U53" i="2" s="1"/>
  <c r="E5" i="2"/>
  <c r="J20" i="2" s="1"/>
  <c r="AN4" i="2"/>
  <c r="G25" i="2"/>
  <c r="E25" i="2" s="1"/>
  <c r="F5" i="2" l="1"/>
  <c r="J17" i="2"/>
  <c r="T26" i="2"/>
  <c r="F25" i="2"/>
  <c r="U37" i="2"/>
  <c r="T27" i="2"/>
  <c r="J25" i="2" s="1"/>
  <c r="T30" i="2"/>
  <c r="T24" i="2"/>
  <c r="U27" i="2" l="1"/>
</calcChain>
</file>

<file path=xl/sharedStrings.xml><?xml version="1.0" encoding="utf-8"?>
<sst xmlns="http://schemas.openxmlformats.org/spreadsheetml/2006/main" count="232" uniqueCount="206">
  <si>
    <t>t</t>
  </si>
  <si>
    <t>U</t>
  </si>
  <si>
    <t>V</t>
  </si>
  <si>
    <t>Q</t>
  </si>
  <si>
    <t>D</t>
  </si>
  <si>
    <t>C</t>
  </si>
  <si>
    <t>Y</t>
  </si>
  <si>
    <t>L</t>
  </si>
  <si>
    <t>E</t>
  </si>
  <si>
    <t>W</t>
  </si>
  <si>
    <t>Wn</t>
  </si>
  <si>
    <t>PQ</t>
  </si>
  <si>
    <t>PD</t>
  </si>
  <si>
    <t>PC</t>
  </si>
  <si>
    <t>PE</t>
  </si>
  <si>
    <t>G</t>
  </si>
  <si>
    <t>Tr</t>
  </si>
  <si>
    <t>PnD</t>
  </si>
  <si>
    <t>PnC</t>
  </si>
  <si>
    <t>PnE</t>
  </si>
  <si>
    <t>PnY</t>
  </si>
  <si>
    <t>PnG</t>
  </si>
  <si>
    <t>tE</t>
  </si>
  <si>
    <t>tD</t>
  </si>
  <si>
    <t>tVAT</t>
  </si>
  <si>
    <t>sigmaV</t>
  </si>
  <si>
    <t>sigmaCD</t>
  </si>
  <si>
    <t>sigmaLE</t>
  </si>
  <si>
    <t>alphaV</t>
  </si>
  <si>
    <t>alphaE</t>
  </si>
  <si>
    <t>alphaD</t>
  </si>
  <si>
    <t>alphaC</t>
  </si>
  <si>
    <t>alphaG</t>
  </si>
  <si>
    <t>alphaLE</t>
  </si>
  <si>
    <t>konst</t>
  </si>
  <si>
    <t>alphaL</t>
  </si>
  <si>
    <t>alphaHb</t>
  </si>
  <si>
    <t>alphaT</t>
  </si>
  <si>
    <t>Det</t>
  </si>
  <si>
    <t>trekant</t>
  </si>
  <si>
    <t>cs</t>
  </si>
  <si>
    <t>dgov</t>
  </si>
  <si>
    <t>PU</t>
  </si>
  <si>
    <t>alphaQV</t>
  </si>
  <si>
    <t>I</t>
  </si>
  <si>
    <t>EV1</t>
  </si>
  <si>
    <t>EV2</t>
  </si>
  <si>
    <t>Naiv</t>
  </si>
  <si>
    <t>trekD</t>
  </si>
  <si>
    <t>csD</t>
  </si>
  <si>
    <t>dgovD</t>
  </si>
  <si>
    <t>trekE</t>
  </si>
  <si>
    <t>csE</t>
  </si>
  <si>
    <t>dgovE</t>
  </si>
  <si>
    <t>dTr</t>
  </si>
  <si>
    <t>V m U og dTr = 0</t>
  </si>
  <si>
    <t>L m U og dTr = 0, lavet ud fra L formel</t>
  </si>
  <si>
    <t>dt</t>
  </si>
  <si>
    <t>Hvis marg_skat = 1 og sigmaV = 1, fås:</t>
  </si>
  <si>
    <t>r_Y</t>
  </si>
  <si>
    <t>r_C</t>
  </si>
  <si>
    <t>EV</t>
  </si>
  <si>
    <t>tC</t>
  </si>
  <si>
    <t>EV_approx</t>
  </si>
  <si>
    <t>alphaCD</t>
  </si>
  <si>
    <t>alphaTdc</t>
  </si>
  <si>
    <t>Bedre formel</t>
  </si>
  <si>
    <t>phiV</t>
  </si>
  <si>
    <t>sand</t>
  </si>
  <si>
    <t>gammaV</t>
  </si>
  <si>
    <t>nem</t>
  </si>
  <si>
    <t>dream</t>
  </si>
  <si>
    <t>elaLL</t>
  </si>
  <si>
    <t>Fritid</t>
  </si>
  <si>
    <t>Produktion</t>
  </si>
  <si>
    <t>Løn efter skat</t>
  </si>
  <si>
    <t>Løn før skat</t>
  </si>
  <si>
    <t>Velfærd</t>
  </si>
  <si>
    <t>Trekant1</t>
  </si>
  <si>
    <t>Trekant2</t>
  </si>
  <si>
    <t>Ændring</t>
  </si>
  <si>
    <t>Nytte</t>
  </si>
  <si>
    <t>Forbrug: clean</t>
  </si>
  <si>
    <t>Forbrug: dirty</t>
  </si>
  <si>
    <t>Forbrug: samlet</t>
  </si>
  <si>
    <t>Arbejdsudbud</t>
  </si>
  <si>
    <t>Input: energi</t>
  </si>
  <si>
    <t>Markedspris, samlet forbrug</t>
  </si>
  <si>
    <t>Markedspris, clean forbrug</t>
  </si>
  <si>
    <t>Markedspris, dirty forbrug</t>
  </si>
  <si>
    <t>Markedspris, energiinput</t>
  </si>
  <si>
    <t>Pris på nytte</t>
  </si>
  <si>
    <t>Nettopris, dirty forbrug</t>
  </si>
  <si>
    <t>Nettopris, energiinput</t>
  </si>
  <si>
    <t>Nettopris, produktion</t>
  </si>
  <si>
    <t>Nettopris, offentligt forbrug</t>
  </si>
  <si>
    <t>Offentligt forbrug</t>
  </si>
  <si>
    <t>Nettopris, clean forbrug</t>
  </si>
  <si>
    <t>Fritidskorrigeret indkomst</t>
  </si>
  <si>
    <t>Lump-sum transfereringer</t>
  </si>
  <si>
    <t>Indkomstskattesats</t>
  </si>
  <si>
    <t>Afgift på energiinput</t>
  </si>
  <si>
    <t>Afgift på dirty forbrug</t>
  </si>
  <si>
    <t>Afgift på clean forbrug</t>
  </si>
  <si>
    <t>Momssats</t>
  </si>
  <si>
    <t>Substitution mellem varer</t>
  </si>
  <si>
    <t>Substitution i produktionen</t>
  </si>
  <si>
    <t>Arb.udbud-elasticitet</t>
  </si>
  <si>
    <t>Indk.effekt i fritiden</t>
  </si>
  <si>
    <t>A</t>
  </si>
  <si>
    <t>B</t>
  </si>
  <si>
    <t>forskel</t>
  </si>
  <si>
    <t>Tjek1</t>
  </si>
  <si>
    <t>Tjek2</t>
  </si>
  <si>
    <t>Løsning af model</t>
  </si>
  <si>
    <t>Hjælpevariabler</t>
  </si>
  <si>
    <t>%</t>
  </si>
  <si>
    <t>EV-dirty (D)</t>
  </si>
  <si>
    <t>EV-clean (C)</t>
  </si>
  <si>
    <t>EV-fritid (V)</t>
  </si>
  <si>
    <t>Provenuer</t>
  </si>
  <si>
    <t>Afgift, E</t>
  </si>
  <si>
    <t>Afgift, D</t>
  </si>
  <si>
    <t>Afgift, C</t>
  </si>
  <si>
    <t>Moms, D</t>
  </si>
  <si>
    <t>Moms, C</t>
  </si>
  <si>
    <t>Off.saldo</t>
  </si>
  <si>
    <t>Realløn efter skat</t>
  </si>
  <si>
    <t>WR</t>
  </si>
  <si>
    <t>0 = lump-sum, 1 = skat</t>
  </si>
  <si>
    <t>Finansieringsmåde</t>
  </si>
  <si>
    <t>Vareskatter</t>
  </si>
  <si>
    <t>Indk.skat</t>
  </si>
  <si>
    <t>VALG_fin</t>
  </si>
  <si>
    <t>Sæt til 0.001 hvis 0</t>
  </si>
  <si>
    <t>Consumer surplus (D)</t>
  </si>
  <si>
    <t>NETTOPRISSTIGNING PÅ "DIRTY" FORBRUGSVARE (D)</t>
  </si>
  <si>
    <t>Spørgsmål</t>
  </si>
  <si>
    <t>Svar</t>
  </si>
  <si>
    <t>Prøv at hæve nettoprisen PND (dirty) med 5%. Hvad sker der med markedsprisen PD?</t>
  </si>
  <si>
    <t>Hvad sker der med forbruget af D? Hvorfor falder det med den størrelse?</t>
  </si>
  <si>
    <t xml:space="preserve">Det falder med 1.58%. Der sker ikke ret meget med Q (samlet forbrug), og budgetandelen for D er lille. Så faldet svarer ca. til substitutionselasticiteten sigmaCD gange prisstigningen, dvs. 0.5 * 3.13 = 1.57%. </t>
  </si>
  <si>
    <t>Sker der noget med fritidsforbrug (V), arbejdsudbud (L) eller produktion (Y)?</t>
  </si>
  <si>
    <t>Nej. Produktionen ændrer sig ikke, da arbejdsudbuddet er konstant (og der ikke sker noget med energiinputtet).</t>
  </si>
  <si>
    <t>Hvor meget ændrer D og C sig med i absolutte størrelser?</t>
  </si>
  <si>
    <t>D falder med 1.58, mens C falder med 2.14. Procentuelt er faldet i C lille.</t>
  </si>
  <si>
    <t>Hvad sker der med velfærden (EV), og hvor meget kommer fra D, C og V?</t>
  </si>
  <si>
    <t>EV bliver -3.72. Der kommer hhv. -1.58, -2.14 og 0 fra D, C og V.</t>
  </si>
  <si>
    <t>Kan du genkende disse tal?</t>
  </si>
  <si>
    <t>Tallene er de samme som ændringerne i D og C. At der er en direkte sammenhæng til EV skyldes, at markedspriserne er 1 for både D og C.</t>
  </si>
  <si>
    <t>Prøv at gange den absolutte ændring i markedsprisen PD med gennemsnittet af D i situation A og B, dvs. consumer surplus. Hvad får du? Svarer det til EV?</t>
  </si>
  <si>
    <t>Det er -0.0313 * (100+98.42)/2 = -3.10. Nej, EV er -3.72. Denne simple omkostningsberegning svarer ikke til EV, fordi der også er afgiftsforvridning, dvs. at der sker noget med afgifterne.</t>
  </si>
  <si>
    <t>Prøv at korrigere consumer surplus med de samlede vareskatter. Fås EV nu?</t>
  </si>
  <si>
    <t>Ja, nu fås -3.10 - 0.60 = -3.70, hvilket svarer til EV til -3.72. Hvis der ikke havde været afgifter på D i udgangssituationen, ville consumer surplus svare til EV.</t>
  </si>
  <si>
    <t>Hvad er der af ændring i indtægterne fra afgifter og moms på D og C?</t>
  </si>
  <si>
    <t>Afgiftsprovenuet på D ændrer sig med -0.48, mens momsprovenuet på D og C ændrer sig med hhv.  0.30 og -0.43. At momsprovenuet stiger på D skyldes, at nettoprisen PND stiger og dermed bliver der mere at betale moms af (D falder ikke nok til at opveje denne stigning). Samlet set mistes provenu fra afgifter og moms (-0.60 i alt)</t>
  </si>
  <si>
    <t>Kan man mon beregne den samlede provenueffekt kun ud fra hvad der sker med D? [Svært]</t>
  </si>
  <si>
    <t>Man kan tage markedsprisen PD og fratrække 1.25 gange nettoprisen, og gange med D. Så fås i A (1-0.5*1.25)*100 = 37.50. I B fås (1-0.525*1.25)*98.42 = 36.91. Forskellen er -0.59. Det svarer fint til afgifts- og momsprovenu på både D og C.</t>
  </si>
  <si>
    <t>Hvorfor stiger provenuet fra indkomstskatten med ca. det samme som provenutabet fra afgifter og moms?</t>
  </si>
  <si>
    <t>Fordi der lukkes med indkomstskattesatsen. Det stemmer kun helt præcist for meget små eksperimenter, derfor den lille forskel.</t>
  </si>
  <si>
    <t>Hvad hvis momssatsen tVAT havde været 0, hvad sker der så med det offentlige provenu?</t>
  </si>
  <si>
    <t xml:space="preserve">Så ville provenutabet kun være 0.53 og ville kun hidrøre fra D-afgiften. </t>
  </si>
  <si>
    <r>
      <rPr>
        <sz val="11"/>
        <color rgb="FFFF0000"/>
        <rFont val="Calibri"/>
        <family val="2"/>
        <scheme val="minor"/>
      </rPr>
      <t>[Sæt tVAT tilbage til 0.25]</t>
    </r>
    <r>
      <rPr>
        <sz val="11"/>
        <color theme="1"/>
        <rFont val="Calibri"/>
        <family val="2"/>
        <scheme val="minor"/>
      </rPr>
      <t>. Hvad hvis afgiften TD havde været 0 i stedet for 0.3. Hvad sker der så mht. det offentlige provenu? Hvordan passer consumer surplus nu med EV?</t>
    </r>
  </si>
  <si>
    <t>I dette tilfælde sker der stort set intet med det offentlige provenu. Nettopriserne PND og PNC er så begge 0.8, og D og C falder ca. lige meget i absolutte størrelser (ca. -2.50). Momsprovenuet stiger med ca. samme tal på D, som det falder med på C. Consumer surplus falder med -4.94, hvilket nu svarer fint til, at EV er -5.00.</t>
  </si>
  <si>
    <t>Stadig med TD = 0: hvis sigmaCD havde været 2 i stedet for 0.5, ville EV så være anderledes?</t>
  </si>
  <si>
    <t>I denne lineariserede model: nej, når der ikke er stykafgifter på D i forvejen, bliver EV stadig -5.00, uanset hvad sigmaCD sættes til. Det afgørende for EV er kun, hvad nettoprisen PND stiger med.</t>
  </si>
  <si>
    <r>
      <t xml:space="preserve">[Sæt TD tilbage til 0.3]. </t>
    </r>
    <r>
      <rPr>
        <sz val="11"/>
        <rFont val="Calibri"/>
        <family val="2"/>
        <scheme val="minor"/>
      </rPr>
      <t>I stedet for at sætte TD til 0, prøv så i stedet at sætte TC til 0.3. Hvad sker der så med EV?</t>
    </r>
  </si>
  <si>
    <r>
      <t xml:space="preserve">Nu bliver EV igen -5.00, og passer igen med consumer surplus. I dette tilfælde sker der en masse med vareskatterne og indkomstskatten, men da arbejdsudbuddet er konstant, bliver der ingen forvridninger fra arbejdsudbuddet. Når stykafgifterne på D og C er ens, bliver der ingen forvridning når valget mellem disse forskydes, da det (for givet arbejdsudbud) kun er den </t>
    </r>
    <r>
      <rPr>
        <i/>
        <sz val="11"/>
        <color theme="1"/>
        <rFont val="Calibri"/>
        <family val="2"/>
        <scheme val="minor"/>
      </rPr>
      <t>relative</t>
    </r>
    <r>
      <rPr>
        <sz val="11"/>
        <color theme="1"/>
        <rFont val="Calibri"/>
        <family val="2"/>
        <scheme val="minor"/>
      </rPr>
      <t xml:space="preserve"> afgiftsbelastning mellem D og C som forvrider.</t>
    </r>
  </si>
  <si>
    <r>
      <rPr>
        <sz val="11"/>
        <color rgb="FFFF0000"/>
        <rFont val="Calibri"/>
        <family val="2"/>
        <scheme val="minor"/>
      </rPr>
      <t xml:space="preserve">[Sæt TC tilbage til 0]. </t>
    </r>
    <r>
      <rPr>
        <sz val="11"/>
        <color theme="1"/>
        <rFont val="Calibri"/>
        <family val="2"/>
        <scheme val="minor"/>
      </rPr>
      <t>Hvorfor stiger PQ med ca. 0.031%?</t>
    </r>
  </si>
  <si>
    <t>PD stiger med 3.13%, og da D's budgetandel i forhold til C kun er ca. 1%, bliver virkningen på det samlede forbrugerprisindeks PQ ca. 100 gange så lille.</t>
  </si>
  <si>
    <t>Hvad sker der med lønnen før skat? Hvorfor?</t>
  </si>
  <si>
    <t>Der sker ikke noget med Wn, fordi der ikke sker noget med PNE eller TE, dvs. omkostninger til energiinput i produktionen.</t>
  </si>
  <si>
    <t>Hvorfor falder lønnen efter skat (W)?</t>
  </si>
  <si>
    <t>Fordi stigningen i PNE giver et samlet provenutab for staten, så indkomstskatten må sættes op. Da arbejdsudbudselasticiteten er sat til 0, giver dette ingen effekt på V og L.</t>
  </si>
  <si>
    <t>Hvad ville der ske med V og L hvis arbejdsudbudselasticiteten elaLL var 0.1 i stedet for 0? Hvorfor præcist denne effekt på L?</t>
  </si>
  <si>
    <t xml:space="preserve">I så fald stiger arbejdsudbuddet med 0.0043%. Reallønnen efter skat falder med 0.0434%, og effekten på L er 0.1 gange det tal. </t>
  </si>
  <si>
    <t>Hvad sker der nu med EV, i forhold til når elaLL er 0? Hvad er bidraget fra fritiden?</t>
  </si>
  <si>
    <t>Virkningen på EV er -4.38 mod før -3.72. Bidraget fra fritiden er positivt, 0.44, men bidraget fra især C ændrer sig (fra -2.14 hhv. til -3.23). C er nødt til at falde, fordi der pga. det lavere arbejdsudbud ikke produceres så meget. Nyttemæssigt kan stigningen i V ikke opveje tabet i C (og Q), fordi der allerede bruges kunstigt meget V, dvs. at substitution- og transformationsforhold er forskellige.</t>
  </si>
  <si>
    <r>
      <t xml:space="preserve">[Sæt elaLL tilbage til 0]. </t>
    </r>
    <r>
      <rPr>
        <sz val="11"/>
        <rFont val="Calibri"/>
        <family val="2"/>
        <scheme val="minor"/>
      </rPr>
      <t>Hvad sker der med D, C, V og EV, hvis vi i stedet lump-sum-finansierer (VALG_fin = 0)?</t>
    </r>
  </si>
  <si>
    <t>I det tilfælde sker der ikke noget med lønnen efter skat. EV bliver -3.46 mod før -3.72, og der fås et mindre nyttefald, fordi fritiden V falder (med -0.0017%), mens arbejdsudbuddet L stiger tilsvarende. Forskellen skyldes, at indkomstskatten ikke længere stiger, og der undgås dermed den negative effekt på arbejdsudbuddet af denne skattestigning.</t>
  </si>
  <si>
    <t>Hvis vi ud over lump-sum-finansiering yderligere vælger, at fritidens indkomsteffekt er 0 (sæt phiV = 0.001), hvad sker der så med EV?</t>
  </si>
  <si>
    <t>Så er vi tilbage på EV = -3.72, dvs. det samme som med skattefinansiering og phiV = 1. At vi nu er "tilbage" skyldes, at lump-sum-transfereringerne ikke længere  påvirker V og L, som ikke ændrer sig.</t>
  </si>
  <si>
    <r>
      <rPr>
        <sz val="11"/>
        <color rgb="FFFF0000"/>
        <rFont val="Calibri"/>
        <family val="2"/>
        <scheme val="minor"/>
      </rPr>
      <t>[Sæt phiV tilbage til 1]</t>
    </r>
    <r>
      <rPr>
        <sz val="11"/>
        <rFont val="Calibri"/>
        <family val="2"/>
        <scheme val="minor"/>
      </rPr>
      <t>. Hvad sker der med vareskatter og indkomstskat, og hvordan kan der være forskel på disse?</t>
    </r>
  </si>
  <si>
    <t>Med lump-sum-finansiering falder vareskatterne (inkl. moms) kun med 0.52 mod før 0.60. Det er ikke en voldsom ændring, men provenuet fra indkomstskat ændrer sig derimod fra 0.59 til 0.17, dvs. et stort fald. Det skyldes, at indkomstskattesatsen nu er konstant, så provenustigningen på 0.17 er udelukkende fordi arbejdsudbuddet L stiger. Det samlede provenu er -0.52 + 0.17 = -0.35, og dette fås ind ved at ved at lade lump-sum-transfereringerne falde med 0.34. (Forskellen på de to tal ville være nu, hvis nettoprisstigningen var tilstrækkeligt lille).</t>
  </si>
  <si>
    <t>AFGIFTSSTIGNING PÅ "DIRTY" FORBRUGSVARE (D)</t>
  </si>
  <si>
    <t>Prøv at sætte afgiften TD op med 0.025. Hvad sker der med markedsprisen PD?</t>
  </si>
  <si>
    <t>Den stiger med 3.13%, lige som i eksemplerne med nettoprisstigning i PND.</t>
  </si>
  <si>
    <t>Det falder med 1.55%. Der sker ikke ret meget med Q (samlet forbrug), og budgetandelen for D er lille. Så faldet svarer ca. til substitutionselasticiteten sigmaCD gange prisstigningen, dvs. 0.5 * 3.13 = 1.57%.</t>
  </si>
  <si>
    <t>D falder med 1.55, mens C stiger med 0.97. Procentuelt er stigningen i C lille. Bemærk at i forhold til eksperimentet med nettoprisstigning falder D med ca. det samme, men effekten på C er meget forskellig. Her fås en stigning i C, hvor der med nettoprisstigningen var et fald i C. Det skyldes, at der her kun sker en substitution mellem D og C, hvor der før også var en indkomsteffekt (D blev reelt dyrere, lidt analogt til et produktivitetsfald).</t>
  </si>
  <si>
    <t>Hvorfor stiger C ikke med samme absolutte mængde som D falder med?</t>
  </si>
  <si>
    <t>Det er fordi de har forskellige nettopriser, PND er 0.5, mens PNC er 0.8. Hvis afgiften TD var nul, ville C stige lige så meget, som D falder (og der ville ikke være nogen effekt på EV).</t>
  </si>
  <si>
    <t>Hvad er effekten på EV</t>
  </si>
  <si>
    <t>Den er -0.58, fordelt på -1.55 fra D og 0.97 fra C. De sidste to tal svarer helt til den absolutte ændring i D hhv. C (at der er den sammenhæng skyldes, at markedspriserne PD og PC begge er 1).</t>
  </si>
  <si>
    <t>Prøv igen at beregne consumer surplus, dvs. den absolutte ændring i markedsprisen PD ganget med gennemsnittet af D i situation A og B. Svarer det til EV?</t>
  </si>
  <si>
    <t>Consumer surplus bliver -0.0313 * (100+98.45)/2 = -3.10, ligesom i eksperimentet med nettoprisstigning. Men hvis man til consumer surplus adderer en provenugevinst fra vareskatterne på 2.49, kommer vi tæt på EV.</t>
  </si>
  <si>
    <t>Provenuer: hvad sker der med afgifter og moms på C og D?</t>
  </si>
  <si>
    <t>Afgiftsprovenuet på D stiger med 2.00, og afgiftsstigningen får også momsprovenuet på D til at stige (med 0.30), selv om mængden D falder. Yderligere stiger momsprovenuet også på D (med 0.19), fordi mængden D stiger.</t>
  </si>
  <si>
    <t>Prøv at beregne den gennemsnitlige afgift TD i perioderne A og B. Gang dette tal med ændringen i D, og gang til sidst med 1.25 (momsen). Sammenlign med EV.</t>
  </si>
  <si>
    <t>Det er (0.30+0.3250)/2 = 0.3125, som ganges med -1.55, hvorved der fås -0.49. Hvis dette ganges med 1.25, fås -0.61, dvs. tæt på EV. Jf. også formel (101) i papiret, samt figur 11 (venstre)</t>
  </si>
  <si>
    <t>Hvad sker der med EV, hvis arbejdsudbudselasticiteten elaLL sættes til 0.1?</t>
  </si>
  <si>
    <t>Den ændrer sig fra -0.5823 til -0.6861, dvs. en del. Nyttetabet skyldes, at arbejdsudbuddet falder med 0.0007%, hvilket igen skyldes at reallønnen efter skat falder med 0.0068%. Indkomstskattesatsen kan pga. afgiftsprovenuerne sænkes, så efter-skat-lønnen stiger med 0.0241%. Men prisen på den aggregerede vare PQ stiger med 0.0309, hvilket akkurat overdøver lønstigningen.</t>
  </si>
  <si>
    <t>Hvis der i stedet lump-sum-finansieres (stadig med elaLL = 0.1), hvad bliver så effekten på EV. Hvorfor denne forskel?</t>
  </si>
  <si>
    <t>Nu bliver EV i stedet -1.9466, dvs. meget større end de oprindelige -0.6861. Forskellen skyldes, at der nu bliver et reallønsfald på 0.0309%, svarende til stigningen i PQ, og dette får fritidsforbruget V til at stige, arbejdsudbuddet L og produktionen Y til at falde, med nyttefald til følge.</t>
  </si>
  <si>
    <t>Stadig med lump-sum-finansiering og elaLL = 0.1: hvad bliver EV-effekten, hvis phiV sættes til 0 (0.001)?</t>
  </si>
  <si>
    <t>Så bliver EV kun -1.0582, dvs. en mindre alvorlig forskel end før. Men dog stadig en stor forskel, i forhold til den mere "neutrale" skattefinansiering.</t>
  </si>
  <si>
    <t>PD stiger med 3.13%, da der er en dødvægt af stykafgifter (0.3). (Der ændres i celle G19 og aflæses i celle G16).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</si>
</sst>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00000"/>
    <numFmt numFmtId="166" formatCode="0.000000"/>
    <numFmt numFmtId="167" formatCode="0.000000000"/>
    <numFmt numFmtId="168" formatCode="0.00000%"/>
    <numFmt numFmtId="169" formatCode="0.0000000000000"/>
    <numFmt numFmtId="170" formatCode="0.0000%"/>
  </numFmts>
  <fonts count="10" x14ac:knownFonts="1">
    <font>
      <sz val="11"/>
      <color theme="1"/>
      <name val="Calibri"/>
      <family val="2"/>
      <scheme val="minor"/>
    </font>
    <font>
      <sz val="11"/>
      <name val="Calibri"/>
      <family val="2"/>
      <scheme val="minor"/>
    </font>
    <font>
      <sz val="11"/>
      <color theme="1"/>
      <name val="Calibri"/>
      <family val="2"/>
      <scheme val="minor"/>
    </font>
    <font>
      <sz val="11"/>
      <color theme="0" tint="-0.34998626667073579"/>
      <name val="Calibri"/>
      <family val="2"/>
      <scheme val="minor"/>
    </font>
    <font>
      <sz val="9"/>
      <color theme="0" tint="-0.34998626667073579"/>
      <name val="Calibri"/>
      <family val="2"/>
      <scheme val="minor"/>
    </font>
    <font>
      <b/>
      <sz val="11"/>
      <color theme="1"/>
      <name val="Calibri"/>
      <family val="2"/>
      <scheme val="minor"/>
    </font>
    <font>
      <sz val="9"/>
      <color theme="1"/>
      <name val="Calibri"/>
      <family val="2"/>
      <scheme val="minor"/>
    </font>
    <font>
      <sz val="9"/>
      <name val="Calibri"/>
      <family val="2"/>
      <scheme val="minor"/>
    </font>
    <font>
      <sz val="11"/>
      <color rgb="FFFF0000"/>
      <name val="Calibri"/>
      <family val="2"/>
      <scheme val="minor"/>
    </font>
    <font>
      <i/>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39997558519241921"/>
        <bgColor indexed="64"/>
      </patternFill>
    </fill>
  </fills>
  <borders count="11">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79">
    <xf numFmtId="0" fontId="0" fillId="0" borderId="0" xfId="0"/>
    <xf numFmtId="0" fontId="0" fillId="0" borderId="0" xfId="0" applyFill="1"/>
    <xf numFmtId="164" fontId="0" fillId="0" borderId="0" xfId="0" applyNumberFormat="1"/>
    <xf numFmtId="164" fontId="0" fillId="3" borderId="0" xfId="0" applyNumberFormat="1" applyFill="1"/>
    <xf numFmtId="165" fontId="0" fillId="0" borderId="0" xfId="0" applyNumberFormat="1" applyFill="1"/>
    <xf numFmtId="165" fontId="0" fillId="4" borderId="0" xfId="0" applyNumberFormat="1" applyFill="1"/>
    <xf numFmtId="167" fontId="0" fillId="0" borderId="0" xfId="0" applyNumberFormat="1"/>
    <xf numFmtId="0" fontId="0" fillId="5" borderId="0" xfId="0" applyFill="1"/>
    <xf numFmtId="165" fontId="0" fillId="5" borderId="0" xfId="0" applyNumberFormat="1" applyFill="1"/>
    <xf numFmtId="0" fontId="0" fillId="6" borderId="1" xfId="0" applyFill="1" applyBorder="1"/>
    <xf numFmtId="165" fontId="0" fillId="6" borderId="1" xfId="0" applyNumberFormat="1" applyFill="1" applyBorder="1"/>
    <xf numFmtId="0" fontId="0" fillId="6" borderId="0" xfId="0" applyFill="1" applyBorder="1"/>
    <xf numFmtId="165" fontId="0" fillId="6" borderId="0" xfId="0" applyNumberFormat="1" applyFill="1" applyBorder="1"/>
    <xf numFmtId="164" fontId="3" fillId="0" borderId="0" xfId="0" applyNumberFormat="1" applyFont="1"/>
    <xf numFmtId="164" fontId="0" fillId="0" borderId="0" xfId="0" applyNumberFormat="1" applyFill="1"/>
    <xf numFmtId="168" fontId="0" fillId="0" borderId="0" xfId="1" applyNumberFormat="1" applyFont="1"/>
    <xf numFmtId="164" fontId="0" fillId="2" borderId="0" xfId="0" applyNumberFormat="1" applyFill="1"/>
    <xf numFmtId="2" fontId="0" fillId="0" borderId="0" xfId="0" applyNumberFormat="1"/>
    <xf numFmtId="169" fontId="0" fillId="0" borderId="0" xfId="1" applyNumberFormat="1" applyFont="1"/>
    <xf numFmtId="169" fontId="0" fillId="0" borderId="0" xfId="0" applyNumberFormat="1"/>
    <xf numFmtId="0" fontId="0" fillId="0" borderId="0" xfId="0" applyFill="1" applyBorder="1"/>
    <xf numFmtId="0" fontId="0" fillId="0" borderId="1" xfId="0" applyFill="1" applyBorder="1"/>
    <xf numFmtId="0" fontId="0" fillId="0" borderId="1" xfId="0" applyBorder="1"/>
    <xf numFmtId="165" fontId="0" fillId="0" borderId="0" xfId="0" applyNumberFormat="1"/>
    <xf numFmtId="165" fontId="0" fillId="7" borderId="0" xfId="0" applyNumberFormat="1" applyFill="1"/>
    <xf numFmtId="170" fontId="0" fillId="0" borderId="0" xfId="1" applyNumberFormat="1" applyFont="1"/>
    <xf numFmtId="170" fontId="0" fillId="3" borderId="0" xfId="1" applyNumberFormat="1" applyFont="1" applyFill="1"/>
    <xf numFmtId="170" fontId="0" fillId="0" borderId="0" xfId="1" applyNumberFormat="1" applyFont="1" applyFill="1"/>
    <xf numFmtId="0" fontId="5" fillId="0" borderId="0" xfId="0" applyFont="1"/>
    <xf numFmtId="0" fontId="6" fillId="0" borderId="0" xfId="0" applyFont="1"/>
    <xf numFmtId="166" fontId="6" fillId="0" borderId="0" xfId="0" applyNumberFormat="1" applyFont="1"/>
    <xf numFmtId="0" fontId="6" fillId="0" borderId="0" xfId="0" applyFont="1" applyFill="1"/>
    <xf numFmtId="0" fontId="6" fillId="0" borderId="2" xfId="0" applyFont="1" applyBorder="1"/>
    <xf numFmtId="0" fontId="0" fillId="0" borderId="2" xfId="0" applyBorder="1"/>
    <xf numFmtId="164" fontId="0" fillId="0" borderId="2" xfId="0" applyNumberFormat="1" applyBorder="1"/>
    <xf numFmtId="170" fontId="0" fillId="0" borderId="2" xfId="1" applyNumberFormat="1" applyFont="1" applyBorder="1"/>
    <xf numFmtId="0" fontId="0" fillId="8" borderId="3" xfId="0" applyFill="1" applyBorder="1"/>
    <xf numFmtId="0" fontId="0" fillId="8" borderId="4" xfId="0" applyFill="1" applyBorder="1"/>
    <xf numFmtId="0" fontId="0" fillId="8" borderId="0" xfId="0" applyFill="1" applyBorder="1"/>
    <xf numFmtId="0" fontId="1" fillId="8" borderId="0" xfId="0" applyFont="1" applyFill="1" applyBorder="1"/>
    <xf numFmtId="0" fontId="0" fillId="8" borderId="5" xfId="0" applyFill="1" applyBorder="1"/>
    <xf numFmtId="0" fontId="0" fillId="8" borderId="6" xfId="0" applyFill="1" applyBorder="1"/>
    <xf numFmtId="0" fontId="1" fillId="8" borderId="6" xfId="0" applyFont="1" applyFill="1" applyBorder="1"/>
    <xf numFmtId="166" fontId="0" fillId="8" borderId="6" xfId="0" applyNumberFormat="1" applyFill="1" applyBorder="1"/>
    <xf numFmtId="0" fontId="0" fillId="8" borderId="7" xfId="0" applyFill="1" applyBorder="1"/>
    <xf numFmtId="164" fontId="1" fillId="0" borderId="0" xfId="0" applyNumberFormat="1" applyFont="1"/>
    <xf numFmtId="164" fontId="1" fillId="0" borderId="0" xfId="0" applyNumberFormat="1" applyFont="1" applyFill="1"/>
    <xf numFmtId="164" fontId="1" fillId="0" borderId="2" xfId="0" applyNumberFormat="1" applyFont="1" applyBorder="1"/>
    <xf numFmtId="170" fontId="0" fillId="0" borderId="0" xfId="0" applyNumberFormat="1"/>
    <xf numFmtId="0" fontId="6" fillId="0" borderId="0" xfId="0" applyFont="1" applyBorder="1"/>
    <xf numFmtId="0" fontId="0" fillId="0" borderId="0" xfId="0" applyBorder="1"/>
    <xf numFmtId="164" fontId="0" fillId="0" borderId="0" xfId="0" applyNumberFormat="1" applyBorder="1"/>
    <xf numFmtId="164" fontId="1" fillId="0" borderId="0" xfId="0" applyNumberFormat="1" applyFont="1" applyBorder="1"/>
    <xf numFmtId="170" fontId="0" fillId="0" borderId="0" xfId="1" applyNumberFormat="1" applyFont="1" applyBorder="1"/>
    <xf numFmtId="164" fontId="6" fillId="0" borderId="0" xfId="0" applyNumberFormat="1" applyFont="1"/>
    <xf numFmtId="0" fontId="0" fillId="0" borderId="0" xfId="0" applyFont="1"/>
    <xf numFmtId="164" fontId="0" fillId="3" borderId="0" xfId="1" applyNumberFormat="1" applyFont="1" applyFill="1"/>
    <xf numFmtId="0" fontId="0" fillId="8" borderId="8" xfId="0" applyFill="1" applyBorder="1"/>
    <xf numFmtId="0" fontId="0" fillId="8" borderId="9" xfId="0" applyFill="1" applyBorder="1"/>
    <xf numFmtId="0" fontId="0" fillId="8" borderId="10" xfId="0" applyFill="1" applyBorder="1"/>
    <xf numFmtId="0" fontId="5" fillId="5" borderId="2" xfId="0" applyFont="1" applyFill="1" applyBorder="1"/>
    <xf numFmtId="164" fontId="0" fillId="0" borderId="2" xfId="0" applyNumberFormat="1" applyFill="1" applyBorder="1"/>
    <xf numFmtId="170" fontId="0" fillId="0" borderId="2" xfId="1" applyNumberFormat="1" applyFont="1" applyFill="1" applyBorder="1"/>
    <xf numFmtId="0" fontId="6" fillId="0" borderId="0" xfId="0" applyFont="1" applyFill="1" applyBorder="1"/>
    <xf numFmtId="164" fontId="0" fillId="3" borderId="0" xfId="0" applyNumberFormat="1" applyFill="1" applyBorder="1"/>
    <xf numFmtId="0" fontId="4" fillId="0" borderId="0" xfId="0" applyFont="1" applyBorder="1"/>
    <xf numFmtId="0" fontId="7" fillId="0" borderId="0" xfId="0" applyFont="1" applyBorder="1"/>
    <xf numFmtId="0" fontId="7" fillId="0" borderId="2" xfId="0" applyFont="1" applyBorder="1"/>
    <xf numFmtId="1" fontId="0" fillId="3" borderId="2" xfId="0" applyNumberFormat="1" applyFill="1" applyBorder="1"/>
    <xf numFmtId="0" fontId="3" fillId="0" borderId="0" xfId="0" applyFont="1"/>
    <xf numFmtId="0" fontId="0" fillId="5" borderId="0" xfId="0" applyFill="1" applyAlignment="1">
      <alignment vertical="top" wrapText="1"/>
    </xf>
    <xf numFmtId="0" fontId="0" fillId="0" borderId="0" xfId="0" applyAlignment="1">
      <alignment horizontal="right" vertical="top"/>
    </xf>
    <xf numFmtId="0" fontId="0" fillId="0" borderId="0" xfId="0" applyAlignment="1">
      <alignment horizontal="right"/>
    </xf>
    <xf numFmtId="0" fontId="5" fillId="0" borderId="0" xfId="0" applyFont="1" applyAlignment="1">
      <alignment vertical="top" wrapText="1"/>
    </xf>
    <xf numFmtId="0" fontId="0" fillId="0" borderId="0" xfId="0" applyAlignment="1">
      <alignment vertical="top" wrapText="1"/>
    </xf>
    <xf numFmtId="0" fontId="8" fillId="0" borderId="0" xfId="0" applyFont="1" applyAlignment="1">
      <alignment vertical="top" wrapText="1"/>
    </xf>
    <xf numFmtId="0" fontId="1" fillId="0" borderId="0" xfId="0" applyFont="1" applyAlignment="1">
      <alignment vertical="top" wrapText="1"/>
    </xf>
    <xf numFmtId="0" fontId="3" fillId="0" borderId="2" xfId="0" applyFont="1" applyBorder="1" applyAlignment="1">
      <alignment horizontal="center"/>
    </xf>
    <xf numFmtId="0" fontId="3" fillId="0" borderId="0"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53"/>
  <sheetViews>
    <sheetView tabSelected="1" workbookViewId="0">
      <selection activeCell="B2" sqref="B2"/>
    </sheetView>
  </sheetViews>
  <sheetFormatPr defaultRowHeight="14.5" x14ac:dyDescent="0.35"/>
  <cols>
    <col min="1" max="1" width="4.90625" customWidth="1"/>
    <col min="2" max="2" width="23.36328125" style="29" customWidth="1"/>
    <col min="4" max="4" width="11.36328125" bestFit="1" customWidth="1"/>
    <col min="5" max="5" width="12.1796875" style="1" customWidth="1"/>
    <col min="6" max="6" width="10.1796875" customWidth="1"/>
    <col min="7" max="7" width="10.453125" customWidth="1"/>
    <col min="8" max="8" width="10.54296875" customWidth="1"/>
    <col min="9" max="9" width="22.90625" style="29" customWidth="1"/>
    <col min="10" max="10" width="13.453125" customWidth="1"/>
    <col min="11" max="11" width="11.1796875" customWidth="1"/>
    <col min="12" max="12" width="10.90625" customWidth="1"/>
    <col min="13" max="13" width="10.54296875" customWidth="1"/>
    <col min="15" max="15" width="10.90625" customWidth="1"/>
    <col min="16" max="16" width="14.08984375" customWidth="1"/>
    <col min="17" max="17" width="10.36328125" style="1" customWidth="1"/>
    <col min="19" max="19" width="10.453125" customWidth="1"/>
    <col min="20" max="20" width="12.08984375" customWidth="1"/>
    <col min="23" max="23" width="9.7265625" customWidth="1"/>
    <col min="24" max="24" width="9.54296875" customWidth="1"/>
    <col min="25" max="25" width="9.6328125" customWidth="1"/>
    <col min="28" max="28" width="9.54296875" customWidth="1"/>
    <col min="29" max="29" width="10" customWidth="1"/>
    <col min="36" max="36" width="10.7265625" customWidth="1"/>
    <col min="37" max="37" width="10" customWidth="1"/>
  </cols>
  <sheetData>
    <row r="1" spans="2:40" x14ac:dyDescent="0.35">
      <c r="H1" s="2"/>
    </row>
    <row r="2" spans="2:40" ht="15" thickBot="1" x14ac:dyDescent="0.4">
      <c r="B2" s="32"/>
      <c r="C2" s="33"/>
      <c r="D2" s="60" t="s">
        <v>109</v>
      </c>
      <c r="E2" s="60" t="s">
        <v>110</v>
      </c>
      <c r="F2" s="60" t="s">
        <v>111</v>
      </c>
      <c r="G2" s="60" t="s">
        <v>116</v>
      </c>
      <c r="I2" s="32"/>
      <c r="J2" s="33"/>
      <c r="K2" s="60" t="s">
        <v>109</v>
      </c>
      <c r="L2" s="60" t="s">
        <v>110</v>
      </c>
      <c r="M2" s="60" t="s">
        <v>111</v>
      </c>
      <c r="N2" s="28"/>
      <c r="O2" s="1"/>
      <c r="P2" s="1"/>
      <c r="S2" s="28" t="s">
        <v>114</v>
      </c>
    </row>
    <row r="3" spans="2:40" x14ac:dyDescent="0.35">
      <c r="B3" s="29" t="s">
        <v>81</v>
      </c>
      <c r="C3" t="s">
        <v>1</v>
      </c>
      <c r="D3" s="2">
        <f>(PD_*D_+PC_*C_+W_*V_)/PU_</f>
        <v>20200</v>
      </c>
      <c r="E3" s="45">
        <f>U_*(1+r_U)</f>
        <v>20200</v>
      </c>
      <c r="F3" s="2">
        <f>E3-D3</f>
        <v>0</v>
      </c>
      <c r="G3" s="27">
        <f>(1-K13)*AI5+K13*AK5</f>
        <v>0</v>
      </c>
      <c r="I3" s="30" t="s">
        <v>99</v>
      </c>
      <c r="J3" t="s">
        <v>16</v>
      </c>
      <c r="K3" s="3">
        <v>0</v>
      </c>
      <c r="L3" s="2">
        <f t="shared" ref="L3:L4" si="0">K3+M3</f>
        <v>0</v>
      </c>
      <c r="M3" s="14">
        <f>(1-K13)*AJ5*PQ_*Q_</f>
        <v>0</v>
      </c>
      <c r="O3" s="1"/>
      <c r="P3" s="4"/>
      <c r="S3" s="57" t="s">
        <v>126</v>
      </c>
      <c r="T3" s="36" t="s">
        <v>1</v>
      </c>
      <c r="U3" s="36" t="s">
        <v>54</v>
      </c>
      <c r="V3" s="36" t="s">
        <v>34</v>
      </c>
      <c r="W3" s="36"/>
      <c r="X3" s="36" t="s">
        <v>1</v>
      </c>
      <c r="Y3" s="36" t="s">
        <v>57</v>
      </c>
      <c r="Z3" s="36" t="s">
        <v>34</v>
      </c>
      <c r="AA3" s="36"/>
      <c r="AB3" s="36"/>
      <c r="AC3" s="36"/>
      <c r="AD3" s="36"/>
      <c r="AE3" s="36"/>
      <c r="AF3" s="36"/>
      <c r="AG3" s="36"/>
      <c r="AH3" s="36"/>
      <c r="AI3" s="36"/>
      <c r="AJ3" s="36"/>
      <c r="AK3" s="36"/>
      <c r="AL3" s="36"/>
      <c r="AM3" s="36"/>
      <c r="AN3" s="37"/>
    </row>
    <row r="4" spans="2:40" x14ac:dyDescent="0.35">
      <c r="B4" s="29" t="s">
        <v>84</v>
      </c>
      <c r="C4" t="s">
        <v>3</v>
      </c>
      <c r="D4" s="2">
        <f>(PD_*D_+PC_*C_)/1</f>
        <v>10100</v>
      </c>
      <c r="E4" s="46">
        <f>Q_*(1+r_Q)</f>
        <v>10100</v>
      </c>
      <c r="F4" s="2">
        <f>E4-D4</f>
        <v>0</v>
      </c>
      <c r="G4" s="25">
        <f>r_U-sigmaV_*(r_PQ-r_W)*alphaV_</f>
        <v>0</v>
      </c>
      <c r="I4" s="29" t="s">
        <v>100</v>
      </c>
      <c r="J4" t="s">
        <v>0</v>
      </c>
      <c r="K4" s="3">
        <v>0.5</v>
      </c>
      <c r="L4" s="2">
        <f t="shared" si="0"/>
        <v>0.5</v>
      </c>
      <c r="M4" s="14">
        <f>K13*AL5</f>
        <v>0</v>
      </c>
      <c r="S4" s="58">
        <f>(PE_-PnE_)*E_+(PD_-PnD_)*D_+(PC_-PnC_)*C_-(W_-Wn_)*L_-PnG_*G_-Tr_</f>
        <v>0</v>
      </c>
      <c r="T4" s="38">
        <f>-alphaL_/phiV_*((alphaD_+alphaC_)/(1-alphaE_))-1</f>
        <v>-1.3979238754325261</v>
      </c>
      <c r="U4" s="38">
        <v>0</v>
      </c>
      <c r="V4" s="38">
        <f>AE5+sigmaV_*(r_Wn-r_PQ)*(1-alphaV_)</f>
        <v>0</v>
      </c>
      <c r="W4" s="38"/>
      <c r="X4" s="38">
        <f>-alphaL_/phiV_*((alphaD_+alphaC_)/(1-alphaE_))-1</f>
        <v>-1.3979238754325261</v>
      </c>
      <c r="Y4" s="38">
        <f>alphaL_/phiV_/(1-alphaE_)*sigmaV_*alphaV_*alphaT_*(alphaD_+alphaC_)-sigmaV_*(1-alphaV_)*alphaT_</f>
        <v>-0.60207612456747406</v>
      </c>
      <c r="Z4" s="38">
        <f>AF5+sigmaV_*(r_Wn-r_PQ)*(1-alphaV_)</f>
        <v>0</v>
      </c>
      <c r="AA4" s="38"/>
      <c r="AB4" s="38" t="s">
        <v>7</v>
      </c>
      <c r="AC4" s="38" t="s">
        <v>56</v>
      </c>
      <c r="AD4" s="38"/>
      <c r="AE4" s="38" t="s">
        <v>55</v>
      </c>
      <c r="AF4" s="38"/>
      <c r="AG4" s="38" t="s">
        <v>38</v>
      </c>
      <c r="AH4" s="38"/>
      <c r="AI4" s="39" t="s">
        <v>1</v>
      </c>
      <c r="AJ4" s="38" t="s">
        <v>54</v>
      </c>
      <c r="AK4" s="38"/>
      <c r="AL4" s="38"/>
      <c r="AM4" s="38" t="s">
        <v>112</v>
      </c>
      <c r="AN4" s="40">
        <f>r_V-r_U+sigmaV_*(r_Wn-alphaT_*d_t-r_PQ)*(1-alphaV_)</f>
        <v>0</v>
      </c>
    </row>
    <row r="5" spans="2:40" ht="15" thickBot="1" x14ac:dyDescent="0.4">
      <c r="B5" s="29" t="s">
        <v>73</v>
      </c>
      <c r="C5" t="s">
        <v>2</v>
      </c>
      <c r="D5" s="3">
        <v>0.5</v>
      </c>
      <c r="E5" s="46">
        <f>V_*(1+r_V)</f>
        <v>0.5</v>
      </c>
      <c r="F5" s="2">
        <f t="shared" ref="F5:F9" si="1">E5-D5</f>
        <v>0</v>
      </c>
      <c r="G5" s="25">
        <f>-alphaL_*r_L</f>
        <v>0</v>
      </c>
      <c r="I5" s="29" t="s">
        <v>101</v>
      </c>
      <c r="J5" t="s">
        <v>22</v>
      </c>
      <c r="K5" s="3">
        <v>0.3</v>
      </c>
      <c r="L5" s="2">
        <f>tE_+d_tE</f>
        <v>0.3</v>
      </c>
      <c r="M5" s="56">
        <v>0</v>
      </c>
      <c r="S5" s="59">
        <f>(E18-E20)*E8+(E16-E19)*E6+(E17-E23)*E7-(E12-E13)*E11-E22*E10-L3</f>
        <v>0</v>
      </c>
      <c r="T5" s="41">
        <f>1-alphaHb_*(alphaD_+alphaC_)/(1-alphaE_)</f>
        <v>0.60207612456747406</v>
      </c>
      <c r="U5" s="41">
        <v>-1</v>
      </c>
      <c r="V5" s="41">
        <f>r_PQ-sigmaV_*(r_PQ-(r_Wn))*alphaV_-(r_Wn+AC5) * alphaHb_</f>
        <v>0</v>
      </c>
      <c r="W5" s="41"/>
      <c r="X5" s="41">
        <f>1-alphaHb_*(alphaD_+alphaC_)/(1-alphaE_)</f>
        <v>0.60207612456747406</v>
      </c>
      <c r="Y5" s="41">
        <f>alphaHb_/(1-alphaE_)*sigmaV_*alphaV_*alphaT_*(alphaD_+alphaC_)+alphaHb_*alphaT_-sigmaV_*alphaV_*alphaT_</f>
        <v>1.3979238754325261</v>
      </c>
      <c r="Z5" s="41">
        <f>r_PQ-sigmaV_*(r_PQ-r_Wn)*alphaV_-(r_Wn+AD5) * alphaHb_</f>
        <v>0</v>
      </c>
      <c r="AA5" s="41"/>
      <c r="AB5" s="42">
        <f>(alphaE_*(sigmaLE_*(r_Wn-r_PE)*(1-alphaLE_)+r_PnE)+alphaD_*(r_U-sigmaV_*(r_PQ-(r_Wn-alphaT_* d_t))*alphaV_-sigmaCD_*(r_PD-r_PC)*(1-alphaCD_)+r_PnD)+alphaC_*(r_U-sigmaV_*(r_PQ-(r_Wn-alphaT_* d_t))*alphaV_+sigmaCD_*(r_PD-r_PC)*alphaCD_)+alphaG_*r_G)/(1-alphaE_)-sigmaLE_*(r_Wn-r_PE)*alphaLE_</f>
        <v>0</v>
      </c>
      <c r="AC5" s="41">
        <f>(alphaE_*(sigmaLE_*(r_Wn-r_PE)*(1-alphaLE_)+r_PnE)+alphaD_*(-sigmaV_*(r_PQ-r_Wn)*alphaV_-sigmaCD_*(r_PD-r_PC)*(1-alphaCD_)+r_PnD)+alphaC_*(-sigmaV_*(r_PQ-r_Wn)*alphaV_+sigmaCD_*(r_PD-r_PC)*alphaCD_)+alphaG_*r_G)/(1-alphaE_)-sigmaLE_*(r_Wn-r_PE)*alphaLE_</f>
        <v>0</v>
      </c>
      <c r="AD5" s="41">
        <f>(alphaE_*(sigmaLE_*(r_Wn-r_PE)*(1-alphaLE_)+r_PnE)+alphaD_*(-sigmaV_*(r_PQ-r_Wn)*alphaV_-sigmaCD_*(r_PD-r_PC)*(1-alphaCD_)+r_PnD)+alphaC_*(-sigmaV_*(r_PQ-r_Wn)*alphaV_+sigmaCD_*(r_PD-r_PC)*alphaCD_)+alphaG_*r_G)/(1-alphaE_)-sigmaLE_*(r_Wn-r_PE)*alphaLE_</f>
        <v>0</v>
      </c>
      <c r="AE5" s="41">
        <f>-alphaL_/phiV_*AC5</f>
        <v>0</v>
      </c>
      <c r="AF5" s="41">
        <f>-alphaL_/phiV_*AD5</f>
        <v>0</v>
      </c>
      <c r="AG5" s="42">
        <f>T4*d_t_start-T5*r_U_start</f>
        <v>1.3979238754325261</v>
      </c>
      <c r="AH5" s="41">
        <f>X4*Y5-X5*Y4</f>
        <v>-1.5916955017301042</v>
      </c>
      <c r="AI5" s="42">
        <f>(-V4*d_t_start+V5*r_U_start)/AG5</f>
        <v>0</v>
      </c>
      <c r="AJ5" s="41">
        <f>(-T4*V5+T5*V4)/AG5</f>
        <v>0</v>
      </c>
      <c r="AK5" s="43">
        <f>(-Z4*Y5+Z5*Y4)/AH5</f>
        <v>0</v>
      </c>
      <c r="AL5" s="43">
        <f>(-X4*Z5+X5*Z4)/AH5</f>
        <v>0</v>
      </c>
      <c r="AM5" s="41" t="s">
        <v>113</v>
      </c>
      <c r="AN5" s="44">
        <f>r_PQ+r_U-sigmaV_*(r_PQ-(r_Wn-alphaT_* d_t))*alphaV_-(r_Wn-alphaT_*d_t+r_L) * alphaHb_-d_Tr/(PQ_*Q_)</f>
        <v>0</v>
      </c>
    </row>
    <row r="6" spans="2:40" x14ac:dyDescent="0.35">
      <c r="B6" s="29" t="s">
        <v>83</v>
      </c>
      <c r="C6" t="s">
        <v>4</v>
      </c>
      <c r="D6" s="3">
        <v>100</v>
      </c>
      <c r="E6" s="46">
        <f>D_*(1+r_D)</f>
        <v>100</v>
      </c>
      <c r="F6" s="2">
        <f t="shared" si="1"/>
        <v>0</v>
      </c>
      <c r="G6" s="25">
        <f>r_Q-sigmaCD_*(r_PD-r_PC)*(1-alphaCD_)</f>
        <v>0</v>
      </c>
      <c r="I6" s="31" t="s">
        <v>102</v>
      </c>
      <c r="J6" t="s">
        <v>23</v>
      </c>
      <c r="K6" s="3">
        <v>0.3</v>
      </c>
      <c r="L6" s="2">
        <f>tD_+d_tD</f>
        <v>0.3</v>
      </c>
      <c r="M6" s="56">
        <v>0</v>
      </c>
    </row>
    <row r="7" spans="2:40" x14ac:dyDescent="0.35">
      <c r="B7" s="29" t="s">
        <v>82</v>
      </c>
      <c r="C7" t="s">
        <v>5</v>
      </c>
      <c r="D7" s="3">
        <v>10000</v>
      </c>
      <c r="E7" s="46">
        <f>C_*(1+r_C)</f>
        <v>10000</v>
      </c>
      <c r="F7" s="2">
        <f t="shared" si="1"/>
        <v>0</v>
      </c>
      <c r="G7" s="25">
        <f>r_Q+sigmaCD_*(r_PD-r_PC)*alphaCD_</f>
        <v>0</v>
      </c>
      <c r="I7" s="63" t="s">
        <v>103</v>
      </c>
      <c r="J7" s="50" t="s">
        <v>62</v>
      </c>
      <c r="K7" s="64">
        <v>0</v>
      </c>
      <c r="L7" s="50"/>
      <c r="M7" s="51"/>
      <c r="S7" s="28" t="s">
        <v>115</v>
      </c>
    </row>
    <row r="8" spans="2:40" x14ac:dyDescent="0.35">
      <c r="B8" s="29" t="s">
        <v>86</v>
      </c>
      <c r="C8" t="s">
        <v>8</v>
      </c>
      <c r="D8" s="3">
        <v>100</v>
      </c>
      <c r="E8" s="45">
        <f>E_*(1+r_E)</f>
        <v>100</v>
      </c>
      <c r="F8" s="2">
        <f>E8-D8</f>
        <v>0</v>
      </c>
      <c r="G8" s="25">
        <f>r_Y-sigmaLE_*(r_PE-r_Wn)*(1-alphaLE_)</f>
        <v>0</v>
      </c>
      <c r="H8" s="2"/>
      <c r="I8" s="63" t="s">
        <v>104</v>
      </c>
      <c r="J8" s="50" t="s">
        <v>24</v>
      </c>
      <c r="K8" s="64">
        <v>0.25</v>
      </c>
      <c r="L8" s="50"/>
      <c r="M8" s="50"/>
      <c r="S8" t="s">
        <v>25</v>
      </c>
      <c r="T8" s="14">
        <f>elaLL*(alphaL_/phiV_+1)+1</f>
        <v>1</v>
      </c>
    </row>
    <row r="9" spans="2:40" x14ac:dyDescent="0.35">
      <c r="B9" s="29" t="s">
        <v>74</v>
      </c>
      <c r="C9" t="s">
        <v>6</v>
      </c>
      <c r="D9" s="2">
        <f>(PnE_*E_+PnD_*D_+PnC_*C_+PnG_*G_)/PnY_</f>
        <v>20330</v>
      </c>
      <c r="E9" s="45">
        <f>Y_*(1+r_Y)</f>
        <v>20330</v>
      </c>
      <c r="F9" s="2">
        <f t="shared" si="1"/>
        <v>0</v>
      </c>
      <c r="G9" s="25">
        <f>(alphaE_*(sigmaLE_*(r_Wn-r_PE)*(1-alphaLE_)+r_PnE)+alphaD_*(r_D+r_PnD)+alphaC_*r_C+alphaG_*r_G)/(1-alphaE_)</f>
        <v>0</v>
      </c>
      <c r="I9" s="49" t="s">
        <v>105</v>
      </c>
      <c r="J9" s="50" t="s">
        <v>26</v>
      </c>
      <c r="K9" s="64">
        <v>0.5</v>
      </c>
      <c r="L9" s="50"/>
      <c r="M9" s="50"/>
      <c r="S9" t="s">
        <v>28</v>
      </c>
      <c r="T9" s="2">
        <f>W_*phiV_*V_/(W_*phiV_*V_+PQ_*Q_)</f>
        <v>0.5</v>
      </c>
    </row>
    <row r="10" spans="2:40" x14ac:dyDescent="0.35">
      <c r="B10" s="49" t="s">
        <v>96</v>
      </c>
      <c r="C10" s="50" t="s">
        <v>15</v>
      </c>
      <c r="D10" s="51">
        <f>((PD_-(1-t_)*PnD_)*D_+(PC_-(1-t_)*PnC_)*C_+(1-t_)*(PE_-PnE_)*E_-Tr_)/((1-t_)*PnG_)</f>
        <v>12180</v>
      </c>
      <c r="E10" s="52">
        <f>G_*(1+r_G)</f>
        <v>12180</v>
      </c>
      <c r="F10" s="51">
        <f t="shared" ref="F10:F23" si="2">E10-D10</f>
        <v>0</v>
      </c>
      <c r="G10" s="53">
        <v>0</v>
      </c>
      <c r="I10" s="49" t="s">
        <v>106</v>
      </c>
      <c r="J10" s="50" t="s">
        <v>27</v>
      </c>
      <c r="K10" s="64">
        <v>0.5</v>
      </c>
      <c r="L10" s="50"/>
      <c r="M10" s="65"/>
      <c r="S10" t="s">
        <v>64</v>
      </c>
      <c r="T10" s="2">
        <f>PD_*D_/(PD_*D_+PC_*C_)</f>
        <v>9.9009900990099011E-3</v>
      </c>
    </row>
    <row r="11" spans="2:40" x14ac:dyDescent="0.35">
      <c r="B11" s="32" t="s">
        <v>85</v>
      </c>
      <c r="C11" s="33" t="s">
        <v>7</v>
      </c>
      <c r="D11" s="34">
        <f>1-V_</f>
        <v>0.5</v>
      </c>
      <c r="E11" s="47">
        <f>L_*(1+r_L)</f>
        <v>0.5</v>
      </c>
      <c r="F11" s="34">
        <f t="shared" si="2"/>
        <v>0</v>
      </c>
      <c r="G11" s="35">
        <f>r_Y-sigmaLE_*(r_Wn-r_PE)*alphaLE_</f>
        <v>0</v>
      </c>
      <c r="I11" s="49" t="s">
        <v>107</v>
      </c>
      <c r="J11" s="50" t="s">
        <v>72</v>
      </c>
      <c r="K11" s="64">
        <v>0</v>
      </c>
      <c r="L11" s="50"/>
      <c r="M11" s="65"/>
      <c r="S11" t="s">
        <v>29</v>
      </c>
      <c r="T11" s="2">
        <f>PnE_*E_/(PnY_*Y_)</f>
        <v>4.9188391539596657E-3</v>
      </c>
    </row>
    <row r="12" spans="2:40" x14ac:dyDescent="0.35">
      <c r="B12" s="29" t="s">
        <v>75</v>
      </c>
      <c r="C12" t="s">
        <v>9</v>
      </c>
      <c r="D12" s="14">
        <f>(1-t_)*Wn_</f>
        <v>20200</v>
      </c>
      <c r="E12" s="45">
        <f>W_*(1+r_W)</f>
        <v>20200</v>
      </c>
      <c r="F12" s="2">
        <f t="shared" si="2"/>
        <v>0</v>
      </c>
      <c r="G12" s="25">
        <f>r_Wn-alphaT_* d_t</f>
        <v>0</v>
      </c>
      <c r="I12" s="66" t="s">
        <v>108</v>
      </c>
      <c r="J12" s="50" t="s">
        <v>67</v>
      </c>
      <c r="K12" s="64">
        <v>1</v>
      </c>
      <c r="L12" s="78" t="s">
        <v>134</v>
      </c>
      <c r="M12" s="78"/>
      <c r="S12" t="s">
        <v>30</v>
      </c>
      <c r="T12" s="2">
        <f>PnD_*D_/(PnY_*Y_)</f>
        <v>2.4594195769798328E-3</v>
      </c>
    </row>
    <row r="13" spans="2:40" x14ac:dyDescent="0.35">
      <c r="B13" s="49" t="s">
        <v>76</v>
      </c>
      <c r="C13" s="50" t="s">
        <v>10</v>
      </c>
      <c r="D13" s="51">
        <f>(PnY_*Y_-PE_*E_)/L_</f>
        <v>40400</v>
      </c>
      <c r="E13" s="52">
        <f>Wn_*(1+r_Wn)</f>
        <v>40400</v>
      </c>
      <c r="F13" s="51">
        <f t="shared" si="2"/>
        <v>0</v>
      </c>
      <c r="G13" s="53">
        <f>-alphaLE_/(1-alphaLE_)*r_PE</f>
        <v>0</v>
      </c>
      <c r="I13" s="67" t="s">
        <v>130</v>
      </c>
      <c r="J13" s="33" t="s">
        <v>133</v>
      </c>
      <c r="K13" s="68">
        <v>1</v>
      </c>
      <c r="L13" s="77" t="s">
        <v>129</v>
      </c>
      <c r="M13" s="77"/>
      <c r="S13" t="s">
        <v>31</v>
      </c>
      <c r="T13" s="2">
        <f>PnC_*C_/(PnY_*Y_)</f>
        <v>0.39350713231677326</v>
      </c>
    </row>
    <row r="14" spans="2:40" x14ac:dyDescent="0.35">
      <c r="B14" s="32" t="s">
        <v>127</v>
      </c>
      <c r="C14" s="33" t="s">
        <v>128</v>
      </c>
      <c r="D14" s="34">
        <f>W_/PQ_</f>
        <v>20200</v>
      </c>
      <c r="E14" s="61">
        <f>D14*(1+G14)</f>
        <v>20200</v>
      </c>
      <c r="F14" s="34">
        <f t="shared" si="2"/>
        <v>0</v>
      </c>
      <c r="G14" s="35">
        <f>r_W-r_PQ</f>
        <v>0</v>
      </c>
      <c r="S14" t="s">
        <v>32</v>
      </c>
      <c r="T14" s="2">
        <f>PnG_*G_/(PnY_*Y_)</f>
        <v>0.5991146089522873</v>
      </c>
    </row>
    <row r="15" spans="2:40" x14ac:dyDescent="0.35">
      <c r="B15" s="29" t="s">
        <v>87</v>
      </c>
      <c r="C15" t="s">
        <v>11</v>
      </c>
      <c r="D15" s="2">
        <v>1</v>
      </c>
      <c r="E15" s="45">
        <f>PQ_*(1+r_PQ)</f>
        <v>1</v>
      </c>
      <c r="F15" s="2">
        <f t="shared" si="2"/>
        <v>0</v>
      </c>
      <c r="G15" s="25">
        <f>alphaCD_*r_PD+(1-alphaCD_)*r_PC</f>
        <v>0</v>
      </c>
      <c r="S15" t="s">
        <v>33</v>
      </c>
      <c r="T15" s="2">
        <f>PE_*E_/(Wn_*L_+PE_*E_)</f>
        <v>6.3944909001475651E-3</v>
      </c>
    </row>
    <row r="16" spans="2:40" x14ac:dyDescent="0.35">
      <c r="B16" s="29" t="s">
        <v>89</v>
      </c>
      <c r="C16" t="s">
        <v>12</v>
      </c>
      <c r="D16" s="14">
        <f>(PnD_+tD_)*(1+tVAT_)</f>
        <v>1</v>
      </c>
      <c r="E16" s="45">
        <f>PD_*(1+r_PD)</f>
        <v>1</v>
      </c>
      <c r="F16" s="2">
        <f t="shared" si="2"/>
        <v>0</v>
      </c>
      <c r="G16" s="25">
        <f>(r_PnD*PnD_*(1+tVAT_)+d_tD*(1+tVAT_))/PD_</f>
        <v>0</v>
      </c>
      <c r="I16" s="60" t="s">
        <v>77</v>
      </c>
      <c r="J16" s="60" t="s">
        <v>80</v>
      </c>
      <c r="L16" s="60" t="s">
        <v>120</v>
      </c>
      <c r="M16" s="60" t="s">
        <v>80</v>
      </c>
      <c r="S16" t="s">
        <v>35</v>
      </c>
      <c r="T16" s="2">
        <f>(1-V_)/V_</f>
        <v>1</v>
      </c>
    </row>
    <row r="17" spans="2:21" x14ac:dyDescent="0.35">
      <c r="B17" s="29" t="s">
        <v>88</v>
      </c>
      <c r="C17" t="s">
        <v>13</v>
      </c>
      <c r="D17" s="14">
        <f>(PnC_+tC_)*(1+tVAT_)</f>
        <v>1</v>
      </c>
      <c r="E17" s="45">
        <f>PC_*(1+r_PC)</f>
        <v>1</v>
      </c>
      <c r="F17" s="2">
        <f t="shared" si="2"/>
        <v>0</v>
      </c>
      <c r="G17" s="25">
        <v>0</v>
      </c>
      <c r="I17" s="28" t="s">
        <v>61</v>
      </c>
      <c r="J17" s="2">
        <f>J18+J19+J20</f>
        <v>0</v>
      </c>
      <c r="L17" s="55" t="s">
        <v>121</v>
      </c>
      <c r="M17" s="2">
        <f>L5*E8-tE_*E_</f>
        <v>0</v>
      </c>
      <c r="S17" t="s">
        <v>36</v>
      </c>
      <c r="T17" s="2">
        <f>(W_*L_)/(PQ_*Q_)</f>
        <v>1</v>
      </c>
    </row>
    <row r="18" spans="2:21" x14ac:dyDescent="0.35">
      <c r="B18" s="32" t="s">
        <v>90</v>
      </c>
      <c r="C18" s="33" t="s">
        <v>14</v>
      </c>
      <c r="D18" s="34">
        <f>PnE_+tE_</f>
        <v>1.3</v>
      </c>
      <c r="E18" s="47">
        <f>PE_*(1+r_PE)</f>
        <v>1.3</v>
      </c>
      <c r="F18" s="34">
        <f t="shared" si="2"/>
        <v>0</v>
      </c>
      <c r="G18" s="35">
        <f>(r_PnE*PnE_+d_tE)/PE_</f>
        <v>0</v>
      </c>
      <c r="I18" t="s">
        <v>117</v>
      </c>
      <c r="J18" s="2">
        <f>PD_*(E6-D_)</f>
        <v>0</v>
      </c>
      <c r="L18" s="55" t="s">
        <v>122</v>
      </c>
      <c r="M18" s="2">
        <f>L6*E6-tD_*D_</f>
        <v>0</v>
      </c>
      <c r="N18" s="1"/>
      <c r="S18" t="s">
        <v>37</v>
      </c>
      <c r="T18" s="2">
        <f>1/(1-t_)</f>
        <v>2</v>
      </c>
    </row>
    <row r="19" spans="2:21" x14ac:dyDescent="0.35">
      <c r="B19" s="29" t="s">
        <v>92</v>
      </c>
      <c r="C19" t="s">
        <v>17</v>
      </c>
      <c r="D19" s="14">
        <f>1/(1+tVAT_)-tD_</f>
        <v>0.5</v>
      </c>
      <c r="E19" s="45">
        <f>PnD_*(1+r_PnD)</f>
        <v>0.5</v>
      </c>
      <c r="F19" s="2">
        <f t="shared" si="2"/>
        <v>0</v>
      </c>
      <c r="G19" s="26">
        <v>0</v>
      </c>
      <c r="I19" t="s">
        <v>118</v>
      </c>
      <c r="J19" s="2">
        <f>PC_*(E7-C_)</f>
        <v>0</v>
      </c>
      <c r="L19" s="55" t="s">
        <v>123</v>
      </c>
      <c r="M19" s="2">
        <f>tC_*(E7-C_)</f>
        <v>0</v>
      </c>
      <c r="N19" s="1"/>
      <c r="S19" t="s">
        <v>43</v>
      </c>
      <c r="T19" s="2">
        <f>(PQ_*Q_)/(PQ_*Q_+W_*V_)</f>
        <v>0.5</v>
      </c>
    </row>
    <row r="20" spans="2:21" x14ac:dyDescent="0.35">
      <c r="B20" s="29" t="s">
        <v>93</v>
      </c>
      <c r="C20" t="s">
        <v>19</v>
      </c>
      <c r="D20" s="14">
        <v>1</v>
      </c>
      <c r="E20" s="45">
        <f>PnE_*(1+r_PnE)</f>
        <v>1</v>
      </c>
      <c r="F20" s="2">
        <f t="shared" si="2"/>
        <v>0</v>
      </c>
      <c r="G20" s="26">
        <v>0</v>
      </c>
      <c r="I20" t="s">
        <v>119</v>
      </c>
      <c r="J20" s="2">
        <f>W_*(E5-V_)</f>
        <v>0</v>
      </c>
      <c r="L20" s="55" t="s">
        <v>124</v>
      </c>
      <c r="M20" s="2">
        <f>(E16-E19)*E6-(PD_-PnD_)*D_-M18</f>
        <v>0</v>
      </c>
      <c r="S20" t="s">
        <v>65</v>
      </c>
      <c r="T20" s="2">
        <f>((PnD_+tD_)*D_+(PnC_+tC_)*C_)/(PnD_*D_+PnC_*C_)-1</f>
        <v>3.7267080745342351E-3</v>
      </c>
    </row>
    <row r="21" spans="2:21" x14ac:dyDescent="0.35">
      <c r="B21" s="29" t="s">
        <v>94</v>
      </c>
      <c r="C21" t="s">
        <v>20</v>
      </c>
      <c r="D21" s="14">
        <v>1</v>
      </c>
      <c r="E21" s="45">
        <v>1</v>
      </c>
      <c r="F21" s="2">
        <f t="shared" si="2"/>
        <v>0</v>
      </c>
      <c r="G21" s="27">
        <v>0</v>
      </c>
      <c r="L21" s="55" t="s">
        <v>125</v>
      </c>
      <c r="M21" s="2">
        <f>(E17-E23)*E7-(PC_-PnC_)*C_-M19</f>
        <v>0</v>
      </c>
      <c r="P21" s="6"/>
      <c r="S21" t="s">
        <v>69</v>
      </c>
      <c r="T21" s="14">
        <f>(1-phiV_)*V_</f>
        <v>0</v>
      </c>
    </row>
    <row r="22" spans="2:21" x14ac:dyDescent="0.35">
      <c r="B22" s="29" t="s">
        <v>95</v>
      </c>
      <c r="C22" t="s">
        <v>21</v>
      </c>
      <c r="D22" s="14">
        <v>1</v>
      </c>
      <c r="E22" s="45">
        <v>1</v>
      </c>
      <c r="F22" s="2">
        <f t="shared" si="2"/>
        <v>0</v>
      </c>
      <c r="G22" s="27">
        <v>0</v>
      </c>
      <c r="L22" s="28" t="s">
        <v>131</v>
      </c>
      <c r="M22" s="2">
        <f>SUM(M17:M21)</f>
        <v>0</v>
      </c>
      <c r="P22" s="6"/>
    </row>
    <row r="23" spans="2:21" x14ac:dyDescent="0.35">
      <c r="B23" s="32" t="s">
        <v>97</v>
      </c>
      <c r="C23" s="33" t="s">
        <v>18</v>
      </c>
      <c r="D23" s="61">
        <f>1/(1+tVAT_)-tC_</f>
        <v>0.8</v>
      </c>
      <c r="E23" s="47">
        <f>PnC_*(1+r_PnC)</f>
        <v>0.8</v>
      </c>
      <c r="F23" s="34">
        <f t="shared" si="2"/>
        <v>0</v>
      </c>
      <c r="G23" s="62">
        <v>0</v>
      </c>
      <c r="I23" s="54"/>
      <c r="L23" s="28" t="s">
        <v>132</v>
      </c>
      <c r="M23" s="2">
        <f>L4*E13*E11-t_*Wn_*L_</f>
        <v>0</v>
      </c>
    </row>
    <row r="24" spans="2:21" x14ac:dyDescent="0.35">
      <c r="G24" s="48"/>
      <c r="M24" s="2"/>
      <c r="S24" t="s">
        <v>47</v>
      </c>
      <c r="T24" s="5">
        <f>W_*(E5-V_)+PD_*(E6-D_)+PC_*(E7-C_)</f>
        <v>0</v>
      </c>
      <c r="U24" s="24" t="s">
        <v>70</v>
      </c>
    </row>
    <row r="25" spans="2:21" x14ac:dyDescent="0.35">
      <c r="B25" s="29" t="s">
        <v>98</v>
      </c>
      <c r="C25" t="s">
        <v>44</v>
      </c>
      <c r="D25" s="2">
        <f>PQ_*Q_+W_*V_</f>
        <v>20200</v>
      </c>
      <c r="E25" s="14">
        <f>I_*(1+r_I)</f>
        <v>20200</v>
      </c>
      <c r="F25" s="2">
        <f>E25-D25</f>
        <v>0</v>
      </c>
      <c r="G25" s="25">
        <f>alphaQV_*(r_PQ+r_Q)+(1-alphaQV_)*(r_W+r_V)</f>
        <v>0</v>
      </c>
      <c r="I25" s="69" t="s">
        <v>78</v>
      </c>
      <c r="J25" s="13">
        <f>T27</f>
        <v>0</v>
      </c>
      <c r="S25" t="s">
        <v>45</v>
      </c>
      <c r="T25" s="5">
        <f>r_U*(PQ_*Q_+W_*(V_-gammaV))</f>
        <v>0</v>
      </c>
      <c r="U25" s="24" t="s">
        <v>68</v>
      </c>
    </row>
    <row r="26" spans="2:21" x14ac:dyDescent="0.35">
      <c r="B26" s="29" t="s">
        <v>91</v>
      </c>
      <c r="C26" t="s">
        <v>42</v>
      </c>
      <c r="D26" s="2">
        <v>1</v>
      </c>
      <c r="E26" s="45">
        <f>PU_*(1+G26)</f>
        <v>1</v>
      </c>
      <c r="F26" s="2">
        <f>E26-D26</f>
        <v>0</v>
      </c>
      <c r="G26" s="25">
        <f>alphaQV_*r_PQ+(1-alphaQV_)*r_W</f>
        <v>0</v>
      </c>
      <c r="I26" s="69" t="s">
        <v>79</v>
      </c>
      <c r="J26" s="13">
        <f>T37</f>
        <v>0</v>
      </c>
      <c r="S26" t="s">
        <v>46</v>
      </c>
      <c r="T26" s="5">
        <f>E25-I_-G26*I_</f>
        <v>0</v>
      </c>
      <c r="U26" s="24" t="s">
        <v>71</v>
      </c>
    </row>
    <row r="27" spans="2:21" x14ac:dyDescent="0.35">
      <c r="I27" s="69" t="s">
        <v>135</v>
      </c>
      <c r="J27" s="13">
        <f>-(E16-PD_)*(D_+E6)/2</f>
        <v>0</v>
      </c>
      <c r="S27" s="7" t="s">
        <v>39</v>
      </c>
      <c r="T27" s="8">
        <f>(T28+T29)</f>
        <v>0</v>
      </c>
      <c r="U27" s="16" t="e">
        <f>T27/T25</f>
        <v>#DIV/0!</v>
      </c>
    </row>
    <row r="28" spans="2:21" x14ac:dyDescent="0.35">
      <c r="S28" s="7" t="s">
        <v>40</v>
      </c>
      <c r="T28" s="8">
        <f>T31+T34</f>
        <v>0</v>
      </c>
      <c r="U28" s="1"/>
    </row>
    <row r="29" spans="2:21" x14ac:dyDescent="0.35">
      <c r="S29" s="7" t="s">
        <v>41</v>
      </c>
      <c r="T29" s="8">
        <f>T32+T35</f>
        <v>0</v>
      </c>
      <c r="U29" s="1"/>
    </row>
    <row r="30" spans="2:21" x14ac:dyDescent="0.35">
      <c r="I30" s="55"/>
      <c r="S30" s="9" t="s">
        <v>51</v>
      </c>
      <c r="T30" s="10">
        <f>T31+T32</f>
        <v>0</v>
      </c>
      <c r="U30" s="1"/>
    </row>
    <row r="31" spans="2:21" x14ac:dyDescent="0.35">
      <c r="I31" s="55"/>
      <c r="S31" s="11" t="s">
        <v>52</v>
      </c>
      <c r="T31" s="12">
        <f>-(E18-PE_)*(E8+E_)/2*(1+tVAT_)</f>
        <v>0</v>
      </c>
      <c r="U31" s="1"/>
    </row>
    <row r="32" spans="2:21" x14ac:dyDescent="0.35">
      <c r="I32" s="55"/>
      <c r="S32" s="11" t="s">
        <v>53</v>
      </c>
      <c r="T32" s="12">
        <f>((E18-E20)*E8-(PE_-PnE_)*E_)*(1+tVAT_)</f>
        <v>0</v>
      </c>
      <c r="U32" s="1"/>
    </row>
    <row r="33" spans="19:21" x14ac:dyDescent="0.35">
      <c r="S33" s="9" t="s">
        <v>48</v>
      </c>
      <c r="T33" s="10">
        <f>T34+T35</f>
        <v>0</v>
      </c>
      <c r="U33" s="1"/>
    </row>
    <row r="34" spans="19:21" x14ac:dyDescent="0.35">
      <c r="S34" s="11" t="s">
        <v>49</v>
      </c>
      <c r="T34" s="12">
        <f>(-(E16/(1+tVAT_)-PD_/(1+tVAT_))*(D_+E6)/2)*(1+tVAT_)</f>
        <v>0</v>
      </c>
      <c r="U34" s="1"/>
    </row>
    <row r="35" spans="19:21" x14ac:dyDescent="0.35">
      <c r="S35" s="11" t="s">
        <v>50</v>
      </c>
      <c r="T35" s="12">
        <f>((E16/(1+tVAT_)-E19)*E6-(PD_/(1+tVAT_)-PnD_)*D_)*(1+tVAT_)</f>
        <v>0</v>
      </c>
      <c r="U35" s="1"/>
    </row>
    <row r="36" spans="19:21" x14ac:dyDescent="0.35">
      <c r="S36" s="22"/>
      <c r="T36" s="21"/>
      <c r="U36" s="1"/>
    </row>
    <row r="37" spans="19:21" x14ac:dyDescent="0.35">
      <c r="S37" s="20" t="s">
        <v>66</v>
      </c>
      <c r="T37" s="23">
        <f>(1+alphaTdc_)*(1+tVAT_)*((E8-E_)*(PE_-PnE_)-(E20-PnE_)*E_+(E6-D_)*(PD_/((1+alphaTdc_)*(1+tVAT_))-PnD_)-(E19-PnD_)*D_)</f>
        <v>0</v>
      </c>
      <c r="U37" s="16" t="e">
        <f>T37/T25</f>
        <v>#DIV/0!</v>
      </c>
    </row>
    <row r="40" spans="19:21" x14ac:dyDescent="0.35">
      <c r="S40" s="17" t="s">
        <v>58</v>
      </c>
      <c r="T40" s="17"/>
      <c r="U40" s="17"/>
    </row>
    <row r="41" spans="19:21" x14ac:dyDescent="0.35">
      <c r="S41" s="17" t="s">
        <v>59</v>
      </c>
      <c r="T41" s="18">
        <f>-sigmaLE_*alphaLE_/(1-alphaLE_)*(r_PnE*PnE_/PE_+d_tE/PE_)</f>
        <v>0</v>
      </c>
      <c r="U41" s="17"/>
    </row>
    <row r="42" spans="19:21" x14ac:dyDescent="0.35">
      <c r="S42" s="17" t="s">
        <v>60</v>
      </c>
      <c r="T42" s="19">
        <f>(sigmaLE_*(1-alphaE_-(1-alphaLE_))*(r_Wn-r_PE)  -alphaE_*r_PnE-alphaD_*(-sigmaCD_*(r_PD-r_PC)+r_PnD))/(alphaD_+ alphaC_)</f>
        <v>0</v>
      </c>
      <c r="U42" s="17"/>
    </row>
    <row r="43" spans="19:21" x14ac:dyDescent="0.35">
      <c r="S43" s="17" t="s">
        <v>61</v>
      </c>
      <c r="T43" s="19">
        <f>(PD_*D_+PC_*C_)*T42-sigmaCD_*PD_*D_*(r_PD-r_PC)</f>
        <v>0</v>
      </c>
      <c r="U43" s="16" t="e">
        <f t="shared" ref="U43:U53" si="3">T43/$T$25</f>
        <v>#DIV/0!</v>
      </c>
    </row>
    <row r="44" spans="19:21" x14ac:dyDescent="0.35">
      <c r="S44" s="15" t="s">
        <v>61</v>
      </c>
      <c r="T44" s="19">
        <f>(PD_*D_+PC_*C_)/(alphaD_+alphaC_)*(sigmaLE_*(1-alphaE_-(1-alphaLE_))*(r_Wn-r_PE)  -alphaE_*r_PnE-alphaD_*(-sigmaCD_*r_PD+r_PnD))-sigmaCD_*PD_*D_*r_PD</f>
        <v>0</v>
      </c>
      <c r="U44" s="16" t="e">
        <f t="shared" si="3"/>
        <v>#DIV/0!</v>
      </c>
    </row>
    <row r="45" spans="19:21" x14ac:dyDescent="0.35">
      <c r="S45" s="17" t="s">
        <v>61</v>
      </c>
      <c r="T45" s="19">
        <f>(PD_*D_+PC_*C_)/(alphaD_+alphaC_)*(-sigmaLE_*(1-alphaE_-(1-alphaLE_))/(1-alphaLE_)*r_PE  -alphaE_*r_PnE-alphaD_*(-sigmaCD_*r_PD+r_PnD))-sigmaCD_*PD_*D_*r_PD</f>
        <v>0</v>
      </c>
      <c r="U45" s="16" t="e">
        <f t="shared" si="3"/>
        <v>#DIV/0!</v>
      </c>
    </row>
    <row r="46" spans="19:21" x14ac:dyDescent="0.35">
      <c r="S46" s="17" t="s">
        <v>61</v>
      </c>
      <c r="T46" s="19">
        <f>(PD_*D_+PC_*C_)/(alphaD_+alphaC_)*(-sigmaLE_*(1-alphaE_-(1-alphaLE_))/(1-alphaLE_)*r_PE  -alphaE_*r_PnE+alphaD_*sigmaCD_*r_PD - alphaD_*r_PnD)-sigmaCD_*PD_*D_*r_PD</f>
        <v>0</v>
      </c>
      <c r="U46" s="16" t="e">
        <f t="shared" si="3"/>
        <v>#DIV/0!</v>
      </c>
    </row>
    <row r="47" spans="19:21" x14ac:dyDescent="0.35">
      <c r="S47" s="17" t="s">
        <v>61</v>
      </c>
      <c r="T47" s="19">
        <f>(PD_*D_+PC_*C_)/(alphaD_+alphaC_)*(-sigmaLE_*r_PE *(1-alphaE_-(1-alphaLE_))/(1-alphaLE_) -alphaE_*r_PnE+alphaD_*sigmaCD_*r_PD - alphaD_*r_PnD-sigmaCD_*alphaCD_*(alphaD_+alphaC_)*r_PD)</f>
        <v>0</v>
      </c>
      <c r="U47" s="16" t="e">
        <f t="shared" si="3"/>
        <v>#DIV/0!</v>
      </c>
    </row>
    <row r="48" spans="19:21" x14ac:dyDescent="0.35">
      <c r="S48" s="17" t="s">
        <v>61</v>
      </c>
      <c r="T48" s="19">
        <f>(PD_*D_+PC_*C_)/(alphaD_+alphaC_)*(-sigmaLE_*r_PE *(1-alphaE_-(1-alphaLE_))/(1-alphaLE_) -alphaE_*r_PnE-sigmaCD_*r_PD*(alphaCD_*(alphaD_+alphaC_)-alphaD_)  - alphaD_*r_PnD)</f>
        <v>0</v>
      </c>
      <c r="U48" s="16" t="e">
        <f t="shared" si="3"/>
        <v>#DIV/0!</v>
      </c>
    </row>
    <row r="49" spans="19:21" x14ac:dyDescent="0.35">
      <c r="S49" s="17" t="s">
        <v>61</v>
      </c>
      <c r="T49" s="19">
        <f>(PD_*D_+PC_*C_)/(alphaD_+alphaC_)*(-sigmaLE_*r_PE *((PE_-PnE_)*E_)/(Wn_*L_) -(PnE_*E_/(PnY_*Y_))*r_PnE-sigmaCD_*r_PD*(alphaCD_*(alphaD_+alphaC_)-alphaD_)  - (PnD_*D_/(PnY_*Y_))*r_PnD)</f>
        <v>0</v>
      </c>
      <c r="U49" s="16" t="e">
        <f t="shared" si="3"/>
        <v>#DIV/0!</v>
      </c>
    </row>
    <row r="50" spans="19:21" x14ac:dyDescent="0.35">
      <c r="S50" s="17" t="s">
        <v>61</v>
      </c>
      <c r="T50" s="19">
        <f>(PD_*D_+PC_*C_)/(alphaD_+alphaC_)*(-sigmaLE_*r_PE *((PE_-PnE_)*E_)/(Wn_*L_) -(PnE_*E_/(PnY_*Y_))*r_PnE-sigmaCD_*r_PD*(alphaCD_*((PnD_*D_+PnC_*C_)/(PnY_*Y_))-alphaD_)  - (PnD_*D_/(PnY_*Y_))*r_PnD)</f>
        <v>0</v>
      </c>
      <c r="U50" s="16" t="e">
        <f t="shared" si="3"/>
        <v>#DIV/0!</v>
      </c>
    </row>
    <row r="51" spans="19:21" x14ac:dyDescent="0.35">
      <c r="S51" s="17" t="s">
        <v>61</v>
      </c>
      <c r="T51" s="19">
        <f>(1+alphaTdc_)*(1+tVAT_)*(-sigmaLE_*r_PE*E_ *(PE_-PnE_)*(PnY_*Y_)/(Wn_*L_) -r_PnE*PnE_*E_-sigmaCD_*r_PD*D_*(1/(1+alphaTdc_)/(1+tVAT_)*PD_-PnD_)  -r_PnD* PnD_*D_)</f>
        <v>0</v>
      </c>
      <c r="U51" s="16" t="e">
        <f t="shared" si="3"/>
        <v>#DIV/0!</v>
      </c>
    </row>
    <row r="52" spans="19:21" x14ac:dyDescent="0.35">
      <c r="S52" s="17" t="s">
        <v>61</v>
      </c>
      <c r="T52" s="19">
        <f>(1+alphaTdc_)*(1+tVAT_)*((r_E-r_Y)*E_ *(PE_-PnE_)*(PnY_*Y_)/(Wn_*L_) -r_PnE*PnE_*E_+(r_D-r_Q)/(1-alphaCD_)*D_*(1/(1+alphaTdc_)/(1+tVAT_)*PD_-PnD_)  -r_PnD* PnD_*D_)</f>
        <v>0</v>
      </c>
      <c r="U52" s="16" t="e">
        <f t="shared" si="3"/>
        <v>#DIV/0!</v>
      </c>
    </row>
    <row r="53" spans="19:21" x14ac:dyDescent="0.35">
      <c r="S53" s="17" t="s">
        <v>63</v>
      </c>
      <c r="T53" s="19">
        <f>(1+alphaTdc_)*(1+tVAT_)*((E8-E_) *(PE_-PnE_) -r_PnE*PnE_*E_+(E6-D_)*(PD_/(1+alphaTdc_)/(1+tVAT_)-PnD_)  -(E19-PnD_)*D_)</f>
        <v>0</v>
      </c>
      <c r="U53" s="16" t="e">
        <f t="shared" si="3"/>
        <v>#DIV/0!</v>
      </c>
    </row>
  </sheetData>
  <mergeCells count="2">
    <mergeCell ref="L13:M13"/>
    <mergeCell ref="L12:M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2E7C-9B6C-4B2F-A365-876729C6DA07}">
  <dimension ref="B2:F41"/>
  <sheetViews>
    <sheetView workbookViewId="0">
      <selection activeCell="F5" sqref="F5"/>
    </sheetView>
  </sheetViews>
  <sheetFormatPr defaultRowHeight="14.5" x14ac:dyDescent="0.35"/>
  <cols>
    <col min="2" max="2" width="8.7265625" style="71"/>
    <col min="3" max="3" width="6.81640625" style="72" customWidth="1"/>
    <col min="4" max="4" width="45.54296875" style="74" customWidth="1"/>
    <col min="6" max="6" width="45.26953125" style="74" customWidth="1"/>
  </cols>
  <sheetData>
    <row r="2" spans="2:6" x14ac:dyDescent="0.35">
      <c r="B2" s="70"/>
      <c r="C2" s="70"/>
      <c r="D2" s="70" t="s">
        <v>136</v>
      </c>
      <c r="E2" s="70"/>
      <c r="F2" s="70"/>
    </row>
    <row r="3" spans="2:6" x14ac:dyDescent="0.35">
      <c r="D3" s="73" t="s">
        <v>137</v>
      </c>
      <c r="F3" s="73" t="s">
        <v>138</v>
      </c>
    </row>
    <row r="4" spans="2:6" ht="43.5" x14ac:dyDescent="0.35">
      <c r="B4" s="71">
        <f>1</f>
        <v>1</v>
      </c>
      <c r="C4" s="71"/>
      <c r="D4" s="74" t="s">
        <v>139</v>
      </c>
      <c r="F4" s="74" t="s">
        <v>205</v>
      </c>
    </row>
    <row r="5" spans="2:6" ht="72.5" x14ac:dyDescent="0.35">
      <c r="B5" s="71">
        <f>B4+1</f>
        <v>2</v>
      </c>
      <c r="D5" s="74" t="s">
        <v>140</v>
      </c>
      <c r="F5" s="74" t="s">
        <v>141</v>
      </c>
    </row>
    <row r="6" spans="2:6" ht="43.5" x14ac:dyDescent="0.35">
      <c r="B6" s="71">
        <f t="shared" ref="B6:B41" si="0">B5+1</f>
        <v>3</v>
      </c>
      <c r="D6" s="74" t="s">
        <v>142</v>
      </c>
      <c r="F6" s="74" t="s">
        <v>143</v>
      </c>
    </row>
    <row r="7" spans="2:6" ht="29" x14ac:dyDescent="0.35">
      <c r="B7" s="71">
        <f t="shared" si="0"/>
        <v>4</v>
      </c>
      <c r="D7" s="74" t="s">
        <v>144</v>
      </c>
      <c r="F7" s="74" t="s">
        <v>145</v>
      </c>
    </row>
    <row r="8" spans="2:6" ht="29" x14ac:dyDescent="0.35">
      <c r="B8" s="71">
        <f t="shared" si="0"/>
        <v>5</v>
      </c>
      <c r="D8" s="74" t="s">
        <v>146</v>
      </c>
      <c r="F8" s="74" t="s">
        <v>147</v>
      </c>
    </row>
    <row r="9" spans="2:6" ht="43.5" x14ac:dyDescent="0.35">
      <c r="B9" s="71">
        <f t="shared" si="0"/>
        <v>6</v>
      </c>
      <c r="D9" s="74" t="s">
        <v>148</v>
      </c>
      <c r="F9" s="74" t="s">
        <v>149</v>
      </c>
    </row>
    <row r="10" spans="2:6" ht="58" x14ac:dyDescent="0.35">
      <c r="B10" s="71">
        <f t="shared" si="0"/>
        <v>7</v>
      </c>
      <c r="D10" s="74" t="s">
        <v>150</v>
      </c>
      <c r="F10" s="74" t="s">
        <v>151</v>
      </c>
    </row>
    <row r="11" spans="2:6" ht="58" x14ac:dyDescent="0.35">
      <c r="B11" s="71">
        <f t="shared" si="0"/>
        <v>8</v>
      </c>
      <c r="D11" s="74" t="s">
        <v>152</v>
      </c>
      <c r="F11" s="74" t="s">
        <v>153</v>
      </c>
    </row>
    <row r="12" spans="2:6" ht="101.5" x14ac:dyDescent="0.35">
      <c r="B12" s="71">
        <f>B11+1</f>
        <v>9</v>
      </c>
      <c r="D12" s="74" t="s">
        <v>154</v>
      </c>
      <c r="F12" s="74" t="s">
        <v>155</v>
      </c>
    </row>
    <row r="13" spans="2:6" ht="72.5" x14ac:dyDescent="0.35">
      <c r="B13" s="71">
        <f>B12+1</f>
        <v>10</v>
      </c>
      <c r="D13" s="74" t="s">
        <v>156</v>
      </c>
      <c r="F13" s="74" t="s">
        <v>157</v>
      </c>
    </row>
    <row r="14" spans="2:6" ht="43.5" x14ac:dyDescent="0.35">
      <c r="B14" s="71">
        <f t="shared" si="0"/>
        <v>11</v>
      </c>
      <c r="D14" s="74" t="s">
        <v>158</v>
      </c>
      <c r="F14" s="74" t="s">
        <v>159</v>
      </c>
    </row>
    <row r="15" spans="2:6" ht="29" x14ac:dyDescent="0.35">
      <c r="B15" s="71">
        <f t="shared" si="0"/>
        <v>12</v>
      </c>
      <c r="D15" s="74" t="s">
        <v>160</v>
      </c>
      <c r="F15" s="74" t="s">
        <v>161</v>
      </c>
    </row>
    <row r="16" spans="2:6" ht="101.5" x14ac:dyDescent="0.35">
      <c r="B16" s="71">
        <f t="shared" si="0"/>
        <v>13</v>
      </c>
      <c r="D16" s="74" t="s">
        <v>162</v>
      </c>
      <c r="F16" s="74" t="s">
        <v>163</v>
      </c>
    </row>
    <row r="17" spans="2:6" ht="58" x14ac:dyDescent="0.35">
      <c r="D17" s="74" t="s">
        <v>164</v>
      </c>
      <c r="F17" s="74" t="s">
        <v>165</v>
      </c>
    </row>
    <row r="18" spans="2:6" ht="130.5" x14ac:dyDescent="0.35">
      <c r="B18" s="71">
        <f>B16+1</f>
        <v>14</v>
      </c>
      <c r="D18" s="75" t="s">
        <v>166</v>
      </c>
      <c r="F18" s="74" t="s">
        <v>167</v>
      </c>
    </row>
    <row r="19" spans="2:6" ht="58" x14ac:dyDescent="0.35">
      <c r="B19" s="71">
        <f>B18+1</f>
        <v>15</v>
      </c>
      <c r="D19" s="74" t="s">
        <v>168</v>
      </c>
      <c r="F19" s="74" t="s">
        <v>169</v>
      </c>
    </row>
    <row r="20" spans="2:6" ht="43.5" x14ac:dyDescent="0.35">
      <c r="B20" s="71">
        <f t="shared" si="0"/>
        <v>16</v>
      </c>
      <c r="D20" s="74" t="s">
        <v>170</v>
      </c>
      <c r="F20" s="74" t="s">
        <v>171</v>
      </c>
    </row>
    <row r="21" spans="2:6" ht="58" x14ac:dyDescent="0.35">
      <c r="B21" s="71">
        <f t="shared" si="0"/>
        <v>17</v>
      </c>
      <c r="D21" s="74" t="s">
        <v>172</v>
      </c>
      <c r="F21" s="74" t="s">
        <v>173</v>
      </c>
    </row>
    <row r="22" spans="2:6" ht="43.5" x14ac:dyDescent="0.35">
      <c r="B22" s="71">
        <f t="shared" si="0"/>
        <v>18</v>
      </c>
      <c r="D22" s="74" t="s">
        <v>174</v>
      </c>
      <c r="F22" s="74" t="s">
        <v>175</v>
      </c>
    </row>
    <row r="23" spans="2:6" ht="116" x14ac:dyDescent="0.35">
      <c r="B23" s="71">
        <f t="shared" si="0"/>
        <v>19</v>
      </c>
      <c r="D23" s="74" t="s">
        <v>176</v>
      </c>
      <c r="F23" s="74" t="s">
        <v>177</v>
      </c>
    </row>
    <row r="24" spans="2:6" ht="116" x14ac:dyDescent="0.35">
      <c r="B24" s="71">
        <f>B23+1</f>
        <v>20</v>
      </c>
      <c r="D24" s="75" t="s">
        <v>178</v>
      </c>
      <c r="F24" s="74" t="s">
        <v>179</v>
      </c>
    </row>
    <row r="25" spans="2:6" ht="58" x14ac:dyDescent="0.35">
      <c r="B25" s="71">
        <f t="shared" ref="B25:B26" si="1">B24+1</f>
        <v>21</v>
      </c>
      <c r="D25" s="76" t="s">
        <v>180</v>
      </c>
      <c r="F25" s="74" t="s">
        <v>181</v>
      </c>
    </row>
    <row r="26" spans="2:6" ht="174" x14ac:dyDescent="0.35">
      <c r="B26" s="71">
        <f t="shared" si="1"/>
        <v>22</v>
      </c>
      <c r="D26" s="76" t="s">
        <v>182</v>
      </c>
      <c r="F26" s="74" t="s">
        <v>183</v>
      </c>
    </row>
    <row r="28" spans="2:6" x14ac:dyDescent="0.35">
      <c r="B28" s="70"/>
      <c r="C28" s="70"/>
      <c r="D28" s="70" t="s">
        <v>184</v>
      </c>
      <c r="E28" s="70"/>
      <c r="F28" s="70"/>
    </row>
    <row r="29" spans="2:6" x14ac:dyDescent="0.35">
      <c r="D29" s="73" t="s">
        <v>137</v>
      </c>
      <c r="F29" s="73" t="s">
        <v>138</v>
      </c>
    </row>
    <row r="30" spans="2:6" ht="29" x14ac:dyDescent="0.35">
      <c r="B30" s="71">
        <f>B26+1</f>
        <v>23</v>
      </c>
      <c r="D30" s="74" t="s">
        <v>185</v>
      </c>
      <c r="F30" s="74" t="s">
        <v>186</v>
      </c>
    </row>
    <row r="31" spans="2:6" ht="72.5" x14ac:dyDescent="0.35">
      <c r="B31" s="71">
        <f t="shared" si="0"/>
        <v>24</v>
      </c>
      <c r="D31" s="74" t="s">
        <v>140</v>
      </c>
      <c r="F31" s="74" t="s">
        <v>187</v>
      </c>
    </row>
    <row r="32" spans="2:6" ht="43.5" x14ac:dyDescent="0.35">
      <c r="B32" s="71">
        <f t="shared" si="0"/>
        <v>25</v>
      </c>
      <c r="D32" s="74" t="s">
        <v>142</v>
      </c>
      <c r="F32" s="74" t="s">
        <v>143</v>
      </c>
    </row>
    <row r="33" spans="2:6" ht="130.5" x14ac:dyDescent="0.35">
      <c r="B33" s="71">
        <f t="shared" si="0"/>
        <v>26</v>
      </c>
      <c r="D33" s="74" t="s">
        <v>144</v>
      </c>
      <c r="F33" s="74" t="s">
        <v>188</v>
      </c>
    </row>
    <row r="34" spans="2:6" ht="58" x14ac:dyDescent="0.35">
      <c r="B34" s="71">
        <f t="shared" si="0"/>
        <v>27</v>
      </c>
      <c r="D34" s="74" t="s">
        <v>189</v>
      </c>
      <c r="F34" s="74" t="s">
        <v>190</v>
      </c>
    </row>
    <row r="35" spans="2:6" ht="58" x14ac:dyDescent="0.35">
      <c r="B35" s="71">
        <f t="shared" si="0"/>
        <v>28</v>
      </c>
      <c r="D35" s="74" t="s">
        <v>191</v>
      </c>
      <c r="F35" s="74" t="s">
        <v>192</v>
      </c>
    </row>
    <row r="36" spans="2:6" ht="72.5" x14ac:dyDescent="0.35">
      <c r="B36" s="71">
        <f t="shared" si="0"/>
        <v>29</v>
      </c>
      <c r="D36" s="74" t="s">
        <v>193</v>
      </c>
      <c r="F36" s="74" t="s">
        <v>194</v>
      </c>
    </row>
    <row r="37" spans="2:6" ht="72.5" x14ac:dyDescent="0.35">
      <c r="B37" s="71">
        <f t="shared" si="0"/>
        <v>30</v>
      </c>
      <c r="D37" s="74" t="s">
        <v>195</v>
      </c>
      <c r="F37" s="74" t="s">
        <v>196</v>
      </c>
    </row>
    <row r="38" spans="2:6" ht="58" x14ac:dyDescent="0.35">
      <c r="B38" s="71">
        <f t="shared" si="0"/>
        <v>31</v>
      </c>
      <c r="D38" s="74" t="s">
        <v>197</v>
      </c>
      <c r="F38" s="74" t="s">
        <v>198</v>
      </c>
    </row>
    <row r="39" spans="2:6" ht="116" x14ac:dyDescent="0.35">
      <c r="B39" s="71">
        <f t="shared" si="0"/>
        <v>32</v>
      </c>
      <c r="D39" s="74" t="s">
        <v>199</v>
      </c>
      <c r="F39" s="74" t="s">
        <v>200</v>
      </c>
    </row>
    <row r="40" spans="2:6" ht="87" x14ac:dyDescent="0.35">
      <c r="B40" s="71">
        <f t="shared" si="0"/>
        <v>33</v>
      </c>
      <c r="D40" s="74" t="s">
        <v>201</v>
      </c>
      <c r="F40" s="74" t="s">
        <v>202</v>
      </c>
    </row>
    <row r="41" spans="2:6" ht="43.5" x14ac:dyDescent="0.35">
      <c r="B41" s="71">
        <f t="shared" si="0"/>
        <v>34</v>
      </c>
      <c r="D41" s="74" t="s">
        <v>203</v>
      </c>
      <c r="F41" s="74"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FC77FBBC-F1CC-4CC5-9757-A73A90AF88A6}"/>
</file>

<file path=customXml/itemProps2.xml><?xml version="1.0" encoding="utf-8"?>
<ds:datastoreItem xmlns:ds="http://schemas.openxmlformats.org/officeDocument/2006/customXml" ds:itemID="{74DB6A07-D0E7-420F-9752-8439B88E4AC2}"/>
</file>

<file path=customXml/itemProps3.xml><?xml version="1.0" encoding="utf-8"?>
<ds:datastoreItem xmlns:ds="http://schemas.openxmlformats.org/officeDocument/2006/customXml" ds:itemID="{A329AA1D-35E7-443D-8380-69CD564588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76</vt:i4>
      </vt:variant>
    </vt:vector>
  </HeadingPairs>
  <TitlesOfParts>
    <vt:vector size="78" baseType="lpstr">
      <vt:lpstr>Beregn</vt:lpstr>
      <vt:lpstr>Opgaver</vt:lpstr>
      <vt:lpstr>alphaC_</vt:lpstr>
      <vt:lpstr>alphaCD_</vt:lpstr>
      <vt:lpstr>alphaD_</vt:lpstr>
      <vt:lpstr>alphaE_</vt:lpstr>
      <vt:lpstr>alphaG_</vt:lpstr>
      <vt:lpstr>alphaHb_</vt:lpstr>
      <vt:lpstr>alphaL_</vt:lpstr>
      <vt:lpstr>alphaLE_</vt:lpstr>
      <vt:lpstr>alphaQV_</vt:lpstr>
      <vt:lpstr>alphaT_</vt:lpstr>
      <vt:lpstr>alphaTdc_</vt:lpstr>
      <vt:lpstr>alphaU_</vt:lpstr>
      <vt:lpstr>alphaV_</vt:lpstr>
      <vt:lpstr>C_</vt:lpstr>
      <vt:lpstr>D_</vt:lpstr>
      <vt:lpstr>d_t</vt:lpstr>
      <vt:lpstr>d_t_start</vt:lpstr>
      <vt:lpstr>d_tD</vt:lpstr>
      <vt:lpstr>d_tE</vt:lpstr>
      <vt:lpstr>d_Tr</vt:lpstr>
      <vt:lpstr>E_</vt:lpstr>
      <vt:lpstr>elaLL</vt:lpstr>
      <vt:lpstr>elaLL_</vt:lpstr>
      <vt:lpstr>G_</vt:lpstr>
      <vt:lpstr>gammaV</vt:lpstr>
      <vt:lpstr>gammaV_</vt:lpstr>
      <vt:lpstr>I_</vt:lpstr>
      <vt:lpstr>L_</vt:lpstr>
      <vt:lpstr>PC_</vt:lpstr>
      <vt:lpstr>PD_</vt:lpstr>
      <vt:lpstr>PE_</vt:lpstr>
      <vt:lpstr>phiV_</vt:lpstr>
      <vt:lpstr>PnC_</vt:lpstr>
      <vt:lpstr>PnD_</vt:lpstr>
      <vt:lpstr>PnE_</vt:lpstr>
      <vt:lpstr>PnG_</vt:lpstr>
      <vt:lpstr>PnY_</vt:lpstr>
      <vt:lpstr>PQ_</vt:lpstr>
      <vt:lpstr>PU_</vt:lpstr>
      <vt:lpstr>Q_</vt:lpstr>
      <vt:lpstr>r_C</vt:lpstr>
      <vt:lpstr>r_D</vt:lpstr>
      <vt:lpstr>r_E</vt:lpstr>
      <vt:lpstr>r_G</vt:lpstr>
      <vt:lpstr>r_I</vt:lpstr>
      <vt:lpstr>r_L</vt:lpstr>
      <vt:lpstr>r_PC</vt:lpstr>
      <vt:lpstr>r_PD</vt:lpstr>
      <vt:lpstr>r_PE</vt:lpstr>
      <vt:lpstr>r_PnC</vt:lpstr>
      <vt:lpstr>r_PnD</vt:lpstr>
      <vt:lpstr>r_PnE</vt:lpstr>
      <vt:lpstr>r_PnG</vt:lpstr>
      <vt:lpstr>r_PnY</vt:lpstr>
      <vt:lpstr>r_PQ</vt:lpstr>
      <vt:lpstr>r_Q</vt:lpstr>
      <vt:lpstr>r_U</vt:lpstr>
      <vt:lpstr>r_U_start</vt:lpstr>
      <vt:lpstr>r_V</vt:lpstr>
      <vt:lpstr>r_W</vt:lpstr>
      <vt:lpstr>r_Wn</vt:lpstr>
      <vt:lpstr>r_Y</vt:lpstr>
      <vt:lpstr>sigmaCD_</vt:lpstr>
      <vt:lpstr>sigmaLE_</vt:lpstr>
      <vt:lpstr>sigmaV_</vt:lpstr>
      <vt:lpstr>t_</vt:lpstr>
      <vt:lpstr>tC_</vt:lpstr>
      <vt:lpstr>tD_</vt:lpstr>
      <vt:lpstr>tE_</vt:lpstr>
      <vt:lpstr>Tr_</vt:lpstr>
      <vt:lpstr>tVAT_</vt:lpstr>
      <vt:lpstr>U_</vt:lpstr>
      <vt:lpstr>V_</vt:lpstr>
      <vt:lpstr>W_</vt:lpstr>
      <vt:lpstr>Wn_</vt:lpstr>
      <vt:lpstr>Y_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dc:creator>
  <cp:lastModifiedBy>Thomas</cp:lastModifiedBy>
  <dcterms:created xsi:type="dcterms:W3CDTF">2016-12-07T21:22:17Z</dcterms:created>
  <dcterms:modified xsi:type="dcterms:W3CDTF">2019-01-09T14:33:03Z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