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7.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updateLinks="never" codeName="ThisWorkbook" hidePivotFieldList="1" defaultThemeVersion="124226"/>
  <mc:AlternateContent xmlns:mc="http://schemas.openxmlformats.org/markup-compatibility/2006">
    <mc:Choice Requires="x15">
      <x15ac:absPath xmlns:x15ac="http://schemas.microsoft.com/office/spreadsheetml/2010/11/ac" url="C:\Users\B245234\Desktop\"/>
    </mc:Choice>
  </mc:AlternateContent>
  <xr:revisionPtr revIDLastSave="0" documentId="13_ncr:1_{1A21DA87-F0E6-4B59-B8E1-00BBE9401C5C}" xr6:coauthVersionLast="36" xr6:coauthVersionMax="47" xr10:uidLastSave="{00000000-0000-0000-0000-000000000000}"/>
  <bookViews>
    <workbookView xWindow="16005" yWindow="-21720" windowWidth="38640" windowHeight="21120" tabRatio="944" activeTab="1" xr2:uid="{00000000-000D-0000-FFFF-FFFF00000000}"/>
  </bookViews>
  <sheets>
    <sheet name="Log" sheetId="6966" r:id="rId1"/>
    <sheet name="User Guide" sheetId="7072" r:id="rId2"/>
    <sheet name="Tool -&gt;" sheetId="6886" r:id="rId3"/>
    <sheet name="LCOE-S Template" sheetId="7070" r:id="rId4"/>
    <sheet name="Hybrid LCOE Tool" sheetId="6887" r:id="rId5"/>
    <sheet name="Background (from TC)" sheetId="6884" r:id="rId6"/>
    <sheet name="Illustrative Graphs -&gt;" sheetId="6998" r:id="rId7"/>
    <sheet name="2023 LCOEs" sheetId="6999" r:id="rId8"/>
    <sheet name="2030 LCOEs" sheetId="7047" r:id="rId9"/>
    <sheet name="2050 LCOEs" sheetId="7000" r:id="rId10"/>
    <sheet name="PV Coupled Li-ion 2050" sheetId="7074" r:id="rId11"/>
    <sheet name="Fuel - Technology Mapping" sheetId="6961" state="hidden" r:id="rId12"/>
    <sheet name="TC 2023 Data Sheets -&gt;" sheetId="6890" state="hidden" r:id="rId13"/>
    <sheet name="Geothermal - large" sheetId="6922" state="hidden" r:id="rId14"/>
    <sheet name="Geothermal - small" sheetId="6923" state="hidden" r:id="rId15"/>
    <sheet name="Large hydro power plant" sheetId="6924" state="hidden" r:id="rId16"/>
    <sheet name="Medium-small hydro power plant" sheetId="6997" state="hidden" r:id="rId17"/>
    <sheet name="Mini-micro hydro power plant" sheetId="6926" state="hidden" r:id="rId18"/>
    <sheet name="Ground-mounted PV" sheetId="6928" state="hidden" r:id="rId19"/>
    <sheet name="Rooftop PV" sheetId="6929" state="hidden" r:id="rId20"/>
    <sheet name="Industrial PV" sheetId="6930" state="hidden" r:id="rId21"/>
    <sheet name="Floating PV" sheetId="6931" state="hidden" r:id="rId22"/>
    <sheet name="Wind Onshore" sheetId="6932" state="hidden" r:id="rId23"/>
    <sheet name="Small wind onshore" sheetId="6933" state="hidden" r:id="rId24"/>
    <sheet name="Wind Offshore" sheetId="6934" state="hidden" r:id="rId25"/>
    <sheet name="Wind offshore floating" sheetId="6970" state="hidden" r:id="rId26"/>
    <sheet name="Tidal Impoundment" sheetId="6935" state="hidden" r:id="rId27"/>
    <sheet name="Tidal Stream" sheetId="6936" state="hidden" r:id="rId28"/>
    <sheet name="Coal Subcritical" sheetId="6937" state="hidden" r:id="rId29"/>
    <sheet name="Coal Supercritical" sheetId="6938" state="hidden" r:id="rId30"/>
    <sheet name="Coal Ultra supercritical" sheetId="6939" state="hidden" r:id="rId31"/>
    <sheet name="IGCC (COAL)" sheetId="6944" state="hidden" r:id="rId32"/>
    <sheet name="Ammonia co-firing (Coal) " sheetId="6941" state="hidden" r:id="rId33"/>
    <sheet name="Biomass co-firing (Coal)" sheetId="6942" state="hidden" r:id="rId34"/>
    <sheet name="Coal lifetime extension" sheetId="6940" state="hidden" r:id="rId35"/>
    <sheet name="SCGT (GAS)" sheetId="6947" state="hidden" r:id="rId36"/>
    <sheet name="CCGT (GAS)" sheetId="6945" state="hidden" r:id="rId37"/>
    <sheet name="Hydrogen co-firing CCGT" sheetId="6946" state="hidden" r:id="rId38"/>
    <sheet name="CCS - Supercritical coal" sheetId="6948" state="hidden" r:id="rId39"/>
    <sheet name="CCS - IGCC (COAL)" sheetId="6950" state="hidden" r:id="rId40"/>
    <sheet name="CCS - CCGT (GAS)" sheetId="6949" state="hidden" r:id="rId41"/>
    <sheet name="Biomass power plant (small)" sheetId="6952" state="hidden" r:id="rId42"/>
    <sheet name="MSW incineration" sheetId="6954" state="hidden" r:id="rId43"/>
    <sheet name="Landfill" sheetId="6955" state="hidden" r:id="rId44"/>
    <sheet name="Biogas power plant (small)" sheetId="6953" state="hidden" r:id="rId45"/>
    <sheet name="Diesel power plant" sheetId="6956" state="hidden" r:id="rId46"/>
    <sheet name="Nuclear PWR" sheetId="6958" state="hidden" r:id="rId47"/>
    <sheet name="Nuclear SMR" sheetId="6959" state="hidden" r:id="rId48"/>
    <sheet name="Utility-scale Lithium-ion" sheetId="6957" state="hidden" r:id="rId49"/>
    <sheet name="Hydro pumped storage" sheetId="6927" state="hidden" r:id="rId50"/>
    <sheet name="Fuel Cost Database -&gt;" sheetId="6962" r:id="rId51"/>
    <sheet name="Fuel Costs" sheetId="6845" r:id="rId52"/>
    <sheet name="Emissions Database -&gt;" sheetId="6963" r:id="rId53"/>
    <sheet name="CO2 Emission Factors" sheetId="7075" r:id="rId54"/>
    <sheet name="AdminPivotTables" sheetId="6889" state="veryHidden" r:id="rId55"/>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hidden="1">'[1]TRNS-C1'!#REF!</definedName>
    <definedName name="__123Graph_A1" hidden="1">[2]C!$D$322:$K$322</definedName>
    <definedName name="__123Graph_A2" hidden="1">[2]C!$D$372:$K$372</definedName>
    <definedName name="__123Graph_ACPEXIND" hidden="1">[2]M!$F$18:$N$18</definedName>
    <definedName name="__123Graph_ACPEXJAVA" hidden="1">[2]M!$V$18:$AD$18</definedName>
    <definedName name="__123Graph_ACPEXOUTS" hidden="1">[2]M!$AL$18:$AT$18</definedName>
    <definedName name="__123Graph_AFININDO" hidden="1">[2]M!$F$27:$N$27</definedName>
    <definedName name="__123Graph_AFINJAVA" hidden="1">[2]M!$V$27:$AD$27</definedName>
    <definedName name="__123Graph_AFINOUTS" hidden="1">[2]M!$AL$27:$AT$27</definedName>
    <definedName name="__123Graph_AFUELINDO" hidden="1">[2]M!$F$5:$N$5</definedName>
    <definedName name="__123Graph_AFUELJAVA" hidden="1">[2]M!$V$5:$AD$5</definedName>
    <definedName name="__123Graph_AFUELOUTS" hidden="1">[2]M!$AL$5:$AT$5</definedName>
    <definedName name="__123Graph_AOPEXIND" hidden="1">[2]M!$F$11:$N$11</definedName>
    <definedName name="__123Graph_AOPEXJAVA" hidden="1">[2]M!$V$11:$AD$11</definedName>
    <definedName name="__123Graph_AOPEXOUTS" hidden="1">[2]M!$AL$11:$AT$11</definedName>
    <definedName name="__123Graph_AREIND" hidden="1">[2]M!$F$23:$N$23</definedName>
    <definedName name="__123Graph_AREJAVA" hidden="1">[2]M!$V$23:$AD$23</definedName>
    <definedName name="__123Graph_AREOUTSIDE" hidden="1">[2]M!$AL$23:$AT$23</definedName>
    <definedName name="__123Graph_B" hidden="1">'[1]TRNS-C1'!#REF!</definedName>
    <definedName name="__123Graph_B1" hidden="1">[2]C!$D$323:$K$323</definedName>
    <definedName name="__123Graph_B2" hidden="1">[2]C!$D$373:$K$373</definedName>
    <definedName name="__123Graph_BCPEXIND" hidden="1">[2]M!$F$17:$N$17</definedName>
    <definedName name="__123Graph_BCPEXJAVA" hidden="1">[2]M!$V$17:$AD$17</definedName>
    <definedName name="__123Graph_BCPEXOUTS" hidden="1">[2]M!$AL$17:$AT$17</definedName>
    <definedName name="__123Graph_BFININDO" hidden="1">[2]M!$F$28:$N$28</definedName>
    <definedName name="__123Graph_BFINJAVA" hidden="1">[2]M!$V$28:$AD$28</definedName>
    <definedName name="__123Graph_BFINOUTS" hidden="1">[2]M!$AL$28:$AT$28</definedName>
    <definedName name="__123Graph_BFUELINDO" hidden="1">[2]M!$F$6:$N$6</definedName>
    <definedName name="__123Graph_BFUELJAVA" hidden="1">[2]M!$V$6:$AD$6</definedName>
    <definedName name="__123Graph_BFUELOUTS" hidden="1">[2]M!$AL$6:$AT$6</definedName>
    <definedName name="__123Graph_BOPEXIND" hidden="1">[2]M!$F$12:$N$12</definedName>
    <definedName name="__123Graph_BOPEXJAVA" hidden="1">[2]M!$V$12:$AD$12</definedName>
    <definedName name="__123Graph_BOPEXOUTS" hidden="1">[2]M!$AL$12:$AT$12</definedName>
    <definedName name="__123Graph_BREIND" hidden="1">[2]M!$F$24:$N$24</definedName>
    <definedName name="__123Graph_BREJAVA" hidden="1">[2]M!$V$24:$AD$24</definedName>
    <definedName name="__123Graph_BREOUTSIDE" hidden="1">[2]M!$AL$24:$AT$24</definedName>
    <definedName name="__123Graph_CCPEXIND" hidden="1">[2]M!$F$20:$N$20</definedName>
    <definedName name="__123Graph_CCPEXJAVA" hidden="1">[2]M!$V$20:$AD$20</definedName>
    <definedName name="__123Graph_CCPEXOUTS" hidden="1">[2]M!$AL$20:$AT$20</definedName>
    <definedName name="__123Graph_CFININDO" hidden="1">[2]M!$F$29:$N$29</definedName>
    <definedName name="__123Graph_CFINJAVA" hidden="1">[2]M!$V$29:$AD$29</definedName>
    <definedName name="__123Graph_CFINOUTS" hidden="1">[2]M!$F$29:$N$29</definedName>
    <definedName name="__123Graph_CFUELINDO" hidden="1">[2]M!$F$7:$N$7</definedName>
    <definedName name="__123Graph_CFUELJAVA" hidden="1">[2]M!$V$7:$AD$7</definedName>
    <definedName name="__123Graph_CFUELOUTS" hidden="1">[2]M!$AL$7:$AT$7</definedName>
    <definedName name="__123Graph_COPEXIND" hidden="1">[2]M!$F$13:$N$13</definedName>
    <definedName name="__123Graph_COPEXJAVA" hidden="1">[2]M!$V$13:$AD$13</definedName>
    <definedName name="__123Graph_COPEXOUTS" hidden="1">[2]M!$AL$13:$AT$13</definedName>
    <definedName name="__123Graph_D" hidden="1">[3]PkRp!#REF!</definedName>
    <definedName name="__123Graph_DCPEXIND" hidden="1">[2]M!$F$19:$N$19</definedName>
    <definedName name="__123Graph_DCPEXJAVA" hidden="1">[2]M!$V$19:$AD$19</definedName>
    <definedName name="__123Graph_DCPEXOUTS" hidden="1">[2]M!$AL$19:$AT$19</definedName>
    <definedName name="__123Graph_DFUELINDO" hidden="1">[2]M!$F$8:$N$8</definedName>
    <definedName name="__123Graph_DFUELJAVA" hidden="1">[2]M!$V$8:$AD$8</definedName>
    <definedName name="__123Graph_DFUELOUTS" hidden="1">[2]M!$AL$8:$AT$8</definedName>
    <definedName name="__123Graph_DOPEXIND" hidden="1">[2]M!$F$14:$N$14</definedName>
    <definedName name="__123Graph_DOPEXJAVA" hidden="1">[2]M!$V$14:$AD$14</definedName>
    <definedName name="__123Graph_DOPEXOUTS" hidden="1">[2]M!$AL$14:$AT$14</definedName>
    <definedName name="__123Graph_X" hidden="1">'[1]TRNS-C1'!#REF!</definedName>
    <definedName name="__123Graph_XCPEXIND" hidden="1">[2]M!$F$3:$N$3</definedName>
    <definedName name="__123Graph_XCPEXJAVA" hidden="1">[2]M!$V$3:$AD$3</definedName>
    <definedName name="__123Graph_XCPEXOUTS" hidden="1">[2]M!$AL$3:$AT$3</definedName>
    <definedName name="__123Graph_XFININDO" hidden="1">[2]M!$F$3:$N$3</definedName>
    <definedName name="__123Graph_XFINJAVA" hidden="1">[2]M!$V$3:$AD$3</definedName>
    <definedName name="__123Graph_XFUELINDO" hidden="1">[2]M!$F$3:$N$3</definedName>
    <definedName name="__123Graph_XFUELJAVA" hidden="1">[2]M!$V$3:$AD$3</definedName>
    <definedName name="__123Graph_XFUELOUTS" hidden="1">[2]M!$AL$3:$AT$3</definedName>
    <definedName name="__123Graph_XOPEXIND" hidden="1">[2]M!$F$3:$N$3</definedName>
    <definedName name="__123Graph_XOPEXJAVA" hidden="1">[2]M!$V$3:$AD$3</definedName>
    <definedName name="__123Graph_XOPEXOUTS" hidden="1">[2]M!$AL$3:$AT$3</definedName>
    <definedName name="__123Graph_XREJAVA" hidden="1">[2]M!$V$3:$AD$3</definedName>
    <definedName name="__123Graph_XREOUTSIDE" hidden="1">[2]M!$AL$3:$AT$3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hidden="1">#REF!</definedName>
    <definedName name="_Dist_Values" hidden="1">#REF!</definedName>
    <definedName name="_Fill" hidden="1">#REF!</definedName>
    <definedName name="_Key1" hidden="1">[4]L_23!#REF!</definedName>
    <definedName name="_Key2" hidden="1">#REF!</definedName>
    <definedName name="_Order1" hidden="1">255</definedName>
    <definedName name="_Order2" hidden="1">0</definedName>
    <definedName name="_Sort" hidden="1">[5]UshDeb00!#REF!</definedName>
    <definedName name="_Toc319151884" localSheetId="44">'Biogas power plant (small)'!$B$1</definedName>
    <definedName name="_Toc319151884" localSheetId="41">'Biomass power plant (small)'!$B$1</definedName>
    <definedName name="_Toc319151884" localSheetId="36">'CCGT (GAS)'!$B$1</definedName>
    <definedName name="_Toc319151884" localSheetId="40">'CCS - CCGT (GAS)'!$B$1</definedName>
    <definedName name="_Toc319151884" localSheetId="38">'CCS - Supercritical coal'!$B$1</definedName>
    <definedName name="_Toc319151884" localSheetId="28">'Coal Subcritical'!$B$1</definedName>
    <definedName name="_Toc319151884" localSheetId="29">'Coal Supercritical'!$B$1</definedName>
    <definedName name="_Toc319151884" localSheetId="30">'Coal Ultra supercritical'!$B$1</definedName>
    <definedName name="_Toc319151884" localSheetId="45">'Diesel power plant'!$B$1</definedName>
    <definedName name="_Toc319151884" localSheetId="21">'Floating PV'!$B$1</definedName>
    <definedName name="_Toc319151884" localSheetId="13">'Geothermal - large'!$B$1</definedName>
    <definedName name="_Toc319151884" localSheetId="14">'Geothermal - small'!$B$1</definedName>
    <definedName name="_Toc319151884" localSheetId="49">'Hydro pumped storage'!$B$1</definedName>
    <definedName name="_Toc319151884" localSheetId="20">'Industrial PV'!$B$1</definedName>
    <definedName name="_Toc319151884" localSheetId="43">Landfill!$B$1</definedName>
    <definedName name="_Toc319151884" localSheetId="15">'Large hydro power plant'!$B$1</definedName>
    <definedName name="_Toc319151884" localSheetId="16">'Medium-small hydro power plant'!$B$1</definedName>
    <definedName name="_Toc319151884" localSheetId="17">'Mini-micro hydro power plant'!$B$1</definedName>
    <definedName name="_Toc319151884" localSheetId="42">'MSW incineration'!$B$1</definedName>
    <definedName name="_Toc319151884" localSheetId="19">'Rooftop PV'!$B$1</definedName>
    <definedName name="_Toc319151884" localSheetId="35">'SCGT (GAS)'!$B$1</definedName>
    <definedName name="_Toc319151884" localSheetId="23">'Small wind onshore'!$B$1</definedName>
    <definedName name="_Toc319151884" localSheetId="26">'Tidal Impoundment'!$B$1</definedName>
    <definedName name="_Toc319151884" localSheetId="27">'Tidal Stream'!$B$1</definedName>
    <definedName name="_Toc319151884" localSheetId="48">'Utility-scale Lithium-ion'!$B$1</definedName>
    <definedName name="_Toc319151884" localSheetId="24">'Wind Offshore'!$B$1</definedName>
    <definedName name="_Toc319151884" localSheetId="22">'Wind Onshore'!$B$1</definedName>
    <definedName name="_Toc423599101" localSheetId="44">'Biogas power plant (small)'!$B$18</definedName>
    <definedName name="_Toc423599101" localSheetId="41">'Biomass power plant (small)'!$B$18</definedName>
    <definedName name="_Toc423599101" localSheetId="36">'CCGT (GAS)'!$B$18</definedName>
    <definedName name="_Toc423599101" localSheetId="40">'CCS - CCGT (GAS)'!$B$19</definedName>
    <definedName name="_Toc423599101" localSheetId="38">'CCS - Supercritical coal'!$B$19</definedName>
    <definedName name="_Toc423599101" localSheetId="28">'Coal Subcritical'!$B$18</definedName>
    <definedName name="_Toc423599101" localSheetId="29">'Coal Supercritical'!$B$18</definedName>
    <definedName name="_Toc423599101" localSheetId="30">'Coal Ultra supercritical'!$B$18</definedName>
    <definedName name="_Toc423599101" localSheetId="45">'Diesel power plant'!$B$18</definedName>
    <definedName name="_Toc423599101" localSheetId="21">'Floating PV'!$B$17</definedName>
    <definedName name="_Toc423599101" localSheetId="13">'Geothermal - large'!$B$18</definedName>
    <definedName name="_Toc423599101" localSheetId="14">'Geothermal - small'!$B$18</definedName>
    <definedName name="_Toc423599101" localSheetId="49">'Hydro pumped storage'!$B$18</definedName>
    <definedName name="_Toc423599101" localSheetId="20">'Industrial PV'!$B$17</definedName>
    <definedName name="_Toc423599101" localSheetId="43">Landfill!$B$18</definedName>
    <definedName name="_Toc423599101" localSheetId="15">'Large hydro power plant'!$B$18</definedName>
    <definedName name="_Toc423599101" localSheetId="16">'Medium-small hydro power plant'!$B$18</definedName>
    <definedName name="_Toc423599101" localSheetId="17">'Mini-micro hydro power plant'!$B$18</definedName>
    <definedName name="_Toc423599101" localSheetId="42">'MSW incineration'!$B$18</definedName>
    <definedName name="_Toc423599101" localSheetId="19">'Rooftop PV'!$B$17</definedName>
    <definedName name="_Toc423599101" localSheetId="35">'SCGT (GAS)'!$B$18</definedName>
    <definedName name="_Toc423599101" localSheetId="23">'Small wind onshore'!$B$18</definedName>
    <definedName name="_Toc423599101" localSheetId="26">'Tidal Impoundment'!$B$18</definedName>
    <definedName name="_Toc423599101" localSheetId="27">'Tidal Stream'!$B$18</definedName>
    <definedName name="_Toc423599101" localSheetId="48">'Utility-scale Lithium-ion'!$B$17</definedName>
    <definedName name="_Toc423599101" localSheetId="24">'Wind Offshore'!$B$21</definedName>
    <definedName name="_Toc423599101" localSheetId="22">'Wind Onshore'!$B$19</definedName>
    <definedName name="a">#REF!</definedName>
    <definedName name="Areas">'[6]ControlSheet-&gt;Balmorel Elements'!$D$192:$D$377</definedName>
    <definedName name="AS2DocOpenMode" hidden="1">"AS2DocumentBrowse"</definedName>
    <definedName name="base_name">[7]Map!$H$6</definedName>
    <definedName name="base_year">[7]Map!$H$3</definedName>
    <definedName name="BooleanNames">[8]Admin!$M$4:$M$5</definedName>
    <definedName name="BTV11_15">'[9]arbejds ark LARGE New'!$K$33</definedName>
    <definedName name="BVT17_15">'[9]arbejds ark LARGE New'!$S$67</definedName>
    <definedName name="CalcTech">[8]Calculation!$E$31:$AE$31</definedName>
    <definedName name="CalcTechYear">[8]Calculation!$E$33:$AE$33</definedName>
    <definedName name="CalculationYears">[8]Admin!$K$4:$K$77</definedName>
    <definedName name="CalcYear">'[8]UserSettings&amp;Results'!$E$25</definedName>
    <definedName name="Centralvsdecentral">#REF!</definedName>
    <definedName name="chosencurrency">'[8]UserSettings&amp;Results'!$E$22</definedName>
    <definedName name="Currency">[8]Admin!$V$3:$W$21</definedName>
    <definedName name="d">#REF!</definedName>
    <definedName name="dd" localSheetId="16">#REF!</definedName>
    <definedName name="dd" localSheetId="25">#REF!</definedName>
    <definedName name="dd">#REF!</definedName>
    <definedName name="ddd" localSheetId="16">#REF!</definedName>
    <definedName name="ddd" localSheetId="25">#REF!</definedName>
    <definedName name="ddd">#REF!</definedName>
    <definedName name="dddd" hidden="1">[10]PkRp!#REF!</definedName>
    <definedName name="ddddd" localSheetId="16">#REF!</definedName>
    <definedName name="ddddd" localSheetId="25">#REF!</definedName>
    <definedName name="ddddd">#REF!</definedName>
    <definedName name="dddddd" localSheetId="16">#REF!</definedName>
    <definedName name="dddddd" localSheetId="25">#REF!</definedName>
    <definedName name="dddddd">#REF!</definedName>
    <definedName name="DeprecPer">'[8]UserSettings&amp;Results'!$E$27</definedName>
    <definedName name="DiscountHorizon">'[8]UserSettings&amp;Results'!$E$26</definedName>
    <definedName name="DiscountPrices">'[8]UserSettings&amp;Results'!$E$29</definedName>
    <definedName name="DiscountRate">'[8]UserSettings&amp;Results'!$E$28</definedName>
    <definedName name="dtrutr" hidden="1">#REF!</definedName>
    <definedName name="ee" localSheetId="16">#REF!</definedName>
    <definedName name="ee" localSheetId="25">#REF!</definedName>
    <definedName name="ee">#REF!</definedName>
    <definedName name="EEDiscountRate">'[8]EEUserSettings&amp;Results'!$F$23</definedName>
    <definedName name="EmissionFactorsCO2">#REF!</definedName>
    <definedName name="EmissionFactorsCO2_h">#REF!</definedName>
    <definedName name="EmissionFactorsGHG">#REF!</definedName>
    <definedName name="EmissionFactorsGHG_h">#REF!</definedName>
    <definedName name="EmissionFactorsSO2">#REF!</definedName>
    <definedName name="EmissionFactorsSO2_h">#REF!</definedName>
    <definedName name="EmissionPrices">[8]EmissionPrices!$C$38:$P$103</definedName>
    <definedName name="EmissionPrices_h">[8]EmissionPrices!$C$38:$P$38</definedName>
    <definedName name="EmissionPrices_v">[8]EmissionPrices!$C$38:$C$103</definedName>
    <definedName name="EUR16tilEUR15">'[9]22 Photovoltaics  LARGE Old'!$N$2</definedName>
    <definedName name="eurdkk" localSheetId="37">[11]Constants!$C$3</definedName>
    <definedName name="eurdkk" localSheetId="25">[11]Constants!$C$3</definedName>
    <definedName name="eurdkk">[12]Constants!$C$3</definedName>
    <definedName name="ff" localSheetId="16">#REF!</definedName>
    <definedName name="ff" localSheetId="25">#REF!</definedName>
    <definedName name="ff">#REF!</definedName>
    <definedName name="fff" localSheetId="16">#REF!</definedName>
    <definedName name="fff" localSheetId="25">#REF!</definedName>
    <definedName name="FFF">#REF!</definedName>
    <definedName name="ffff" localSheetId="16">#REF!</definedName>
    <definedName name="ffff" localSheetId="25">#REF!</definedName>
    <definedName name="ffff">#REF!</definedName>
    <definedName name="fffffff" localSheetId="16">#REF!</definedName>
    <definedName name="fffffff" localSheetId="25">#REF!</definedName>
    <definedName name="fffffff">#REF!</definedName>
    <definedName name="fffffffffff" localSheetId="16">#REF!</definedName>
    <definedName name="fffffffffff" localSheetId="25">#REF!</definedName>
    <definedName name="fffffffffff">#REF!</definedName>
    <definedName name="FGD" hidden="1">#REF!</definedName>
    <definedName name="FGE" hidden="1">#REF!</definedName>
    <definedName name="FILL" hidden="1">[13]UshDeb00!#REF!</definedName>
    <definedName name="FilNavn">#REF!</definedName>
    <definedName name="FLH_RE">#REF!</definedName>
    <definedName name="FLH_TH">#REF!</definedName>
    <definedName name="FuelNames">[8]Admin!#REF!</definedName>
    <definedName name="FuelPrices">[8]FuelPrices!$C$42:$X$81</definedName>
    <definedName name="FuelPrices_h">[8]FuelPrices!$C$42:$X$42</definedName>
    <definedName name="FuelPrices_v">[8]FuelPrices!$C$42:$C$106</definedName>
    <definedName name="Gridcosts_ho">'[8]EEUserSettings&amp;Results'!$F$25</definedName>
    <definedName name="Gridcosts_in">'[8]EEUserSettings&amp;Results'!$F$26</definedName>
    <definedName name="GridCostView">'[8]UserSettings&amp;Results'!$E$43</definedName>
    <definedName name="guo" hidden="1">#REF!</definedName>
    <definedName name="HeatPrice">'[8]UserSettings&amp;Results'!$E$38</definedName>
    <definedName name="hh" localSheetId="16">#REF!</definedName>
    <definedName name="hh" localSheetId="25">#REF!</definedName>
    <definedName name="hh">#REF!</definedName>
    <definedName name="hhhhh" localSheetId="16">#REF!</definedName>
    <definedName name="hhhhh" localSheetId="25">#REF!</definedName>
    <definedName name="hhhhh">#REF!</definedName>
    <definedName name="hhhhhhhhhhhh" localSheetId="16">#REF!</definedName>
    <definedName name="hhhhhhhhhhhh" localSheetId="25">#REF!</definedName>
    <definedName name="hhhhhhhhhhhh">#REF!</definedName>
    <definedName name="IDC">'[8]UserSettings&amp;Results'!$E$30</definedName>
    <definedName name="ii" localSheetId="16">#REF!</definedName>
    <definedName name="ii" localSheetId="25">#REF!</definedName>
    <definedName name="ii">#REF!</definedName>
    <definedName name="INFvalue">[7]Map!$AN$4</definedName>
    <definedName name="jjjjjj" localSheetId="16">#REF!</definedName>
    <definedName name="jjjjjj" localSheetId="25">#REF!</definedName>
    <definedName name="jjjjjj">#REF!</definedName>
    <definedName name="Lister">[8]Admin!$AJ$3:$AL$3</definedName>
    <definedName name="MapMin">[7]Map!$AI$4</definedName>
    <definedName name="name_dd" localSheetId="16">#REF!</definedName>
    <definedName name="name_dd">#REF!</definedName>
    <definedName name="OldDataGross">[8]OldData!$D$62:$AU$1048576</definedName>
    <definedName name="OldTechData">[8]OldData!$D$27:$AU$57</definedName>
    <definedName name="ooooooo" localSheetId="16">#REF!</definedName>
    <definedName name="ooooooo" localSheetId="25">#REF!</definedName>
    <definedName name="ooooooo">#REF!</definedName>
    <definedName name="oooooooooo" localSheetId="16">#REF!</definedName>
    <definedName name="oooooooooo" localSheetId="25">#REF!</definedName>
    <definedName name="oooooooooo">#REF!</definedName>
    <definedName name="Pal_Workbook_GUID" hidden="1">"72JZWYL6P959RFW66W1IKY6K"</definedName>
    <definedName name="PBKIT" hidden="1">[14]UshDeb00!#REF!</definedName>
    <definedName name="pdi" hidden="1">[15]UshDeb00!#REF!</definedName>
    <definedName name="Poloris">#REF!</definedName>
    <definedName name="ppppp" localSheetId="16">#REF!</definedName>
    <definedName name="ppppp" localSheetId="25">#REF!</definedName>
    <definedName name="ppppp">#REF!</definedName>
    <definedName name="pppppppppp" localSheetId="16">#REF!</definedName>
    <definedName name="pppppppppp" localSheetId="25">#REF!</definedName>
    <definedName name="pppppppppp">#REF!</definedName>
    <definedName name="pppppppppppp" localSheetId="16">#REF!</definedName>
    <definedName name="pppppppppppp" localSheetId="25">#REF!</definedName>
    <definedName name="pppppppppppp">#REF!</definedName>
    <definedName name="PriceAdjust">[8]Admin!$Z$4:$AA$39</definedName>
    <definedName name="PriceYear">'[8]UserSettings&amp;Results'!$E$23</definedName>
    <definedName name="PriceYears">[8]Admin!$J$4:$J$42</definedName>
    <definedName name="_xlnm.Print_Area" localSheetId="44">'Biogas power plant (small)'!$A$1:$K$50</definedName>
    <definedName name="_xlnm.Print_Area" localSheetId="41">'Biomass power plant (small)'!$A$1:$K$49</definedName>
    <definedName name="_xlnm.Print_Area" localSheetId="36">'CCGT (GAS)'!$A$1:$K$48</definedName>
    <definedName name="_xlnm.Print_Area" localSheetId="40">'CCS - CCGT (GAS)'!$A$1:$K$50</definedName>
    <definedName name="_xlnm.Print_Area" localSheetId="38">'CCS - Supercritical coal'!$A$1:$K$48</definedName>
    <definedName name="_xlnm.Print_Area" localSheetId="28">'Coal Subcritical'!$A$1:$K$43</definedName>
    <definedName name="_xlnm.Print_Area" localSheetId="29">'Coal Supercritical'!$A$1:$K$45</definedName>
    <definedName name="_xlnm.Print_Area" localSheetId="30">'Coal Ultra supercritical'!$A$1:$K$45</definedName>
    <definedName name="_xlnm.Print_Area" localSheetId="45">'Diesel power plant'!$A$1:$K$46</definedName>
    <definedName name="_xlnm.Print_Area" localSheetId="21">'Floating PV'!$A$1:$K$63</definedName>
    <definedName name="_xlnm.Print_Area" localSheetId="13">'Geothermal - large'!$A$1:$K$49</definedName>
    <definedName name="_xlnm.Print_Area" localSheetId="14">'Geothermal - small'!$A$1:$K$49</definedName>
    <definedName name="_xlnm.Print_Area" localSheetId="49">'Hydro pumped storage'!$A$1:$K$50</definedName>
    <definedName name="_xlnm.Print_Area" localSheetId="20">'Industrial PV'!$A$1:$K$62</definedName>
    <definedName name="_xlnm.Print_Area" localSheetId="43">Landfill!$A$1:$K$45</definedName>
    <definedName name="_xlnm.Print_Area" localSheetId="15">'Large hydro power plant'!$A$1:$K$50</definedName>
    <definedName name="_xlnm.Print_Area" localSheetId="16">'Medium-small hydro power plant'!$A$1:$K$48</definedName>
    <definedName name="_xlnm.Print_Area" localSheetId="17">'Mini-micro hydro power plant'!$A$1:$K$48</definedName>
    <definedName name="_xlnm.Print_Area" localSheetId="42">'MSW incineration'!$A$1:$K$42</definedName>
    <definedName name="_xlnm.Print_Area" localSheetId="19">'Rooftop PV'!$A$1:$K$62</definedName>
    <definedName name="_xlnm.Print_Area" localSheetId="35">'SCGT (GAS)'!$A$1:$K$46</definedName>
    <definedName name="_xlnm.Print_Area" localSheetId="23">'Small wind onshore'!$A$1:$K$44</definedName>
    <definedName name="_xlnm.Print_Area" localSheetId="26">'Tidal Impoundment'!$A$1:$K$45</definedName>
    <definedName name="_xlnm.Print_Area" localSheetId="27">'Tidal Stream'!$A$1:$K$46</definedName>
    <definedName name="_xlnm.Print_Area" localSheetId="48">'Utility-scale Lithium-ion'!$A$1:$K$45</definedName>
    <definedName name="_xlnm.Print_Area" localSheetId="24">'Wind Offshore'!$A$1:$K$48</definedName>
    <definedName name="_xlnm.Print_Area" localSheetId="22">'Wind Onshore'!$A$1:$K$48</definedName>
    <definedName name="ProfileCost">'[8]UserSettings&amp;Results'!$E$41</definedName>
    <definedName name="qq" localSheetId="16">#REF!</definedName>
    <definedName name="qq" localSheetId="25">#REF!</definedName>
    <definedName name="qq">#REF!</definedName>
    <definedName name="qwee" hidden="1">[10]PkRp!#REF!</definedName>
    <definedName name="Reg_results_system_cost">'[6]ControlSheet-&gt;Balmorel Elements'!$D$93:$D$94</definedName>
    <definedName name="Regions">'[6]ControlSheet-&gt;Balmorel Elements'!$C$191:$C$291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16">#REF!</definedName>
    <definedName name="rr" localSheetId="25">#REF!</definedName>
    <definedName name="rr">#REF!</definedName>
    <definedName name="rule120">'[8]UserSettings&amp;Results'!$E$36</definedName>
    <definedName name="rule120factor">'[8]UserSettings&amp;Results'!$E$37</definedName>
    <definedName name="SAPBEXrevision" hidden="1">1</definedName>
    <definedName name="SAPBEXsysID" hidden="1">"PB1"</definedName>
    <definedName name="SAPBEXwbID" hidden="1">"41NCAAE5PJZ8D7N0HEXL0B90R"</definedName>
    <definedName name="Scenario">'[8]UserSettings&amp;Results'!$E$32</definedName>
    <definedName name="ScenarioDef">[8]Admin!$Q$3:$S$31</definedName>
    <definedName name="ScenarioNames">[8]Admin!$F$4:$F$42</definedName>
    <definedName name="Scenarios">'[6]ControlSheet-&gt;Balmorel Elements'!$B$2:$B$41</definedName>
    <definedName name="sim_year">[7]Map!$E$3</definedName>
    <definedName name="SIscenarioNames">[8]Admin!$I$4:$I$7</definedName>
    <definedName name="Start100" localSheetId="16">#REF!</definedName>
    <definedName name="Start100" localSheetId="25">#REF!</definedName>
    <definedName name="Start100">#REF!</definedName>
    <definedName name="Start101" localSheetId="16">#REF!</definedName>
    <definedName name="Start101" localSheetId="25">#REF!</definedName>
    <definedName name="Start101">#REF!</definedName>
    <definedName name="Start102" localSheetId="16">#REF!</definedName>
    <definedName name="Start102" localSheetId="25">#REF!</definedName>
    <definedName name="Start102">#REF!</definedName>
    <definedName name="Start103" localSheetId="16">#REF!</definedName>
    <definedName name="Start103" localSheetId="25">#REF!</definedName>
    <definedName name="Start103">#REF!</definedName>
    <definedName name="Start105" localSheetId="16">#REF!</definedName>
    <definedName name="Start105" localSheetId="25">#REF!</definedName>
    <definedName name="Start105">#REF!</definedName>
    <definedName name="Start106" localSheetId="16">#REF!</definedName>
    <definedName name="Start106" localSheetId="25">#REF!</definedName>
    <definedName name="Start106">#REF!</definedName>
    <definedName name="Start109" localSheetId="16">#REF!</definedName>
    <definedName name="Start109" localSheetId="25">#REF!</definedName>
    <definedName name="Start109">#REF!</definedName>
    <definedName name="Start110" localSheetId="16">#REF!</definedName>
    <definedName name="Start110" localSheetId="25">#REF!</definedName>
    <definedName name="Start110">#REF!</definedName>
    <definedName name="Start13" localSheetId="16">#REF!</definedName>
    <definedName name="Start13" localSheetId="25">#REF!</definedName>
    <definedName name="Start13">#REF!</definedName>
    <definedName name="Start14" localSheetId="16">#REF!</definedName>
    <definedName name="Start14" localSheetId="25">#REF!</definedName>
    <definedName name="Start14">#REF!</definedName>
    <definedName name="Start15" localSheetId="16">#REF!</definedName>
    <definedName name="Start15" localSheetId="25">#REF!</definedName>
    <definedName name="Start15">#REF!</definedName>
    <definedName name="Start16" localSheetId="16">#REF!</definedName>
    <definedName name="Start16" localSheetId="25">#REF!</definedName>
    <definedName name="Start16">#REF!</definedName>
    <definedName name="Start17" localSheetId="16">#REF!</definedName>
    <definedName name="Start17" localSheetId="25">#REF!</definedName>
    <definedName name="Start17">#REF!</definedName>
    <definedName name="Start18" localSheetId="16">#REF!</definedName>
    <definedName name="Start18" localSheetId="25">#REF!</definedName>
    <definedName name="Start18">#REF!</definedName>
    <definedName name="Start19" localSheetId="16">#REF!</definedName>
    <definedName name="Start19" localSheetId="25">#REF!</definedName>
    <definedName name="Start19">#REF!</definedName>
    <definedName name="Start20" localSheetId="16">#REF!</definedName>
    <definedName name="Start20" localSheetId="25">#REF!</definedName>
    <definedName name="Start20">#REF!</definedName>
    <definedName name="Start21" localSheetId="16">#REF!</definedName>
    <definedName name="Start21" localSheetId="25">#REF!</definedName>
    <definedName name="Start21">#REF!</definedName>
    <definedName name="Start22" localSheetId="16">#REF!</definedName>
    <definedName name="Start22" localSheetId="25">#REF!</definedName>
    <definedName name="Start22">#REF!</definedName>
    <definedName name="Start23" localSheetId="16">#REF!</definedName>
    <definedName name="Start23" localSheetId="25">#REF!</definedName>
    <definedName name="Start23">#REF!</definedName>
    <definedName name="Start24" localSheetId="16">#REF!</definedName>
    <definedName name="Start24" localSheetId="25">#REF!</definedName>
    <definedName name="Start24">#REF!</definedName>
    <definedName name="Start25" localSheetId="16">#REF!</definedName>
    <definedName name="Start25" localSheetId="25">#REF!</definedName>
    <definedName name="Start25">#REF!</definedName>
    <definedName name="Start26" localSheetId="16">#REF!</definedName>
    <definedName name="Start26" localSheetId="25">#REF!</definedName>
    <definedName name="Start26">#REF!</definedName>
    <definedName name="Start27" localSheetId="16">#REF!</definedName>
    <definedName name="Start27" localSheetId="25">#REF!</definedName>
    <definedName name="Start27">#REF!</definedName>
    <definedName name="Start28" localSheetId="16">#REF!</definedName>
    <definedName name="Start28" localSheetId="25">#REF!</definedName>
    <definedName name="Start28">#REF!</definedName>
    <definedName name="Start29" localSheetId="16">#REF!</definedName>
    <definedName name="Start29" localSheetId="25">#REF!</definedName>
    <definedName name="Start29">#REF!</definedName>
    <definedName name="Start30" localSheetId="16">#REF!</definedName>
    <definedName name="Start30" localSheetId="25">#REF!</definedName>
    <definedName name="Start30">#REF!</definedName>
    <definedName name="Start31" localSheetId="16">#REF!</definedName>
    <definedName name="Start31" localSheetId="25">#REF!</definedName>
    <definedName name="Start31">#REF!</definedName>
    <definedName name="Start32" localSheetId="16">#REF!</definedName>
    <definedName name="Start32" localSheetId="25">#REF!</definedName>
    <definedName name="Start32">#REF!</definedName>
    <definedName name="Start33" localSheetId="16">#REF!</definedName>
    <definedName name="Start33" localSheetId="25">#REF!</definedName>
    <definedName name="Start33">#REF!</definedName>
    <definedName name="Start34" localSheetId="16">#REF!</definedName>
    <definedName name="Start34" localSheetId="25">#REF!</definedName>
    <definedName name="Start34">#REF!</definedName>
    <definedName name="Start35" localSheetId="16">#REF!</definedName>
    <definedName name="Start35" localSheetId="25">#REF!</definedName>
    <definedName name="Start35">#REF!</definedName>
    <definedName name="Start36" localSheetId="16">#REF!</definedName>
    <definedName name="Start36" localSheetId="25">#REF!</definedName>
    <definedName name="Start36">#REF!</definedName>
    <definedName name="Start37" localSheetId="16">#REF!</definedName>
    <definedName name="Start37" localSheetId="25">#REF!</definedName>
    <definedName name="Start37">#REF!</definedName>
    <definedName name="Start38" localSheetId="16">#REF!</definedName>
    <definedName name="Start38" localSheetId="25">#REF!</definedName>
    <definedName name="Start38">#REF!</definedName>
    <definedName name="Start39" localSheetId="16">#REF!</definedName>
    <definedName name="Start39" localSheetId="25">#REF!</definedName>
    <definedName name="Start39">#REF!</definedName>
    <definedName name="Start40" localSheetId="16">#REF!</definedName>
    <definedName name="Start40" localSheetId="25">#REF!</definedName>
    <definedName name="Start40">#REF!</definedName>
    <definedName name="Start41" localSheetId="16">#REF!</definedName>
    <definedName name="Start41" localSheetId="25">#REF!</definedName>
    <definedName name="Start41">#REF!</definedName>
    <definedName name="Start42" localSheetId="16">#REF!</definedName>
    <definedName name="Start42" localSheetId="25">#REF!</definedName>
    <definedName name="Start42">#REF!</definedName>
    <definedName name="Start43" localSheetId="16">#REF!</definedName>
    <definedName name="Start43" localSheetId="25">#REF!</definedName>
    <definedName name="Start43">#REF!</definedName>
    <definedName name="Start44" localSheetId="16">#REF!</definedName>
    <definedName name="Start44" localSheetId="25">#REF!</definedName>
    <definedName name="Start44">#REF!</definedName>
    <definedName name="Start45" localSheetId="16">#REF!</definedName>
    <definedName name="Start45" localSheetId="25">#REF!</definedName>
    <definedName name="Start45">#REF!</definedName>
    <definedName name="Start46" localSheetId="16">#REF!</definedName>
    <definedName name="Start46" localSheetId="25">#REF!</definedName>
    <definedName name="Start46">#REF!</definedName>
    <definedName name="Start47" localSheetId="16">#REF!</definedName>
    <definedName name="Start47" localSheetId="25">#REF!</definedName>
    <definedName name="Start47">#REF!</definedName>
    <definedName name="TblCases">#REF!</definedName>
    <definedName name="TblConn">#REF!</definedName>
    <definedName name="Tech_fuel">'[6]ControlSheet-&gt;Balmorel Elements'!$L$2:$L$17</definedName>
    <definedName name="TechData">[8]TechData!$D$27:$AU$57</definedName>
    <definedName name="TechData_h">[8]TechData!$D$27:$AU$27</definedName>
    <definedName name="TechDataGross">[8]TechData!$D$61:$AU$1048576</definedName>
    <definedName name="TechDataNamesGross">[8]TechData!$G$64:$G$371</definedName>
    <definedName name="TechnologyCatalogueYears">_xlfn._xlws.FILTER('Background (from TC)'!$C$4:$C$1048576,'Background (from TC)'!$C$4:$C$1048576&lt;&gt;"")</definedName>
    <definedName name="TechScenario">'[8]UserSettings&amp;Results'!$E$33</definedName>
    <definedName name="TechScenarioNames">[8]Admin!$G$4:$G$7</definedName>
    <definedName name="TechYear">'[8]UserSettings&amp;Results'!$E$34</definedName>
    <definedName name="TechYears">[8]Admin!$L$4:$L$9</definedName>
    <definedName name="TestData">[8]TestTech!$D$27:$AU$57</definedName>
    <definedName name="TestTechDataGross">[8]TestTech!$D$62:$AU$1048576</definedName>
    <definedName name="TestTechNamesGross">[8]TestTech!$G$64:$G$389</definedName>
    <definedName name="TextRefCopyRangeCount" hidden="1">1</definedName>
    <definedName name="tt" localSheetId="16">#REF!</definedName>
    <definedName name="tt" localSheetId="25">#REF!</definedName>
    <definedName name="tt">#REF!</definedName>
    <definedName name="uk" hidden="1">#REF!</definedName>
    <definedName name="Unit_results_system_cost">'[6]ControlSheet-&gt;Balmorel Elements'!$F$93:$F$97</definedName>
    <definedName name="uu" localSheetId="16">#REF!</definedName>
    <definedName name="uu" localSheetId="25">#REF!</definedName>
    <definedName name="uu">#REF!</definedName>
    <definedName name="uuuuuuuuuuuuu" localSheetId="16">#REF!</definedName>
    <definedName name="uuuuuuuuuuuuu" localSheetId="25">#REF!</definedName>
    <definedName name="uuuuuuuuuuuuu">#REF!</definedName>
    <definedName name="wind_technology">IF([7]Map!A$15='[7]Control sheet'!$R$2,'[7]Control sheet'!$S$2:$S$6,IF([7]Map!A$15='[7]Control sheet'!$R$3,'[7]Control sheet'!$S$7:$S$11,IF([7]Map!A$15='[7]Control sheet'!$R$4,'[7]Control sheet'!$S$12:$S$14,IF([7]Map!A$15='[7]Control sheet'!$R$5,'[7]Control sheet'!$S$15:$S$17,'[7]Control sheet'!$S$2:$S$17))))</definedName>
    <definedName name="wind_types">'[7]Control sheet'!$R$2:$R$5</definedName>
    <definedName name="ww" localSheetId="16">#REF!</definedName>
    <definedName name="ww" localSheetId="25">#REF!</definedName>
    <definedName name="ww">#REF!</definedName>
    <definedName name="Years_Balmorel">'[6]ControlSheet-&gt;Balmorel Elements'!$C$2:$C$32</definedName>
    <definedName name="yy" localSheetId="16">#REF!</definedName>
    <definedName name="yy" localSheetId="25">#REF!</definedName>
    <definedName name="yy">#REF!</definedName>
    <definedName name="Z_FBE4F0C3_CBBF_4CF0_8D5E_05EE5C056A7A_.wvu.Cols" localSheetId="44" hidden="1">'Biogas power plant (small)'!#REF!</definedName>
    <definedName name="Z_FBE4F0C3_CBBF_4CF0_8D5E_05EE5C056A7A_.wvu.Cols" localSheetId="41" hidden="1">'Biomass power plant (small)'!#REF!</definedName>
    <definedName name="Z_FBE4F0C3_CBBF_4CF0_8D5E_05EE5C056A7A_.wvu.Cols" localSheetId="36" hidden="1">'CCGT (GAS)'!#REF!</definedName>
    <definedName name="Z_FBE4F0C3_CBBF_4CF0_8D5E_05EE5C056A7A_.wvu.Cols" localSheetId="40" hidden="1">'CCS - CCGT (GAS)'!#REF!</definedName>
    <definedName name="Z_FBE4F0C3_CBBF_4CF0_8D5E_05EE5C056A7A_.wvu.Cols" localSheetId="38" hidden="1">'CCS - Supercritical coal'!#REF!</definedName>
    <definedName name="Z_FBE4F0C3_CBBF_4CF0_8D5E_05EE5C056A7A_.wvu.Cols" localSheetId="28" hidden="1">'Coal Subcritical'!#REF!</definedName>
    <definedName name="Z_FBE4F0C3_CBBF_4CF0_8D5E_05EE5C056A7A_.wvu.Cols" localSheetId="29" hidden="1">'Coal Supercritical'!#REF!</definedName>
    <definedName name="Z_FBE4F0C3_CBBF_4CF0_8D5E_05EE5C056A7A_.wvu.Cols" localSheetId="30" hidden="1">'Coal Ultra supercritical'!#REF!</definedName>
    <definedName name="Z_FBE4F0C3_CBBF_4CF0_8D5E_05EE5C056A7A_.wvu.Cols" localSheetId="45" hidden="1">'Diesel power plant'!#REF!</definedName>
    <definedName name="Z_FBE4F0C3_CBBF_4CF0_8D5E_05EE5C056A7A_.wvu.Cols" localSheetId="21" hidden="1">'Floating PV'!#REF!</definedName>
    <definedName name="Z_FBE4F0C3_CBBF_4CF0_8D5E_05EE5C056A7A_.wvu.Cols" localSheetId="13" hidden="1">'Geothermal - large'!#REF!</definedName>
    <definedName name="Z_FBE4F0C3_CBBF_4CF0_8D5E_05EE5C056A7A_.wvu.Cols" localSheetId="14" hidden="1">'Geothermal - small'!#REF!</definedName>
    <definedName name="Z_FBE4F0C3_CBBF_4CF0_8D5E_05EE5C056A7A_.wvu.Cols" localSheetId="49" hidden="1">'Hydro pumped storage'!#REF!</definedName>
    <definedName name="Z_FBE4F0C3_CBBF_4CF0_8D5E_05EE5C056A7A_.wvu.Cols" localSheetId="20" hidden="1">'Industrial PV'!#REF!</definedName>
    <definedName name="Z_FBE4F0C3_CBBF_4CF0_8D5E_05EE5C056A7A_.wvu.Cols" localSheetId="43" hidden="1">Landfill!#REF!</definedName>
    <definedName name="Z_FBE4F0C3_CBBF_4CF0_8D5E_05EE5C056A7A_.wvu.Cols" localSheetId="15" hidden="1">'Large hydro power plant'!#REF!</definedName>
    <definedName name="Z_FBE4F0C3_CBBF_4CF0_8D5E_05EE5C056A7A_.wvu.Cols" localSheetId="16" hidden="1">'Medium-small hydro power plant'!#REF!</definedName>
    <definedName name="Z_FBE4F0C3_CBBF_4CF0_8D5E_05EE5C056A7A_.wvu.Cols" localSheetId="17" hidden="1">'Mini-micro hydro power plant'!#REF!</definedName>
    <definedName name="Z_FBE4F0C3_CBBF_4CF0_8D5E_05EE5C056A7A_.wvu.Cols" localSheetId="42" hidden="1">'MSW incineration'!#REF!</definedName>
    <definedName name="Z_FBE4F0C3_CBBF_4CF0_8D5E_05EE5C056A7A_.wvu.Cols" localSheetId="19" hidden="1">'Rooftop PV'!#REF!</definedName>
    <definedName name="Z_FBE4F0C3_CBBF_4CF0_8D5E_05EE5C056A7A_.wvu.Cols" localSheetId="35" hidden="1">'SCGT (GAS)'!#REF!</definedName>
    <definedName name="Z_FBE4F0C3_CBBF_4CF0_8D5E_05EE5C056A7A_.wvu.Cols" localSheetId="23" hidden="1">'Small wind onshore'!#REF!</definedName>
    <definedName name="Z_FBE4F0C3_CBBF_4CF0_8D5E_05EE5C056A7A_.wvu.Cols" localSheetId="26" hidden="1">'Tidal Impoundment'!#REF!</definedName>
    <definedName name="Z_FBE4F0C3_CBBF_4CF0_8D5E_05EE5C056A7A_.wvu.Cols" localSheetId="27" hidden="1">'Tidal Stream'!#REF!</definedName>
    <definedName name="Z_FBE4F0C3_CBBF_4CF0_8D5E_05EE5C056A7A_.wvu.Cols" localSheetId="48" hidden="1">'Utility-scale Lithium-ion'!#REF!</definedName>
    <definedName name="Z_FBE4F0C3_CBBF_4CF0_8D5E_05EE5C056A7A_.wvu.Cols" localSheetId="24" hidden="1">'Wind Offshore'!#REF!</definedName>
    <definedName name="Z_FBE4F0C3_CBBF_4CF0_8D5E_05EE5C056A7A_.wvu.Cols" localSheetId="22" hidden="1">'Wind Onshore'!#REF!</definedName>
    <definedName name="Z_FBE4F0C3_CBBF_4CF0_8D5E_05EE5C056A7A_.wvu.PrintArea" localSheetId="44" hidden="1">'Biogas power plant (small)'!$A$1:$K$37</definedName>
    <definedName name="Z_FBE4F0C3_CBBF_4CF0_8D5E_05EE5C056A7A_.wvu.PrintArea" localSheetId="41" hidden="1">'Biomass power plant (small)'!$A$1:$K$37</definedName>
    <definedName name="Z_FBE4F0C3_CBBF_4CF0_8D5E_05EE5C056A7A_.wvu.PrintArea" localSheetId="36" hidden="1">'CCGT (GAS)'!$A$1:$K$37</definedName>
    <definedName name="Z_FBE4F0C3_CBBF_4CF0_8D5E_05EE5C056A7A_.wvu.PrintArea" localSheetId="40" hidden="1">'CCS - CCGT (GAS)'!$A$1:$K$37</definedName>
    <definedName name="Z_FBE4F0C3_CBBF_4CF0_8D5E_05EE5C056A7A_.wvu.PrintArea" localSheetId="38" hidden="1">'CCS - Supercritical coal'!$A$1:$K$37</definedName>
    <definedName name="Z_FBE4F0C3_CBBF_4CF0_8D5E_05EE5C056A7A_.wvu.PrintArea" localSheetId="28" hidden="1">'Coal Subcritical'!$A$1:$K$37</definedName>
    <definedName name="Z_FBE4F0C3_CBBF_4CF0_8D5E_05EE5C056A7A_.wvu.PrintArea" localSheetId="29" hidden="1">'Coal Supercritical'!$A$1:$K$37</definedName>
    <definedName name="Z_FBE4F0C3_CBBF_4CF0_8D5E_05EE5C056A7A_.wvu.PrintArea" localSheetId="30" hidden="1">'Coal Ultra supercritical'!$A$1:$K$37</definedName>
    <definedName name="Z_FBE4F0C3_CBBF_4CF0_8D5E_05EE5C056A7A_.wvu.PrintArea" localSheetId="45" hidden="1">'Diesel power plant'!$A$1:$K$38</definedName>
    <definedName name="Z_FBE4F0C3_CBBF_4CF0_8D5E_05EE5C056A7A_.wvu.PrintArea" localSheetId="21" hidden="1">'Floating PV'!$A$1:$K$52</definedName>
    <definedName name="Z_FBE4F0C3_CBBF_4CF0_8D5E_05EE5C056A7A_.wvu.PrintArea" localSheetId="13" hidden="1">'Geothermal - large'!$A$1:$K$40</definedName>
    <definedName name="Z_FBE4F0C3_CBBF_4CF0_8D5E_05EE5C056A7A_.wvu.PrintArea" localSheetId="14" hidden="1">'Geothermal - small'!$A$1:$K$40</definedName>
    <definedName name="Z_FBE4F0C3_CBBF_4CF0_8D5E_05EE5C056A7A_.wvu.PrintArea" localSheetId="49" hidden="1">'Hydro pumped storage'!$A$1:$K$40</definedName>
    <definedName name="Z_FBE4F0C3_CBBF_4CF0_8D5E_05EE5C056A7A_.wvu.PrintArea" localSheetId="20" hidden="1">'Industrial PV'!$A$1:$K$52</definedName>
    <definedName name="Z_FBE4F0C3_CBBF_4CF0_8D5E_05EE5C056A7A_.wvu.PrintArea" localSheetId="43" hidden="1">Landfill!$A$1:$K$39</definedName>
    <definedName name="Z_FBE4F0C3_CBBF_4CF0_8D5E_05EE5C056A7A_.wvu.PrintArea" localSheetId="15" hidden="1">'Large hydro power plant'!$A$1:$K$37</definedName>
    <definedName name="Z_FBE4F0C3_CBBF_4CF0_8D5E_05EE5C056A7A_.wvu.PrintArea" localSheetId="16" hidden="1">'Medium-small hydro power plant'!$A$1:$K$37</definedName>
    <definedName name="Z_FBE4F0C3_CBBF_4CF0_8D5E_05EE5C056A7A_.wvu.PrintArea" localSheetId="17" hidden="1">'Mini-micro hydro power plant'!$A$1:$K$37</definedName>
    <definedName name="Z_FBE4F0C3_CBBF_4CF0_8D5E_05EE5C056A7A_.wvu.PrintArea" localSheetId="42" hidden="1">'MSW incineration'!$A$1:$K$40</definedName>
    <definedName name="Z_FBE4F0C3_CBBF_4CF0_8D5E_05EE5C056A7A_.wvu.PrintArea" localSheetId="19" hidden="1">'Rooftop PV'!$A$1:$K$52</definedName>
    <definedName name="Z_FBE4F0C3_CBBF_4CF0_8D5E_05EE5C056A7A_.wvu.PrintArea" localSheetId="35" hidden="1">'SCGT (GAS)'!$A$1:$K$37</definedName>
    <definedName name="Z_FBE4F0C3_CBBF_4CF0_8D5E_05EE5C056A7A_.wvu.PrintArea" localSheetId="23" hidden="1">'Small wind onshore'!$A$1:$K$37</definedName>
    <definedName name="Z_FBE4F0C3_CBBF_4CF0_8D5E_05EE5C056A7A_.wvu.PrintArea" localSheetId="26" hidden="1">'Tidal Impoundment'!$A$1:$K$39</definedName>
    <definedName name="Z_FBE4F0C3_CBBF_4CF0_8D5E_05EE5C056A7A_.wvu.PrintArea" localSheetId="27" hidden="1">'Tidal Stream'!$A$1:$K$39</definedName>
    <definedName name="Z_FBE4F0C3_CBBF_4CF0_8D5E_05EE5C056A7A_.wvu.PrintArea" localSheetId="48" hidden="1">'Utility-scale Lithium-ion'!$A$1:$K$28</definedName>
    <definedName name="Z_FBE4F0C3_CBBF_4CF0_8D5E_05EE5C056A7A_.wvu.PrintArea" localSheetId="24" hidden="1">'Wind Offshore'!$A$1:$K$40</definedName>
    <definedName name="Z_FBE4F0C3_CBBF_4CF0_8D5E_05EE5C056A7A_.wvu.PrintArea" localSheetId="22" hidden="1">'Wind Onshore'!$A$1:$K$38</definedName>
  </definedNames>
  <calcPr calcId="191028"/>
  <pivotCaches>
    <pivotCache cacheId="0" r:id="rId72"/>
    <pivotCache cacheId="1" r:id="rId73"/>
    <pivotCache cacheId="2" r:id="rId74"/>
    <pivotCache cacheId="3" r:id="rId75"/>
    <pivotCache cacheId="4" r:id="rId76"/>
    <pivotCache cacheId="5" r:id="rId77"/>
    <pivotCache cacheId="6" r:id="rId78"/>
    <pivotCache cacheId="7" r:id="rId79"/>
    <pivotCache cacheId="8" r:id="rId80"/>
    <pivotCache cacheId="9" r:id="rId81"/>
    <pivotCache cacheId="10" r:id="rId82"/>
    <pivotCache cacheId="11" r:id="rId83"/>
    <pivotCache cacheId="12" r:id="rId84"/>
    <pivotCache cacheId="13" r:id="rId85"/>
    <pivotCache cacheId="14" r:id="rId86"/>
    <pivotCache cacheId="15" r:id="rId87"/>
    <pivotCache cacheId="16" r:id="rId88"/>
    <pivotCache cacheId="17" r:id="rId89"/>
    <pivotCache cacheId="18" r:id="rId90"/>
    <pivotCache cacheId="19" r:id="rId91"/>
    <pivotCache cacheId="20" r:id="rId92"/>
    <pivotCache cacheId="21" r:id="rId93"/>
    <pivotCache cacheId="22" r:id="rId94"/>
    <pivotCache cacheId="23" r:id="rId95"/>
    <pivotCache cacheId="24" r:id="rId96"/>
    <pivotCache cacheId="25" r:id="rId97"/>
    <pivotCache cacheId="26" r:id="rId98"/>
    <pivotCache cacheId="27" r:id="rId99"/>
    <pivotCache cacheId="28" r:id="rId100"/>
    <pivotCache cacheId="29" r:id="rId101"/>
    <pivotCache cacheId="30" r:id="rId102"/>
    <pivotCache cacheId="31" r:id="rId103"/>
    <pivotCache cacheId="32" r:id="rId10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X2" i="6845" l="1"/>
  <c r="BW2" i="6845"/>
  <c r="BV2" i="6845"/>
  <c r="BU2" i="6845"/>
  <c r="BT2" i="6845"/>
  <c r="BS2" i="6845"/>
  <c r="BR2" i="6845"/>
  <c r="BQ2" i="6845"/>
  <c r="BP2" i="6845"/>
  <c r="BO2" i="6845"/>
  <c r="BN2" i="6845"/>
  <c r="BM2" i="6845"/>
  <c r="BL2" i="6845"/>
  <c r="BK2" i="6845"/>
  <c r="BJ2" i="6845"/>
  <c r="BI2" i="6845"/>
  <c r="BH2" i="6845"/>
  <c r="BG2" i="6845"/>
  <c r="BF2" i="6845"/>
  <c r="M96" i="6884" s="1"/>
  <c r="BE2" i="6845"/>
  <c r="BD2" i="6845"/>
  <c r="BC2" i="6845"/>
  <c r="BB2" i="6845"/>
  <c r="M13" i="6884" s="1"/>
  <c r="BA2" i="6845"/>
  <c r="AZ2" i="6845"/>
  <c r="M43" i="6884" s="1"/>
  <c r="AY2" i="6845"/>
  <c r="M9" i="6884" s="1"/>
  <c r="AX2" i="6845"/>
  <c r="AW2" i="6845"/>
  <c r="M25" i="6884" s="1"/>
  <c r="AV2" i="6845"/>
  <c r="AU2" i="6845"/>
  <c r="M36" i="6884" s="1"/>
  <c r="AT2" i="6845"/>
  <c r="AS2" i="6845"/>
  <c r="AR2" i="6845"/>
  <c r="AQ2" i="6845"/>
  <c r="AP2" i="6845"/>
  <c r="AO2" i="6845"/>
  <c r="M87" i="6884"/>
  <c r="M86" i="6884"/>
  <c r="M85" i="6884"/>
  <c r="M84" i="6884"/>
  <c r="M83" i="6884"/>
  <c r="M82" i="6884"/>
  <c r="M81" i="6884"/>
  <c r="M80" i="6884"/>
  <c r="M79" i="6884"/>
  <c r="M48" i="6884"/>
  <c r="M47" i="6884"/>
  <c r="M46" i="6884"/>
  <c r="M45" i="6884"/>
  <c r="M44" i="6884"/>
  <c r="M31" i="6884"/>
  <c r="M29" i="6884"/>
  <c r="M28" i="6884"/>
  <c r="M27" i="6884"/>
  <c r="M26" i="6884"/>
  <c r="M18" i="6884"/>
  <c r="M17" i="6884"/>
  <c r="M16" i="6884"/>
  <c r="M15" i="6884"/>
  <c r="M14" i="6884"/>
  <c r="M10" i="6884"/>
  <c r="M8" i="6884"/>
  <c r="M7" i="6884"/>
  <c r="M6" i="6884"/>
  <c r="M5" i="6884"/>
  <c r="M4" i="6884"/>
  <c r="L140" i="6884"/>
  <c r="L139" i="6884"/>
  <c r="L138" i="6884"/>
  <c r="L137" i="6884"/>
  <c r="L136" i="6884"/>
  <c r="L135" i="6884"/>
  <c r="L111" i="6884"/>
  <c r="L110" i="6884"/>
  <c r="L109" i="6884"/>
  <c r="L106" i="6884"/>
  <c r="L105" i="6884"/>
  <c r="L104" i="6884"/>
  <c r="L101" i="6884"/>
  <c r="L100" i="6884"/>
  <c r="L99" i="6884"/>
  <c r="L73" i="6884" a="1"/>
  <c r="L73" i="6884" s="1"/>
  <c r="L70" i="6884" a="1"/>
  <c r="L70" i="6884" s="1"/>
  <c r="L67" i="6884" a="1"/>
  <c r="L67" i="6884" s="1"/>
  <c r="M95" i="6884" l="1"/>
  <c r="M30" i="6884"/>
  <c r="M20" i="6884"/>
  <c r="M32" i="6884"/>
  <c r="M33" i="6884"/>
  <c r="M34" i="6884"/>
  <c r="M11" i="6884"/>
  <c r="M23" i="6884"/>
  <c r="M35" i="6884"/>
  <c r="M94" i="6884"/>
  <c r="M19" i="6884"/>
  <c r="M97" i="6884"/>
  <c r="M98" i="6884"/>
  <c r="M22" i="6884"/>
  <c r="M12" i="6884"/>
  <c r="M24" i="6884"/>
  <c r="M21" i="6884"/>
  <c r="L134" i="6884"/>
  <c r="L133" i="6884"/>
  <c r="L132" i="6884"/>
  <c r="L131" i="6884"/>
  <c r="L130" i="6884"/>
  <c r="L129" i="6884"/>
  <c r="L128" i="6884"/>
  <c r="L127" i="6884"/>
  <c r="L126" i="6884"/>
  <c r="L125" i="6884"/>
  <c r="L124" i="6884"/>
  <c r="L123" i="6884"/>
  <c r="L122" i="6884"/>
  <c r="L121" i="6884"/>
  <c r="L120" i="6884"/>
  <c r="L119" i="6884"/>
  <c r="L118" i="6884"/>
  <c r="L117" i="6884"/>
  <c r="L116" i="6884"/>
  <c r="L115" i="6884"/>
  <c r="L114" i="6884"/>
  <c r="L113" i="6884"/>
  <c r="L112" i="6884"/>
  <c r="L108" i="6884"/>
  <c r="L107" i="6884"/>
  <c r="L103" i="6884"/>
  <c r="L102" i="6884"/>
  <c r="L98" i="6884"/>
  <c r="L97" i="6884"/>
  <c r="L96" i="6884"/>
  <c r="L95" i="6884"/>
  <c r="L94" i="6884"/>
  <c r="L93" i="6884"/>
  <c r="L92" i="6884"/>
  <c r="L91" i="6884"/>
  <c r="L90" i="6884"/>
  <c r="L89" i="6884"/>
  <c r="L88" i="6884"/>
  <c r="L87" i="6884"/>
  <c r="L86" i="6884"/>
  <c r="L85" i="6884"/>
  <c r="L84" i="6884"/>
  <c r="L83" i="6884"/>
  <c r="L82" i="6884"/>
  <c r="L81" i="6884"/>
  <c r="L80" i="6884"/>
  <c r="L79" i="6884"/>
  <c r="L78" i="6884"/>
  <c r="L77" i="6884"/>
  <c r="L76" i="6884"/>
  <c r="L66" i="6884"/>
  <c r="L65" i="6884"/>
  <c r="L64" i="6884"/>
  <c r="L63" i="6884"/>
  <c r="L62" i="6884"/>
  <c r="L61" i="6884"/>
  <c r="L60" i="6884"/>
  <c r="L59" i="6884"/>
  <c r="L58" i="6884"/>
  <c r="L57" i="6884"/>
  <c r="L56" i="6884"/>
  <c r="L55" i="6884"/>
  <c r="L54" i="6884"/>
  <c r="L53" i="6884"/>
  <c r="L52" i="6884"/>
  <c r="L51" i="6884"/>
  <c r="L50" i="6884"/>
  <c r="L49" i="6884"/>
  <c r="L48" i="6884"/>
  <c r="L47" i="6884"/>
  <c r="L46" i="6884"/>
  <c r="L45" i="6884"/>
  <c r="L44" i="6884"/>
  <c r="L43" i="6884"/>
  <c r="L42" i="6884"/>
  <c r="L41" i="6884"/>
  <c r="L40" i="6884"/>
  <c r="L39" i="6884"/>
  <c r="L38" i="6884"/>
  <c r="L37" i="6884"/>
  <c r="L36" i="6884"/>
  <c r="L35" i="6884"/>
  <c r="L34" i="6884"/>
  <c r="L33" i="6884"/>
  <c r="L32" i="6884"/>
  <c r="L31" i="6884"/>
  <c r="L30" i="6884"/>
  <c r="L29" i="6884"/>
  <c r="L28" i="6884"/>
  <c r="L27" i="6884"/>
  <c r="L26" i="6884"/>
  <c r="L25" i="6884"/>
  <c r="L24" i="6884"/>
  <c r="L23" i="6884"/>
  <c r="L22" i="6884"/>
  <c r="L21" i="6884"/>
  <c r="L20" i="6884"/>
  <c r="L19" i="6884"/>
  <c r="L18" i="6884"/>
  <c r="L17" i="6884"/>
  <c r="L16" i="6884"/>
  <c r="L15" i="6884"/>
  <c r="L14" i="6884"/>
  <c r="L13" i="6884"/>
  <c r="L12" i="6884"/>
  <c r="L11" i="6884"/>
  <c r="L10" i="6884"/>
  <c r="L9" i="6884"/>
  <c r="L8" i="6884"/>
  <c r="L7" i="6884"/>
  <c r="L6" i="6884"/>
  <c r="L5" i="6884"/>
  <c r="L4" i="6884"/>
  <c r="B102" i="7000" l="1"/>
  <c r="B102" i="7047"/>
  <c r="B102" i="6999"/>
  <c r="O123" i="6884" a="1"/>
  <c r="O123" i="6884" s="1"/>
  <c r="P123" i="6884" a="1"/>
  <c r="P123" i="6884" s="1"/>
  <c r="O120" i="6884" a="1"/>
  <c r="O120" i="6884" s="1"/>
  <c r="O117" i="6884" a="1"/>
  <c r="O117" i="6884" s="1"/>
  <c r="O114" i="6884" a="1"/>
  <c r="O114" i="6884" s="1"/>
  <c r="P114" i="6884" a="1"/>
  <c r="P114" i="6884" s="1"/>
  <c r="O112" i="6884" a="1"/>
  <c r="O112" i="6884" s="1"/>
  <c r="O132" i="6884" s="1"/>
  <c r="P112" i="6884" a="1"/>
  <c r="P112" i="6884" s="1"/>
  <c r="O109" i="6884" a="1"/>
  <c r="O109" i="6884" s="1"/>
  <c r="P109" i="6884" a="1"/>
  <c r="P109" i="6884" s="1"/>
  <c r="O107" i="6884" a="1"/>
  <c r="O107" i="6884" s="1"/>
  <c r="O130" i="6884" s="1"/>
  <c r="P107" i="6884" a="1"/>
  <c r="P107" i="6884" s="1"/>
  <c r="P104" i="6884" a="1"/>
  <c r="P104" i="6884" s="1"/>
  <c r="O104" i="6884" a="1"/>
  <c r="O104" i="6884" s="1"/>
  <c r="O102" i="6884" a="1"/>
  <c r="O102" i="6884" s="1"/>
  <c r="O134" i="6884" s="1"/>
  <c r="O99" i="6884" a="1"/>
  <c r="O99" i="6884" s="1"/>
  <c r="O97" i="6884" a="1"/>
  <c r="O97" i="6884" s="1"/>
  <c r="O94" i="6884" a="1"/>
  <c r="O94" i="6884" s="1"/>
  <c r="P94" i="6884" a="1"/>
  <c r="P94" i="6884" s="1"/>
  <c r="O91" i="6884" a="1"/>
  <c r="O91" i="6884" s="1"/>
  <c r="O88" i="6884" a="1"/>
  <c r="O88" i="6884" s="1"/>
  <c r="O85" i="6884" a="1"/>
  <c r="O85" i="6884" s="1"/>
  <c r="O82" i="6884" a="1"/>
  <c r="O82" i="6884" s="1"/>
  <c r="O79" i="6884" a="1"/>
  <c r="O79" i="6884" s="1"/>
  <c r="P79" i="6884" a="1"/>
  <c r="P79" i="6884" s="1"/>
  <c r="O76" i="6884" a="1"/>
  <c r="O76" i="6884" s="1"/>
  <c r="O73" i="6884" a="1"/>
  <c r="O73" i="6884" s="1"/>
  <c r="P73" i="6884" a="1"/>
  <c r="P73" i="6884" s="1"/>
  <c r="O70" i="6884" a="1"/>
  <c r="O70" i="6884" s="1"/>
  <c r="O138" i="6884" s="1"/>
  <c r="O67" i="6884" a="1"/>
  <c r="O67" i="6884" s="1"/>
  <c r="O135" i="6884" s="1"/>
  <c r="O64" i="6884" a="1"/>
  <c r="O64" i="6884" s="1"/>
  <c r="O127" i="6884" s="1"/>
  <c r="O61" i="6884" a="1"/>
  <c r="O61" i="6884" s="1"/>
  <c r="O58" i="6884" a="1"/>
  <c r="O58" i="6884" s="1"/>
  <c r="O55" i="6884" a="1"/>
  <c r="O55" i="6884" s="1"/>
  <c r="O52" i="6884" a="1"/>
  <c r="O52" i="6884" s="1"/>
  <c r="O126" i="6884" s="1"/>
  <c r="O49" i="6884" a="1"/>
  <c r="O49" i="6884" s="1"/>
  <c r="O46" i="6884" a="1"/>
  <c r="O46" i="6884" s="1"/>
  <c r="O43" i="6884" a="1"/>
  <c r="O43" i="6884" s="1"/>
  <c r="O40" i="6884" a="1"/>
  <c r="O40" i="6884" s="1"/>
  <c r="O37" i="6884" a="1"/>
  <c r="O37" i="6884" s="1"/>
  <c r="O34" i="6884" a="1"/>
  <c r="O34" i="6884" s="1"/>
  <c r="O31" i="6884" a="1"/>
  <c r="O31" i="6884" s="1"/>
  <c r="O28" i="6884" a="1"/>
  <c r="O28" i="6884" s="1"/>
  <c r="O25" i="6884" a="1"/>
  <c r="O25" i="6884" s="1"/>
  <c r="O22" i="6884" a="1"/>
  <c r="O22" i="6884" s="1"/>
  <c r="O19" i="6884" a="1"/>
  <c r="O19" i="6884" s="1"/>
  <c r="O16" i="6884" a="1"/>
  <c r="O16" i="6884" s="1"/>
  <c r="O13" i="6884" a="1"/>
  <c r="O13" i="6884" s="1"/>
  <c r="O10" i="6884" a="1"/>
  <c r="O10" i="6884" s="1"/>
  <c r="O7" i="6884" a="1"/>
  <c r="O7" i="6884" s="1"/>
  <c r="O4" i="6884" a="1"/>
  <c r="O4" i="6884" s="1"/>
  <c r="S97" i="6884" a="1"/>
  <c r="S97" i="6884" s="1"/>
  <c r="R97" i="6884" a="1"/>
  <c r="R97" i="6884" s="1"/>
  <c r="Q97" i="6884" a="1"/>
  <c r="Q97" i="6884" s="1"/>
  <c r="P97" i="6884" a="1"/>
  <c r="P97" i="6884" s="1"/>
  <c r="J97" i="6884" a="1"/>
  <c r="J97" i="6884" s="1"/>
  <c r="I97" i="6884" a="1"/>
  <c r="I97" i="6884" s="1"/>
  <c r="H97" i="6884" a="1"/>
  <c r="H97" i="6884" s="1"/>
  <c r="G97" i="6884" a="1"/>
  <c r="G97" i="6884" s="1"/>
  <c r="Z83" i="7074"/>
  <c r="Y83" i="7074"/>
  <c r="X83" i="7074"/>
  <c r="W83" i="7074"/>
  <c r="V83" i="7074"/>
  <c r="U83" i="7074"/>
  <c r="T83" i="7074"/>
  <c r="S83" i="7074"/>
  <c r="R83" i="7074"/>
  <c r="Q83" i="7074"/>
  <c r="P83" i="7074"/>
  <c r="O83" i="7074"/>
  <c r="N83" i="7074"/>
  <c r="M83" i="7074"/>
  <c r="L83" i="7074"/>
  <c r="K83" i="7074"/>
  <c r="J83" i="7074"/>
  <c r="I83" i="7074"/>
  <c r="H83" i="7074"/>
  <c r="G83" i="7074"/>
  <c r="F83" i="7074"/>
  <c r="E83" i="7074"/>
  <c r="Z82" i="7074"/>
  <c r="Y82" i="7074"/>
  <c r="X82" i="7074"/>
  <c r="W82" i="7074"/>
  <c r="V82" i="7074"/>
  <c r="U82" i="7074"/>
  <c r="T82" i="7074"/>
  <c r="S82" i="7074"/>
  <c r="R82" i="7074"/>
  <c r="Q82" i="7074"/>
  <c r="P82" i="7074"/>
  <c r="O82" i="7074"/>
  <c r="N82" i="7074"/>
  <c r="M82" i="7074"/>
  <c r="L82" i="7074"/>
  <c r="K82" i="7074"/>
  <c r="J82" i="7074"/>
  <c r="I82" i="7074"/>
  <c r="H82" i="7074"/>
  <c r="G82" i="7074"/>
  <c r="F82" i="7074"/>
  <c r="E82" i="7074"/>
  <c r="Z81" i="7074"/>
  <c r="Y81" i="7074"/>
  <c r="X81" i="7074"/>
  <c r="W81" i="7074"/>
  <c r="V81" i="7074"/>
  <c r="U81" i="7074"/>
  <c r="T81" i="7074"/>
  <c r="S81" i="7074"/>
  <c r="R81" i="7074"/>
  <c r="Q81" i="7074"/>
  <c r="P81" i="7074"/>
  <c r="O81" i="7074"/>
  <c r="N81" i="7074"/>
  <c r="M81" i="7074"/>
  <c r="L81" i="7074"/>
  <c r="K81" i="7074"/>
  <c r="J81" i="7074"/>
  <c r="I81" i="7074"/>
  <c r="H81" i="7074"/>
  <c r="G81" i="7074"/>
  <c r="F81" i="7074"/>
  <c r="E81" i="7074"/>
  <c r="Z80" i="7074"/>
  <c r="Y80" i="7074"/>
  <c r="X80" i="7074"/>
  <c r="W80" i="7074"/>
  <c r="V80" i="7074"/>
  <c r="U80" i="7074"/>
  <c r="T80" i="7074"/>
  <c r="S80" i="7074"/>
  <c r="R80" i="7074"/>
  <c r="Q80" i="7074"/>
  <c r="P80" i="7074"/>
  <c r="O80" i="7074"/>
  <c r="N80" i="7074"/>
  <c r="M80" i="7074"/>
  <c r="L80" i="7074"/>
  <c r="K80" i="7074"/>
  <c r="J80" i="7074"/>
  <c r="I80" i="7074"/>
  <c r="H80" i="7074"/>
  <c r="G80" i="7074"/>
  <c r="F80" i="7074"/>
  <c r="E80" i="7074"/>
  <c r="Z79" i="7074"/>
  <c r="Y79" i="7074"/>
  <c r="X79" i="7074"/>
  <c r="W79" i="7074"/>
  <c r="V79" i="7074"/>
  <c r="U79" i="7074"/>
  <c r="T79" i="7074"/>
  <c r="S79" i="7074"/>
  <c r="R79" i="7074"/>
  <c r="Q79" i="7074"/>
  <c r="P79" i="7074"/>
  <c r="O79" i="7074"/>
  <c r="N79" i="7074"/>
  <c r="M79" i="7074"/>
  <c r="L79" i="7074"/>
  <c r="K79" i="7074"/>
  <c r="J79" i="7074"/>
  <c r="I79" i="7074"/>
  <c r="H79" i="7074"/>
  <c r="G79" i="7074"/>
  <c r="F79" i="7074"/>
  <c r="E79" i="7074"/>
  <c r="Z78" i="7074"/>
  <c r="Y78" i="7074"/>
  <c r="X78" i="7074"/>
  <c r="W78" i="7074"/>
  <c r="V78" i="7074"/>
  <c r="U78" i="7074"/>
  <c r="T78" i="7074"/>
  <c r="S78" i="7074"/>
  <c r="R78" i="7074"/>
  <c r="Q78" i="7074"/>
  <c r="P78" i="7074"/>
  <c r="O78" i="7074"/>
  <c r="N78" i="7074"/>
  <c r="M78" i="7074"/>
  <c r="L78" i="7074"/>
  <c r="K78" i="7074"/>
  <c r="J78" i="7074"/>
  <c r="I78" i="7074"/>
  <c r="H78" i="7074"/>
  <c r="G78" i="7074"/>
  <c r="F78" i="7074"/>
  <c r="E78" i="7074"/>
  <c r="Z62" i="7074"/>
  <c r="Y62" i="7074"/>
  <c r="X62" i="7074"/>
  <c r="W62" i="7074"/>
  <c r="V62" i="7074"/>
  <c r="U62" i="7074"/>
  <c r="T62" i="7074"/>
  <c r="S62" i="7074"/>
  <c r="R62" i="7074"/>
  <c r="Q62" i="7074"/>
  <c r="P62" i="7074"/>
  <c r="O62" i="7074"/>
  <c r="N62" i="7074"/>
  <c r="M62" i="7074"/>
  <c r="L62" i="7074"/>
  <c r="K62" i="7074"/>
  <c r="J62" i="7074"/>
  <c r="I62" i="7074"/>
  <c r="H62" i="7074"/>
  <c r="G62" i="7074"/>
  <c r="F62" i="7074"/>
  <c r="E62" i="7074"/>
  <c r="Z61" i="7074"/>
  <c r="Y61" i="7074"/>
  <c r="X61" i="7074"/>
  <c r="W61" i="7074"/>
  <c r="V61" i="7074"/>
  <c r="U61" i="7074"/>
  <c r="T61" i="7074"/>
  <c r="S61" i="7074"/>
  <c r="R61" i="7074"/>
  <c r="Q61" i="7074"/>
  <c r="P61" i="7074"/>
  <c r="O61" i="7074"/>
  <c r="N61" i="7074"/>
  <c r="M61" i="7074"/>
  <c r="L61" i="7074"/>
  <c r="K61" i="7074"/>
  <c r="J61" i="7074"/>
  <c r="I61" i="7074"/>
  <c r="H61" i="7074"/>
  <c r="G61" i="7074"/>
  <c r="F61" i="7074"/>
  <c r="E61" i="7074"/>
  <c r="Z60" i="7074"/>
  <c r="Z63" i="7074" s="1"/>
  <c r="Y60" i="7074"/>
  <c r="Y63" i="7074" s="1"/>
  <c r="X60" i="7074"/>
  <c r="X63" i="7074" s="1"/>
  <c r="W60" i="7074"/>
  <c r="W63" i="7074" s="1"/>
  <c r="V60" i="7074"/>
  <c r="V63" i="7074" s="1"/>
  <c r="U60" i="7074"/>
  <c r="U63" i="7074" s="1"/>
  <c r="T60" i="7074"/>
  <c r="T63" i="7074" s="1"/>
  <c r="S60" i="7074"/>
  <c r="S63" i="7074" s="1"/>
  <c r="R60" i="7074"/>
  <c r="R63" i="7074" s="1"/>
  <c r="Q60" i="7074"/>
  <c r="Q63" i="7074" s="1"/>
  <c r="P60" i="7074"/>
  <c r="P63" i="7074" s="1"/>
  <c r="O60" i="7074"/>
  <c r="O63" i="7074" s="1"/>
  <c r="N60" i="7074"/>
  <c r="N63" i="7074" s="1"/>
  <c r="M60" i="7074"/>
  <c r="M63" i="7074" s="1"/>
  <c r="L60" i="7074"/>
  <c r="L63" i="7074" s="1"/>
  <c r="K60" i="7074"/>
  <c r="K63" i="7074" s="1"/>
  <c r="J60" i="7074"/>
  <c r="J63" i="7074" s="1"/>
  <c r="I60" i="7074"/>
  <c r="I63" i="7074" s="1"/>
  <c r="H60" i="7074"/>
  <c r="H63" i="7074" s="1"/>
  <c r="G60" i="7074"/>
  <c r="G63" i="7074" s="1"/>
  <c r="F60" i="7074"/>
  <c r="F63" i="7074" s="1"/>
  <c r="E60" i="7074"/>
  <c r="E63" i="7074" s="1"/>
  <c r="Z55" i="7074"/>
  <c r="Y55" i="7074"/>
  <c r="X55" i="7074"/>
  <c r="W55" i="7074"/>
  <c r="V55" i="7074"/>
  <c r="U55" i="7074"/>
  <c r="T55" i="7074"/>
  <c r="S55" i="7074"/>
  <c r="R55" i="7074"/>
  <c r="Q55" i="7074"/>
  <c r="P55" i="7074"/>
  <c r="O55" i="7074"/>
  <c r="N55" i="7074"/>
  <c r="M55" i="7074"/>
  <c r="L55" i="7074"/>
  <c r="K55" i="7074"/>
  <c r="J55" i="7074"/>
  <c r="I55" i="7074"/>
  <c r="H55" i="7074"/>
  <c r="G55" i="7074"/>
  <c r="F55" i="7074"/>
  <c r="E55" i="7074"/>
  <c r="D55" i="7074"/>
  <c r="C44" i="7074"/>
  <c r="C43" i="7074"/>
  <c r="C42" i="7074"/>
  <c r="C35" i="7074"/>
  <c r="Z34" i="7074"/>
  <c r="Z35" i="7074" s="1"/>
  <c r="Y34" i="7074"/>
  <c r="Y35" i="7074" s="1"/>
  <c r="X34" i="7074"/>
  <c r="X35" i="7074" s="1"/>
  <c r="W34" i="7074"/>
  <c r="W35" i="7074" s="1"/>
  <c r="V34" i="7074"/>
  <c r="V35" i="7074" s="1"/>
  <c r="U34" i="7074"/>
  <c r="U35" i="7074" s="1"/>
  <c r="T34" i="7074"/>
  <c r="T35" i="7074" s="1"/>
  <c r="S34" i="7074"/>
  <c r="S35" i="7074" s="1"/>
  <c r="R34" i="7074"/>
  <c r="R35" i="7074" s="1"/>
  <c r="Q34" i="7074"/>
  <c r="Q35" i="7074" s="1"/>
  <c r="P34" i="7074"/>
  <c r="P35" i="7074" s="1"/>
  <c r="O34" i="7074"/>
  <c r="O35" i="7074" s="1"/>
  <c r="N34" i="7074"/>
  <c r="N35" i="7074" s="1"/>
  <c r="M34" i="7074"/>
  <c r="M35" i="7074" s="1"/>
  <c r="L34" i="7074"/>
  <c r="L35" i="7074" s="1"/>
  <c r="K34" i="7074"/>
  <c r="K35" i="7074" s="1"/>
  <c r="J34" i="7074"/>
  <c r="J35" i="7074" s="1"/>
  <c r="I34" i="7074"/>
  <c r="I35" i="7074" s="1"/>
  <c r="H34" i="7074"/>
  <c r="H35" i="7074" s="1"/>
  <c r="G34" i="7074"/>
  <c r="G35" i="7074" s="1"/>
  <c r="F34" i="7074"/>
  <c r="F35" i="7074" s="1"/>
  <c r="E34" i="7074"/>
  <c r="E35" i="7074" s="1"/>
  <c r="Z29" i="7074"/>
  <c r="Y29" i="7074"/>
  <c r="X29" i="7074"/>
  <c r="W29" i="7074"/>
  <c r="V29" i="7074"/>
  <c r="U29" i="7074"/>
  <c r="T29" i="7074"/>
  <c r="S29" i="7074"/>
  <c r="R29" i="7074"/>
  <c r="Q29" i="7074"/>
  <c r="P29" i="7074"/>
  <c r="O29" i="7074"/>
  <c r="N29" i="7074"/>
  <c r="M29" i="7074"/>
  <c r="L29" i="7074"/>
  <c r="K29" i="7074"/>
  <c r="J29" i="7074"/>
  <c r="I29" i="7074"/>
  <c r="H29" i="7074"/>
  <c r="G29" i="7074"/>
  <c r="F29" i="7074"/>
  <c r="E29" i="7074"/>
  <c r="Z28" i="7074"/>
  <c r="Y28" i="7074"/>
  <c r="X28" i="7074"/>
  <c r="W28" i="7074"/>
  <c r="V28" i="7074"/>
  <c r="U28" i="7074"/>
  <c r="T28" i="7074"/>
  <c r="S28" i="7074"/>
  <c r="R28" i="7074"/>
  <c r="Q28" i="7074"/>
  <c r="P28" i="7074"/>
  <c r="O28" i="7074"/>
  <c r="N28" i="7074"/>
  <c r="M28" i="7074"/>
  <c r="L28" i="7074"/>
  <c r="K28" i="7074"/>
  <c r="J28" i="7074"/>
  <c r="I28" i="7074"/>
  <c r="H28" i="7074"/>
  <c r="G28" i="7074"/>
  <c r="F28" i="7074"/>
  <c r="E28" i="7074"/>
  <c r="Z26" i="7074"/>
  <c r="Y26" i="7074"/>
  <c r="X26" i="7074"/>
  <c r="W26" i="7074"/>
  <c r="V26" i="7074"/>
  <c r="U26" i="7074"/>
  <c r="T26" i="7074"/>
  <c r="S26" i="7074"/>
  <c r="R26" i="7074"/>
  <c r="Q26" i="7074"/>
  <c r="P26" i="7074"/>
  <c r="O26" i="7074"/>
  <c r="N26" i="7074"/>
  <c r="M26" i="7074"/>
  <c r="L26" i="7074"/>
  <c r="K26" i="7074"/>
  <c r="J26" i="7074"/>
  <c r="I26" i="7074"/>
  <c r="H26" i="7074"/>
  <c r="G26" i="7074"/>
  <c r="F26" i="7074"/>
  <c r="E26" i="7074"/>
  <c r="D26" i="7074"/>
  <c r="C26" i="7074"/>
  <c r="Z25" i="7074"/>
  <c r="Y25" i="7074"/>
  <c r="X25" i="7074"/>
  <c r="W25" i="7074"/>
  <c r="V25" i="7074"/>
  <c r="U25" i="7074"/>
  <c r="T25" i="7074"/>
  <c r="S25" i="7074"/>
  <c r="R25" i="7074"/>
  <c r="Q25" i="7074"/>
  <c r="P25" i="7074"/>
  <c r="O25" i="7074"/>
  <c r="N25" i="7074"/>
  <c r="M25" i="7074"/>
  <c r="L25" i="7074"/>
  <c r="K25" i="7074"/>
  <c r="J25" i="7074"/>
  <c r="I25" i="7074"/>
  <c r="H25" i="7074"/>
  <c r="G25" i="7074"/>
  <c r="F25" i="7074"/>
  <c r="E25" i="7074"/>
  <c r="Z24" i="7074"/>
  <c r="Y24" i="7074"/>
  <c r="X24" i="7074"/>
  <c r="W24" i="7074"/>
  <c r="V24" i="7074"/>
  <c r="U24" i="7074"/>
  <c r="T24" i="7074"/>
  <c r="S24" i="7074"/>
  <c r="R24" i="7074"/>
  <c r="Q24" i="7074"/>
  <c r="P24" i="7074"/>
  <c r="O24" i="7074"/>
  <c r="N24" i="7074"/>
  <c r="M24" i="7074"/>
  <c r="L24" i="7074"/>
  <c r="K24" i="7074"/>
  <c r="J24" i="7074"/>
  <c r="I24" i="7074"/>
  <c r="H24" i="7074"/>
  <c r="G24" i="7074"/>
  <c r="F24" i="7074"/>
  <c r="E24" i="7074"/>
  <c r="Z18" i="7074"/>
  <c r="Y18" i="7074"/>
  <c r="X18" i="7074"/>
  <c r="W18" i="7074"/>
  <c r="V18" i="7074"/>
  <c r="U18" i="7074"/>
  <c r="T18" i="7074"/>
  <c r="S18" i="7074"/>
  <c r="R18" i="7074"/>
  <c r="Q18" i="7074"/>
  <c r="P18" i="7074"/>
  <c r="O18" i="7074"/>
  <c r="N18" i="7074"/>
  <c r="M18" i="7074"/>
  <c r="L18" i="7074"/>
  <c r="K18" i="7074"/>
  <c r="J18" i="7074"/>
  <c r="I18" i="7074"/>
  <c r="H18" i="7074"/>
  <c r="G18" i="7074"/>
  <c r="F18" i="7074"/>
  <c r="E18" i="7074"/>
  <c r="D18" i="7074"/>
  <c r="C18" i="7074"/>
  <c r="O129" i="6884" l="1"/>
  <c r="O139" i="6884"/>
  <c r="O140" i="6884"/>
  <c r="O131" i="6884"/>
  <c r="O133" i="6884"/>
  <c r="O136" i="6884"/>
  <c r="O137" i="6884"/>
  <c r="O128" i="6884"/>
  <c r="C4" i="6884" s="1" a="1"/>
  <c r="C4" i="6884" s="1"/>
  <c r="C24" i="7074"/>
  <c r="C25" i="7074" s="1"/>
  <c r="C28" i="7074"/>
  <c r="C29" i="7074" s="1"/>
  <c r="C83" i="7074" s="1"/>
  <c r="D61" i="7074"/>
  <c r="D28" i="7074"/>
  <c r="D29" i="7074" s="1"/>
  <c r="D83" i="7074" s="1"/>
  <c r="C46" i="7074"/>
  <c r="C82" i="7074" l="1"/>
  <c r="C99" i="7074"/>
  <c r="C60" i="7074"/>
  <c r="C63" i="7074" s="1"/>
  <c r="C31" i="6948"/>
  <c r="D60" i="7074" l="1"/>
  <c r="D63" i="7074" s="1"/>
  <c r="D62" i="7074"/>
  <c r="D81" i="7074" s="1"/>
  <c r="D72" i="7074" l="1"/>
  <c r="C35" i="6948"/>
  <c r="F35" i="6948" s="1"/>
  <c r="F31" i="6948"/>
  <c r="E26" i="6957"/>
  <c r="D26" i="6957"/>
  <c r="E25" i="6957"/>
  <c r="D25" i="6957"/>
  <c r="I21" i="6957"/>
  <c r="H21" i="6957"/>
  <c r="G21" i="6957"/>
  <c r="F21" i="6957"/>
  <c r="E21" i="6957"/>
  <c r="E30" i="6957" s="1"/>
  <c r="D21" i="6957"/>
  <c r="D30" i="6957" s="1"/>
  <c r="C21" i="6957"/>
  <c r="C30" i="6957" s="1"/>
  <c r="I14" i="6959"/>
  <c r="H14" i="6959"/>
  <c r="E14" i="6959"/>
  <c r="H34" i="6958"/>
  <c r="G34" i="6958"/>
  <c r="F34" i="6958"/>
  <c r="I34" i="6958" s="1"/>
  <c r="I34" i="6954"/>
  <c r="H34" i="6954"/>
  <c r="G34" i="6954"/>
  <c r="F34" i="6954"/>
  <c r="I33" i="6954"/>
  <c r="H33" i="6954"/>
  <c r="G33" i="6954"/>
  <c r="F33" i="6954"/>
  <c r="F32" i="6954"/>
  <c r="G31" i="6954"/>
  <c r="F31" i="6954"/>
  <c r="E31" i="6954"/>
  <c r="I31" i="6954" s="1"/>
  <c r="G30" i="6954"/>
  <c r="F30" i="6954"/>
  <c r="E30" i="6954"/>
  <c r="E32" i="6954" s="1"/>
  <c r="D30" i="6954"/>
  <c r="I22" i="6954"/>
  <c r="H22" i="6954"/>
  <c r="G22" i="6954"/>
  <c r="F22" i="6954"/>
  <c r="I21" i="6954"/>
  <c r="H21" i="6954"/>
  <c r="G21" i="6954"/>
  <c r="F21" i="6954"/>
  <c r="I20" i="6954"/>
  <c r="H20" i="6954"/>
  <c r="G20" i="6954"/>
  <c r="F20" i="6954"/>
  <c r="I19" i="6954"/>
  <c r="H19" i="6954"/>
  <c r="G19" i="6954"/>
  <c r="F19" i="6954"/>
  <c r="I9" i="6954"/>
  <c r="E9" i="6954"/>
  <c r="D9" i="6954"/>
  <c r="C9" i="6954"/>
  <c r="I8" i="6954"/>
  <c r="H8" i="6954"/>
  <c r="H9" i="6954" s="1"/>
  <c r="G8" i="6954"/>
  <c r="G9" i="6954" s="1"/>
  <c r="F8" i="6954"/>
  <c r="F9" i="6954" s="1"/>
  <c r="E7" i="6954"/>
  <c r="D7" i="6954"/>
  <c r="E6" i="6954"/>
  <c r="D6" i="6954"/>
  <c r="C6" i="6954"/>
  <c r="C7" i="6954" s="1"/>
  <c r="E34" i="6952"/>
  <c r="D34" i="6952"/>
  <c r="E33" i="6952"/>
  <c r="D33" i="6952"/>
  <c r="E30" i="6952"/>
  <c r="D30" i="6952"/>
  <c r="I14" i="6952"/>
  <c r="H14" i="6952"/>
  <c r="G14" i="6952"/>
  <c r="F14" i="6952"/>
  <c r="I13" i="6952"/>
  <c r="H13" i="6952"/>
  <c r="G13" i="6952"/>
  <c r="F13" i="6952"/>
  <c r="I12" i="6952"/>
  <c r="H12" i="6952"/>
  <c r="G12" i="6952"/>
  <c r="F12" i="6952"/>
  <c r="I11" i="6952"/>
  <c r="H11" i="6952"/>
  <c r="G11" i="6952"/>
  <c r="F11" i="6952"/>
  <c r="I10" i="6952"/>
  <c r="H10" i="6952"/>
  <c r="G10" i="6952"/>
  <c r="F10" i="6952"/>
  <c r="E9" i="6952"/>
  <c r="D9" i="6952"/>
  <c r="C9" i="6952"/>
  <c r="C7" i="6952"/>
  <c r="D6" i="6952"/>
  <c r="D7" i="6952" s="1"/>
  <c r="G35" i="6949"/>
  <c r="F35" i="6949"/>
  <c r="E35" i="6949"/>
  <c r="I35" i="6949" s="1"/>
  <c r="D35" i="6949"/>
  <c r="G34" i="6949"/>
  <c r="F34" i="6949"/>
  <c r="E34" i="6949"/>
  <c r="I34" i="6949" s="1"/>
  <c r="D34" i="6949"/>
  <c r="G31" i="6949"/>
  <c r="F31" i="6949"/>
  <c r="D31" i="6949"/>
  <c r="E31" i="6949" s="1"/>
  <c r="G35" i="6950"/>
  <c r="F35" i="6950"/>
  <c r="E35" i="6950"/>
  <c r="I35" i="6950" s="1"/>
  <c r="D35" i="6950"/>
  <c r="I34" i="6950"/>
  <c r="H34" i="6950"/>
  <c r="G34" i="6950"/>
  <c r="F34" i="6950"/>
  <c r="E34" i="6950"/>
  <c r="D34" i="6950"/>
  <c r="G31" i="6950"/>
  <c r="F31" i="6950"/>
  <c r="D31" i="6950"/>
  <c r="E31" i="6950" s="1"/>
  <c r="I31" i="6950" s="1"/>
  <c r="G35" i="6948"/>
  <c r="E35" i="6948"/>
  <c r="G34" i="6948"/>
  <c r="F34" i="6948"/>
  <c r="E34" i="6948"/>
  <c r="I34" i="6948" s="1"/>
  <c r="D34" i="6948"/>
  <c r="G31" i="6948"/>
  <c r="D31" i="6948"/>
  <c r="E31" i="6948" s="1"/>
  <c r="C25" i="6948"/>
  <c r="I34" i="6947"/>
  <c r="H34" i="6947"/>
  <c r="G34" i="6947"/>
  <c r="F34" i="6947"/>
  <c r="E33" i="6947"/>
  <c r="D33" i="6947"/>
  <c r="E30" i="6947"/>
  <c r="D30" i="6947"/>
  <c r="D34" i="6944"/>
  <c r="E34" i="6944" s="1"/>
  <c r="E33" i="6944"/>
  <c r="D33" i="6944"/>
  <c r="E30" i="6944"/>
  <c r="D30" i="6944"/>
  <c r="E27" i="6944"/>
  <c r="D27" i="6944"/>
  <c r="E38" i="6970"/>
  <c r="D38" i="6970"/>
  <c r="C38" i="6970"/>
  <c r="E37" i="6970"/>
  <c r="D37" i="6970"/>
  <c r="C37" i="6970"/>
  <c r="I31" i="6970"/>
  <c r="H31" i="6970"/>
  <c r="E17" i="6970"/>
  <c r="D17" i="6970"/>
  <c r="C17" i="6970"/>
  <c r="E31" i="6934"/>
  <c r="D31" i="6934"/>
  <c r="E8" i="6934"/>
  <c r="E9" i="6934" s="1"/>
  <c r="D8" i="6934"/>
  <c r="D9" i="6934" s="1"/>
  <c r="C8" i="6934"/>
  <c r="C9" i="6934" s="1"/>
  <c r="E7" i="6934"/>
  <c r="D7" i="6934"/>
  <c r="C7" i="6934"/>
  <c r="C33" i="6933"/>
  <c r="G33" i="6933" s="1"/>
  <c r="H30" i="6933"/>
  <c r="G30" i="6933"/>
  <c r="E30" i="6933"/>
  <c r="C30" i="6933"/>
  <c r="F30" i="6933" s="1"/>
  <c r="E7" i="6933"/>
  <c r="D7" i="6933"/>
  <c r="C7" i="6933"/>
  <c r="D13" i="6931"/>
  <c r="E13" i="6931" s="1"/>
  <c r="E49" i="6931"/>
  <c r="E47" i="6931" s="1"/>
  <c r="D49" i="6931"/>
  <c r="D50" i="6931" s="1"/>
  <c r="D29" i="6931" s="1"/>
  <c r="C49" i="6931"/>
  <c r="G49" i="6931" s="1"/>
  <c r="G50" i="6931" s="1"/>
  <c r="E41" i="6931"/>
  <c r="D41" i="6931"/>
  <c r="C41" i="6931"/>
  <c r="E40" i="6931"/>
  <c r="D40" i="6931"/>
  <c r="C40" i="6931"/>
  <c r="E39" i="6931"/>
  <c r="D39" i="6931"/>
  <c r="C39" i="6931"/>
  <c r="C44" i="6931" s="1"/>
  <c r="C43" i="6931" s="1"/>
  <c r="C15" i="6931" s="1"/>
  <c r="C16" i="6931" s="1"/>
  <c r="E38" i="6931"/>
  <c r="D38" i="6931"/>
  <c r="D44" i="6931" s="1"/>
  <c r="D43" i="6931" s="1"/>
  <c r="D15" i="6931" s="1"/>
  <c r="D16" i="6931" s="1"/>
  <c r="C38" i="6931"/>
  <c r="C37" i="6931"/>
  <c r="E32" i="6931"/>
  <c r="D32" i="6931"/>
  <c r="C32" i="6931"/>
  <c r="F32" i="6931" s="1"/>
  <c r="C47" i="6931"/>
  <c r="D46" i="6931"/>
  <c r="E44" i="6931"/>
  <c r="E43" i="6931" s="1"/>
  <c r="E15" i="6931" s="1"/>
  <c r="E16" i="6931" s="1"/>
  <c r="I32" i="6931"/>
  <c r="E30" i="6931"/>
  <c r="D30" i="6931"/>
  <c r="C30" i="6931"/>
  <c r="E49" i="6930"/>
  <c r="D49" i="6930"/>
  <c r="C49" i="6930"/>
  <c r="G49" i="6930" s="1"/>
  <c r="E41" i="6930"/>
  <c r="D41" i="6930"/>
  <c r="C41" i="6930"/>
  <c r="E40" i="6930"/>
  <c r="D40" i="6930"/>
  <c r="C40" i="6930"/>
  <c r="D13" i="6930" s="1"/>
  <c r="E13" i="6930" s="1"/>
  <c r="E39" i="6930"/>
  <c r="E44" i="6930" s="1"/>
  <c r="E43" i="6930" s="1"/>
  <c r="E15" i="6930" s="1"/>
  <c r="E16" i="6930" s="1"/>
  <c r="D39" i="6930"/>
  <c r="C39" i="6930"/>
  <c r="E38" i="6930"/>
  <c r="D38" i="6930"/>
  <c r="C38" i="6930"/>
  <c r="E32" i="6930"/>
  <c r="D32" i="6930"/>
  <c r="C32" i="6930"/>
  <c r="G32" i="6930" s="1"/>
  <c r="D31" i="6930"/>
  <c r="D30" i="6930" s="1"/>
  <c r="C31" i="6930"/>
  <c r="C30" i="6930" s="1"/>
  <c r="D50" i="6930"/>
  <c r="D29" i="6930" s="1"/>
  <c r="C50" i="6930"/>
  <c r="C29" i="6930" s="1"/>
  <c r="F49" i="6930"/>
  <c r="E47" i="6930"/>
  <c r="D44" i="6930"/>
  <c r="D43" i="6930" s="1"/>
  <c r="D15" i="6930" s="1"/>
  <c r="D16" i="6930" s="1"/>
  <c r="C44" i="6930"/>
  <c r="C43" i="6930" s="1"/>
  <c r="C15" i="6930" s="1"/>
  <c r="C16" i="6930" s="1"/>
  <c r="I32" i="6930"/>
  <c r="E30" i="6930"/>
  <c r="E41" i="6929"/>
  <c r="D41" i="6929"/>
  <c r="C41" i="6929"/>
  <c r="E40" i="6929"/>
  <c r="D40" i="6929"/>
  <c r="C40" i="6929"/>
  <c r="E39" i="6929"/>
  <c r="D39" i="6929"/>
  <c r="C39" i="6929"/>
  <c r="E38" i="6929"/>
  <c r="D38" i="6929"/>
  <c r="D44" i="6929" s="1"/>
  <c r="D43" i="6929" s="1"/>
  <c r="D15" i="6929" s="1"/>
  <c r="D16" i="6929" s="1"/>
  <c r="C38" i="6929"/>
  <c r="C44" i="6929" s="1"/>
  <c r="C43" i="6929" s="1"/>
  <c r="C15" i="6929" s="1"/>
  <c r="C16" i="6929" s="1"/>
  <c r="D31" i="6929"/>
  <c r="D30" i="6929" s="1"/>
  <c r="C31" i="6929"/>
  <c r="C30" i="6929" s="1"/>
  <c r="I15" i="6929"/>
  <c r="H15" i="6929"/>
  <c r="G15" i="6929"/>
  <c r="F15" i="6929"/>
  <c r="I11" i="6929"/>
  <c r="H11" i="6929"/>
  <c r="G11" i="6929"/>
  <c r="F11" i="6929"/>
  <c r="E11" i="6929"/>
  <c r="D11" i="6929"/>
  <c r="C11" i="6929"/>
  <c r="D13" i="6929"/>
  <c r="E13" i="6929" s="1"/>
  <c r="E44" i="6929"/>
  <c r="E43" i="6929" s="1"/>
  <c r="E15" i="6929" s="1"/>
  <c r="E16" i="6929" s="1"/>
  <c r="G50" i="6929"/>
  <c r="G29" i="6929" s="1"/>
  <c r="C50" i="6929"/>
  <c r="G49" i="6929"/>
  <c r="F49" i="6929"/>
  <c r="F50" i="6929" s="1"/>
  <c r="F29" i="6929" s="1"/>
  <c r="E49" i="6929"/>
  <c r="E50" i="6929" s="1"/>
  <c r="E29" i="6929" s="1"/>
  <c r="D49" i="6929"/>
  <c r="I32" i="6929"/>
  <c r="H32" i="6929"/>
  <c r="G32" i="6929"/>
  <c r="F32" i="6929"/>
  <c r="E32" i="6929"/>
  <c r="D32" i="6929"/>
  <c r="E30" i="6929"/>
  <c r="E47" i="6929" s="1"/>
  <c r="C29" i="6929"/>
  <c r="G50" i="6928"/>
  <c r="F50" i="6928"/>
  <c r="F29" i="6928" s="1"/>
  <c r="E50" i="6928"/>
  <c r="E29" i="6928" s="1"/>
  <c r="C50" i="6928"/>
  <c r="E49" i="6928"/>
  <c r="D49" i="6928"/>
  <c r="D50" i="6928" s="1"/>
  <c r="D29" i="6928" s="1"/>
  <c r="D47" i="6928"/>
  <c r="F44" i="6928"/>
  <c r="E44" i="6928"/>
  <c r="E43" i="6928" s="1"/>
  <c r="E15" i="6928" s="1"/>
  <c r="D44" i="6928"/>
  <c r="D43" i="6928" s="1"/>
  <c r="D15" i="6928" s="1"/>
  <c r="D16" i="6928" s="1"/>
  <c r="C44" i="6928"/>
  <c r="I43" i="6928"/>
  <c r="I44" i="6928" s="1"/>
  <c r="H43" i="6928"/>
  <c r="H44" i="6928" s="1"/>
  <c r="G43" i="6928"/>
  <c r="G44" i="6928" s="1"/>
  <c r="F43" i="6928"/>
  <c r="C43" i="6928"/>
  <c r="C15" i="6928" s="1"/>
  <c r="I32" i="6928"/>
  <c r="H32" i="6928"/>
  <c r="G32" i="6928"/>
  <c r="F32" i="6928"/>
  <c r="E30" i="6928"/>
  <c r="D30" i="6928"/>
  <c r="D46" i="6928" s="1"/>
  <c r="D48" i="6928" s="1"/>
  <c r="C30" i="6928"/>
  <c r="C47" i="6928" s="1"/>
  <c r="G29" i="6928"/>
  <c r="C29" i="6928"/>
  <c r="D13" i="6928"/>
  <c r="E13" i="6928" s="1"/>
  <c r="H34" i="6923"/>
  <c r="G34" i="6923"/>
  <c r="F34" i="6923"/>
  <c r="E34" i="6923"/>
  <c r="I34" i="6923" s="1"/>
  <c r="D34" i="6923"/>
  <c r="G33" i="6923"/>
  <c r="F33" i="6923"/>
  <c r="E33" i="6923"/>
  <c r="I33" i="6923" s="1"/>
  <c r="D33" i="6923"/>
  <c r="E30" i="6923"/>
  <c r="D30" i="6923"/>
  <c r="E13" i="6923"/>
  <c r="D13" i="6923"/>
  <c r="C13" i="6923"/>
  <c r="G34" i="6922"/>
  <c r="F34" i="6922"/>
  <c r="E34" i="6922"/>
  <c r="I34" i="6922" s="1"/>
  <c r="D34" i="6922"/>
  <c r="I33" i="6922"/>
  <c r="H33" i="6922"/>
  <c r="G33" i="6922"/>
  <c r="F33" i="6922"/>
  <c r="E33" i="6922"/>
  <c r="D33" i="6922"/>
  <c r="G30" i="6922"/>
  <c r="F30" i="6922"/>
  <c r="E30" i="6922"/>
  <c r="W90" i="7070"/>
  <c r="V90" i="7070"/>
  <c r="U90" i="7070"/>
  <c r="T90" i="7070"/>
  <c r="S90" i="7070"/>
  <c r="R90" i="7070"/>
  <c r="Q90" i="7070"/>
  <c r="P90" i="7070"/>
  <c r="O90" i="7070"/>
  <c r="N90" i="7070"/>
  <c r="M90" i="7070"/>
  <c r="L90" i="7070"/>
  <c r="K90" i="7070"/>
  <c r="J90" i="7070"/>
  <c r="I90" i="7070"/>
  <c r="H90" i="7070"/>
  <c r="G90" i="7070"/>
  <c r="F90" i="7070"/>
  <c r="E90" i="7070"/>
  <c r="D90" i="7070"/>
  <c r="C90" i="7070"/>
  <c r="Z81" i="7070"/>
  <c r="Z89" i="7070" s="1"/>
  <c r="Y81" i="7070"/>
  <c r="Y89" i="7070" s="1"/>
  <c r="X81" i="7070"/>
  <c r="X89" i="7070" s="1"/>
  <c r="P81" i="7070"/>
  <c r="D81" i="7070"/>
  <c r="X78" i="7070"/>
  <c r="X86" i="7070" s="1"/>
  <c r="Z77" i="7070"/>
  <c r="Z85" i="7070" s="1"/>
  <c r="Z60" i="7070"/>
  <c r="Z79" i="7070" s="1"/>
  <c r="Y60" i="7070"/>
  <c r="Y79" i="7070" s="1"/>
  <c r="X60" i="7070"/>
  <c r="X79" i="7070" s="1"/>
  <c r="Z59" i="7070"/>
  <c r="Y59" i="7070"/>
  <c r="X59" i="7070"/>
  <c r="P59" i="7070"/>
  <c r="D59" i="7070"/>
  <c r="Z58" i="7070"/>
  <c r="Z61" i="7070" s="1"/>
  <c r="Y58" i="7070"/>
  <c r="Y61" i="7070" s="1"/>
  <c r="X58" i="7070"/>
  <c r="X61" i="7070" s="1"/>
  <c r="Z53" i="7070"/>
  <c r="Y53" i="7070"/>
  <c r="X53" i="7070"/>
  <c r="Z51" i="7070"/>
  <c r="Z52" i="7070" s="1"/>
  <c r="Y51" i="7070"/>
  <c r="Y52" i="7070" s="1"/>
  <c r="X51" i="7070"/>
  <c r="X52" i="7070" s="1"/>
  <c r="W51" i="7070"/>
  <c r="W52" i="7070" s="1"/>
  <c r="V51" i="7070"/>
  <c r="V52" i="7070" s="1"/>
  <c r="U51" i="7070"/>
  <c r="U52" i="7070" s="1"/>
  <c r="T51" i="7070"/>
  <c r="T52" i="7070" s="1"/>
  <c r="S51" i="7070"/>
  <c r="S52" i="7070" s="1"/>
  <c r="R51" i="7070"/>
  <c r="R52" i="7070" s="1"/>
  <c r="Q51" i="7070"/>
  <c r="Q52" i="7070" s="1"/>
  <c r="P51" i="7070"/>
  <c r="P52" i="7070" s="1"/>
  <c r="O51" i="7070"/>
  <c r="O52" i="7070" s="1"/>
  <c r="N51" i="7070"/>
  <c r="N52" i="7070" s="1"/>
  <c r="M51" i="7070"/>
  <c r="M52" i="7070" s="1"/>
  <c r="L51" i="7070"/>
  <c r="L52" i="7070" s="1"/>
  <c r="K51" i="7070"/>
  <c r="K52" i="7070" s="1"/>
  <c r="J51" i="7070"/>
  <c r="J52" i="7070" s="1"/>
  <c r="I51" i="7070"/>
  <c r="I52" i="7070" s="1"/>
  <c r="H51" i="7070"/>
  <c r="H52" i="7070" s="1"/>
  <c r="G51" i="7070"/>
  <c r="G52" i="7070" s="1"/>
  <c r="F51" i="7070"/>
  <c r="F52" i="7070" s="1"/>
  <c r="E51" i="7070"/>
  <c r="E52" i="7070" s="1"/>
  <c r="D51" i="7070"/>
  <c r="D52" i="7070" s="1"/>
  <c r="C51" i="7070"/>
  <c r="Z50" i="7070"/>
  <c r="Y50" i="7070"/>
  <c r="X50" i="7070"/>
  <c r="W50" i="7070"/>
  <c r="V50" i="7070"/>
  <c r="U50" i="7070"/>
  <c r="T50" i="7070"/>
  <c r="S50" i="7070"/>
  <c r="R50" i="7070"/>
  <c r="Q50" i="7070"/>
  <c r="P50" i="7070"/>
  <c r="O50" i="7070"/>
  <c r="N50" i="7070"/>
  <c r="M50" i="7070"/>
  <c r="L50" i="7070"/>
  <c r="K50" i="7070"/>
  <c r="J50" i="7070"/>
  <c r="I50" i="7070"/>
  <c r="H50" i="7070"/>
  <c r="G50" i="7070"/>
  <c r="F50" i="7070"/>
  <c r="E50" i="7070"/>
  <c r="D50" i="7070"/>
  <c r="Z49" i="7070"/>
  <c r="Y49" i="7070"/>
  <c r="X49" i="7070"/>
  <c r="W49" i="7070"/>
  <c r="W53" i="7070" s="1"/>
  <c r="V49" i="7070"/>
  <c r="V53" i="7070" s="1"/>
  <c r="U49" i="7070"/>
  <c r="U53" i="7070" s="1"/>
  <c r="T49" i="7070"/>
  <c r="T53" i="7070" s="1"/>
  <c r="S49" i="7070"/>
  <c r="S53" i="7070" s="1"/>
  <c r="R49" i="7070"/>
  <c r="R53" i="7070" s="1"/>
  <c r="Q49" i="7070"/>
  <c r="Q53" i="7070" s="1"/>
  <c r="P49" i="7070"/>
  <c r="O49" i="7070"/>
  <c r="O53" i="7070" s="1"/>
  <c r="N49" i="7070"/>
  <c r="N53" i="7070" s="1"/>
  <c r="M49" i="7070"/>
  <c r="M53" i="7070" s="1"/>
  <c r="L49" i="7070"/>
  <c r="L53" i="7070" s="1"/>
  <c r="K49" i="7070"/>
  <c r="K53" i="7070" s="1"/>
  <c r="J49" i="7070"/>
  <c r="J53" i="7070" s="1"/>
  <c r="I49" i="7070"/>
  <c r="I53" i="7070" s="1"/>
  <c r="H49" i="7070"/>
  <c r="H53" i="7070" s="1"/>
  <c r="G49" i="7070"/>
  <c r="G53" i="7070" s="1"/>
  <c r="F49" i="7070"/>
  <c r="F53" i="7070" s="1"/>
  <c r="E49" i="7070"/>
  <c r="E53" i="7070" s="1"/>
  <c r="D49" i="7070"/>
  <c r="Z46" i="7070"/>
  <c r="Y46" i="7070"/>
  <c r="X46" i="7070"/>
  <c r="W46" i="7070"/>
  <c r="V46" i="7070"/>
  <c r="U46" i="7070"/>
  <c r="T46" i="7070"/>
  <c r="S46" i="7070"/>
  <c r="R46" i="7070"/>
  <c r="Q46" i="7070"/>
  <c r="P46" i="7070"/>
  <c r="O46" i="7070"/>
  <c r="N46" i="7070"/>
  <c r="M46" i="7070"/>
  <c r="L46" i="7070"/>
  <c r="K46" i="7070"/>
  <c r="J46" i="7070"/>
  <c r="I46" i="7070"/>
  <c r="H46" i="7070"/>
  <c r="G46" i="7070"/>
  <c r="F46" i="7070"/>
  <c r="E46" i="7070"/>
  <c r="D46" i="7070"/>
  <c r="Z45" i="7070"/>
  <c r="Y45" i="7070"/>
  <c r="X45" i="7070"/>
  <c r="W45" i="7070"/>
  <c r="V45" i="7070"/>
  <c r="U45" i="7070"/>
  <c r="T45" i="7070"/>
  <c r="S45" i="7070"/>
  <c r="R45" i="7070"/>
  <c r="Q45" i="7070"/>
  <c r="P45" i="7070"/>
  <c r="O45" i="7070"/>
  <c r="N45" i="7070"/>
  <c r="M45" i="7070"/>
  <c r="L45" i="7070"/>
  <c r="K45" i="7070"/>
  <c r="J45" i="7070"/>
  <c r="I45" i="7070"/>
  <c r="H45" i="7070"/>
  <c r="G45" i="7070"/>
  <c r="F45" i="7070"/>
  <c r="E45" i="7070"/>
  <c r="D45" i="7070"/>
  <c r="Z44" i="7070"/>
  <c r="Y44" i="7070"/>
  <c r="X44" i="7070"/>
  <c r="W44" i="7070"/>
  <c r="V44" i="7070"/>
  <c r="U44" i="7070"/>
  <c r="T44" i="7070"/>
  <c r="S44" i="7070"/>
  <c r="R44" i="7070"/>
  <c r="Q44" i="7070"/>
  <c r="P44" i="7070"/>
  <c r="O44" i="7070"/>
  <c r="N44" i="7070"/>
  <c r="M44" i="7070"/>
  <c r="L44" i="7070"/>
  <c r="K44" i="7070"/>
  <c r="J44" i="7070"/>
  <c r="I44" i="7070"/>
  <c r="H44" i="7070"/>
  <c r="G44" i="7070"/>
  <c r="F44" i="7070"/>
  <c r="E44" i="7070"/>
  <c r="D44" i="7070"/>
  <c r="C44" i="7070"/>
  <c r="Z43" i="7070"/>
  <c r="Y43" i="7070"/>
  <c r="X43" i="7070"/>
  <c r="W43" i="7070"/>
  <c r="V43" i="7070"/>
  <c r="U43" i="7070"/>
  <c r="T43" i="7070"/>
  <c r="S43" i="7070"/>
  <c r="R43" i="7070"/>
  <c r="Q43" i="7070"/>
  <c r="P43" i="7070"/>
  <c r="O43" i="7070"/>
  <c r="N43" i="7070"/>
  <c r="M43" i="7070"/>
  <c r="L43" i="7070"/>
  <c r="K43" i="7070"/>
  <c r="J43" i="7070"/>
  <c r="I43" i="7070"/>
  <c r="H43" i="7070"/>
  <c r="G43" i="7070"/>
  <c r="F43" i="7070"/>
  <c r="E43" i="7070"/>
  <c r="D43" i="7070"/>
  <c r="C43" i="7070"/>
  <c r="Z42" i="7070"/>
  <c r="Y42" i="7070"/>
  <c r="X42" i="7070"/>
  <c r="W42" i="7070"/>
  <c r="V42" i="7070"/>
  <c r="U42" i="7070"/>
  <c r="T42" i="7070"/>
  <c r="S42" i="7070"/>
  <c r="R42" i="7070"/>
  <c r="Q42" i="7070"/>
  <c r="P42" i="7070"/>
  <c r="O42" i="7070"/>
  <c r="N42" i="7070"/>
  <c r="M42" i="7070"/>
  <c r="L42" i="7070"/>
  <c r="K42" i="7070"/>
  <c r="J42" i="7070"/>
  <c r="I42" i="7070"/>
  <c r="H42" i="7070"/>
  <c r="G42" i="7070"/>
  <c r="F42" i="7070"/>
  <c r="E42" i="7070"/>
  <c r="D42" i="7070"/>
  <c r="C42" i="7070"/>
  <c r="C46" i="7070" s="1"/>
  <c r="Z34" i="7070"/>
  <c r="Z35" i="7070" s="1"/>
  <c r="Y34" i="7070"/>
  <c r="Y35" i="7070" s="1"/>
  <c r="X34" i="7070"/>
  <c r="X35" i="7070" s="1"/>
  <c r="W34" i="7070"/>
  <c r="W35" i="7070" s="1"/>
  <c r="V34" i="7070"/>
  <c r="V35" i="7070" s="1"/>
  <c r="U34" i="7070"/>
  <c r="U35" i="7070" s="1"/>
  <c r="T34" i="7070"/>
  <c r="T35" i="7070" s="1"/>
  <c r="S34" i="7070"/>
  <c r="S35" i="7070" s="1"/>
  <c r="R34" i="7070"/>
  <c r="R35" i="7070" s="1"/>
  <c r="Q34" i="7070"/>
  <c r="Q35" i="7070" s="1"/>
  <c r="P34" i="7070"/>
  <c r="P35" i="7070" s="1"/>
  <c r="O34" i="7070"/>
  <c r="O35" i="7070" s="1"/>
  <c r="N34" i="7070"/>
  <c r="N35" i="7070" s="1"/>
  <c r="M34" i="7070"/>
  <c r="M35" i="7070" s="1"/>
  <c r="L34" i="7070"/>
  <c r="L35" i="7070" s="1"/>
  <c r="K34" i="7070"/>
  <c r="K35" i="7070" s="1"/>
  <c r="J34" i="7070"/>
  <c r="J35" i="7070" s="1"/>
  <c r="I34" i="7070"/>
  <c r="I35" i="7070" s="1"/>
  <c r="H34" i="7070"/>
  <c r="H35" i="7070" s="1"/>
  <c r="G34" i="7070"/>
  <c r="G35" i="7070" s="1"/>
  <c r="F34" i="7070"/>
  <c r="F35" i="7070" s="1"/>
  <c r="E34" i="7070"/>
  <c r="E35" i="7070" s="1"/>
  <c r="D34" i="7070"/>
  <c r="D35" i="7070" s="1"/>
  <c r="C34" i="7070"/>
  <c r="C35" i="7070" s="1"/>
  <c r="Z29" i="7070"/>
  <c r="Z80" i="7070" s="1"/>
  <c r="Z88" i="7070" s="1"/>
  <c r="Y29" i="7070"/>
  <c r="Y80" i="7070" s="1"/>
  <c r="Y88" i="7070" s="1"/>
  <c r="X29" i="7070"/>
  <c r="X80" i="7070" s="1"/>
  <c r="X88" i="7070" s="1"/>
  <c r="Z28" i="7070"/>
  <c r="Y28" i="7070"/>
  <c r="X28" i="7070"/>
  <c r="T28" i="7070"/>
  <c r="T29" i="7070" s="1"/>
  <c r="P28" i="7070"/>
  <c r="P29" i="7070" s="1"/>
  <c r="H28" i="7070"/>
  <c r="H29" i="7070" s="1"/>
  <c r="Z26" i="7070"/>
  <c r="Y26" i="7070"/>
  <c r="X26" i="7070"/>
  <c r="W26" i="7070"/>
  <c r="V26" i="7070"/>
  <c r="U26" i="7070"/>
  <c r="T26" i="7070"/>
  <c r="S26" i="7070"/>
  <c r="R26" i="7070"/>
  <c r="Q26" i="7070"/>
  <c r="P26" i="7070"/>
  <c r="O26" i="7070"/>
  <c r="N26" i="7070"/>
  <c r="M26" i="7070"/>
  <c r="L26" i="7070"/>
  <c r="K26" i="7070"/>
  <c r="J26" i="7070"/>
  <c r="I26" i="7070"/>
  <c r="H26" i="7070"/>
  <c r="G26" i="7070"/>
  <c r="F26" i="7070"/>
  <c r="E26" i="7070"/>
  <c r="D26" i="7070"/>
  <c r="C26" i="7070"/>
  <c r="Z25" i="7070"/>
  <c r="Y25" i="7070"/>
  <c r="X25" i="7070"/>
  <c r="Z24" i="7070"/>
  <c r="Y24" i="7070"/>
  <c r="X24" i="7070"/>
  <c r="T24" i="7070"/>
  <c r="T25" i="7070" s="1"/>
  <c r="P24" i="7070"/>
  <c r="P25" i="7070" s="1"/>
  <c r="H24" i="7070"/>
  <c r="Z19" i="7070"/>
  <c r="Y19" i="7070"/>
  <c r="X19" i="7070"/>
  <c r="Z18" i="7070"/>
  <c r="Y18" i="7070"/>
  <c r="X18" i="7070"/>
  <c r="T18" i="7070"/>
  <c r="T19" i="7070" s="1"/>
  <c r="P18" i="7070"/>
  <c r="P19" i="7070" s="1"/>
  <c r="N18" i="7070"/>
  <c r="N19" i="7070" s="1"/>
  <c r="L18" i="7070"/>
  <c r="L19" i="7070" s="1"/>
  <c r="H18" i="7070"/>
  <c r="H19" i="7070" s="1"/>
  <c r="D18" i="7070"/>
  <c r="D19" i="7070" s="1"/>
  <c r="W81" i="7070"/>
  <c r="V81" i="7070"/>
  <c r="U81" i="7070"/>
  <c r="T81" i="7070"/>
  <c r="S81" i="7070"/>
  <c r="R81" i="7070"/>
  <c r="Q81" i="7070"/>
  <c r="O81" i="7070"/>
  <c r="N81" i="7070"/>
  <c r="L81" i="7070"/>
  <c r="K81" i="7070"/>
  <c r="J81" i="7070"/>
  <c r="I81" i="7070"/>
  <c r="H81" i="7070"/>
  <c r="G81" i="7070"/>
  <c r="F81" i="7070"/>
  <c r="E81" i="7070"/>
  <c r="D28" i="7070"/>
  <c r="D29" i="7070" s="1"/>
  <c r="C81" i="7070"/>
  <c r="AD32" i="6845"/>
  <c r="AD33" i="6845"/>
  <c r="AD34" i="6845"/>
  <c r="AD35" i="6845"/>
  <c r="AD36" i="6845"/>
  <c r="AD37" i="6845"/>
  <c r="AD38" i="6845"/>
  <c r="AD39" i="6845"/>
  <c r="AD40" i="6845"/>
  <c r="AD31" i="6845"/>
  <c r="AD21" i="6845"/>
  <c r="AD22" i="6845"/>
  <c r="AD23" i="6845"/>
  <c r="AD24" i="6845"/>
  <c r="AD25" i="6845"/>
  <c r="AD26" i="6845"/>
  <c r="AD27" i="6845"/>
  <c r="AD28" i="6845"/>
  <c r="AD29" i="6845"/>
  <c r="AD30" i="6845"/>
  <c r="AD20" i="6845"/>
  <c r="AD11" i="6845"/>
  <c r="AD12" i="6845"/>
  <c r="AD13" i="6845"/>
  <c r="AD14" i="6845"/>
  <c r="AD15" i="6845"/>
  <c r="AD16" i="6845"/>
  <c r="AD17" i="6845"/>
  <c r="AD18" i="6845"/>
  <c r="AD19" i="6845"/>
  <c r="AD10" i="6845"/>
  <c r="C45" i="7070" l="1"/>
  <c r="C49" i="7070" s="1"/>
  <c r="C50" i="7070" s="1"/>
  <c r="Y70" i="7070"/>
  <c r="Y72" i="7070" s="1"/>
  <c r="Y90" i="7070" s="1"/>
  <c r="Y87" i="7070"/>
  <c r="Z70" i="7070"/>
  <c r="Z72" i="7070" s="1"/>
  <c r="Z90" i="7070" s="1"/>
  <c r="Z87" i="7070"/>
  <c r="X87" i="7070"/>
  <c r="X70" i="7070"/>
  <c r="X72" i="7070" s="1"/>
  <c r="X90" i="7070" s="1"/>
  <c r="X77" i="7070"/>
  <c r="X85" i="7070" s="1"/>
  <c r="N89" i="7070"/>
  <c r="Y77" i="7070"/>
  <c r="Y85" i="7070" s="1"/>
  <c r="Z78" i="7070"/>
  <c r="Z86" i="7070" s="1"/>
  <c r="T89" i="7070"/>
  <c r="Y78" i="7070"/>
  <c r="Y86" i="7070" s="1"/>
  <c r="X76" i="7070"/>
  <c r="X84" i="7070" s="1"/>
  <c r="X92" i="7070" s="1"/>
  <c r="X94" i="7070" s="1"/>
  <c r="Y76" i="7070"/>
  <c r="Y84" i="7070" s="1"/>
  <c r="Y92" i="7070" s="1"/>
  <c r="Y94" i="7070" s="1"/>
  <c r="Z76" i="7070"/>
  <c r="Z84" i="7070" s="1"/>
  <c r="Z92" i="7070" s="1"/>
  <c r="Z94" i="7070" s="1"/>
  <c r="D32" i="6954"/>
  <c r="I32" i="6954"/>
  <c r="H32" i="6954"/>
  <c r="G32" i="6954"/>
  <c r="H30" i="6954"/>
  <c r="I30" i="6954"/>
  <c r="D31" i="6954"/>
  <c r="H31" i="6954"/>
  <c r="E6" i="6952"/>
  <c r="E7" i="6952" s="1"/>
  <c r="H35" i="6949"/>
  <c r="I31" i="6949"/>
  <c r="H31" i="6949"/>
  <c r="H34" i="6949"/>
  <c r="H31" i="6950"/>
  <c r="H35" i="6950"/>
  <c r="I31" i="6948"/>
  <c r="H31" i="6948"/>
  <c r="I35" i="6948"/>
  <c r="H35" i="6948"/>
  <c r="H34" i="6948"/>
  <c r="D35" i="6948"/>
  <c r="I30" i="6933"/>
  <c r="D33" i="6933"/>
  <c r="E33" i="6933"/>
  <c r="F33" i="6933"/>
  <c r="D30" i="6933"/>
  <c r="D47" i="6931"/>
  <c r="D48" i="6931" s="1"/>
  <c r="G32" i="6931"/>
  <c r="G47" i="6931"/>
  <c r="G48" i="6931" s="1"/>
  <c r="C46" i="6931"/>
  <c r="F49" i="6931"/>
  <c r="E46" i="6931"/>
  <c r="C48" i="6931"/>
  <c r="H49" i="6931"/>
  <c r="H32" i="6931"/>
  <c r="I49" i="6931"/>
  <c r="G46" i="6931"/>
  <c r="E48" i="6931"/>
  <c r="C50" i="6931"/>
  <c r="C29" i="6931" s="1"/>
  <c r="E50" i="6931"/>
  <c r="E29" i="6931" s="1"/>
  <c r="C47" i="6930"/>
  <c r="C46" i="6930"/>
  <c r="D46" i="6930"/>
  <c r="D47" i="6930"/>
  <c r="D48" i="6930" s="1"/>
  <c r="G50" i="6930"/>
  <c r="G29" i="6930" s="1"/>
  <c r="G47" i="6930"/>
  <c r="F47" i="6930"/>
  <c r="G16" i="6930"/>
  <c r="F16" i="6930"/>
  <c r="I16" i="6930"/>
  <c r="H16" i="6930"/>
  <c r="F32" i="6930"/>
  <c r="E46" i="6930"/>
  <c r="E48" i="6930" s="1"/>
  <c r="H49" i="6930"/>
  <c r="F46" i="6930"/>
  <c r="F48" i="6930" s="1"/>
  <c r="I49" i="6930"/>
  <c r="H32" i="6930"/>
  <c r="G46" i="6930"/>
  <c r="G48" i="6930"/>
  <c r="E50" i="6930"/>
  <c r="E29" i="6930" s="1"/>
  <c r="F50" i="6930"/>
  <c r="F29" i="6930" s="1"/>
  <c r="D47" i="6929"/>
  <c r="G16" i="6929"/>
  <c r="F16" i="6929"/>
  <c r="C47" i="6929"/>
  <c r="G46" i="6929"/>
  <c r="C46" i="6929"/>
  <c r="F47" i="6929"/>
  <c r="G47" i="6929"/>
  <c r="H16" i="6929"/>
  <c r="I16" i="6929"/>
  <c r="D46" i="6929"/>
  <c r="H49" i="6929"/>
  <c r="E46" i="6929"/>
  <c r="E48" i="6929" s="1"/>
  <c r="I49" i="6929"/>
  <c r="F46" i="6929"/>
  <c r="F48" i="6929" s="1"/>
  <c r="D50" i="6929"/>
  <c r="D29" i="6929" s="1"/>
  <c r="E16" i="6928"/>
  <c r="I15" i="6928"/>
  <c r="H15" i="6928"/>
  <c r="C16" i="6928"/>
  <c r="G15" i="6928"/>
  <c r="F15" i="6928"/>
  <c r="E47" i="6928"/>
  <c r="E48" i="6928" s="1"/>
  <c r="F47" i="6928"/>
  <c r="F48" i="6928" s="1"/>
  <c r="G47" i="6928"/>
  <c r="G48" i="6928" s="1"/>
  <c r="H49" i="6928"/>
  <c r="C46" i="6928"/>
  <c r="C48" i="6928" s="1"/>
  <c r="I49" i="6928"/>
  <c r="E46" i="6928"/>
  <c r="F46" i="6928"/>
  <c r="G46" i="6928"/>
  <c r="H33" i="6923"/>
  <c r="H34" i="6922"/>
  <c r="H25" i="7070"/>
  <c r="H89" i="7070" s="1"/>
  <c r="D24" i="7070"/>
  <c r="D25" i="7070" s="1"/>
  <c r="D89" i="7070" s="1"/>
  <c r="P53" i="7070"/>
  <c r="L24" i="7070"/>
  <c r="L25" i="7070" s="1"/>
  <c r="L89" i="7070" s="1"/>
  <c r="L28" i="7070"/>
  <c r="L29" i="7070" s="1"/>
  <c r="L76" i="7070" s="1"/>
  <c r="L84" i="7070" s="1"/>
  <c r="N24" i="7070"/>
  <c r="N25" i="7070" s="1"/>
  <c r="N28" i="7070"/>
  <c r="N29" i="7070" s="1"/>
  <c r="D80" i="7070"/>
  <c r="D88" i="7070" s="1"/>
  <c r="D76" i="7070"/>
  <c r="D58" i="7070"/>
  <c r="D78" i="7070"/>
  <c r="D86" i="7070" s="1"/>
  <c r="D77" i="7070"/>
  <c r="D85" i="7070" s="1"/>
  <c r="M81" i="7070"/>
  <c r="M89" i="7070" s="1"/>
  <c r="M59" i="7070"/>
  <c r="M28" i="7070"/>
  <c r="M29" i="7070" s="1"/>
  <c r="M77" i="7070" s="1"/>
  <c r="M85" i="7070" s="1"/>
  <c r="M24" i="7070"/>
  <c r="M25" i="7070" s="1"/>
  <c r="M18" i="7070"/>
  <c r="M19" i="7070" s="1"/>
  <c r="P89" i="7070"/>
  <c r="D53" i="7070"/>
  <c r="P77" i="7070"/>
  <c r="P85" i="7070" s="1"/>
  <c r="P80" i="7070"/>
  <c r="P88" i="7070" s="1"/>
  <c r="P78" i="7070"/>
  <c r="P86" i="7070" s="1"/>
  <c r="P76" i="7070"/>
  <c r="P84" i="7070" s="1"/>
  <c r="P58" i="7070"/>
  <c r="E18" i="7070"/>
  <c r="E19" i="7070" s="1"/>
  <c r="Q18" i="7070"/>
  <c r="Q19" i="7070" s="1"/>
  <c r="E24" i="7070"/>
  <c r="Q24" i="7070"/>
  <c r="E28" i="7070"/>
  <c r="E29" i="7070" s="1"/>
  <c r="E78" i="7070" s="1"/>
  <c r="E86" i="7070" s="1"/>
  <c r="Q28" i="7070"/>
  <c r="Q29" i="7070" s="1"/>
  <c r="Q58" i="7070" s="1"/>
  <c r="E59" i="7070"/>
  <c r="Q59" i="7070"/>
  <c r="E76" i="7070"/>
  <c r="Q76" i="7070"/>
  <c r="E77" i="7070"/>
  <c r="E85" i="7070" s="1"/>
  <c r="Q77" i="7070"/>
  <c r="Q85" i="7070" s="1"/>
  <c r="Q78" i="7070"/>
  <c r="Q86" i="7070" s="1"/>
  <c r="E80" i="7070"/>
  <c r="E88" i="7070" s="1"/>
  <c r="Q80" i="7070"/>
  <c r="Q88" i="7070" s="1"/>
  <c r="F18" i="7070"/>
  <c r="F19" i="7070" s="1"/>
  <c r="R18" i="7070"/>
  <c r="R19" i="7070" s="1"/>
  <c r="F24" i="7070"/>
  <c r="R24" i="7070"/>
  <c r="F28" i="7070"/>
  <c r="F29" i="7070" s="1"/>
  <c r="F58" i="7070" s="1"/>
  <c r="R28" i="7070"/>
  <c r="R29" i="7070" s="1"/>
  <c r="R58" i="7070" s="1"/>
  <c r="F59" i="7070"/>
  <c r="R59" i="7070"/>
  <c r="F80" i="7070"/>
  <c r="F88" i="7070" s="1"/>
  <c r="R80" i="7070"/>
  <c r="R88" i="7070" s="1"/>
  <c r="G18" i="7070"/>
  <c r="G19" i="7070" s="1"/>
  <c r="S18" i="7070"/>
  <c r="S19" i="7070" s="1"/>
  <c r="G24" i="7070"/>
  <c r="S24" i="7070"/>
  <c r="G28" i="7070"/>
  <c r="G29" i="7070" s="1"/>
  <c r="G78" i="7070" s="1"/>
  <c r="G86" i="7070" s="1"/>
  <c r="S28" i="7070"/>
  <c r="S29" i="7070" s="1"/>
  <c r="S58" i="7070" s="1"/>
  <c r="G59" i="7070"/>
  <c r="S59" i="7070"/>
  <c r="G76" i="7070"/>
  <c r="S76" i="7070"/>
  <c r="G77" i="7070"/>
  <c r="G85" i="7070" s="1"/>
  <c r="S77" i="7070"/>
  <c r="S85" i="7070" s="1"/>
  <c r="S78" i="7070"/>
  <c r="S86" i="7070" s="1"/>
  <c r="G80" i="7070"/>
  <c r="G88" i="7070" s="1"/>
  <c r="S80" i="7070"/>
  <c r="S88" i="7070" s="1"/>
  <c r="H58" i="7070"/>
  <c r="T58" i="7070"/>
  <c r="H59" i="7070"/>
  <c r="T59" i="7070"/>
  <c r="H76" i="7070"/>
  <c r="T76" i="7070"/>
  <c r="T84" i="7070" s="1"/>
  <c r="H77" i="7070"/>
  <c r="H85" i="7070" s="1"/>
  <c r="T77" i="7070"/>
  <c r="T85" i="7070" s="1"/>
  <c r="H78" i="7070"/>
  <c r="H86" i="7070" s="1"/>
  <c r="T78" i="7070"/>
  <c r="T86" i="7070" s="1"/>
  <c r="H80" i="7070"/>
  <c r="H88" i="7070" s="1"/>
  <c r="T80" i="7070"/>
  <c r="T88" i="7070" s="1"/>
  <c r="I18" i="7070"/>
  <c r="I19" i="7070" s="1"/>
  <c r="U18" i="7070"/>
  <c r="U19" i="7070" s="1"/>
  <c r="I24" i="7070"/>
  <c r="U24" i="7070"/>
  <c r="I28" i="7070"/>
  <c r="I29" i="7070" s="1"/>
  <c r="I58" i="7070" s="1"/>
  <c r="U28" i="7070"/>
  <c r="U29" i="7070" s="1"/>
  <c r="U58" i="7070" s="1"/>
  <c r="I59" i="7070"/>
  <c r="U59" i="7070"/>
  <c r="I80" i="7070"/>
  <c r="I88" i="7070" s="1"/>
  <c r="U80" i="7070"/>
  <c r="U88" i="7070" s="1"/>
  <c r="J18" i="7070"/>
  <c r="J19" i="7070" s="1"/>
  <c r="V18" i="7070"/>
  <c r="V19" i="7070" s="1"/>
  <c r="J24" i="7070"/>
  <c r="V24" i="7070"/>
  <c r="V25" i="7070" s="1"/>
  <c r="V89" i="7070" s="1"/>
  <c r="J28" i="7070"/>
  <c r="J29" i="7070" s="1"/>
  <c r="J78" i="7070" s="1"/>
  <c r="J86" i="7070" s="1"/>
  <c r="V28" i="7070"/>
  <c r="V29" i="7070" s="1"/>
  <c r="V80" i="7070" s="1"/>
  <c r="V88" i="7070" s="1"/>
  <c r="V58" i="7070"/>
  <c r="J59" i="7070"/>
  <c r="V59" i="7070"/>
  <c r="J76" i="7070"/>
  <c r="V76" i="7070"/>
  <c r="V84" i="7070" s="1"/>
  <c r="J77" i="7070"/>
  <c r="J85" i="7070" s="1"/>
  <c r="V77" i="7070"/>
  <c r="V85" i="7070" s="1"/>
  <c r="J80" i="7070"/>
  <c r="J88" i="7070" s="1"/>
  <c r="K18" i="7070"/>
  <c r="K19" i="7070" s="1"/>
  <c r="W18" i="7070"/>
  <c r="W19" i="7070" s="1"/>
  <c r="K24" i="7070"/>
  <c r="W24" i="7070"/>
  <c r="K28" i="7070"/>
  <c r="K29" i="7070" s="1"/>
  <c r="K58" i="7070" s="1"/>
  <c r="W28" i="7070"/>
  <c r="W29" i="7070" s="1"/>
  <c r="W58" i="7070" s="1"/>
  <c r="K59" i="7070"/>
  <c r="W59" i="7070"/>
  <c r="W80" i="7070"/>
  <c r="W88" i="7070" s="1"/>
  <c r="L58" i="7070"/>
  <c r="L59" i="7070"/>
  <c r="N58" i="7070"/>
  <c r="N59" i="7070"/>
  <c r="N76" i="7070"/>
  <c r="N84" i="7070" s="1"/>
  <c r="N77" i="7070"/>
  <c r="N85" i="7070" s="1"/>
  <c r="N78" i="7070"/>
  <c r="N86" i="7070" s="1"/>
  <c r="N80" i="7070"/>
  <c r="N88" i="7070" s="1"/>
  <c r="O18" i="7070"/>
  <c r="O19" i="7070" s="1"/>
  <c r="C24" i="7070"/>
  <c r="O24" i="7070"/>
  <c r="C28" i="7070"/>
  <c r="C29" i="7070" s="1"/>
  <c r="O28" i="7070"/>
  <c r="O29" i="7070" s="1"/>
  <c r="O58" i="7070" s="1"/>
  <c r="O59" i="7070"/>
  <c r="O76" i="7070"/>
  <c r="O77" i="7070"/>
  <c r="O85" i="7070" s="1"/>
  <c r="O78" i="7070"/>
  <c r="O86" i="7070" s="1"/>
  <c r="Z93" i="7070" l="1"/>
  <c r="X93" i="7070"/>
  <c r="Y93" i="7070"/>
  <c r="O80" i="7070"/>
  <c r="O88" i="7070" s="1"/>
  <c r="V78" i="7070"/>
  <c r="V86" i="7070" s="1"/>
  <c r="M80" i="7070"/>
  <c r="M88" i="7070" s="1"/>
  <c r="Q84" i="7070"/>
  <c r="L80" i="7070"/>
  <c r="L88" i="7070" s="1"/>
  <c r="H84" i="7070"/>
  <c r="M78" i="7070"/>
  <c r="M86" i="7070" s="1"/>
  <c r="L78" i="7070"/>
  <c r="L86" i="7070" s="1"/>
  <c r="L77" i="7070"/>
  <c r="L85" i="7070" s="1"/>
  <c r="D84" i="7070"/>
  <c r="I33" i="6933"/>
  <c r="H33" i="6933"/>
  <c r="I50" i="6931"/>
  <c r="I46" i="6931"/>
  <c r="I47" i="6931"/>
  <c r="I48" i="6931" s="1"/>
  <c r="H50" i="6931"/>
  <c r="H46" i="6931"/>
  <c r="H47" i="6931"/>
  <c r="H48" i="6931" s="1"/>
  <c r="I29" i="6931"/>
  <c r="H29" i="6931"/>
  <c r="F47" i="6931"/>
  <c r="F50" i="6931"/>
  <c r="F46" i="6931"/>
  <c r="F48" i="6931" s="1"/>
  <c r="F29" i="6931"/>
  <c r="G29" i="6931"/>
  <c r="C48" i="6930"/>
  <c r="I50" i="6930"/>
  <c r="I29" i="6930" s="1"/>
  <c r="I46" i="6930"/>
  <c r="I47" i="6930"/>
  <c r="I48" i="6930" s="1"/>
  <c r="H50" i="6930"/>
  <c r="H29" i="6930" s="1"/>
  <c r="H46" i="6930"/>
  <c r="H47" i="6930"/>
  <c r="H48" i="6930" s="1"/>
  <c r="C48" i="6929"/>
  <c r="D48" i="6929"/>
  <c r="G48" i="6929"/>
  <c r="H50" i="6929"/>
  <c r="H29" i="6929" s="1"/>
  <c r="H48" i="6929"/>
  <c r="H46" i="6929"/>
  <c r="H47" i="6929"/>
  <c r="I50" i="6929"/>
  <c r="I29" i="6929" s="1"/>
  <c r="I48" i="6929"/>
  <c r="I46" i="6929"/>
  <c r="I47" i="6929"/>
  <c r="H50" i="6928"/>
  <c r="H29" i="6928" s="1"/>
  <c r="H46" i="6928"/>
  <c r="H48" i="6928" s="1"/>
  <c r="H47" i="6928"/>
  <c r="G16" i="6928"/>
  <c r="F16" i="6928"/>
  <c r="I50" i="6928"/>
  <c r="I29" i="6928" s="1"/>
  <c r="I46" i="6928"/>
  <c r="I47" i="6928"/>
  <c r="I48" i="6928"/>
  <c r="I16" i="6928"/>
  <c r="H16" i="6928"/>
  <c r="C80" i="7070"/>
  <c r="C88" i="7070" s="1"/>
  <c r="G58" i="7070"/>
  <c r="G61" i="7070" s="1"/>
  <c r="S25" i="7070"/>
  <c r="S89" i="7070" s="1"/>
  <c r="Q25" i="7070"/>
  <c r="Q89" i="7070" s="1"/>
  <c r="M58" i="7070"/>
  <c r="M61" i="7070" s="1"/>
  <c r="J58" i="7070"/>
  <c r="J61" i="7070" s="1"/>
  <c r="U61" i="7070"/>
  <c r="U60" i="7070"/>
  <c r="U79" i="7070" s="1"/>
  <c r="I61" i="7070"/>
  <c r="I60" i="7070"/>
  <c r="I79" i="7070" s="1"/>
  <c r="R61" i="7070"/>
  <c r="R60" i="7070"/>
  <c r="R79" i="7070" s="1"/>
  <c r="K61" i="7070"/>
  <c r="K60" i="7070"/>
  <c r="K79" i="7070" s="1"/>
  <c r="F61" i="7070"/>
  <c r="F60" i="7070"/>
  <c r="F79" i="7070" s="1"/>
  <c r="W61" i="7070"/>
  <c r="W60" i="7070"/>
  <c r="W79" i="7070" s="1"/>
  <c r="W78" i="7070"/>
  <c r="W86" i="7070" s="1"/>
  <c r="W25" i="7070"/>
  <c r="W89" i="7070" s="1"/>
  <c r="U78" i="7070"/>
  <c r="U86" i="7070" s="1"/>
  <c r="U25" i="7070"/>
  <c r="U89" i="7070" s="1"/>
  <c r="R78" i="7070"/>
  <c r="R86" i="7070" s="1"/>
  <c r="R25" i="7070"/>
  <c r="R89" i="7070" s="1"/>
  <c r="N61" i="7070"/>
  <c r="N60" i="7070"/>
  <c r="N79" i="7070" s="1"/>
  <c r="K78" i="7070"/>
  <c r="K86" i="7070" s="1"/>
  <c r="K25" i="7070"/>
  <c r="K89" i="7070" s="1"/>
  <c r="I78" i="7070"/>
  <c r="I86" i="7070" s="1"/>
  <c r="I25" i="7070"/>
  <c r="I89" i="7070" s="1"/>
  <c r="F78" i="7070"/>
  <c r="F86" i="7070" s="1"/>
  <c r="F25" i="7070"/>
  <c r="F89" i="7070" s="1"/>
  <c r="K80" i="7070"/>
  <c r="K88" i="7070" s="1"/>
  <c r="W77" i="7070"/>
  <c r="W85" i="7070" s="1"/>
  <c r="V61" i="7070"/>
  <c r="V60" i="7070"/>
  <c r="V79" i="7070" s="1"/>
  <c r="U77" i="7070"/>
  <c r="U85" i="7070" s="1"/>
  <c r="T61" i="7070"/>
  <c r="T60" i="7070"/>
  <c r="T79" i="7070" s="1"/>
  <c r="S61" i="7070"/>
  <c r="S60" i="7070"/>
  <c r="S79" i="7070" s="1"/>
  <c r="R77" i="7070"/>
  <c r="R85" i="7070" s="1"/>
  <c r="Q61" i="7070"/>
  <c r="Q60" i="7070"/>
  <c r="Q79" i="7070" s="1"/>
  <c r="O25" i="7070"/>
  <c r="O89" i="7070" s="1"/>
  <c r="I77" i="7070"/>
  <c r="I85" i="7070" s="1"/>
  <c r="H61" i="7070"/>
  <c r="H60" i="7070"/>
  <c r="H79" i="7070" s="1"/>
  <c r="F77" i="7070"/>
  <c r="F85" i="7070" s="1"/>
  <c r="E58" i="7070"/>
  <c r="K77" i="7070"/>
  <c r="K85" i="7070" s="1"/>
  <c r="W76" i="7070"/>
  <c r="W84" i="7070" s="1"/>
  <c r="U76" i="7070"/>
  <c r="U84" i="7070" s="1"/>
  <c r="R76" i="7070"/>
  <c r="R84" i="7070" s="1"/>
  <c r="K76" i="7070"/>
  <c r="K84" i="7070" s="1"/>
  <c r="I76" i="7070"/>
  <c r="I84" i="7070" s="1"/>
  <c r="F76" i="7070"/>
  <c r="F84" i="7070" s="1"/>
  <c r="O61" i="7070"/>
  <c r="O60" i="7070"/>
  <c r="O79" i="7070" s="1"/>
  <c r="J25" i="7070"/>
  <c r="J89" i="7070" s="1"/>
  <c r="G25" i="7070"/>
  <c r="G89" i="7070" s="1"/>
  <c r="E25" i="7070"/>
  <c r="E89" i="7070" s="1"/>
  <c r="M76" i="7070"/>
  <c r="M84" i="7070" s="1"/>
  <c r="L61" i="7070"/>
  <c r="L60" i="7070"/>
  <c r="L79" i="7070" s="1"/>
  <c r="D61" i="7070"/>
  <c r="D60" i="7070"/>
  <c r="D79" i="7070" s="1"/>
  <c r="P61" i="7070"/>
  <c r="P60" i="7070"/>
  <c r="P79" i="7070" s="1"/>
  <c r="O84" i="7070" l="1"/>
  <c r="S84" i="7070"/>
  <c r="G60" i="7070"/>
  <c r="G79" i="7070" s="1"/>
  <c r="M60" i="7070"/>
  <c r="M79" i="7070" s="1"/>
  <c r="J60" i="7070"/>
  <c r="J79" i="7070" s="1"/>
  <c r="J84" i="7070"/>
  <c r="J92" i="7070" s="1"/>
  <c r="J94" i="7070" s="1"/>
  <c r="G84" i="7070"/>
  <c r="Q87" i="7070"/>
  <c r="Q92" i="7070" s="1"/>
  <c r="Q94" i="7070" s="1"/>
  <c r="Q70" i="7070"/>
  <c r="Q72" i="7070" s="1"/>
  <c r="F87" i="7070"/>
  <c r="F92" i="7070" s="1"/>
  <c r="F94" i="7070" s="1"/>
  <c r="F70" i="7070"/>
  <c r="F72" i="7070" s="1"/>
  <c r="E84" i="7070"/>
  <c r="K87" i="7070"/>
  <c r="K92" i="7070" s="1"/>
  <c r="K94" i="7070" s="1"/>
  <c r="K70" i="7070"/>
  <c r="K72" i="7070" s="1"/>
  <c r="S87" i="7070"/>
  <c r="S92" i="7070" s="1"/>
  <c r="S94" i="7070" s="1"/>
  <c r="S70" i="7070"/>
  <c r="S72" i="7070" s="1"/>
  <c r="M87" i="7070"/>
  <c r="M70" i="7070"/>
  <c r="M72" i="7070" s="1"/>
  <c r="E61" i="7070"/>
  <c r="E60" i="7070"/>
  <c r="E79" i="7070" s="1"/>
  <c r="R87" i="7070"/>
  <c r="R70" i="7070"/>
  <c r="R72" i="7070" s="1"/>
  <c r="O92" i="7070"/>
  <c r="O94" i="7070" s="1"/>
  <c r="D87" i="7070"/>
  <c r="D92" i="7070" s="1"/>
  <c r="D94" i="7070" s="1"/>
  <c r="D70" i="7070"/>
  <c r="D72" i="7070" s="1"/>
  <c r="G87" i="7070"/>
  <c r="G70" i="7070"/>
  <c r="G72" i="7070" s="1"/>
  <c r="I87" i="7070"/>
  <c r="I92" i="7070" s="1"/>
  <c r="I94" i="7070" s="1"/>
  <c r="I70" i="7070"/>
  <c r="I72" i="7070" s="1"/>
  <c r="J87" i="7070"/>
  <c r="J70" i="7070"/>
  <c r="J72" i="7070" s="1"/>
  <c r="O87" i="7070"/>
  <c r="O70" i="7070"/>
  <c r="O72" i="7070" s="1"/>
  <c r="T87" i="7070"/>
  <c r="T92" i="7070" s="1"/>
  <c r="T94" i="7070" s="1"/>
  <c r="T70" i="7070"/>
  <c r="T72" i="7070" s="1"/>
  <c r="L87" i="7070"/>
  <c r="L92" i="7070" s="1"/>
  <c r="L94" i="7070" s="1"/>
  <c r="L70" i="7070"/>
  <c r="L72" i="7070" s="1"/>
  <c r="P87" i="7070"/>
  <c r="P92" i="7070" s="1"/>
  <c r="P94" i="7070" s="1"/>
  <c r="P70" i="7070"/>
  <c r="P72" i="7070" s="1"/>
  <c r="M92" i="7070"/>
  <c r="M94" i="7070" s="1"/>
  <c r="H87" i="7070"/>
  <c r="H92" i="7070" s="1"/>
  <c r="H94" i="7070" s="1"/>
  <c r="H70" i="7070"/>
  <c r="H72" i="7070" s="1"/>
  <c r="V87" i="7070"/>
  <c r="V92" i="7070" s="1"/>
  <c r="V94" i="7070" s="1"/>
  <c r="V70" i="7070"/>
  <c r="V72" i="7070" s="1"/>
  <c r="N87" i="7070"/>
  <c r="N92" i="7070" s="1"/>
  <c r="N94" i="7070" s="1"/>
  <c r="N70" i="7070"/>
  <c r="N72" i="7070" s="1"/>
  <c r="W87" i="7070"/>
  <c r="W92" i="7070" s="1"/>
  <c r="W94" i="7070" s="1"/>
  <c r="W70" i="7070"/>
  <c r="W72" i="7070" s="1"/>
  <c r="U87" i="7070"/>
  <c r="U92" i="7070" s="1"/>
  <c r="U94" i="7070" s="1"/>
  <c r="U70" i="7070"/>
  <c r="U72" i="7070" s="1"/>
  <c r="R92" i="7070"/>
  <c r="R94" i="7070" s="1"/>
  <c r="W93" i="7070" l="1"/>
  <c r="F93" i="7070"/>
  <c r="U93" i="7070"/>
  <c r="K93" i="7070"/>
  <c r="I93" i="7070"/>
  <c r="T93" i="7070"/>
  <c r="D93" i="7070"/>
  <c r="S93" i="7070"/>
  <c r="V93" i="7070"/>
  <c r="O93" i="7070"/>
  <c r="H93" i="7070"/>
  <c r="R93" i="7070"/>
  <c r="M93" i="7070"/>
  <c r="E87" i="7070"/>
  <c r="E92" i="7070" s="1"/>
  <c r="E94" i="7070" s="1"/>
  <c r="E70" i="7070"/>
  <c r="E72" i="7070" s="1"/>
  <c r="Q93" i="7070"/>
  <c r="G92" i="7070"/>
  <c r="G94" i="7070" s="1"/>
  <c r="N93" i="7070"/>
  <c r="P93" i="7070"/>
  <c r="J93" i="7070"/>
  <c r="L93" i="7070"/>
  <c r="E93" i="7070" l="1"/>
  <c r="G93" i="7070"/>
  <c r="C58" i="7070" l="1"/>
  <c r="S73" i="6884" a="1"/>
  <c r="S73" i="6884" s="1"/>
  <c r="S70" i="6884" a="1"/>
  <c r="S67" i="6884" a="1"/>
  <c r="C61" i="7070" l="1"/>
  <c r="C18" i="7070"/>
  <c r="C76" i="7070"/>
  <c r="S67" i="6884"/>
  <c r="C78" i="7070"/>
  <c r="C86" i="7070" s="1"/>
  <c r="S70" i="6884"/>
  <c r="C59" i="7070"/>
  <c r="C60" i="7070" s="1"/>
  <c r="C79" i="7070" s="1"/>
  <c r="C52" i="7070" l="1"/>
  <c r="C53" i="7070" s="1"/>
  <c r="C19" i="7070"/>
  <c r="C77" i="7070"/>
  <c r="C85" i="7070" s="1"/>
  <c r="C25" i="7070"/>
  <c r="C89" i="7070" s="1"/>
  <c r="C87" i="7070"/>
  <c r="C70" i="7070"/>
  <c r="C72" i="7070" s="1"/>
  <c r="C84" i="7070" l="1"/>
  <c r="C92" i="7070" s="1"/>
  <c r="C94" i="7070" s="1"/>
  <c r="D34" i="6927"/>
  <c r="E34" i="6927" s="1"/>
  <c r="D30" i="6927"/>
  <c r="E30" i="6927" s="1"/>
  <c r="I14" i="6927"/>
  <c r="H14" i="6927"/>
  <c r="G14" i="6927"/>
  <c r="F14" i="6927"/>
  <c r="I13" i="6927"/>
  <c r="H13" i="6927"/>
  <c r="G13" i="6927"/>
  <c r="F13" i="6927"/>
  <c r="C93" i="7070" l="1"/>
  <c r="Z76" i="7000" l="1"/>
  <c r="Y76" i="7000"/>
  <c r="X76" i="7000"/>
  <c r="W76" i="7000"/>
  <c r="V76" i="7000"/>
  <c r="U76" i="7000"/>
  <c r="T76" i="7000"/>
  <c r="S76" i="7000"/>
  <c r="R76" i="7000"/>
  <c r="Q76" i="7000"/>
  <c r="Z76" i="7047"/>
  <c r="Y76" i="7047"/>
  <c r="X76" i="7047"/>
  <c r="W76" i="7047"/>
  <c r="V76" i="7047"/>
  <c r="U76" i="7047"/>
  <c r="T76" i="7047"/>
  <c r="S76" i="7047"/>
  <c r="R76" i="7047"/>
  <c r="Q76" i="7047"/>
  <c r="Z76" i="6999"/>
  <c r="Y76" i="6999"/>
  <c r="X76" i="6999"/>
  <c r="W76" i="6999"/>
  <c r="V76" i="6999"/>
  <c r="U76" i="6999"/>
  <c r="T76" i="6999"/>
  <c r="S76" i="6999"/>
  <c r="R76" i="6999"/>
  <c r="Q76" i="6999"/>
  <c r="E32" i="6958" l="1"/>
  <c r="D32" i="6958"/>
  <c r="C32" i="6958"/>
  <c r="I14" i="6958"/>
  <c r="H14" i="6958"/>
  <c r="D14" i="6958"/>
  <c r="E14" i="6958" s="1"/>
  <c r="E33" i="6945"/>
  <c r="D33" i="6945"/>
  <c r="E30" i="6945"/>
  <c r="D30" i="6945"/>
  <c r="E144" i="7000" l="1"/>
  <c r="E143" i="7000"/>
  <c r="E152" i="7000"/>
  <c r="E151" i="7000"/>
  <c r="E150" i="7000"/>
  <c r="E149" i="7000"/>
  <c r="E148" i="7000"/>
  <c r="D150" i="7000"/>
  <c r="D148" i="7000"/>
  <c r="E147" i="7000"/>
  <c r="D147" i="7000"/>
  <c r="E146" i="7000"/>
  <c r="D146" i="7000"/>
  <c r="E145" i="7000"/>
  <c r="D145" i="7000"/>
  <c r="D143" i="7000"/>
  <c r="Z92" i="7047"/>
  <c r="Z94" i="7047" s="1"/>
  <c r="Y92" i="7047"/>
  <c r="Y94" i="7047" s="1"/>
  <c r="X92" i="7047"/>
  <c r="X94" i="7047" s="1"/>
  <c r="W92" i="7047"/>
  <c r="W94" i="7047" s="1"/>
  <c r="V92" i="7047"/>
  <c r="V94" i="7047" s="1"/>
  <c r="U92" i="7047"/>
  <c r="U94" i="7047" s="1"/>
  <c r="T92" i="7047"/>
  <c r="T94" i="7047" s="1"/>
  <c r="S92" i="7047"/>
  <c r="S94" i="7047" s="1"/>
  <c r="R92" i="7047"/>
  <c r="R94" i="7047" s="1"/>
  <c r="Q92" i="7047"/>
  <c r="Q94" i="7047" s="1"/>
  <c r="Z90" i="7047"/>
  <c r="Y90" i="7047"/>
  <c r="X90" i="7047"/>
  <c r="W90" i="7047"/>
  <c r="V90" i="7047"/>
  <c r="U90" i="7047"/>
  <c r="T90" i="7047"/>
  <c r="S90" i="7047"/>
  <c r="R90" i="7047"/>
  <c r="Q90" i="7047"/>
  <c r="P90" i="7047"/>
  <c r="O90" i="7047"/>
  <c r="N90" i="7047"/>
  <c r="M90" i="7047"/>
  <c r="L90" i="7047"/>
  <c r="K90" i="7047"/>
  <c r="J90" i="7047"/>
  <c r="I90" i="7047"/>
  <c r="H90" i="7047"/>
  <c r="G90" i="7047"/>
  <c r="F90" i="7047"/>
  <c r="E90" i="7047"/>
  <c r="D90" i="7047"/>
  <c r="C90" i="7047"/>
  <c r="Z89" i="7047"/>
  <c r="Y89" i="7047"/>
  <c r="X89" i="7047"/>
  <c r="W89" i="7047"/>
  <c r="V89" i="7047"/>
  <c r="U89" i="7047"/>
  <c r="T89" i="7047"/>
  <c r="S89" i="7047"/>
  <c r="R89" i="7047"/>
  <c r="Q89" i="7047"/>
  <c r="Z88" i="7047"/>
  <c r="Y88" i="7047"/>
  <c r="X88" i="7047"/>
  <c r="W88" i="7047"/>
  <c r="V88" i="7047"/>
  <c r="U88" i="7047"/>
  <c r="T88" i="7047"/>
  <c r="S88" i="7047"/>
  <c r="R88" i="7047"/>
  <c r="Q88" i="7047"/>
  <c r="Z87" i="7047"/>
  <c r="Y87" i="7047"/>
  <c r="X87" i="7047"/>
  <c r="W87" i="7047"/>
  <c r="V87" i="7047"/>
  <c r="U87" i="7047"/>
  <c r="T87" i="7047"/>
  <c r="S87" i="7047"/>
  <c r="R87" i="7047"/>
  <c r="Q87" i="7047"/>
  <c r="Z86" i="7047"/>
  <c r="Y86" i="7047"/>
  <c r="X86" i="7047"/>
  <c r="W86" i="7047"/>
  <c r="V86" i="7047"/>
  <c r="U86" i="7047"/>
  <c r="T86" i="7047"/>
  <c r="S86" i="7047"/>
  <c r="R86" i="7047"/>
  <c r="Q86" i="7047"/>
  <c r="Z85" i="7047"/>
  <c r="Y85" i="7047"/>
  <c r="X85" i="7047"/>
  <c r="W85" i="7047"/>
  <c r="V85" i="7047"/>
  <c r="U85" i="7047"/>
  <c r="T85" i="7047"/>
  <c r="S85" i="7047"/>
  <c r="R85" i="7047"/>
  <c r="Q85" i="7047"/>
  <c r="Z84" i="7047"/>
  <c r="Y84" i="7047"/>
  <c r="X84" i="7047"/>
  <c r="W84" i="7047"/>
  <c r="V84" i="7047"/>
  <c r="U84" i="7047"/>
  <c r="T84" i="7047"/>
  <c r="S84" i="7047"/>
  <c r="R84" i="7047"/>
  <c r="Q84" i="7047"/>
  <c r="Z81" i="7047"/>
  <c r="Y81" i="7047"/>
  <c r="X81" i="7047"/>
  <c r="W81" i="7047"/>
  <c r="V81" i="7047"/>
  <c r="U81" i="7047"/>
  <c r="T81" i="7047"/>
  <c r="S81" i="7047"/>
  <c r="R81" i="7047"/>
  <c r="Q81" i="7047"/>
  <c r="Z80" i="7047"/>
  <c r="Y80" i="7047"/>
  <c r="X80" i="7047"/>
  <c r="W80" i="7047"/>
  <c r="V80" i="7047"/>
  <c r="U80" i="7047"/>
  <c r="T80" i="7047"/>
  <c r="S80" i="7047"/>
  <c r="R80" i="7047"/>
  <c r="Q80" i="7047"/>
  <c r="Z79" i="7047"/>
  <c r="Y79" i="7047"/>
  <c r="X79" i="7047"/>
  <c r="W79" i="7047"/>
  <c r="V79" i="7047"/>
  <c r="U79" i="7047"/>
  <c r="T79" i="7047"/>
  <c r="S79" i="7047"/>
  <c r="R79" i="7047"/>
  <c r="Q79" i="7047"/>
  <c r="Z78" i="7047"/>
  <c r="Y78" i="7047"/>
  <c r="X78" i="7047"/>
  <c r="W78" i="7047"/>
  <c r="V78" i="7047"/>
  <c r="U78" i="7047"/>
  <c r="T78" i="7047"/>
  <c r="S78" i="7047"/>
  <c r="R78" i="7047"/>
  <c r="Q78" i="7047"/>
  <c r="Z77" i="7047"/>
  <c r="Y77" i="7047"/>
  <c r="X77" i="7047"/>
  <c r="W77" i="7047"/>
  <c r="V77" i="7047"/>
  <c r="U77" i="7047"/>
  <c r="T77" i="7047"/>
  <c r="S77" i="7047"/>
  <c r="R77" i="7047"/>
  <c r="Q77" i="7047"/>
  <c r="Z70" i="7047"/>
  <c r="Z72" i="7047" s="1"/>
  <c r="Y70" i="7047"/>
  <c r="Y72" i="7047" s="1"/>
  <c r="X70" i="7047"/>
  <c r="X72" i="7047" s="1"/>
  <c r="W70" i="7047"/>
  <c r="W72" i="7047" s="1"/>
  <c r="V70" i="7047"/>
  <c r="V72" i="7047" s="1"/>
  <c r="U70" i="7047"/>
  <c r="U72" i="7047" s="1"/>
  <c r="T70" i="7047"/>
  <c r="T72" i="7047" s="1"/>
  <c r="S70" i="7047"/>
  <c r="S72" i="7047" s="1"/>
  <c r="R70" i="7047"/>
  <c r="R72" i="7047" s="1"/>
  <c r="Q70" i="7047"/>
  <c r="Q72" i="7047" s="1"/>
  <c r="Z60" i="7047"/>
  <c r="Y60" i="7047"/>
  <c r="X60" i="7047"/>
  <c r="W60" i="7047"/>
  <c r="V60" i="7047"/>
  <c r="U60" i="7047"/>
  <c r="T60" i="7047"/>
  <c r="S60" i="7047"/>
  <c r="R60" i="7047"/>
  <c r="Q60" i="7047"/>
  <c r="Z59" i="7047"/>
  <c r="Y59" i="7047"/>
  <c r="X59" i="7047"/>
  <c r="W59" i="7047"/>
  <c r="V59" i="7047"/>
  <c r="U59" i="7047"/>
  <c r="T59" i="7047"/>
  <c r="S59" i="7047"/>
  <c r="R59" i="7047"/>
  <c r="Q59" i="7047"/>
  <c r="Z58" i="7047"/>
  <c r="Z61" i="7047" s="1"/>
  <c r="Y58" i="7047"/>
  <c r="Y61" i="7047" s="1"/>
  <c r="X58" i="7047"/>
  <c r="X61" i="7047" s="1"/>
  <c r="W58" i="7047"/>
  <c r="W61" i="7047" s="1"/>
  <c r="V58" i="7047"/>
  <c r="V61" i="7047" s="1"/>
  <c r="U58" i="7047"/>
  <c r="U61" i="7047" s="1"/>
  <c r="T58" i="7047"/>
  <c r="T61" i="7047" s="1"/>
  <c r="S58" i="7047"/>
  <c r="S61" i="7047" s="1"/>
  <c r="R58" i="7047"/>
  <c r="R61" i="7047" s="1"/>
  <c r="Q58" i="7047"/>
  <c r="Q61" i="7047" s="1"/>
  <c r="Z53" i="7047"/>
  <c r="Y53" i="7047"/>
  <c r="X53" i="7047"/>
  <c r="W53" i="7047"/>
  <c r="V53" i="7047"/>
  <c r="U53" i="7047"/>
  <c r="T53" i="7047"/>
  <c r="S53" i="7047"/>
  <c r="R53" i="7047"/>
  <c r="Q53" i="7047"/>
  <c r="Z51" i="7047"/>
  <c r="Z52" i="7047" s="1"/>
  <c r="Y51" i="7047"/>
  <c r="Y52" i="7047" s="1"/>
  <c r="X51" i="7047"/>
  <c r="X52" i="7047" s="1"/>
  <c r="W51" i="7047"/>
  <c r="W52" i="7047" s="1"/>
  <c r="V51" i="7047"/>
  <c r="V52" i="7047" s="1"/>
  <c r="U51" i="7047"/>
  <c r="U52" i="7047" s="1"/>
  <c r="T51" i="7047"/>
  <c r="T52" i="7047" s="1"/>
  <c r="S51" i="7047"/>
  <c r="S52" i="7047" s="1"/>
  <c r="R51" i="7047"/>
  <c r="R52" i="7047" s="1"/>
  <c r="Q51" i="7047"/>
  <c r="Q52" i="7047" s="1"/>
  <c r="P51" i="7047"/>
  <c r="P52" i="7047" s="1"/>
  <c r="O51" i="7047"/>
  <c r="O52" i="7047" s="1"/>
  <c r="N51" i="7047"/>
  <c r="N52" i="7047" s="1"/>
  <c r="M51" i="7047"/>
  <c r="M52" i="7047" s="1"/>
  <c r="L51" i="7047"/>
  <c r="L52" i="7047" s="1"/>
  <c r="K51" i="7047"/>
  <c r="K52" i="7047" s="1"/>
  <c r="J51" i="7047"/>
  <c r="J52" i="7047" s="1"/>
  <c r="I51" i="7047"/>
  <c r="I52" i="7047" s="1"/>
  <c r="H51" i="7047"/>
  <c r="H52" i="7047" s="1"/>
  <c r="G51" i="7047"/>
  <c r="G52" i="7047" s="1"/>
  <c r="F51" i="7047"/>
  <c r="F52" i="7047" s="1"/>
  <c r="E51" i="7047"/>
  <c r="E52" i="7047" s="1"/>
  <c r="D51" i="7047"/>
  <c r="D52" i="7047" s="1"/>
  <c r="C51" i="7047"/>
  <c r="C52" i="7047" s="1"/>
  <c r="Z50" i="7047"/>
  <c r="Y50" i="7047"/>
  <c r="X50" i="7047"/>
  <c r="W50" i="7047"/>
  <c r="V50" i="7047"/>
  <c r="U50" i="7047"/>
  <c r="T50" i="7047"/>
  <c r="S50" i="7047"/>
  <c r="R50" i="7047"/>
  <c r="Q50" i="7047"/>
  <c r="P50" i="7047"/>
  <c r="O50" i="7047"/>
  <c r="N50" i="7047"/>
  <c r="M50" i="7047"/>
  <c r="L50" i="7047"/>
  <c r="K50" i="7047"/>
  <c r="J50" i="7047"/>
  <c r="I50" i="7047"/>
  <c r="H50" i="7047"/>
  <c r="G50" i="7047"/>
  <c r="F50" i="7047"/>
  <c r="E50" i="7047"/>
  <c r="D50" i="7047"/>
  <c r="C50" i="7047"/>
  <c r="Z49" i="7047"/>
  <c r="Y49" i="7047"/>
  <c r="X49" i="7047"/>
  <c r="W49" i="7047"/>
  <c r="V49" i="7047"/>
  <c r="U49" i="7047"/>
  <c r="T49" i="7047"/>
  <c r="S49" i="7047"/>
  <c r="R49" i="7047"/>
  <c r="Q49" i="7047"/>
  <c r="P49" i="7047"/>
  <c r="O49" i="7047"/>
  <c r="N49" i="7047"/>
  <c r="M49" i="7047"/>
  <c r="L49" i="7047"/>
  <c r="K49" i="7047"/>
  <c r="J49" i="7047"/>
  <c r="I49" i="7047"/>
  <c r="H49" i="7047"/>
  <c r="G49" i="7047"/>
  <c r="F49" i="7047"/>
  <c r="E49" i="7047"/>
  <c r="D49" i="7047"/>
  <c r="C49" i="7047"/>
  <c r="Z46" i="7047"/>
  <c r="Y46" i="7047"/>
  <c r="X46" i="7047"/>
  <c r="W46" i="7047"/>
  <c r="V46" i="7047"/>
  <c r="U46" i="7047"/>
  <c r="T46" i="7047"/>
  <c r="S46" i="7047"/>
  <c r="R46" i="7047"/>
  <c r="Q46" i="7047"/>
  <c r="P46" i="7047"/>
  <c r="O46" i="7047"/>
  <c r="N46" i="7047"/>
  <c r="M46" i="7047"/>
  <c r="L46" i="7047"/>
  <c r="K46" i="7047"/>
  <c r="J46" i="7047"/>
  <c r="I46" i="7047"/>
  <c r="H46" i="7047"/>
  <c r="G46" i="7047"/>
  <c r="F46" i="7047"/>
  <c r="E46" i="7047"/>
  <c r="D46" i="7047"/>
  <c r="C46" i="7047"/>
  <c r="Z45" i="7047"/>
  <c r="Y45" i="7047"/>
  <c r="X45" i="7047"/>
  <c r="W45" i="7047"/>
  <c r="V45" i="7047"/>
  <c r="U45" i="7047"/>
  <c r="T45" i="7047"/>
  <c r="S45" i="7047"/>
  <c r="R45" i="7047"/>
  <c r="Q45" i="7047"/>
  <c r="P45" i="7047"/>
  <c r="O45" i="7047"/>
  <c r="N45" i="7047"/>
  <c r="M45" i="7047"/>
  <c r="L45" i="7047"/>
  <c r="K45" i="7047"/>
  <c r="J45" i="7047"/>
  <c r="I45" i="7047"/>
  <c r="H45" i="7047"/>
  <c r="G45" i="7047"/>
  <c r="F45" i="7047"/>
  <c r="E45" i="7047"/>
  <c r="D45" i="7047"/>
  <c r="C45" i="7047"/>
  <c r="Z44" i="7047"/>
  <c r="Y44" i="7047"/>
  <c r="X44" i="7047"/>
  <c r="W44" i="7047"/>
  <c r="V44" i="7047"/>
  <c r="U44" i="7047"/>
  <c r="T44" i="7047"/>
  <c r="S44" i="7047"/>
  <c r="R44" i="7047"/>
  <c r="Q44" i="7047"/>
  <c r="P44" i="7047"/>
  <c r="O44" i="7047"/>
  <c r="N44" i="7047"/>
  <c r="M44" i="7047"/>
  <c r="L44" i="7047"/>
  <c r="K44" i="7047"/>
  <c r="J44" i="7047"/>
  <c r="I44" i="7047"/>
  <c r="H44" i="7047"/>
  <c r="G44" i="7047"/>
  <c r="F44" i="7047"/>
  <c r="E44" i="7047"/>
  <c r="D44" i="7047"/>
  <c r="C44" i="7047"/>
  <c r="Z43" i="7047"/>
  <c r="Y43" i="7047"/>
  <c r="X43" i="7047"/>
  <c r="W43" i="7047"/>
  <c r="V43" i="7047"/>
  <c r="U43" i="7047"/>
  <c r="T43" i="7047"/>
  <c r="S43" i="7047"/>
  <c r="R43" i="7047"/>
  <c r="Q43" i="7047"/>
  <c r="P43" i="7047"/>
  <c r="O43" i="7047"/>
  <c r="N43" i="7047"/>
  <c r="M43" i="7047"/>
  <c r="L43" i="7047"/>
  <c r="K43" i="7047"/>
  <c r="J43" i="7047"/>
  <c r="I43" i="7047"/>
  <c r="H43" i="7047"/>
  <c r="G43" i="7047"/>
  <c r="F43" i="7047"/>
  <c r="E43" i="7047"/>
  <c r="D43" i="7047"/>
  <c r="C43" i="7047"/>
  <c r="Z42" i="7047"/>
  <c r="Y42" i="7047"/>
  <c r="X42" i="7047"/>
  <c r="W42" i="7047"/>
  <c r="V42" i="7047"/>
  <c r="U42" i="7047"/>
  <c r="T42" i="7047"/>
  <c r="S42" i="7047"/>
  <c r="R42" i="7047"/>
  <c r="Q42" i="7047"/>
  <c r="P42" i="7047"/>
  <c r="O42" i="7047"/>
  <c r="N42" i="7047"/>
  <c r="M42" i="7047"/>
  <c r="L42" i="7047"/>
  <c r="K42" i="7047"/>
  <c r="J42" i="7047"/>
  <c r="I42" i="7047"/>
  <c r="H42" i="7047"/>
  <c r="G42" i="7047"/>
  <c r="F42" i="7047"/>
  <c r="E42" i="7047"/>
  <c r="D42" i="7047"/>
  <c r="C42" i="7047"/>
  <c r="T35" i="7047"/>
  <c r="S35" i="7047"/>
  <c r="Z34" i="7047"/>
  <c r="Z35" i="7047" s="1"/>
  <c r="Y34" i="7047"/>
  <c r="Y35" i="7047" s="1"/>
  <c r="X34" i="7047"/>
  <c r="X35" i="7047" s="1"/>
  <c r="W34" i="7047"/>
  <c r="W35" i="7047" s="1"/>
  <c r="V34" i="7047"/>
  <c r="V35" i="7047" s="1"/>
  <c r="U34" i="7047"/>
  <c r="U35" i="7047" s="1"/>
  <c r="R34" i="7047"/>
  <c r="R35" i="7047" s="1"/>
  <c r="Q34" i="7047"/>
  <c r="Q35" i="7047" s="1"/>
  <c r="I34" i="7047"/>
  <c r="I35" i="7047" s="1"/>
  <c r="H34" i="7047"/>
  <c r="H35" i="7047" s="1"/>
  <c r="G34" i="7047"/>
  <c r="G35" i="7047" s="1"/>
  <c r="F34" i="7047"/>
  <c r="F35" i="7047" s="1"/>
  <c r="E34" i="7047"/>
  <c r="E35" i="7047" s="1"/>
  <c r="D34" i="7047"/>
  <c r="D35" i="7047" s="1"/>
  <c r="C34" i="7047"/>
  <c r="C35" i="7047" s="1"/>
  <c r="Z29" i="7047"/>
  <c r="Y29" i="7047"/>
  <c r="X29" i="7047"/>
  <c r="W29" i="7047"/>
  <c r="V29" i="7047"/>
  <c r="U29" i="7047"/>
  <c r="T29" i="7047"/>
  <c r="S29" i="7047"/>
  <c r="R29" i="7047"/>
  <c r="Q29" i="7047"/>
  <c r="Z28" i="7047"/>
  <c r="Y28" i="7047"/>
  <c r="X28" i="7047"/>
  <c r="W28" i="7047"/>
  <c r="V28" i="7047"/>
  <c r="U28" i="7047"/>
  <c r="T28" i="7047"/>
  <c r="S28" i="7047"/>
  <c r="R28" i="7047"/>
  <c r="Q28" i="7047"/>
  <c r="F28" i="7047"/>
  <c r="F29" i="7047" s="1"/>
  <c r="Z26" i="7047"/>
  <c r="Y26" i="7047"/>
  <c r="X26" i="7047"/>
  <c r="W26" i="7047"/>
  <c r="V26" i="7047"/>
  <c r="U26" i="7047"/>
  <c r="T26" i="7047"/>
  <c r="S26" i="7047"/>
  <c r="R26" i="7047"/>
  <c r="Q26" i="7047"/>
  <c r="P26" i="7047"/>
  <c r="O26" i="7047"/>
  <c r="N26" i="7047"/>
  <c r="M26" i="7047"/>
  <c r="L26" i="7047"/>
  <c r="K26" i="7047"/>
  <c r="J26" i="7047"/>
  <c r="I26" i="7047"/>
  <c r="H26" i="7047"/>
  <c r="G26" i="7047"/>
  <c r="F26" i="7047"/>
  <c r="E26" i="7047"/>
  <c r="D26" i="7047"/>
  <c r="C26" i="7047"/>
  <c r="Z25" i="7047"/>
  <c r="Y25" i="7047"/>
  <c r="X25" i="7047"/>
  <c r="W25" i="7047"/>
  <c r="V25" i="7047"/>
  <c r="U25" i="7047"/>
  <c r="T25" i="7047"/>
  <c r="S25" i="7047"/>
  <c r="R25" i="7047"/>
  <c r="Q25" i="7047"/>
  <c r="Z24" i="7047"/>
  <c r="Y24" i="7047"/>
  <c r="X24" i="7047"/>
  <c r="W24" i="7047"/>
  <c r="V24" i="7047"/>
  <c r="U24" i="7047"/>
  <c r="T24" i="7047"/>
  <c r="S24" i="7047"/>
  <c r="R24" i="7047"/>
  <c r="Q24" i="7047"/>
  <c r="F24" i="7047"/>
  <c r="Z19" i="7047"/>
  <c r="Y19" i="7047"/>
  <c r="X19" i="7047"/>
  <c r="W19" i="7047"/>
  <c r="V19" i="7047"/>
  <c r="U19" i="7047"/>
  <c r="T19" i="7047"/>
  <c r="S19" i="7047"/>
  <c r="R19" i="7047"/>
  <c r="Q19" i="7047"/>
  <c r="Z18" i="7047"/>
  <c r="Y18" i="7047"/>
  <c r="X18" i="7047"/>
  <c r="W18" i="7047"/>
  <c r="V18" i="7047"/>
  <c r="U18" i="7047"/>
  <c r="T18" i="7047"/>
  <c r="S18" i="7047"/>
  <c r="R18" i="7047"/>
  <c r="Q18" i="7047"/>
  <c r="P81" i="7047"/>
  <c r="I28" i="7047"/>
  <c r="I29" i="7047" s="1"/>
  <c r="F81" i="7047"/>
  <c r="E28" i="7047"/>
  <c r="E29" i="7047" s="1"/>
  <c r="D81" i="7047"/>
  <c r="F53" i="7047" l="1"/>
  <c r="I53" i="7047"/>
  <c r="O53" i="7047"/>
  <c r="G53" i="7047"/>
  <c r="E53" i="7047"/>
  <c r="K53" i="7047"/>
  <c r="N53" i="7047"/>
  <c r="L53" i="7047"/>
  <c r="M53" i="7047"/>
  <c r="C53" i="7047"/>
  <c r="P53" i="7047"/>
  <c r="H53" i="7047"/>
  <c r="J53" i="7047"/>
  <c r="S93" i="7047"/>
  <c r="D53" i="7047"/>
  <c r="G81" i="7047"/>
  <c r="C81" i="7047"/>
  <c r="C28" i="7047"/>
  <c r="C29" i="7047" s="1"/>
  <c r="O81" i="7047"/>
  <c r="O59" i="7047"/>
  <c r="O28" i="7047"/>
  <c r="O29" i="7047" s="1"/>
  <c r="E81" i="7047"/>
  <c r="G28" i="7047"/>
  <c r="G29" i="7047" s="1"/>
  <c r="G24" i="7047"/>
  <c r="H28" i="7047"/>
  <c r="H29" i="7047" s="1"/>
  <c r="H24" i="7047"/>
  <c r="H81" i="7047"/>
  <c r="L28" i="7047"/>
  <c r="L29" i="7047" s="1"/>
  <c r="L81" i="7047"/>
  <c r="L59" i="7047"/>
  <c r="Q93" i="7047"/>
  <c r="D28" i="7047"/>
  <c r="D29" i="7047" s="1"/>
  <c r="P28" i="7047"/>
  <c r="P29" i="7047" s="1"/>
  <c r="R93" i="7047"/>
  <c r="T93" i="7047"/>
  <c r="I81" i="7047"/>
  <c r="U93" i="7047"/>
  <c r="V93" i="7047"/>
  <c r="I24" i="7047"/>
  <c r="K81" i="7047"/>
  <c r="W93" i="7047"/>
  <c r="J28" i="7047"/>
  <c r="J29" i="7047" s="1"/>
  <c r="X93" i="7047"/>
  <c r="K28" i="7047"/>
  <c r="K29" i="7047" s="1"/>
  <c r="M59" i="7047"/>
  <c r="M81" i="7047"/>
  <c r="Y93" i="7047"/>
  <c r="N59" i="7047"/>
  <c r="N81" i="7047"/>
  <c r="Z93" i="7047"/>
  <c r="M28" i="7047"/>
  <c r="M29" i="7047" s="1"/>
  <c r="N28" i="7047"/>
  <c r="N29" i="7047" s="1"/>
  <c r="P59" i="7047"/>
  <c r="Q58" i="6884" l="1" a="1"/>
  <c r="Q58" i="6884" s="1"/>
  <c r="Q73" i="6884" a="1"/>
  <c r="Q73" i="6884" s="1"/>
  <c r="R37" i="6884" l="1" a="1"/>
  <c r="R37" i="6884" l="1"/>
  <c r="O34" i="7047"/>
  <c r="O35" i="7047" s="1"/>
  <c r="E34" i="6953" l="1"/>
  <c r="D34" i="6953"/>
  <c r="E33" i="6953"/>
  <c r="D33" i="6953"/>
  <c r="E30" i="6953"/>
  <c r="D30" i="6953"/>
  <c r="H58" i="7047" l="1"/>
  <c r="H61" i="7047" s="1"/>
  <c r="K58" i="7047"/>
  <c r="K61" i="7047" s="1"/>
  <c r="N58" i="7047"/>
  <c r="L58" i="7047"/>
  <c r="J58" i="7047"/>
  <c r="M58" i="7047"/>
  <c r="G58" i="7047"/>
  <c r="G61" i="7047" s="1"/>
  <c r="J61" i="7047" l="1"/>
  <c r="N60" i="7047"/>
  <c r="N79" i="7047" s="1"/>
  <c r="N61" i="7047"/>
  <c r="L61" i="7047"/>
  <c r="L60" i="7047"/>
  <c r="L79" i="7047" s="1"/>
  <c r="M61" i="7047"/>
  <c r="M60" i="7047"/>
  <c r="M79" i="7047" s="1"/>
  <c r="L87" i="7047" l="1"/>
  <c r="L70" i="7047"/>
  <c r="L72" i="7047" s="1"/>
  <c r="M70" i="7047"/>
  <c r="M72" i="7047" s="1"/>
  <c r="M87" i="7047"/>
  <c r="N87" i="7047"/>
  <c r="N70" i="7047"/>
  <c r="N72" i="7047" s="1"/>
  <c r="S123" i="6884" a="1"/>
  <c r="S123" i="6884" s="1"/>
  <c r="S120" i="6884" a="1"/>
  <c r="S120" i="6884" s="1"/>
  <c r="S117" i="6884" a="1"/>
  <c r="S114" i="6884" a="1"/>
  <c r="S114" i="6884" s="1"/>
  <c r="S117" i="6884" l="1"/>
  <c r="C10" i="6845" l="1"/>
  <c r="Z92" i="7000"/>
  <c r="Z94" i="7000" s="1"/>
  <c r="Y92" i="7000"/>
  <c r="Y94" i="7000" s="1"/>
  <c r="X92" i="7000"/>
  <c r="X93" i="7000" s="1"/>
  <c r="W92" i="7000"/>
  <c r="W94" i="7000" s="1"/>
  <c r="V92" i="7000"/>
  <c r="V94" i="7000" s="1"/>
  <c r="U92" i="7000"/>
  <c r="U93" i="7000" s="1"/>
  <c r="T92" i="7000"/>
  <c r="T94" i="7000" s="1"/>
  <c r="S92" i="7000"/>
  <c r="S94" i="7000" s="1"/>
  <c r="Z90" i="7000"/>
  <c r="Y90" i="7000"/>
  <c r="X90" i="7000"/>
  <c r="W90" i="7000"/>
  <c r="V90" i="7000"/>
  <c r="U90" i="7000"/>
  <c r="T90" i="7000"/>
  <c r="S90" i="7000"/>
  <c r="R90" i="7000"/>
  <c r="Q90" i="7000"/>
  <c r="P90" i="7000"/>
  <c r="O90" i="7000"/>
  <c r="N90" i="7000"/>
  <c r="M90" i="7000"/>
  <c r="L90" i="7000"/>
  <c r="K90" i="7000"/>
  <c r="J90" i="7000"/>
  <c r="I90" i="7000"/>
  <c r="H90" i="7000"/>
  <c r="G90" i="7000"/>
  <c r="F90" i="7000"/>
  <c r="E90" i="7000"/>
  <c r="D90" i="7000"/>
  <c r="C90" i="7000"/>
  <c r="Z89" i="7000"/>
  <c r="Y89" i="7000"/>
  <c r="X89" i="7000"/>
  <c r="W89" i="7000"/>
  <c r="V89" i="7000"/>
  <c r="U89" i="7000"/>
  <c r="T89" i="7000"/>
  <c r="S89" i="7000"/>
  <c r="Z88" i="7000"/>
  <c r="Y88" i="7000"/>
  <c r="X88" i="7000"/>
  <c r="W88" i="7000"/>
  <c r="V88" i="7000"/>
  <c r="U88" i="7000"/>
  <c r="T88" i="7000"/>
  <c r="S88" i="7000"/>
  <c r="Z87" i="7000"/>
  <c r="Y87" i="7000"/>
  <c r="X87" i="7000"/>
  <c r="W87" i="7000"/>
  <c r="V87" i="7000"/>
  <c r="U87" i="7000"/>
  <c r="T87" i="7000"/>
  <c r="S87" i="7000"/>
  <c r="Z86" i="7000"/>
  <c r="Y86" i="7000"/>
  <c r="X86" i="7000"/>
  <c r="W86" i="7000"/>
  <c r="V86" i="7000"/>
  <c r="U86" i="7000"/>
  <c r="T86" i="7000"/>
  <c r="S86" i="7000"/>
  <c r="Z85" i="7000"/>
  <c r="Y85" i="7000"/>
  <c r="X85" i="7000"/>
  <c r="W85" i="7000"/>
  <c r="V85" i="7000"/>
  <c r="U85" i="7000"/>
  <c r="T85" i="7000"/>
  <c r="S85" i="7000"/>
  <c r="Z84" i="7000"/>
  <c r="Y84" i="7000"/>
  <c r="X84" i="7000"/>
  <c r="W84" i="7000"/>
  <c r="V84" i="7000"/>
  <c r="U84" i="7000"/>
  <c r="T84" i="7000"/>
  <c r="S84" i="7000"/>
  <c r="Z81" i="7000"/>
  <c r="Y81" i="7000"/>
  <c r="X81" i="7000"/>
  <c r="W81" i="7000"/>
  <c r="V81" i="7000"/>
  <c r="U81" i="7000"/>
  <c r="T81" i="7000"/>
  <c r="S81" i="7000"/>
  <c r="Z80" i="7000"/>
  <c r="Y80" i="7000"/>
  <c r="X80" i="7000"/>
  <c r="W80" i="7000"/>
  <c r="V80" i="7000"/>
  <c r="U80" i="7000"/>
  <c r="T80" i="7000"/>
  <c r="S80" i="7000"/>
  <c r="Z79" i="7000"/>
  <c r="Y79" i="7000"/>
  <c r="X79" i="7000"/>
  <c r="W79" i="7000"/>
  <c r="V79" i="7000"/>
  <c r="U79" i="7000"/>
  <c r="T79" i="7000"/>
  <c r="S79" i="7000"/>
  <c r="Z78" i="7000"/>
  <c r="Y78" i="7000"/>
  <c r="X78" i="7000"/>
  <c r="W78" i="7000"/>
  <c r="V78" i="7000"/>
  <c r="U78" i="7000"/>
  <c r="T78" i="7000"/>
  <c r="S78" i="7000"/>
  <c r="Z77" i="7000"/>
  <c r="Y77" i="7000"/>
  <c r="X77" i="7000"/>
  <c r="W77" i="7000"/>
  <c r="V77" i="7000"/>
  <c r="U77" i="7000"/>
  <c r="T77" i="7000"/>
  <c r="S77" i="7000"/>
  <c r="Z70" i="7000"/>
  <c r="Z72" i="7000" s="1"/>
  <c r="Y70" i="7000"/>
  <c r="Y72" i="7000" s="1"/>
  <c r="X70" i="7000"/>
  <c r="X72" i="7000" s="1"/>
  <c r="W70" i="7000"/>
  <c r="W72" i="7000" s="1"/>
  <c r="V70" i="7000"/>
  <c r="V72" i="7000" s="1"/>
  <c r="U70" i="7000"/>
  <c r="U72" i="7000" s="1"/>
  <c r="T70" i="7000"/>
  <c r="T72" i="7000" s="1"/>
  <c r="S70" i="7000"/>
  <c r="S72" i="7000" s="1"/>
  <c r="Z60" i="7000"/>
  <c r="Y60" i="7000"/>
  <c r="X60" i="7000"/>
  <c r="W60" i="7000"/>
  <c r="V60" i="7000"/>
  <c r="U60" i="7000"/>
  <c r="T60" i="7000"/>
  <c r="S60" i="7000"/>
  <c r="Z59" i="7000"/>
  <c r="Y59" i="7000"/>
  <c r="X59" i="7000"/>
  <c r="W59" i="7000"/>
  <c r="V59" i="7000"/>
  <c r="U59" i="7000"/>
  <c r="T59" i="7000"/>
  <c r="S59" i="7000"/>
  <c r="Z58" i="7000"/>
  <c r="Z61" i="7000" s="1"/>
  <c r="Y58" i="7000"/>
  <c r="Y61" i="7000" s="1"/>
  <c r="X58" i="7000"/>
  <c r="X61" i="7000" s="1"/>
  <c r="W58" i="7000"/>
  <c r="W61" i="7000" s="1"/>
  <c r="V58" i="7000"/>
  <c r="V61" i="7000" s="1"/>
  <c r="U58" i="7000"/>
  <c r="U61" i="7000" s="1"/>
  <c r="T58" i="7000"/>
  <c r="T61" i="7000" s="1"/>
  <c r="S58" i="7000"/>
  <c r="S61" i="7000" s="1"/>
  <c r="Z53" i="7000"/>
  <c r="Y53" i="7000"/>
  <c r="X53" i="7000"/>
  <c r="W53" i="7000"/>
  <c r="V53" i="7000"/>
  <c r="U53" i="7000"/>
  <c r="T53" i="7000"/>
  <c r="S53" i="7000"/>
  <c r="Z51" i="7000"/>
  <c r="Z52" i="7000" s="1"/>
  <c r="Y51" i="7000"/>
  <c r="Y52" i="7000" s="1"/>
  <c r="X51" i="7000"/>
  <c r="X52" i="7000" s="1"/>
  <c r="W51" i="7000"/>
  <c r="W52" i="7000" s="1"/>
  <c r="V51" i="7000"/>
  <c r="V52" i="7000" s="1"/>
  <c r="U51" i="7000"/>
  <c r="U52" i="7000" s="1"/>
  <c r="T51" i="7000"/>
  <c r="T52" i="7000" s="1"/>
  <c r="S51" i="7000"/>
  <c r="S52" i="7000" s="1"/>
  <c r="R51" i="7000"/>
  <c r="R52" i="7000" s="1"/>
  <c r="Q51" i="7000"/>
  <c r="Q52" i="7000" s="1"/>
  <c r="P51" i="7000"/>
  <c r="P52" i="7000" s="1"/>
  <c r="O51" i="7000"/>
  <c r="O52" i="7000" s="1"/>
  <c r="N51" i="7000"/>
  <c r="N52" i="7000" s="1"/>
  <c r="M51" i="7000"/>
  <c r="M52" i="7000" s="1"/>
  <c r="L51" i="7000"/>
  <c r="L52" i="7000" s="1"/>
  <c r="K51" i="7000"/>
  <c r="K52" i="7000" s="1"/>
  <c r="J51" i="7000"/>
  <c r="J52" i="7000" s="1"/>
  <c r="I51" i="7000"/>
  <c r="I52" i="7000" s="1"/>
  <c r="H51" i="7000"/>
  <c r="H52" i="7000" s="1"/>
  <c r="G51" i="7000"/>
  <c r="G52" i="7000" s="1"/>
  <c r="F51" i="7000"/>
  <c r="F52" i="7000" s="1"/>
  <c r="E51" i="7000"/>
  <c r="E52" i="7000" s="1"/>
  <c r="D51" i="7000"/>
  <c r="D52" i="7000" s="1"/>
  <c r="C51" i="7000"/>
  <c r="C52" i="7000" s="1"/>
  <c r="Z50" i="7000"/>
  <c r="Y50" i="7000"/>
  <c r="X50" i="7000"/>
  <c r="W50" i="7000"/>
  <c r="V50" i="7000"/>
  <c r="U50" i="7000"/>
  <c r="T50" i="7000"/>
  <c r="S50" i="7000"/>
  <c r="R50" i="7000"/>
  <c r="Q50" i="7000"/>
  <c r="P50" i="7000"/>
  <c r="O50" i="7000"/>
  <c r="N50" i="7000"/>
  <c r="M50" i="7000"/>
  <c r="L50" i="7000"/>
  <c r="K50" i="7000"/>
  <c r="J50" i="7000"/>
  <c r="I50" i="7000"/>
  <c r="H50" i="7000"/>
  <c r="G50" i="7000"/>
  <c r="F50" i="7000"/>
  <c r="E50" i="7000"/>
  <c r="D50" i="7000"/>
  <c r="C50" i="7000"/>
  <c r="Z49" i="7000"/>
  <c r="Y49" i="7000"/>
  <c r="X49" i="7000"/>
  <c r="W49" i="7000"/>
  <c r="V49" i="7000"/>
  <c r="U49" i="7000"/>
  <c r="T49" i="7000"/>
  <c r="S49" i="7000"/>
  <c r="R49" i="7000"/>
  <c r="Q49" i="7000"/>
  <c r="P49" i="7000"/>
  <c r="O49" i="7000"/>
  <c r="N49" i="7000"/>
  <c r="M49" i="7000"/>
  <c r="L49" i="7000"/>
  <c r="K49" i="7000"/>
  <c r="J49" i="7000"/>
  <c r="I49" i="7000"/>
  <c r="H49" i="7000"/>
  <c r="G49" i="7000"/>
  <c r="F49" i="7000"/>
  <c r="E49" i="7000"/>
  <c r="D49" i="7000"/>
  <c r="C49" i="7000"/>
  <c r="Z46" i="7000"/>
  <c r="Y46" i="7000"/>
  <c r="X46" i="7000"/>
  <c r="W46" i="7000"/>
  <c r="V46" i="7000"/>
  <c r="U46" i="7000"/>
  <c r="T46" i="7000"/>
  <c r="S46" i="7000"/>
  <c r="R46" i="7000"/>
  <c r="Q46" i="7000"/>
  <c r="P46" i="7000"/>
  <c r="O46" i="7000"/>
  <c r="N46" i="7000"/>
  <c r="M46" i="7000"/>
  <c r="L46" i="7000"/>
  <c r="K46" i="7000"/>
  <c r="J46" i="7000"/>
  <c r="I46" i="7000"/>
  <c r="H46" i="7000"/>
  <c r="G46" i="7000"/>
  <c r="F46" i="7000"/>
  <c r="E46" i="7000"/>
  <c r="D46" i="7000"/>
  <c r="C46" i="7000"/>
  <c r="Z45" i="7000"/>
  <c r="Y45" i="7000"/>
  <c r="X45" i="7000"/>
  <c r="W45" i="7000"/>
  <c r="V45" i="7000"/>
  <c r="U45" i="7000"/>
  <c r="T45" i="7000"/>
  <c r="S45" i="7000"/>
  <c r="R45" i="7000"/>
  <c r="Q45" i="7000"/>
  <c r="P45" i="7000"/>
  <c r="O45" i="7000"/>
  <c r="N45" i="7000"/>
  <c r="M45" i="7000"/>
  <c r="L45" i="7000"/>
  <c r="K45" i="7000"/>
  <c r="J45" i="7000"/>
  <c r="I45" i="7000"/>
  <c r="H45" i="7000"/>
  <c r="G45" i="7000"/>
  <c r="F45" i="7000"/>
  <c r="E45" i="7000"/>
  <c r="D45" i="7000"/>
  <c r="C45" i="7000"/>
  <c r="Z44" i="7000"/>
  <c r="Y44" i="7000"/>
  <c r="X44" i="7000"/>
  <c r="W44" i="7000"/>
  <c r="V44" i="7000"/>
  <c r="U44" i="7000"/>
  <c r="T44" i="7000"/>
  <c r="S44" i="7000"/>
  <c r="R44" i="7000"/>
  <c r="Q44" i="7000"/>
  <c r="P44" i="7000"/>
  <c r="O44" i="7000"/>
  <c r="N44" i="7000"/>
  <c r="M44" i="7000"/>
  <c r="L44" i="7000"/>
  <c r="K44" i="7000"/>
  <c r="J44" i="7000"/>
  <c r="I44" i="7000"/>
  <c r="H44" i="7000"/>
  <c r="G44" i="7000"/>
  <c r="F44" i="7000"/>
  <c r="E44" i="7000"/>
  <c r="D44" i="7000"/>
  <c r="C44" i="7000"/>
  <c r="Z43" i="7000"/>
  <c r="Y43" i="7000"/>
  <c r="X43" i="7000"/>
  <c r="W43" i="7000"/>
  <c r="V43" i="7000"/>
  <c r="U43" i="7000"/>
  <c r="T43" i="7000"/>
  <c r="S43" i="7000"/>
  <c r="R43" i="7000"/>
  <c r="Q43" i="7000"/>
  <c r="P43" i="7000"/>
  <c r="O43" i="7000"/>
  <c r="N43" i="7000"/>
  <c r="M43" i="7000"/>
  <c r="L43" i="7000"/>
  <c r="K43" i="7000"/>
  <c r="J43" i="7000"/>
  <c r="I43" i="7000"/>
  <c r="H43" i="7000"/>
  <c r="G43" i="7000"/>
  <c r="F43" i="7000"/>
  <c r="E43" i="7000"/>
  <c r="D43" i="7000"/>
  <c r="C43" i="7000"/>
  <c r="Z42" i="7000"/>
  <c r="Y42" i="7000"/>
  <c r="X42" i="7000"/>
  <c r="W42" i="7000"/>
  <c r="V42" i="7000"/>
  <c r="U42" i="7000"/>
  <c r="T42" i="7000"/>
  <c r="S42" i="7000"/>
  <c r="R42" i="7000"/>
  <c r="Q42" i="7000"/>
  <c r="P42" i="7000"/>
  <c r="O42" i="7000"/>
  <c r="N42" i="7000"/>
  <c r="M42" i="7000"/>
  <c r="L42" i="7000"/>
  <c r="K42" i="7000"/>
  <c r="J42" i="7000"/>
  <c r="I42" i="7000"/>
  <c r="H42" i="7000"/>
  <c r="G42" i="7000"/>
  <c r="F42" i="7000"/>
  <c r="E42" i="7000"/>
  <c r="D42" i="7000"/>
  <c r="C42" i="7000"/>
  <c r="T35" i="7000"/>
  <c r="S35" i="7000"/>
  <c r="Z34" i="7000"/>
  <c r="Z35" i="7000" s="1"/>
  <c r="Y34" i="7000"/>
  <c r="Y35" i="7000" s="1"/>
  <c r="X34" i="7000"/>
  <c r="X35" i="7000" s="1"/>
  <c r="W34" i="7000"/>
  <c r="W35" i="7000" s="1"/>
  <c r="V34" i="7000"/>
  <c r="V35" i="7000" s="1"/>
  <c r="U34" i="7000"/>
  <c r="U35" i="7000" s="1"/>
  <c r="I34" i="7000"/>
  <c r="I35" i="7000" s="1"/>
  <c r="H34" i="7000"/>
  <c r="H35" i="7000" s="1"/>
  <c r="G34" i="7000"/>
  <c r="G35" i="7000" s="1"/>
  <c r="F34" i="7000"/>
  <c r="F35" i="7000" s="1"/>
  <c r="E34" i="7000"/>
  <c r="E35" i="7000" s="1"/>
  <c r="D34" i="7000"/>
  <c r="D35" i="7000" s="1"/>
  <c r="C34" i="7000"/>
  <c r="C35" i="7000" s="1"/>
  <c r="Z29" i="7000"/>
  <c r="Y29" i="7000"/>
  <c r="X29" i="7000"/>
  <c r="W29" i="7000"/>
  <c r="V29" i="7000"/>
  <c r="U29" i="7000"/>
  <c r="T29" i="7000"/>
  <c r="S29" i="7000"/>
  <c r="Z28" i="7000"/>
  <c r="Y28" i="7000"/>
  <c r="X28" i="7000"/>
  <c r="W28" i="7000"/>
  <c r="V28" i="7000"/>
  <c r="U28" i="7000"/>
  <c r="T28" i="7000"/>
  <c r="S28" i="7000"/>
  <c r="Z26" i="7000"/>
  <c r="Y26" i="7000"/>
  <c r="X26" i="7000"/>
  <c r="W26" i="7000"/>
  <c r="V26" i="7000"/>
  <c r="U26" i="7000"/>
  <c r="T26" i="7000"/>
  <c r="S26" i="7000"/>
  <c r="R26" i="7000"/>
  <c r="Q26" i="7000"/>
  <c r="P26" i="7000"/>
  <c r="O26" i="7000"/>
  <c r="N26" i="7000"/>
  <c r="M26" i="7000"/>
  <c r="L26" i="7000"/>
  <c r="K26" i="7000"/>
  <c r="J26" i="7000"/>
  <c r="I26" i="7000"/>
  <c r="H26" i="7000"/>
  <c r="G26" i="7000"/>
  <c r="F26" i="7000"/>
  <c r="E26" i="7000"/>
  <c r="D26" i="7000"/>
  <c r="C26" i="7000"/>
  <c r="Z25" i="7000"/>
  <c r="Y25" i="7000"/>
  <c r="X25" i="7000"/>
  <c r="W25" i="7000"/>
  <c r="V25" i="7000"/>
  <c r="U25" i="7000"/>
  <c r="T25" i="7000"/>
  <c r="S25" i="7000"/>
  <c r="Z24" i="7000"/>
  <c r="Y24" i="7000"/>
  <c r="X24" i="7000"/>
  <c r="W24" i="7000"/>
  <c r="V24" i="7000"/>
  <c r="U24" i="7000"/>
  <c r="T24" i="7000"/>
  <c r="S24" i="7000"/>
  <c r="Z19" i="7000"/>
  <c r="Y19" i="7000"/>
  <c r="X19" i="7000"/>
  <c r="W19" i="7000"/>
  <c r="V19" i="7000"/>
  <c r="U19" i="7000"/>
  <c r="T19" i="7000"/>
  <c r="S19" i="7000"/>
  <c r="Z18" i="7000"/>
  <c r="Y18" i="7000"/>
  <c r="X18" i="7000"/>
  <c r="W18" i="7000"/>
  <c r="V18" i="7000"/>
  <c r="U18" i="7000"/>
  <c r="T18" i="7000"/>
  <c r="S18" i="7000"/>
  <c r="P81" i="7000"/>
  <c r="O81" i="7000"/>
  <c r="N81" i="7000"/>
  <c r="M81" i="7000"/>
  <c r="L81" i="7000"/>
  <c r="K81" i="7000"/>
  <c r="I81" i="7000"/>
  <c r="H28" i="7000"/>
  <c r="H29" i="7000" s="1"/>
  <c r="G28" i="7000"/>
  <c r="G29" i="7000" s="1"/>
  <c r="F81" i="7000"/>
  <c r="D81" i="7000"/>
  <c r="C81" i="7000"/>
  <c r="J28" i="6999"/>
  <c r="J29" i="6999" s="1"/>
  <c r="C81" i="6999"/>
  <c r="Z92" i="6999"/>
  <c r="Z93" i="6999" s="1"/>
  <c r="Y92" i="6999"/>
  <c r="Y94" i="6999" s="1"/>
  <c r="X92" i="6999"/>
  <c r="X94" i="6999" s="1"/>
  <c r="W92" i="6999"/>
  <c r="W93" i="6999" s="1"/>
  <c r="V92" i="6999"/>
  <c r="V94" i="6999" s="1"/>
  <c r="U92" i="6999"/>
  <c r="U93" i="6999" s="1"/>
  <c r="Z90" i="6999"/>
  <c r="Y90" i="6999"/>
  <c r="X90" i="6999"/>
  <c r="W90" i="6999"/>
  <c r="V90" i="6999"/>
  <c r="U90" i="6999"/>
  <c r="T90" i="6999"/>
  <c r="S90" i="6999"/>
  <c r="R90" i="6999"/>
  <c r="Q90" i="6999"/>
  <c r="P90" i="6999"/>
  <c r="O90" i="6999"/>
  <c r="N90" i="6999"/>
  <c r="M90" i="6999"/>
  <c r="L90" i="6999"/>
  <c r="K90" i="6999"/>
  <c r="J90" i="6999"/>
  <c r="I90" i="6999"/>
  <c r="G90" i="6999"/>
  <c r="F90" i="6999"/>
  <c r="E90" i="6999"/>
  <c r="D90" i="6999"/>
  <c r="C90" i="6999"/>
  <c r="Z89" i="6999"/>
  <c r="Y89" i="6999"/>
  <c r="X89" i="6999"/>
  <c r="W89" i="6999"/>
  <c r="V89" i="6999"/>
  <c r="U89" i="6999"/>
  <c r="Z88" i="6999"/>
  <c r="Y88" i="6999"/>
  <c r="X88" i="6999"/>
  <c r="W88" i="6999"/>
  <c r="V88" i="6999"/>
  <c r="U88" i="6999"/>
  <c r="Z87" i="6999"/>
  <c r="Y87" i="6999"/>
  <c r="X87" i="6999"/>
  <c r="W87" i="6999"/>
  <c r="V87" i="6999"/>
  <c r="U87" i="6999"/>
  <c r="Z86" i="6999"/>
  <c r="Y86" i="6999"/>
  <c r="X86" i="6999"/>
  <c r="W86" i="6999"/>
  <c r="V86" i="6999"/>
  <c r="U86" i="6999"/>
  <c r="Z85" i="6999"/>
  <c r="Y85" i="6999"/>
  <c r="X85" i="6999"/>
  <c r="W85" i="6999"/>
  <c r="V85" i="6999"/>
  <c r="U85" i="6999"/>
  <c r="Z84" i="6999"/>
  <c r="Y84" i="6999"/>
  <c r="X84" i="6999"/>
  <c r="W84" i="6999"/>
  <c r="V84" i="6999"/>
  <c r="U84" i="6999"/>
  <c r="Z81" i="6999"/>
  <c r="Y81" i="6999"/>
  <c r="X81" i="6999"/>
  <c r="W81" i="6999"/>
  <c r="V81" i="6999"/>
  <c r="U81" i="6999"/>
  <c r="T81" i="6999"/>
  <c r="S81" i="6999"/>
  <c r="R81" i="6999"/>
  <c r="Q81" i="6999"/>
  <c r="P81" i="6999"/>
  <c r="O81" i="6999"/>
  <c r="N81" i="6999"/>
  <c r="M81" i="6999"/>
  <c r="L81" i="6999"/>
  <c r="K81" i="6999"/>
  <c r="F81" i="6999"/>
  <c r="E81" i="6999"/>
  <c r="D81" i="6999"/>
  <c r="Z80" i="6999"/>
  <c r="Y80" i="6999"/>
  <c r="X80" i="6999"/>
  <c r="W80" i="6999"/>
  <c r="V80" i="6999"/>
  <c r="U80" i="6999"/>
  <c r="Z79" i="6999"/>
  <c r="Y79" i="6999"/>
  <c r="X79" i="6999"/>
  <c r="W79" i="6999"/>
  <c r="V79" i="6999"/>
  <c r="U79" i="6999"/>
  <c r="Z78" i="6999"/>
  <c r="Y78" i="6999"/>
  <c r="X78" i="6999"/>
  <c r="W78" i="6999"/>
  <c r="V78" i="6999"/>
  <c r="U78" i="6999"/>
  <c r="Z77" i="6999"/>
  <c r="Y77" i="6999"/>
  <c r="X77" i="6999"/>
  <c r="W77" i="6999"/>
  <c r="V77" i="6999"/>
  <c r="U77" i="6999"/>
  <c r="Z70" i="6999"/>
  <c r="Z72" i="6999" s="1"/>
  <c r="Y70" i="6999"/>
  <c r="Y72" i="6999" s="1"/>
  <c r="X70" i="6999"/>
  <c r="X72" i="6999" s="1"/>
  <c r="W70" i="6999"/>
  <c r="W72" i="6999" s="1"/>
  <c r="V70" i="6999"/>
  <c r="V72" i="6999" s="1"/>
  <c r="U70" i="6999"/>
  <c r="U72" i="6999" s="1"/>
  <c r="Z60" i="6999"/>
  <c r="Y60" i="6999"/>
  <c r="X60" i="6999"/>
  <c r="W60" i="6999"/>
  <c r="V60" i="6999"/>
  <c r="U60" i="6999"/>
  <c r="Z59" i="6999"/>
  <c r="Y59" i="6999"/>
  <c r="X59" i="6999"/>
  <c r="W59" i="6999"/>
  <c r="V59" i="6999"/>
  <c r="U59" i="6999"/>
  <c r="T59" i="6999"/>
  <c r="S59" i="6999"/>
  <c r="R59" i="6999"/>
  <c r="Q59" i="6999"/>
  <c r="P59" i="6999"/>
  <c r="O59" i="6999"/>
  <c r="N59" i="6999"/>
  <c r="M59" i="6999"/>
  <c r="Z58" i="6999"/>
  <c r="Z61" i="6999" s="1"/>
  <c r="Y58" i="6999"/>
  <c r="Y61" i="6999" s="1"/>
  <c r="X58" i="6999"/>
  <c r="X61" i="6999" s="1"/>
  <c r="W58" i="6999"/>
  <c r="W61" i="6999" s="1"/>
  <c r="V58" i="6999"/>
  <c r="V61" i="6999" s="1"/>
  <c r="U58" i="6999"/>
  <c r="U61" i="6999" s="1"/>
  <c r="Z53" i="6999"/>
  <c r="Y53" i="6999"/>
  <c r="X53" i="6999"/>
  <c r="W53" i="6999"/>
  <c r="V53" i="6999"/>
  <c r="U53" i="6999"/>
  <c r="Z51" i="6999"/>
  <c r="Z52" i="6999" s="1"/>
  <c r="Y51" i="6999"/>
  <c r="Y52" i="6999" s="1"/>
  <c r="X51" i="6999"/>
  <c r="X52" i="6999" s="1"/>
  <c r="W51" i="6999"/>
  <c r="W52" i="6999" s="1"/>
  <c r="V51" i="6999"/>
  <c r="V52" i="6999" s="1"/>
  <c r="U51" i="6999"/>
  <c r="U52" i="6999" s="1"/>
  <c r="T51" i="6999"/>
  <c r="T52" i="6999" s="1"/>
  <c r="S51" i="6999"/>
  <c r="S52" i="6999" s="1"/>
  <c r="R51" i="6999"/>
  <c r="R52" i="6999" s="1"/>
  <c r="Q51" i="6999"/>
  <c r="Q52" i="6999" s="1"/>
  <c r="P51" i="6999"/>
  <c r="P52" i="6999" s="1"/>
  <c r="O51" i="6999"/>
  <c r="O52" i="6999" s="1"/>
  <c r="N51" i="6999"/>
  <c r="N52" i="6999" s="1"/>
  <c r="M51" i="6999"/>
  <c r="M52" i="6999" s="1"/>
  <c r="L51" i="6999"/>
  <c r="L52" i="6999" s="1"/>
  <c r="K51" i="6999"/>
  <c r="K52" i="6999" s="1"/>
  <c r="J51" i="6999"/>
  <c r="J52" i="6999" s="1"/>
  <c r="I51" i="6999"/>
  <c r="I52" i="6999" s="1"/>
  <c r="H51" i="6999"/>
  <c r="H52" i="6999" s="1"/>
  <c r="G51" i="6999"/>
  <c r="G52" i="6999" s="1"/>
  <c r="F51" i="6999"/>
  <c r="F52" i="6999" s="1"/>
  <c r="E51" i="6999"/>
  <c r="E52" i="6999" s="1"/>
  <c r="D51" i="6999"/>
  <c r="D52" i="6999" s="1"/>
  <c r="C51" i="6999"/>
  <c r="C52" i="6999" s="1"/>
  <c r="Z50" i="6999"/>
  <c r="Y50" i="6999"/>
  <c r="X50" i="6999"/>
  <c r="W50" i="6999"/>
  <c r="V50" i="6999"/>
  <c r="U50" i="6999"/>
  <c r="R50" i="6999"/>
  <c r="Q50" i="6999"/>
  <c r="P50" i="6999"/>
  <c r="O50" i="6999"/>
  <c r="N50" i="6999"/>
  <c r="M50" i="6999"/>
  <c r="L50" i="6999"/>
  <c r="K50" i="6999"/>
  <c r="J50" i="6999"/>
  <c r="I50" i="6999"/>
  <c r="H50" i="6999"/>
  <c r="G50" i="6999"/>
  <c r="F50" i="6999"/>
  <c r="E50" i="6999"/>
  <c r="D50" i="6999"/>
  <c r="C50" i="6999"/>
  <c r="Z49" i="6999"/>
  <c r="Y49" i="6999"/>
  <c r="X49" i="6999"/>
  <c r="W49" i="6999"/>
  <c r="V49" i="6999"/>
  <c r="U49" i="6999"/>
  <c r="T49" i="6999"/>
  <c r="S49" i="6999"/>
  <c r="R49" i="6999"/>
  <c r="Q49" i="6999"/>
  <c r="P49" i="6999"/>
  <c r="O49" i="6999"/>
  <c r="N49" i="6999"/>
  <c r="M49" i="6999"/>
  <c r="L49" i="6999"/>
  <c r="K49" i="6999"/>
  <c r="J49" i="6999"/>
  <c r="I49" i="6999"/>
  <c r="H49" i="6999"/>
  <c r="G49" i="6999"/>
  <c r="F49" i="6999"/>
  <c r="E49" i="6999"/>
  <c r="D49" i="6999"/>
  <c r="C49" i="6999"/>
  <c r="Z46" i="6999"/>
  <c r="Y46" i="6999"/>
  <c r="X46" i="6999"/>
  <c r="W46" i="6999"/>
  <c r="V46" i="6999"/>
  <c r="U46" i="6999"/>
  <c r="R46" i="6999"/>
  <c r="Q46" i="6999"/>
  <c r="P46" i="6999"/>
  <c r="O46" i="6999"/>
  <c r="N46" i="6999"/>
  <c r="M46" i="6999"/>
  <c r="L46" i="6999"/>
  <c r="K46" i="6999"/>
  <c r="J46" i="6999"/>
  <c r="I46" i="6999"/>
  <c r="H46" i="6999"/>
  <c r="G46" i="6999"/>
  <c r="F46" i="6999"/>
  <c r="E46" i="6999"/>
  <c r="D46" i="6999"/>
  <c r="C46" i="6999"/>
  <c r="Z45" i="6999"/>
  <c r="Y45" i="6999"/>
  <c r="X45" i="6999"/>
  <c r="W45" i="6999"/>
  <c r="V45" i="6999"/>
  <c r="U45" i="6999"/>
  <c r="R45" i="6999"/>
  <c r="Q45" i="6999"/>
  <c r="P45" i="6999"/>
  <c r="O45" i="6999"/>
  <c r="N45" i="6999"/>
  <c r="M45" i="6999"/>
  <c r="L45" i="6999"/>
  <c r="K45" i="6999"/>
  <c r="J45" i="6999"/>
  <c r="I45" i="6999"/>
  <c r="H45" i="6999"/>
  <c r="G45" i="6999"/>
  <c r="F45" i="6999"/>
  <c r="E45" i="6999"/>
  <c r="D45" i="6999"/>
  <c r="C45" i="6999"/>
  <c r="Z44" i="6999"/>
  <c r="Y44" i="6999"/>
  <c r="X44" i="6999"/>
  <c r="W44" i="6999"/>
  <c r="V44" i="6999"/>
  <c r="U44" i="6999"/>
  <c r="T44" i="6999"/>
  <c r="S44" i="6999"/>
  <c r="R44" i="6999"/>
  <c r="Q44" i="6999"/>
  <c r="P44" i="6999"/>
  <c r="O44" i="6999"/>
  <c r="N44" i="6999"/>
  <c r="M44" i="6999"/>
  <c r="L44" i="6999"/>
  <c r="K44" i="6999"/>
  <c r="J44" i="6999"/>
  <c r="I44" i="6999"/>
  <c r="H44" i="6999"/>
  <c r="G44" i="6999"/>
  <c r="F44" i="6999"/>
  <c r="E44" i="6999"/>
  <c r="D44" i="6999"/>
  <c r="C44" i="6999"/>
  <c r="Z43" i="6999"/>
  <c r="Y43" i="6999"/>
  <c r="X43" i="6999"/>
  <c r="W43" i="6999"/>
  <c r="V43" i="6999"/>
  <c r="U43" i="6999"/>
  <c r="T43" i="6999"/>
  <c r="S43" i="6999"/>
  <c r="R43" i="6999"/>
  <c r="Q43" i="6999"/>
  <c r="P43" i="6999"/>
  <c r="O43" i="6999"/>
  <c r="N43" i="6999"/>
  <c r="M43" i="6999"/>
  <c r="L43" i="6999"/>
  <c r="K43" i="6999"/>
  <c r="J43" i="6999"/>
  <c r="I43" i="6999"/>
  <c r="H43" i="6999"/>
  <c r="G43" i="6999"/>
  <c r="F43" i="6999"/>
  <c r="E43" i="6999"/>
  <c r="D43" i="6999"/>
  <c r="C43" i="6999"/>
  <c r="Z42" i="6999"/>
  <c r="Y42" i="6999"/>
  <c r="X42" i="6999"/>
  <c r="W42" i="6999"/>
  <c r="V42" i="6999"/>
  <c r="U42" i="6999"/>
  <c r="T42" i="6999"/>
  <c r="S42" i="6999"/>
  <c r="S46" i="6999" s="1"/>
  <c r="R42" i="6999"/>
  <c r="Q42" i="6999"/>
  <c r="P42" i="6999"/>
  <c r="O42" i="6999"/>
  <c r="N42" i="6999"/>
  <c r="M42" i="6999"/>
  <c r="L42" i="6999"/>
  <c r="K42" i="6999"/>
  <c r="J42" i="6999"/>
  <c r="I42" i="6999"/>
  <c r="H42" i="6999"/>
  <c r="G42" i="6999"/>
  <c r="F42" i="6999"/>
  <c r="E42" i="6999"/>
  <c r="D42" i="6999"/>
  <c r="C42" i="6999"/>
  <c r="T35" i="6999"/>
  <c r="S35" i="6999"/>
  <c r="Z34" i="6999"/>
  <c r="Z35" i="6999" s="1"/>
  <c r="Y34" i="6999"/>
  <c r="Y35" i="6999" s="1"/>
  <c r="X34" i="6999"/>
  <c r="X35" i="6999" s="1"/>
  <c r="W34" i="6999"/>
  <c r="W35" i="6999" s="1"/>
  <c r="V34" i="6999"/>
  <c r="V35" i="6999" s="1"/>
  <c r="U34" i="6999"/>
  <c r="U35" i="6999" s="1"/>
  <c r="I34" i="6999"/>
  <c r="H34" i="6999"/>
  <c r="H35" i="6999" s="1"/>
  <c r="G34" i="6999"/>
  <c r="F34" i="6999"/>
  <c r="F35" i="6999" s="1"/>
  <c r="E34" i="6999"/>
  <c r="E35" i="6999" s="1"/>
  <c r="D34" i="6999"/>
  <c r="D35" i="6999" s="1"/>
  <c r="C34" i="6999"/>
  <c r="Z29" i="6999"/>
  <c r="Y29" i="6999"/>
  <c r="X29" i="6999"/>
  <c r="W29" i="6999"/>
  <c r="V29" i="6999"/>
  <c r="U29" i="6999"/>
  <c r="Z28" i="6999"/>
  <c r="Y28" i="6999"/>
  <c r="X28" i="6999"/>
  <c r="W28" i="6999"/>
  <c r="V28" i="6999"/>
  <c r="U28" i="6999"/>
  <c r="T28" i="6999"/>
  <c r="T29" i="6999" s="1"/>
  <c r="S28" i="6999"/>
  <c r="S29" i="6999" s="1"/>
  <c r="R28" i="6999"/>
  <c r="R29" i="6999" s="1"/>
  <c r="Q28" i="6999"/>
  <c r="Q29" i="6999" s="1"/>
  <c r="P28" i="6999"/>
  <c r="P29" i="6999" s="1"/>
  <c r="O28" i="6999"/>
  <c r="O29" i="6999" s="1"/>
  <c r="N28" i="6999"/>
  <c r="N29" i="6999" s="1"/>
  <c r="M28" i="6999"/>
  <c r="M29" i="6999" s="1"/>
  <c r="L28" i="6999"/>
  <c r="L29" i="6999" s="1"/>
  <c r="K28" i="6999"/>
  <c r="K29" i="6999" s="1"/>
  <c r="F28" i="6999"/>
  <c r="F29" i="6999" s="1"/>
  <c r="E28" i="6999"/>
  <c r="E29" i="6999" s="1"/>
  <c r="D28" i="6999"/>
  <c r="D29" i="6999" s="1"/>
  <c r="C28" i="6999"/>
  <c r="C29" i="6999" s="1"/>
  <c r="Z26" i="6999"/>
  <c r="Y26" i="6999"/>
  <c r="X26" i="6999"/>
  <c r="W26" i="6999"/>
  <c r="V26" i="6999"/>
  <c r="U26" i="6999"/>
  <c r="T26" i="6999"/>
  <c r="S26" i="6999"/>
  <c r="R26" i="6999"/>
  <c r="Q26" i="6999"/>
  <c r="P26" i="6999"/>
  <c r="O26" i="6999"/>
  <c r="N26" i="6999"/>
  <c r="M26" i="6999"/>
  <c r="L26" i="6999"/>
  <c r="K26" i="6999"/>
  <c r="J26" i="6999"/>
  <c r="I26" i="6999"/>
  <c r="H26" i="6999"/>
  <c r="G26" i="6999"/>
  <c r="F26" i="6999"/>
  <c r="E26" i="6999"/>
  <c r="D26" i="6999"/>
  <c r="C26" i="6999"/>
  <c r="Z25" i="6999"/>
  <c r="Y25" i="6999"/>
  <c r="X25" i="6999"/>
  <c r="W25" i="6999"/>
  <c r="V25" i="6999"/>
  <c r="U25" i="6999"/>
  <c r="Z24" i="6999"/>
  <c r="Y24" i="6999"/>
  <c r="X24" i="6999"/>
  <c r="W24" i="6999"/>
  <c r="V24" i="6999"/>
  <c r="U24" i="6999"/>
  <c r="T24" i="6999"/>
  <c r="T25" i="6999" s="1"/>
  <c r="S24" i="6999"/>
  <c r="R24" i="6999"/>
  <c r="H24" i="6999"/>
  <c r="F24" i="6999"/>
  <c r="Z19" i="6999"/>
  <c r="Y19" i="6999"/>
  <c r="X19" i="6999"/>
  <c r="W19" i="6999"/>
  <c r="V19" i="6999"/>
  <c r="U19" i="6999"/>
  <c r="Z18" i="6999"/>
  <c r="Y18" i="6999"/>
  <c r="X18" i="6999"/>
  <c r="W18" i="6999"/>
  <c r="V18" i="6999"/>
  <c r="U18" i="6999"/>
  <c r="T18" i="6999"/>
  <c r="T19" i="6999" s="1"/>
  <c r="S18" i="6999"/>
  <c r="S19" i="6999" s="1"/>
  <c r="S13" i="6884" a="1"/>
  <c r="S13" i="6884" s="1"/>
  <c r="R13" i="6884" a="1"/>
  <c r="R13" i="6884" s="1"/>
  <c r="Q13" i="6884" a="1"/>
  <c r="Q13" i="6884" s="1"/>
  <c r="P13" i="6884" a="1"/>
  <c r="P13" i="6884" s="1"/>
  <c r="J13" i="6884" a="1"/>
  <c r="J13" i="6884" s="1"/>
  <c r="I13" i="6884" a="1"/>
  <c r="I13" i="6884" s="1"/>
  <c r="H13" i="6884" a="1"/>
  <c r="H13" i="6884" s="1"/>
  <c r="G13" i="6884" a="1"/>
  <c r="G13" i="6884" s="1"/>
  <c r="AE15" i="6884"/>
  <c r="AE14" i="6884"/>
  <c r="AE13" i="6884"/>
  <c r="N53" i="7000" l="1"/>
  <c r="R53" i="7000"/>
  <c r="J53" i="7000"/>
  <c r="M53" i="7000"/>
  <c r="I53" i="7000"/>
  <c r="F53" i="7000"/>
  <c r="D53" i="7000"/>
  <c r="Q53" i="7000"/>
  <c r="H53" i="7000"/>
  <c r="O53" i="7000"/>
  <c r="K53" i="7000"/>
  <c r="D53" i="6999"/>
  <c r="C53" i="7000"/>
  <c r="L53" i="7000"/>
  <c r="W94" i="6999"/>
  <c r="Z94" i="6999"/>
  <c r="U94" i="7000"/>
  <c r="X94" i="7000"/>
  <c r="U94" i="6999"/>
  <c r="P53" i="7000"/>
  <c r="J28" i="7000"/>
  <c r="J29" i="7000" s="1"/>
  <c r="J58" i="7000" s="1"/>
  <c r="K28" i="7000"/>
  <c r="K29" i="7000" s="1"/>
  <c r="K58" i="7000" s="1"/>
  <c r="G53" i="7000"/>
  <c r="I24" i="7000"/>
  <c r="L28" i="7000"/>
  <c r="L29" i="7000" s="1"/>
  <c r="I28" i="7000"/>
  <c r="I29" i="7000" s="1"/>
  <c r="M28" i="7000"/>
  <c r="M29" i="7000" s="1"/>
  <c r="E53" i="7000"/>
  <c r="E28" i="7000"/>
  <c r="E29" i="7000" s="1"/>
  <c r="Q28" i="7000"/>
  <c r="Q29" i="7000" s="1"/>
  <c r="Q58" i="7000" s="1"/>
  <c r="G58" i="7000"/>
  <c r="S93" i="7000"/>
  <c r="N28" i="7000"/>
  <c r="N29" i="7000" s="1"/>
  <c r="O28" i="7000"/>
  <c r="O29" i="7000" s="1"/>
  <c r="Q81" i="7000"/>
  <c r="D28" i="7000"/>
  <c r="D29" i="7000" s="1"/>
  <c r="R81" i="7000"/>
  <c r="F24" i="7000"/>
  <c r="R24" i="7000"/>
  <c r="F28" i="7000"/>
  <c r="F29" i="7000" s="1"/>
  <c r="R28" i="7000"/>
  <c r="R29" i="7000" s="1"/>
  <c r="H58" i="7000"/>
  <c r="H81" i="7000"/>
  <c r="T93" i="7000"/>
  <c r="C28" i="7000"/>
  <c r="C29" i="7000" s="1"/>
  <c r="Q59" i="7000"/>
  <c r="E81" i="7000"/>
  <c r="P28" i="7000"/>
  <c r="P29" i="7000" s="1"/>
  <c r="R59" i="7000"/>
  <c r="H24" i="7000"/>
  <c r="V93" i="7000"/>
  <c r="W93" i="7000"/>
  <c r="M59" i="7000"/>
  <c r="Y93" i="7000"/>
  <c r="N59" i="7000"/>
  <c r="Z93" i="7000"/>
  <c r="O59" i="7000"/>
  <c r="P59" i="7000"/>
  <c r="I81" i="6999"/>
  <c r="I24" i="6999"/>
  <c r="J53" i="6999"/>
  <c r="H28" i="6999"/>
  <c r="H29" i="6999" s="1"/>
  <c r="G28" i="6999"/>
  <c r="G29" i="6999" s="1"/>
  <c r="I28" i="6999"/>
  <c r="I29" i="6999" s="1"/>
  <c r="C53" i="6999"/>
  <c r="O53" i="6999"/>
  <c r="P53" i="6999"/>
  <c r="L53" i="6999"/>
  <c r="K53" i="6999"/>
  <c r="S25" i="6999"/>
  <c r="C35" i="6999"/>
  <c r="G35" i="6999"/>
  <c r="M53" i="6999"/>
  <c r="E53" i="6999"/>
  <c r="F53" i="6999"/>
  <c r="L58" i="6999"/>
  <c r="N58" i="6999"/>
  <c r="N53" i="6999"/>
  <c r="R53" i="6999"/>
  <c r="G53" i="6999"/>
  <c r="Q58" i="6999"/>
  <c r="S53" i="6999"/>
  <c r="H53" i="6999"/>
  <c r="T53" i="6999"/>
  <c r="R58" i="6999"/>
  <c r="S80" i="6999"/>
  <c r="S78" i="6999"/>
  <c r="S86" i="6999" s="1"/>
  <c r="S77" i="6999"/>
  <c r="S58" i="6999"/>
  <c r="T80" i="6999"/>
  <c r="T78" i="6999"/>
  <c r="T86" i="6999" s="1"/>
  <c r="T77" i="6999"/>
  <c r="T58" i="6999"/>
  <c r="I53" i="6999"/>
  <c r="M58" i="6999"/>
  <c r="J58" i="6999"/>
  <c r="Q53" i="6999"/>
  <c r="K58" i="6999"/>
  <c r="S50" i="6999"/>
  <c r="S89" i="6999"/>
  <c r="S84" i="6999"/>
  <c r="I35" i="6999"/>
  <c r="S45" i="6999"/>
  <c r="V93" i="6999"/>
  <c r="T45" i="6999"/>
  <c r="X93" i="6999"/>
  <c r="T46" i="6999"/>
  <c r="T50" i="6999" s="1"/>
  <c r="Y93" i="6999"/>
  <c r="N58" i="7000" l="1"/>
  <c r="N61" i="7000" s="1"/>
  <c r="L58" i="7000"/>
  <c r="L61" i="7000" s="1"/>
  <c r="G58" i="6999"/>
  <c r="G61" i="6999" s="1"/>
  <c r="M58" i="7000"/>
  <c r="M61" i="7000" s="1"/>
  <c r="R58" i="7000"/>
  <c r="R61" i="7000" s="1"/>
  <c r="Q60" i="7000"/>
  <c r="Q79" i="7000" s="1"/>
  <c r="Q61" i="7000"/>
  <c r="J61" i="7000"/>
  <c r="G61" i="7000"/>
  <c r="K61" i="7000"/>
  <c r="H61" i="7000"/>
  <c r="H58" i="6999"/>
  <c r="H61" i="6999" s="1"/>
  <c r="T89" i="6999"/>
  <c r="T84" i="6999"/>
  <c r="T88" i="6999"/>
  <c r="S61" i="6999"/>
  <c r="S60" i="6999"/>
  <c r="S79" i="6999" s="1"/>
  <c r="R61" i="6999"/>
  <c r="R60" i="6999"/>
  <c r="R79" i="6999" s="1"/>
  <c r="K61" i="6999"/>
  <c r="S85" i="6999"/>
  <c r="M61" i="6999"/>
  <c r="M60" i="6999"/>
  <c r="M79" i="6999" s="1"/>
  <c r="Q61" i="6999"/>
  <c r="Q60" i="6999"/>
  <c r="Q79" i="6999" s="1"/>
  <c r="J61" i="6999"/>
  <c r="T61" i="6999"/>
  <c r="T60" i="6999"/>
  <c r="T79" i="6999" s="1"/>
  <c r="S88" i="6999"/>
  <c r="N61" i="6999"/>
  <c r="N60" i="6999"/>
  <c r="N79" i="6999" s="1"/>
  <c r="L61" i="6999"/>
  <c r="T85" i="6999"/>
  <c r="N60" i="7000" l="1"/>
  <c r="N79" i="7000" s="1"/>
  <c r="N70" i="7000" s="1"/>
  <c r="N72" i="7000" s="1"/>
  <c r="R60" i="7000"/>
  <c r="R79" i="7000" s="1"/>
  <c r="R70" i="7000" s="1"/>
  <c r="R72" i="7000" s="1"/>
  <c r="M60" i="7000"/>
  <c r="M79" i="7000" s="1"/>
  <c r="M87" i="7000" s="1"/>
  <c r="Q70" i="7000"/>
  <c r="Q72" i="7000" s="1"/>
  <c r="Q87" i="7000"/>
  <c r="S87" i="6999"/>
  <c r="S70" i="6999"/>
  <c r="S72" i="6999" s="1"/>
  <c r="S92" i="6999"/>
  <c r="Q87" i="6999"/>
  <c r="Q70" i="6999"/>
  <c r="Q72" i="6999" s="1"/>
  <c r="T70" i="6999"/>
  <c r="T72" i="6999" s="1"/>
  <c r="T87" i="6999"/>
  <c r="R87" i="6999"/>
  <c r="R70" i="6999"/>
  <c r="R72" i="6999" s="1"/>
  <c r="M87" i="6999"/>
  <c r="M70" i="6999"/>
  <c r="M72" i="6999" s="1"/>
  <c r="N87" i="6999"/>
  <c r="N70" i="6999"/>
  <c r="N72" i="6999" s="1"/>
  <c r="T92" i="6999"/>
  <c r="I70" i="6884" a="1"/>
  <c r="H70" i="6884" a="1"/>
  <c r="G70" i="6884" a="1"/>
  <c r="I67" i="6884" a="1"/>
  <c r="H67" i="6884" a="1"/>
  <c r="G67" i="6884" a="1"/>
  <c r="S112" i="6884" a="1"/>
  <c r="S112" i="6884" s="1"/>
  <c r="S107" i="6884" a="1"/>
  <c r="S107" i="6884" s="1"/>
  <c r="S104" i="6884" a="1"/>
  <c r="R40" i="6884" a="1"/>
  <c r="Q40" i="6884" a="1"/>
  <c r="Q40" i="6884" s="1"/>
  <c r="P40" i="6884" a="1"/>
  <c r="J40" i="6884" a="1"/>
  <c r="I40" i="6884" a="1"/>
  <c r="H40" i="6884" a="1"/>
  <c r="G40" i="6884" a="1"/>
  <c r="Q37" i="6884" a="1"/>
  <c r="Q37" i="6884" s="1"/>
  <c r="P37" i="6884" a="1"/>
  <c r="J37" i="6884" a="1"/>
  <c r="I37" i="6884" a="1"/>
  <c r="H37" i="6884" a="1"/>
  <c r="G37" i="6884" a="1"/>
  <c r="I34" i="6955"/>
  <c r="H34" i="6955"/>
  <c r="G34" i="6955"/>
  <c r="F34" i="6955"/>
  <c r="I33" i="6955"/>
  <c r="H33" i="6955"/>
  <c r="G33" i="6955"/>
  <c r="F33" i="6955"/>
  <c r="I32" i="6955"/>
  <c r="H32" i="6955"/>
  <c r="G32" i="6955"/>
  <c r="F32" i="6955"/>
  <c r="I31" i="6955"/>
  <c r="H31" i="6955"/>
  <c r="G31" i="6955"/>
  <c r="F31" i="6955"/>
  <c r="I30" i="6955"/>
  <c r="H30" i="6955"/>
  <c r="G30" i="6955"/>
  <c r="F30" i="6955"/>
  <c r="N87" i="7000" l="1"/>
  <c r="P76" i="7047"/>
  <c r="P76" i="7000"/>
  <c r="P77" i="7047"/>
  <c r="P80" i="7047"/>
  <c r="P18" i="7047"/>
  <c r="P19" i="7047" s="1"/>
  <c r="P34" i="7047"/>
  <c r="P35" i="7047" s="1"/>
  <c r="P78" i="7047"/>
  <c r="P86" i="7047" s="1"/>
  <c r="O76" i="7047"/>
  <c r="O76" i="7000"/>
  <c r="O77" i="7047"/>
  <c r="O85" i="7047" s="1"/>
  <c r="O78" i="7047"/>
  <c r="O86" i="7047" s="1"/>
  <c r="O80" i="7047"/>
  <c r="O88" i="7047" s="1"/>
  <c r="O18" i="7047"/>
  <c r="O19" i="7047" s="1"/>
  <c r="S104" i="6884"/>
  <c r="R77" i="7000"/>
  <c r="R78" i="7000"/>
  <c r="R86" i="7000" s="1"/>
  <c r="R80" i="7000"/>
  <c r="R18" i="7000"/>
  <c r="R34" i="7000"/>
  <c r="R35" i="7000" s="1"/>
  <c r="R87" i="7000"/>
  <c r="G70" i="6884"/>
  <c r="H70" i="6884"/>
  <c r="I70" i="6884"/>
  <c r="H67" i="6884"/>
  <c r="I67" i="6884"/>
  <c r="G67" i="6884"/>
  <c r="P40" i="6884"/>
  <c r="Q18" i="7000"/>
  <c r="Q19" i="7000" s="1"/>
  <c r="H40" i="6884"/>
  <c r="Q77" i="7000"/>
  <c r="R40" i="6884"/>
  <c r="Q34" i="7000"/>
  <c r="Q35" i="7000" s="1"/>
  <c r="G37" i="6884"/>
  <c r="I40" i="6884"/>
  <c r="Q78" i="7000"/>
  <c r="Q86" i="7000" s="1"/>
  <c r="J40" i="6884"/>
  <c r="Q80" i="7000"/>
  <c r="H37" i="6884"/>
  <c r="I37" i="6884"/>
  <c r="J37" i="6884"/>
  <c r="P37" i="6884"/>
  <c r="G40" i="6884"/>
  <c r="P76" i="6999" s="1"/>
  <c r="M70" i="7000"/>
  <c r="M72" i="7000" s="1"/>
  <c r="S94" i="6999"/>
  <c r="S93" i="6999"/>
  <c r="T93" i="6999"/>
  <c r="T94" i="6999"/>
  <c r="P88" i="7047" l="1"/>
  <c r="P85" i="7047"/>
  <c r="O76" i="6999"/>
  <c r="O18" i="6999"/>
  <c r="R19" i="7000"/>
  <c r="R25" i="7000"/>
  <c r="R89" i="7000" s="1"/>
  <c r="R78" i="6999"/>
  <c r="R86" i="6999" s="1"/>
  <c r="R77" i="6999"/>
  <c r="R88" i="7000"/>
  <c r="R18" i="6999"/>
  <c r="R34" i="6999"/>
  <c r="R35" i="6999" s="1"/>
  <c r="R80" i="6999"/>
  <c r="R85" i="7000"/>
  <c r="Q78" i="6999"/>
  <c r="Q86" i="6999" s="1"/>
  <c r="Q34" i="6999"/>
  <c r="Q35" i="6999" s="1"/>
  <c r="Q85" i="7000"/>
  <c r="Q77" i="6999"/>
  <c r="Q88" i="7000"/>
  <c r="Q80" i="6999"/>
  <c r="Q18" i="6999"/>
  <c r="Q19" i="6999" s="1"/>
  <c r="R85" i="6999" l="1"/>
  <c r="R88" i="6999"/>
  <c r="R19" i="6999"/>
  <c r="R25" i="6999"/>
  <c r="R89" i="6999" s="1"/>
  <c r="R84" i="6999"/>
  <c r="R84" i="7000"/>
  <c r="R92" i="7000" s="1"/>
  <c r="Q85" i="6999"/>
  <c r="Q88" i="6999"/>
  <c r="Z18" i="6887"/>
  <c r="Y18" i="6887"/>
  <c r="X18" i="6887"/>
  <c r="W18" i="6887"/>
  <c r="V18" i="6887"/>
  <c r="U18" i="6887"/>
  <c r="T18" i="6887"/>
  <c r="S18" i="6887"/>
  <c r="R18" i="6887"/>
  <c r="Q18" i="6887"/>
  <c r="P18" i="6887"/>
  <c r="O18" i="6887"/>
  <c r="N18" i="6887"/>
  <c r="M18" i="6887"/>
  <c r="L18" i="6887"/>
  <c r="K18" i="6887"/>
  <c r="J18" i="6887"/>
  <c r="I18" i="6887"/>
  <c r="H18" i="6887"/>
  <c r="G18" i="6887"/>
  <c r="F18" i="6887"/>
  <c r="E18" i="6887"/>
  <c r="D18" i="6887"/>
  <c r="C18" i="6887"/>
  <c r="R92" i="6999" l="1"/>
  <c r="R94" i="6999" s="1"/>
  <c r="R93" i="7000"/>
  <c r="R94" i="7000"/>
  <c r="Q112" i="6884" a="1"/>
  <c r="Q112" i="6884" s="1"/>
  <c r="J112" i="6884" a="1"/>
  <c r="J112" i="6884" s="1"/>
  <c r="I112" i="6884" a="1"/>
  <c r="I112" i="6884" s="1"/>
  <c r="H112" i="6884" a="1"/>
  <c r="H112" i="6884" s="1"/>
  <c r="G112" i="6884" a="1"/>
  <c r="G112" i="6884" s="1"/>
  <c r="Q107" i="6884" a="1"/>
  <c r="Q107" i="6884" s="1"/>
  <c r="J107" i="6884" a="1"/>
  <c r="J107" i="6884" s="1"/>
  <c r="I107" i="6884" a="1"/>
  <c r="I107" i="6884" s="1"/>
  <c r="H107" i="6884" a="1"/>
  <c r="H107" i="6884" s="1"/>
  <c r="G107" i="6884" a="1"/>
  <c r="G107" i="6884" s="1"/>
  <c r="S102" i="6884" a="1"/>
  <c r="S102" i="6884" s="1"/>
  <c r="Q102" i="6884" a="1"/>
  <c r="Q102" i="6884" s="1"/>
  <c r="P102" i="6884" a="1"/>
  <c r="P102" i="6884" s="1"/>
  <c r="J102" i="6884" a="1"/>
  <c r="J102" i="6884" s="1"/>
  <c r="I102" i="6884" a="1"/>
  <c r="I102" i="6884" s="1"/>
  <c r="H102" i="6884" a="1"/>
  <c r="H102" i="6884" s="1"/>
  <c r="G102" i="6884" a="1"/>
  <c r="G102" i="6884" s="1"/>
  <c r="G99" i="6884" a="1"/>
  <c r="R93" i="6999" l="1"/>
  <c r="G99" i="6884"/>
  <c r="P58" i="6884" a="1"/>
  <c r="D18" i="7047" s="1"/>
  <c r="D19" i="7047" s="1"/>
  <c r="P58" i="6884" l="1"/>
  <c r="D18" i="7000"/>
  <c r="D19" i="7000" s="1"/>
  <c r="AQ10" i="6845"/>
  <c r="BM10" i="6845"/>
  <c r="BN10" i="6845"/>
  <c r="BO10" i="6845"/>
  <c r="BP10" i="6845"/>
  <c r="BS10" i="6845"/>
  <c r="BT10" i="6845"/>
  <c r="BX10" i="6845"/>
  <c r="BQ10" i="6845"/>
  <c r="AE10" i="6845"/>
  <c r="BR10" i="6845" s="1"/>
  <c r="D10" i="6845"/>
  <c r="E10" i="6845"/>
  <c r="AR10" i="6845" s="1"/>
  <c r="F10" i="6845"/>
  <c r="H10" i="6845"/>
  <c r="I10" i="6845"/>
  <c r="J10" i="6845"/>
  <c r="K10" i="6845"/>
  <c r="L10" i="6845"/>
  <c r="M10" i="6845"/>
  <c r="N10" i="6845"/>
  <c r="O10" i="6845"/>
  <c r="P10" i="6845"/>
  <c r="S10" i="6845"/>
  <c r="T10" i="6845"/>
  <c r="BG10" i="6845" s="1"/>
  <c r="U10" i="6845"/>
  <c r="W10" i="6845"/>
  <c r="BJ10" i="6845" s="1"/>
  <c r="B10" i="6845"/>
  <c r="AO10" i="6845" s="1"/>
  <c r="BU10" i="6845" l="1"/>
  <c r="D18" i="6999"/>
  <c r="D19" i="6999" s="1"/>
  <c r="Z51" i="6845"/>
  <c r="Z52" i="6845"/>
  <c r="Z53" i="6845"/>
  <c r="Z54" i="6845"/>
  <c r="Z55" i="6845"/>
  <c r="Z56" i="6845"/>
  <c r="Z57" i="6845"/>
  <c r="Z58" i="6845"/>
  <c r="Z59" i="6845"/>
  <c r="AH10" i="6845" l="1"/>
  <c r="I73" i="6884" a="1"/>
  <c r="I73" i="6884" s="1"/>
  <c r="H73" i="6884" a="1"/>
  <c r="H73" i="6884" s="1"/>
  <c r="G73" i="6884" a="1"/>
  <c r="G73" i="6884" s="1"/>
  <c r="R43" i="6884" l="1" a="1"/>
  <c r="R43" i="6884" s="1"/>
  <c r="S94" i="6884" a="1"/>
  <c r="R94" i="6884" a="1"/>
  <c r="R94" i="6884" s="1"/>
  <c r="Q94" i="6884" a="1"/>
  <c r="Q94" i="6884" s="1"/>
  <c r="J94" i="6884" a="1"/>
  <c r="I94" i="6884" a="1"/>
  <c r="H94" i="6884" a="1"/>
  <c r="G94" i="6884" a="1"/>
  <c r="G76" i="7047" l="1"/>
  <c r="G76" i="7000"/>
  <c r="H59" i="7047"/>
  <c r="H60" i="7047" s="1"/>
  <c r="H79" i="7047" s="1"/>
  <c r="G77" i="7047"/>
  <c r="G85" i="7047" s="1"/>
  <c r="G78" i="7047"/>
  <c r="G86" i="7047" s="1"/>
  <c r="G80" i="7047"/>
  <c r="G88" i="7047" s="1"/>
  <c r="G18" i="7047"/>
  <c r="G59" i="7047"/>
  <c r="G60" i="7047" s="1"/>
  <c r="G79" i="7047" s="1"/>
  <c r="G94" i="6884"/>
  <c r="H94" i="6884"/>
  <c r="I94" i="6884"/>
  <c r="J94" i="6884"/>
  <c r="S94" i="6884"/>
  <c r="G76" i="6999" l="1"/>
  <c r="H87" i="7047"/>
  <c r="G87" i="7047"/>
  <c r="G19" i="7047"/>
  <c r="G25" i="7047"/>
  <c r="G89" i="7047" s="1"/>
  <c r="G84" i="7047" l="1"/>
  <c r="G92" i="7047" s="1"/>
  <c r="Z83" i="6887"/>
  <c r="Y83" i="6887"/>
  <c r="X83" i="6887"/>
  <c r="W83" i="6887"/>
  <c r="V83" i="6887"/>
  <c r="U83" i="6887"/>
  <c r="T83" i="6887"/>
  <c r="S83" i="6887"/>
  <c r="R83" i="6887"/>
  <c r="Q83" i="6887"/>
  <c r="P83" i="6887"/>
  <c r="O83" i="6887"/>
  <c r="N83" i="6887"/>
  <c r="M83" i="6887"/>
  <c r="L83" i="6887"/>
  <c r="K83" i="6887"/>
  <c r="J83" i="6887"/>
  <c r="I83" i="6887"/>
  <c r="H83" i="6887"/>
  <c r="G83" i="6887"/>
  <c r="F83" i="6887"/>
  <c r="E83" i="6887"/>
  <c r="Z82" i="6887"/>
  <c r="Y82" i="6887"/>
  <c r="X82" i="6887"/>
  <c r="W82" i="6887"/>
  <c r="V82" i="6887"/>
  <c r="U82" i="6887"/>
  <c r="T82" i="6887"/>
  <c r="S82" i="6887"/>
  <c r="R82" i="6887"/>
  <c r="Q82" i="6887"/>
  <c r="P82" i="6887"/>
  <c r="O82" i="6887"/>
  <c r="N82" i="6887"/>
  <c r="M82" i="6887"/>
  <c r="L82" i="6887"/>
  <c r="K82" i="6887"/>
  <c r="J82" i="6887"/>
  <c r="I82" i="6887"/>
  <c r="H82" i="6887"/>
  <c r="G82" i="6887"/>
  <c r="F82" i="6887"/>
  <c r="E82" i="6887"/>
  <c r="Z81" i="6887"/>
  <c r="Y81" i="6887"/>
  <c r="X81" i="6887"/>
  <c r="W81" i="6887"/>
  <c r="V81" i="6887"/>
  <c r="U81" i="6887"/>
  <c r="T81" i="6887"/>
  <c r="S81" i="6887"/>
  <c r="R81" i="6887"/>
  <c r="Q81" i="6887"/>
  <c r="P81" i="6887"/>
  <c r="O81" i="6887"/>
  <c r="N81" i="6887"/>
  <c r="M81" i="6887"/>
  <c r="L81" i="6887"/>
  <c r="K81" i="6887"/>
  <c r="J81" i="6887"/>
  <c r="I81" i="6887"/>
  <c r="H81" i="6887"/>
  <c r="G81" i="6887"/>
  <c r="F81" i="6887"/>
  <c r="E81" i="6887"/>
  <c r="Z80" i="6887"/>
  <c r="Y80" i="6887"/>
  <c r="X80" i="6887"/>
  <c r="W80" i="6887"/>
  <c r="V80" i="6887"/>
  <c r="U80" i="6887"/>
  <c r="T80" i="6887"/>
  <c r="S80" i="6887"/>
  <c r="R80" i="6887"/>
  <c r="Q80" i="6887"/>
  <c r="P80" i="6887"/>
  <c r="O80" i="6887"/>
  <c r="N80" i="6887"/>
  <c r="M80" i="6887"/>
  <c r="L80" i="6887"/>
  <c r="K80" i="6887"/>
  <c r="J80" i="6887"/>
  <c r="I80" i="6887"/>
  <c r="H80" i="6887"/>
  <c r="G80" i="6887"/>
  <c r="F80" i="6887"/>
  <c r="E80" i="6887"/>
  <c r="Z79" i="6887"/>
  <c r="Y79" i="6887"/>
  <c r="X79" i="6887"/>
  <c r="W79" i="6887"/>
  <c r="V79" i="6887"/>
  <c r="U79" i="6887"/>
  <c r="T79" i="6887"/>
  <c r="S79" i="6887"/>
  <c r="R79" i="6887"/>
  <c r="Q79" i="6887"/>
  <c r="P79" i="6887"/>
  <c r="O79" i="6887"/>
  <c r="N79" i="6887"/>
  <c r="M79" i="6887"/>
  <c r="L79" i="6887"/>
  <c r="K79" i="6887"/>
  <c r="J79" i="6887"/>
  <c r="I79" i="6887"/>
  <c r="H79" i="6887"/>
  <c r="G79" i="6887"/>
  <c r="F79" i="6887"/>
  <c r="E79" i="6887"/>
  <c r="Z78" i="6887"/>
  <c r="Y78" i="6887"/>
  <c r="X78" i="6887"/>
  <c r="W78" i="6887"/>
  <c r="V78" i="6887"/>
  <c r="U78" i="6887"/>
  <c r="T78" i="6887"/>
  <c r="S78" i="6887"/>
  <c r="R78" i="6887"/>
  <c r="Q78" i="6887"/>
  <c r="P78" i="6887"/>
  <c r="O78" i="6887"/>
  <c r="N78" i="6887"/>
  <c r="M78" i="6887"/>
  <c r="L78" i="6887"/>
  <c r="K78" i="6887"/>
  <c r="J78" i="6887"/>
  <c r="I78" i="6887"/>
  <c r="H78" i="6887"/>
  <c r="G78" i="6887"/>
  <c r="F78" i="6887"/>
  <c r="E78" i="6887"/>
  <c r="Z60" i="6887"/>
  <c r="Y60" i="6887"/>
  <c r="X60" i="6887"/>
  <c r="W60" i="6887"/>
  <c r="V60" i="6887"/>
  <c r="U60" i="6887"/>
  <c r="T60" i="6887"/>
  <c r="S60" i="6887"/>
  <c r="R60" i="6887"/>
  <c r="Q60" i="6887"/>
  <c r="P60" i="6887"/>
  <c r="O60" i="6887"/>
  <c r="N60" i="6887"/>
  <c r="M60" i="6887"/>
  <c r="L60" i="6887"/>
  <c r="K60" i="6887"/>
  <c r="J60" i="6887"/>
  <c r="I60" i="6887"/>
  <c r="H60" i="6887"/>
  <c r="G60" i="6887"/>
  <c r="F60" i="6887"/>
  <c r="E60" i="6887"/>
  <c r="Z29" i="6887"/>
  <c r="Y29" i="6887"/>
  <c r="X29" i="6887"/>
  <c r="W29" i="6887"/>
  <c r="V29" i="6887"/>
  <c r="U29" i="6887"/>
  <c r="T29" i="6887"/>
  <c r="S29" i="6887"/>
  <c r="R29" i="6887"/>
  <c r="Q29" i="6887"/>
  <c r="P29" i="6887"/>
  <c r="O29" i="6887"/>
  <c r="N29" i="6887"/>
  <c r="M29" i="6887"/>
  <c r="L29" i="6887"/>
  <c r="K29" i="6887"/>
  <c r="J29" i="6887"/>
  <c r="I29" i="6887"/>
  <c r="H29" i="6887"/>
  <c r="G29" i="6887"/>
  <c r="F29" i="6887"/>
  <c r="E29" i="6887"/>
  <c r="Z28" i="6887"/>
  <c r="Y28" i="6887"/>
  <c r="X28" i="6887"/>
  <c r="W28" i="6887"/>
  <c r="V28" i="6887"/>
  <c r="U28" i="6887"/>
  <c r="T28" i="6887"/>
  <c r="S28" i="6887"/>
  <c r="R28" i="6887"/>
  <c r="Q28" i="6887"/>
  <c r="P28" i="6887"/>
  <c r="O28" i="6887"/>
  <c r="N28" i="6887"/>
  <c r="M28" i="6887"/>
  <c r="L28" i="6887"/>
  <c r="K28" i="6887"/>
  <c r="J28" i="6887"/>
  <c r="I28" i="6887"/>
  <c r="H28" i="6887"/>
  <c r="G28" i="6887"/>
  <c r="F28" i="6887"/>
  <c r="E28" i="6887"/>
  <c r="D28" i="6887"/>
  <c r="D29" i="6887" s="1"/>
  <c r="C28" i="6887"/>
  <c r="C29" i="6887" s="1"/>
  <c r="C82" i="6887" s="1"/>
  <c r="C98" i="6887" s="1"/>
  <c r="G94" i="7047" l="1"/>
  <c r="G93" i="7047"/>
  <c r="C83" i="6887"/>
  <c r="C99" i="6887" s="1"/>
  <c r="D83" i="6887"/>
  <c r="C60" i="6887"/>
  <c r="Q76" i="6884" l="1" a="1"/>
  <c r="Q76" i="6884" s="1"/>
  <c r="P76" i="6884" a="1"/>
  <c r="AE42" i="6884"/>
  <c r="AE41" i="6884"/>
  <c r="AE40" i="6884"/>
  <c r="I18" i="7047" l="1"/>
  <c r="P24" i="7047"/>
  <c r="P25" i="7047" s="1"/>
  <c r="Q24" i="7000"/>
  <c r="Q25" i="7000" s="1"/>
  <c r="Q24" i="6999"/>
  <c r="Q25" i="6999" s="1"/>
  <c r="Q89" i="7000"/>
  <c r="Q84" i="7000"/>
  <c r="P76" i="6884"/>
  <c r="P89" i="7047" l="1"/>
  <c r="P84" i="7047"/>
  <c r="I19" i="7047"/>
  <c r="I25" i="7047"/>
  <c r="I89" i="7047" s="1"/>
  <c r="Q92" i="7000"/>
  <c r="Q89" i="6999"/>
  <c r="Q84" i="6999"/>
  <c r="Q92" i="6999" l="1"/>
  <c r="Q94" i="6999" s="1"/>
  <c r="Q94" i="7000"/>
  <c r="Q93" i="7000"/>
  <c r="Q93" i="6999" l="1"/>
  <c r="AA4" i="6845" l="1"/>
  <c r="Z4" i="6845"/>
  <c r="AA51" i="6845"/>
  <c r="AE12" i="6845" l="1"/>
  <c r="AE13" i="6845"/>
  <c r="AE14" i="6845"/>
  <c r="AE15" i="6845"/>
  <c r="AE16" i="6845"/>
  <c r="AE17" i="6845"/>
  <c r="AE18" i="6845"/>
  <c r="AE19" i="6845"/>
  <c r="AE20" i="6845"/>
  <c r="AE21" i="6845"/>
  <c r="AE22" i="6845"/>
  <c r="AE23" i="6845"/>
  <c r="AE24" i="6845"/>
  <c r="AE25" i="6845"/>
  <c r="AE26" i="6845"/>
  <c r="AE27" i="6845"/>
  <c r="AE28" i="6845"/>
  <c r="AE29" i="6845"/>
  <c r="AE30" i="6845"/>
  <c r="AE31" i="6845"/>
  <c r="AE32" i="6845"/>
  <c r="AE33" i="6845"/>
  <c r="AE34" i="6845"/>
  <c r="AE35" i="6845"/>
  <c r="AE36" i="6845"/>
  <c r="AE37" i="6845"/>
  <c r="AE38" i="6845"/>
  <c r="AE39" i="6845"/>
  <c r="AE40" i="6845"/>
  <c r="AE11" i="6845"/>
  <c r="B1" i="6966" l="1"/>
  <c r="C44" i="6887"/>
  <c r="C43" i="6887"/>
  <c r="C42" i="6887"/>
  <c r="C46" i="6887" l="1"/>
  <c r="C78" i="6887" s="1"/>
  <c r="AD91" i="6884" l="1" a="1"/>
  <c r="AD91" i="6884" s="1"/>
  <c r="AC91" i="6884" a="1"/>
  <c r="AC91" i="6884" s="1"/>
  <c r="AB91" i="6884" a="1"/>
  <c r="C78" i="7074" s="1"/>
  <c r="Y91" i="6884" a="1"/>
  <c r="Y91" i="6884" s="1"/>
  <c r="W91" i="6884" a="1"/>
  <c r="W91" i="6884" s="1"/>
  <c r="AA91" i="6884" l="1"/>
  <c r="AA92" i="6884"/>
  <c r="AA93" i="6884"/>
  <c r="AB91" i="6884"/>
  <c r="AE75" i="6884" l="1"/>
  <c r="AE74" i="6884"/>
  <c r="AE73" i="6884"/>
  <c r="AE72" i="6884"/>
  <c r="AE71" i="6884"/>
  <c r="AE70" i="6884"/>
  <c r="AE69" i="6884"/>
  <c r="AE68" i="6884"/>
  <c r="AE67" i="6884"/>
  <c r="AE66" i="6884"/>
  <c r="AE65" i="6884"/>
  <c r="AE64" i="6884"/>
  <c r="AE63" i="6884"/>
  <c r="AE62" i="6884"/>
  <c r="AE61" i="6884"/>
  <c r="AE60" i="6884"/>
  <c r="D24" i="7000" s="1"/>
  <c r="D25" i="7000" s="1"/>
  <c r="D89" i="7000" s="1"/>
  <c r="AE59" i="6884"/>
  <c r="D24" i="7047" s="1"/>
  <c r="D25" i="7047" s="1"/>
  <c r="D89" i="7047" s="1"/>
  <c r="AE58" i="6884"/>
  <c r="AE57" i="6884"/>
  <c r="AE56" i="6884"/>
  <c r="AE55" i="6884"/>
  <c r="AE54" i="6884"/>
  <c r="AE53" i="6884"/>
  <c r="AE52" i="6884"/>
  <c r="AE51" i="6884"/>
  <c r="AE50" i="6884"/>
  <c r="AE49" i="6884"/>
  <c r="AE48" i="6884"/>
  <c r="AE47" i="6884"/>
  <c r="AE46" i="6884"/>
  <c r="AE45" i="6884"/>
  <c r="AE44" i="6884"/>
  <c r="AE43" i="6884"/>
  <c r="AE39" i="6884"/>
  <c r="AE38" i="6884"/>
  <c r="AE37" i="6884"/>
  <c r="AE36" i="6884"/>
  <c r="AE35" i="6884"/>
  <c r="AE34" i="6884"/>
  <c r="AE33" i="6884"/>
  <c r="AE32" i="6884"/>
  <c r="AE31" i="6884"/>
  <c r="AE30" i="6884"/>
  <c r="AE29" i="6884"/>
  <c r="AE28" i="6884"/>
  <c r="AE27" i="6884"/>
  <c r="AE26" i="6884"/>
  <c r="AE25" i="6884"/>
  <c r="AE24" i="6884"/>
  <c r="AE23" i="6884"/>
  <c r="AE22" i="6884"/>
  <c r="AE21" i="6884"/>
  <c r="D24" i="7074" s="1"/>
  <c r="D25" i="7074" s="1"/>
  <c r="AE20" i="6884"/>
  <c r="AE19" i="6884"/>
  <c r="AE18" i="6884"/>
  <c r="AE17" i="6884"/>
  <c r="AE16" i="6884"/>
  <c r="AE12" i="6884"/>
  <c r="AE11" i="6884"/>
  <c r="AE10" i="6884"/>
  <c r="AE9" i="6884"/>
  <c r="AE8" i="6884"/>
  <c r="AE7" i="6884"/>
  <c r="AE6" i="6884"/>
  <c r="AE5" i="6884"/>
  <c r="AE4" i="6884"/>
  <c r="BM50" i="6845"/>
  <c r="BS48" i="6845"/>
  <c r="BN48" i="6845"/>
  <c r="BM48" i="6845"/>
  <c r="BM47" i="6845"/>
  <c r="BN46" i="6845"/>
  <c r="BM46" i="6845"/>
  <c r="BN45" i="6845"/>
  <c r="BM45" i="6845"/>
  <c r="BN43" i="6845"/>
  <c r="BM43" i="6845"/>
  <c r="BP41" i="6845"/>
  <c r="BN41" i="6845"/>
  <c r="BX40" i="6845"/>
  <c r="BT40" i="6845"/>
  <c r="M113" i="6884" s="1"/>
  <c r="BS40" i="6845"/>
  <c r="BR40" i="6845"/>
  <c r="BQ40" i="6845"/>
  <c r="BP40" i="6845"/>
  <c r="M108" i="6884" s="1"/>
  <c r="BO40" i="6845"/>
  <c r="M103" i="6884" s="1"/>
  <c r="BN40" i="6845"/>
  <c r="M93" i="6884" s="1"/>
  <c r="BM40" i="6845"/>
  <c r="BX39" i="6845"/>
  <c r="BT39" i="6845"/>
  <c r="BS39" i="6845"/>
  <c r="BR39" i="6845"/>
  <c r="BQ39" i="6845"/>
  <c r="BP39" i="6845"/>
  <c r="BO39" i="6845"/>
  <c r="BN39" i="6845"/>
  <c r="BM39" i="6845"/>
  <c r="BX38" i="6845"/>
  <c r="BT38" i="6845"/>
  <c r="BS38" i="6845"/>
  <c r="BR38" i="6845"/>
  <c r="BQ38" i="6845"/>
  <c r="BP38" i="6845"/>
  <c r="BO38" i="6845"/>
  <c r="BN38" i="6845"/>
  <c r="BM38" i="6845"/>
  <c r="BX37" i="6845"/>
  <c r="BT37" i="6845"/>
  <c r="BS37" i="6845"/>
  <c r="BR37" i="6845"/>
  <c r="BQ37" i="6845"/>
  <c r="BP37" i="6845"/>
  <c r="BO37" i="6845"/>
  <c r="BN37" i="6845"/>
  <c r="BM37" i="6845"/>
  <c r="BX36" i="6845"/>
  <c r="BT36" i="6845"/>
  <c r="BS36" i="6845"/>
  <c r="BR36" i="6845"/>
  <c r="BQ36" i="6845"/>
  <c r="BP36" i="6845"/>
  <c r="BO36" i="6845"/>
  <c r="BN36" i="6845"/>
  <c r="BM36" i="6845"/>
  <c r="BX35" i="6845"/>
  <c r="BT35" i="6845"/>
  <c r="BS35" i="6845"/>
  <c r="BR35" i="6845"/>
  <c r="BQ35" i="6845"/>
  <c r="BP35" i="6845"/>
  <c r="BO35" i="6845"/>
  <c r="BN35" i="6845"/>
  <c r="BM35" i="6845"/>
  <c r="BX34" i="6845"/>
  <c r="BT34" i="6845"/>
  <c r="BS34" i="6845"/>
  <c r="BR34" i="6845"/>
  <c r="BQ34" i="6845"/>
  <c r="BP34" i="6845"/>
  <c r="BO34" i="6845"/>
  <c r="BN34" i="6845"/>
  <c r="BM34" i="6845"/>
  <c r="BX33" i="6845"/>
  <c r="BT33" i="6845"/>
  <c r="BS33" i="6845"/>
  <c r="BR33" i="6845"/>
  <c r="BQ33" i="6845"/>
  <c r="BP33" i="6845"/>
  <c r="BO33" i="6845"/>
  <c r="BN33" i="6845"/>
  <c r="BM33" i="6845"/>
  <c r="BX32" i="6845"/>
  <c r="BT32" i="6845"/>
  <c r="BS32" i="6845"/>
  <c r="BR32" i="6845"/>
  <c r="BQ32" i="6845"/>
  <c r="BP32" i="6845"/>
  <c r="BO32" i="6845"/>
  <c r="BN32" i="6845"/>
  <c r="BM32" i="6845"/>
  <c r="BX31" i="6845"/>
  <c r="BT31" i="6845"/>
  <c r="BS31" i="6845"/>
  <c r="BR31" i="6845"/>
  <c r="BQ31" i="6845"/>
  <c r="BP31" i="6845"/>
  <c r="BO31" i="6845"/>
  <c r="BN31" i="6845"/>
  <c r="BM31" i="6845"/>
  <c r="BX30" i="6845"/>
  <c r="BT30" i="6845"/>
  <c r="BS30" i="6845"/>
  <c r="BR30" i="6845"/>
  <c r="BQ30" i="6845"/>
  <c r="BP30" i="6845"/>
  <c r="BO30" i="6845"/>
  <c r="BN30" i="6845"/>
  <c r="BM30" i="6845"/>
  <c r="BX29" i="6845"/>
  <c r="BT29" i="6845"/>
  <c r="BS29" i="6845"/>
  <c r="BR29" i="6845"/>
  <c r="BQ29" i="6845"/>
  <c r="BP29" i="6845"/>
  <c r="BO29" i="6845"/>
  <c r="BN29" i="6845"/>
  <c r="BM29" i="6845"/>
  <c r="BX28" i="6845"/>
  <c r="BT28" i="6845"/>
  <c r="BS28" i="6845"/>
  <c r="BR28" i="6845"/>
  <c r="BQ28" i="6845"/>
  <c r="BP28" i="6845"/>
  <c r="BO28" i="6845"/>
  <c r="BN28" i="6845"/>
  <c r="BM28" i="6845"/>
  <c r="BX27" i="6845"/>
  <c r="BT27" i="6845"/>
  <c r="BS27" i="6845"/>
  <c r="BR27" i="6845"/>
  <c r="BQ27" i="6845"/>
  <c r="BP27" i="6845"/>
  <c r="BO27" i="6845"/>
  <c r="BN27" i="6845"/>
  <c r="BM27" i="6845"/>
  <c r="BX26" i="6845"/>
  <c r="BT26" i="6845"/>
  <c r="BS26" i="6845"/>
  <c r="BR26" i="6845"/>
  <c r="BQ26" i="6845"/>
  <c r="BP26" i="6845"/>
  <c r="BO26" i="6845"/>
  <c r="BN26" i="6845"/>
  <c r="BM26" i="6845"/>
  <c r="BX25" i="6845"/>
  <c r="BT25" i="6845"/>
  <c r="BS25" i="6845"/>
  <c r="BR25" i="6845"/>
  <c r="BQ25" i="6845"/>
  <c r="BP25" i="6845"/>
  <c r="BO25" i="6845"/>
  <c r="BN25" i="6845"/>
  <c r="BM25" i="6845"/>
  <c r="BX24" i="6845"/>
  <c r="BT24" i="6845"/>
  <c r="BS24" i="6845"/>
  <c r="BR24" i="6845"/>
  <c r="BQ24" i="6845"/>
  <c r="BP24" i="6845"/>
  <c r="BO24" i="6845"/>
  <c r="BN24" i="6845"/>
  <c r="BM24" i="6845"/>
  <c r="BX23" i="6845"/>
  <c r="BT23" i="6845"/>
  <c r="BS23" i="6845"/>
  <c r="BR23" i="6845"/>
  <c r="BQ23" i="6845"/>
  <c r="BP23" i="6845"/>
  <c r="BO23" i="6845"/>
  <c r="BN23" i="6845"/>
  <c r="BM23" i="6845"/>
  <c r="BX22" i="6845"/>
  <c r="BT22" i="6845"/>
  <c r="BS22" i="6845"/>
  <c r="BR22" i="6845"/>
  <c r="BQ22" i="6845"/>
  <c r="BP22" i="6845"/>
  <c r="BO22" i="6845"/>
  <c r="BN22" i="6845"/>
  <c r="BM22" i="6845"/>
  <c r="BX21" i="6845"/>
  <c r="BT21" i="6845"/>
  <c r="BS21" i="6845"/>
  <c r="BR21" i="6845"/>
  <c r="BQ21" i="6845"/>
  <c r="BP21" i="6845"/>
  <c r="BO21" i="6845"/>
  <c r="BN21" i="6845"/>
  <c r="BM21" i="6845"/>
  <c r="BX20" i="6845"/>
  <c r="BT20" i="6845"/>
  <c r="BS20" i="6845"/>
  <c r="BR20" i="6845"/>
  <c r="BQ20" i="6845"/>
  <c r="BP20" i="6845"/>
  <c r="BO20" i="6845"/>
  <c r="BN20" i="6845"/>
  <c r="M92" i="6884" s="1"/>
  <c r="BM20" i="6845"/>
  <c r="BX19" i="6845"/>
  <c r="BT19" i="6845"/>
  <c r="BS19" i="6845"/>
  <c r="BR19" i="6845"/>
  <c r="BQ19" i="6845"/>
  <c r="BP19" i="6845"/>
  <c r="BO19" i="6845"/>
  <c r="BN19" i="6845"/>
  <c r="BM19" i="6845"/>
  <c r="BX18" i="6845"/>
  <c r="BT18" i="6845"/>
  <c r="BS18" i="6845"/>
  <c r="BR18" i="6845"/>
  <c r="BQ18" i="6845"/>
  <c r="BP18" i="6845"/>
  <c r="BO18" i="6845"/>
  <c r="BN18" i="6845"/>
  <c r="BM18" i="6845"/>
  <c r="BX17" i="6845"/>
  <c r="BT17" i="6845"/>
  <c r="BS17" i="6845"/>
  <c r="BR17" i="6845"/>
  <c r="BQ17" i="6845"/>
  <c r="BP17" i="6845"/>
  <c r="BO17" i="6845"/>
  <c r="BN17" i="6845"/>
  <c r="BM17" i="6845"/>
  <c r="BX16" i="6845"/>
  <c r="BT16" i="6845"/>
  <c r="BS16" i="6845"/>
  <c r="BR16" i="6845"/>
  <c r="BQ16" i="6845"/>
  <c r="BP16" i="6845"/>
  <c r="BO16" i="6845"/>
  <c r="BN16" i="6845"/>
  <c r="BM16" i="6845"/>
  <c r="BX15" i="6845"/>
  <c r="BT15" i="6845"/>
  <c r="BS15" i="6845"/>
  <c r="BR15" i="6845"/>
  <c r="BQ15" i="6845"/>
  <c r="BP15" i="6845"/>
  <c r="BO15" i="6845"/>
  <c r="BN15" i="6845"/>
  <c r="BM15" i="6845"/>
  <c r="BX14" i="6845"/>
  <c r="BT14" i="6845"/>
  <c r="BS14" i="6845"/>
  <c r="BR14" i="6845"/>
  <c r="BQ14" i="6845"/>
  <c r="BP14" i="6845"/>
  <c r="BO14" i="6845"/>
  <c r="BN14" i="6845"/>
  <c r="BM14" i="6845"/>
  <c r="BX13" i="6845"/>
  <c r="BT13" i="6845"/>
  <c r="BS13" i="6845"/>
  <c r="BR13" i="6845"/>
  <c r="BQ13" i="6845"/>
  <c r="BP13" i="6845"/>
  <c r="BO13" i="6845"/>
  <c r="BN13" i="6845"/>
  <c r="M91" i="6884" s="1"/>
  <c r="BM13" i="6845"/>
  <c r="BX12" i="6845"/>
  <c r="BT12" i="6845"/>
  <c r="BS12" i="6845"/>
  <c r="BR12" i="6845"/>
  <c r="BQ12" i="6845"/>
  <c r="BP12" i="6845"/>
  <c r="BO12" i="6845"/>
  <c r="BN12" i="6845"/>
  <c r="BM12" i="6845"/>
  <c r="BX11" i="6845"/>
  <c r="BT11" i="6845"/>
  <c r="BS11" i="6845"/>
  <c r="BR11" i="6845"/>
  <c r="BQ11" i="6845"/>
  <c r="BP11" i="6845"/>
  <c r="BO11" i="6845"/>
  <c r="BN11" i="6845"/>
  <c r="BM11" i="6845"/>
  <c r="AB4" i="6845"/>
  <c r="AC4" i="6845"/>
  <c r="AD4" i="6845"/>
  <c r="AE4" i="6845"/>
  <c r="AF4" i="6845"/>
  <c r="AG4" i="6845"/>
  <c r="AH4" i="6845"/>
  <c r="AI4" i="6845"/>
  <c r="AJ4" i="6845"/>
  <c r="AK4" i="6845"/>
  <c r="C41" i="6845"/>
  <c r="D41" i="6845"/>
  <c r="E41" i="6845"/>
  <c r="F41" i="6845"/>
  <c r="H41" i="6845"/>
  <c r="I41" i="6845"/>
  <c r="J41" i="6845"/>
  <c r="K41" i="6845"/>
  <c r="L41" i="6845"/>
  <c r="M41" i="6845"/>
  <c r="N41" i="6845"/>
  <c r="O41" i="6845"/>
  <c r="P41" i="6845"/>
  <c r="S41" i="6845"/>
  <c r="T41" i="6845"/>
  <c r="U41" i="6845"/>
  <c r="W41" i="6845"/>
  <c r="BM41" i="6845"/>
  <c r="BO41" i="6845"/>
  <c r="AD41" i="6845"/>
  <c r="BQ41" i="6845" s="1"/>
  <c r="AE41" i="6845"/>
  <c r="BR41" i="6845" s="1"/>
  <c r="BS41" i="6845"/>
  <c r="BT41" i="6845"/>
  <c r="AK41" i="6845"/>
  <c r="BX41" i="6845" s="1"/>
  <c r="C42" i="6845"/>
  <c r="D42" i="6845"/>
  <c r="E42" i="6845"/>
  <c r="F42" i="6845"/>
  <c r="H42" i="6845"/>
  <c r="I42" i="6845"/>
  <c r="J42" i="6845"/>
  <c r="K42" i="6845"/>
  <c r="L42" i="6845"/>
  <c r="M42" i="6845"/>
  <c r="N42" i="6845"/>
  <c r="O42" i="6845"/>
  <c r="P42" i="6845"/>
  <c r="S42" i="6845"/>
  <c r="T42" i="6845"/>
  <c r="U42" i="6845"/>
  <c r="W42" i="6845"/>
  <c r="BM42" i="6845"/>
  <c r="BN42" i="6845"/>
  <c r="BO42" i="6845"/>
  <c r="BP42" i="6845"/>
  <c r="AD42" i="6845"/>
  <c r="BQ42" i="6845" s="1"/>
  <c r="AE42" i="6845"/>
  <c r="BR42" i="6845" s="1"/>
  <c r="BS42" i="6845"/>
  <c r="BT42" i="6845"/>
  <c r="AK42" i="6845"/>
  <c r="BX42" i="6845" s="1"/>
  <c r="C43" i="6845"/>
  <c r="D43" i="6845"/>
  <c r="E43" i="6845"/>
  <c r="F43" i="6845"/>
  <c r="H43" i="6845"/>
  <c r="I43" i="6845"/>
  <c r="J43" i="6845"/>
  <c r="K43" i="6845"/>
  <c r="L43" i="6845"/>
  <c r="M43" i="6845"/>
  <c r="N43" i="6845"/>
  <c r="O43" i="6845"/>
  <c r="P43" i="6845"/>
  <c r="S43" i="6845"/>
  <c r="T43" i="6845"/>
  <c r="U43" i="6845"/>
  <c r="W43" i="6845"/>
  <c r="BO43" i="6845"/>
  <c r="BP43" i="6845"/>
  <c r="AD43" i="6845"/>
  <c r="BQ43" i="6845" s="1"/>
  <c r="AE43" i="6845"/>
  <c r="BR43" i="6845" s="1"/>
  <c r="BS43" i="6845"/>
  <c r="BT43" i="6845"/>
  <c r="AK43" i="6845"/>
  <c r="BX43" i="6845" s="1"/>
  <c r="C44" i="6845"/>
  <c r="D44" i="6845"/>
  <c r="E44" i="6845"/>
  <c r="F44" i="6845"/>
  <c r="H44" i="6845"/>
  <c r="I44" i="6845"/>
  <c r="J44" i="6845"/>
  <c r="K44" i="6845"/>
  <c r="L44" i="6845"/>
  <c r="M44" i="6845"/>
  <c r="N44" i="6845"/>
  <c r="O44" i="6845"/>
  <c r="P44" i="6845"/>
  <c r="S44" i="6845"/>
  <c r="T44" i="6845"/>
  <c r="U44" i="6845"/>
  <c r="W44" i="6845"/>
  <c r="BM44" i="6845"/>
  <c r="BN44" i="6845"/>
  <c r="BO44" i="6845"/>
  <c r="BP44" i="6845"/>
  <c r="AD44" i="6845"/>
  <c r="BQ44" i="6845" s="1"/>
  <c r="AE44" i="6845"/>
  <c r="BR44" i="6845" s="1"/>
  <c r="BS44" i="6845"/>
  <c r="BT44" i="6845"/>
  <c r="AK44" i="6845"/>
  <c r="BX44" i="6845" s="1"/>
  <c r="C45" i="6845"/>
  <c r="D45" i="6845"/>
  <c r="E45" i="6845"/>
  <c r="F45" i="6845"/>
  <c r="H45" i="6845"/>
  <c r="I45" i="6845"/>
  <c r="J45" i="6845"/>
  <c r="K45" i="6845"/>
  <c r="L45" i="6845"/>
  <c r="M45" i="6845"/>
  <c r="N45" i="6845"/>
  <c r="O45" i="6845"/>
  <c r="P45" i="6845"/>
  <c r="S45" i="6845"/>
  <c r="T45" i="6845"/>
  <c r="U45" i="6845"/>
  <c r="W45" i="6845"/>
  <c r="BO45" i="6845"/>
  <c r="BP45" i="6845"/>
  <c r="AD45" i="6845"/>
  <c r="BQ45" i="6845" s="1"/>
  <c r="AE45" i="6845"/>
  <c r="BR45" i="6845" s="1"/>
  <c r="BS45" i="6845"/>
  <c r="BT45" i="6845"/>
  <c r="AK45" i="6845"/>
  <c r="BX45" i="6845" s="1"/>
  <c r="C46" i="6845"/>
  <c r="D46" i="6845"/>
  <c r="E46" i="6845"/>
  <c r="F46" i="6845"/>
  <c r="H46" i="6845"/>
  <c r="I46" i="6845"/>
  <c r="J46" i="6845"/>
  <c r="K46" i="6845"/>
  <c r="L46" i="6845"/>
  <c r="M46" i="6845"/>
  <c r="N46" i="6845"/>
  <c r="O46" i="6845"/>
  <c r="P46" i="6845"/>
  <c r="S46" i="6845"/>
  <c r="T46" i="6845"/>
  <c r="U46" i="6845"/>
  <c r="W46" i="6845"/>
  <c r="BO46" i="6845"/>
  <c r="BP46" i="6845"/>
  <c r="AD46" i="6845"/>
  <c r="BQ46" i="6845" s="1"/>
  <c r="AE46" i="6845"/>
  <c r="BR46" i="6845" s="1"/>
  <c r="BS46" i="6845"/>
  <c r="BT46" i="6845"/>
  <c r="AK46" i="6845"/>
  <c r="BX46" i="6845" s="1"/>
  <c r="C47" i="6845"/>
  <c r="D47" i="6845"/>
  <c r="E47" i="6845"/>
  <c r="F47" i="6845"/>
  <c r="H47" i="6845"/>
  <c r="I47" i="6845"/>
  <c r="J47" i="6845"/>
  <c r="K47" i="6845"/>
  <c r="L47" i="6845"/>
  <c r="M47" i="6845"/>
  <c r="N47" i="6845"/>
  <c r="O47" i="6845"/>
  <c r="P47" i="6845"/>
  <c r="S47" i="6845"/>
  <c r="T47" i="6845"/>
  <c r="U47" i="6845"/>
  <c r="W47" i="6845"/>
  <c r="BN47" i="6845"/>
  <c r="BO47" i="6845"/>
  <c r="BP47" i="6845"/>
  <c r="AD47" i="6845"/>
  <c r="BQ47" i="6845" s="1"/>
  <c r="AE47" i="6845"/>
  <c r="BR47" i="6845" s="1"/>
  <c r="BS47" i="6845"/>
  <c r="BT47" i="6845"/>
  <c r="AK47" i="6845"/>
  <c r="BX47" i="6845" s="1"/>
  <c r="C48" i="6845"/>
  <c r="D48" i="6845"/>
  <c r="E48" i="6845"/>
  <c r="F48" i="6845"/>
  <c r="H48" i="6845"/>
  <c r="I48" i="6845"/>
  <c r="J48" i="6845"/>
  <c r="K48" i="6845"/>
  <c r="L48" i="6845"/>
  <c r="M48" i="6845"/>
  <c r="N48" i="6845"/>
  <c r="O48" i="6845"/>
  <c r="P48" i="6845"/>
  <c r="S48" i="6845"/>
  <c r="T48" i="6845"/>
  <c r="U48" i="6845"/>
  <c r="W48" i="6845"/>
  <c r="BO48" i="6845"/>
  <c r="BP48" i="6845"/>
  <c r="AD48" i="6845"/>
  <c r="BQ48" i="6845" s="1"/>
  <c r="AE48" i="6845"/>
  <c r="BR48" i="6845" s="1"/>
  <c r="BT48" i="6845"/>
  <c r="AK48" i="6845"/>
  <c r="BX48" i="6845" s="1"/>
  <c r="C49" i="6845"/>
  <c r="D49" i="6845"/>
  <c r="E49" i="6845"/>
  <c r="F49" i="6845"/>
  <c r="H49" i="6845"/>
  <c r="I49" i="6845"/>
  <c r="J49" i="6845"/>
  <c r="K49" i="6845"/>
  <c r="L49" i="6845"/>
  <c r="M49" i="6845"/>
  <c r="N49" i="6845"/>
  <c r="O49" i="6845"/>
  <c r="P49" i="6845"/>
  <c r="S49" i="6845"/>
  <c r="T49" i="6845"/>
  <c r="U49" i="6845"/>
  <c r="W49" i="6845"/>
  <c r="BM49" i="6845"/>
  <c r="BN49" i="6845"/>
  <c r="BO49" i="6845"/>
  <c r="BP49" i="6845"/>
  <c r="AD49" i="6845"/>
  <c r="BQ49" i="6845" s="1"/>
  <c r="AE49" i="6845"/>
  <c r="BR49" i="6845" s="1"/>
  <c r="BS49" i="6845"/>
  <c r="BT49" i="6845"/>
  <c r="AK49" i="6845"/>
  <c r="BX49" i="6845" s="1"/>
  <c r="C50" i="6845"/>
  <c r="D50" i="6845"/>
  <c r="E50" i="6845"/>
  <c r="F50" i="6845"/>
  <c r="H50" i="6845"/>
  <c r="I50" i="6845"/>
  <c r="J50" i="6845"/>
  <c r="K50" i="6845"/>
  <c r="L50" i="6845"/>
  <c r="M50" i="6845"/>
  <c r="N50" i="6845"/>
  <c r="O50" i="6845"/>
  <c r="P50" i="6845"/>
  <c r="S50" i="6845"/>
  <c r="T50" i="6845"/>
  <c r="U50" i="6845"/>
  <c r="W50" i="6845"/>
  <c r="BN50" i="6845"/>
  <c r="BO50" i="6845"/>
  <c r="BP50" i="6845"/>
  <c r="AD50" i="6845"/>
  <c r="BQ50" i="6845" s="1"/>
  <c r="AE50" i="6845"/>
  <c r="BR50" i="6845" s="1"/>
  <c r="BS50" i="6845"/>
  <c r="BT50" i="6845"/>
  <c r="AK50" i="6845"/>
  <c r="BX50" i="6845" s="1"/>
  <c r="C51" i="6845"/>
  <c r="D51" i="6845"/>
  <c r="AQ51" i="6845" s="1"/>
  <c r="E51" i="6845"/>
  <c r="AR51" i="6845" s="1"/>
  <c r="F51" i="6845"/>
  <c r="H51" i="6845"/>
  <c r="I51" i="6845"/>
  <c r="J51" i="6845"/>
  <c r="K51" i="6845"/>
  <c r="L51" i="6845"/>
  <c r="M51" i="6845"/>
  <c r="N51" i="6845"/>
  <c r="O51" i="6845"/>
  <c r="P51" i="6845"/>
  <c r="S51" i="6845"/>
  <c r="T51" i="6845"/>
  <c r="BG51" i="6845" s="1"/>
  <c r="U51" i="6845"/>
  <c r="W51" i="6845"/>
  <c r="BJ51" i="6845" s="1"/>
  <c r="BM51" i="6845"/>
  <c r="BN51" i="6845"/>
  <c r="AB51" i="6845"/>
  <c r="BO51" i="6845" s="1"/>
  <c r="AC51" i="6845"/>
  <c r="BP51" i="6845" s="1"/>
  <c r="AD51" i="6845"/>
  <c r="BQ51" i="6845" s="1"/>
  <c r="AE51" i="6845"/>
  <c r="BR51" i="6845" s="1"/>
  <c r="AF51" i="6845"/>
  <c r="BS51" i="6845" s="1"/>
  <c r="AG51" i="6845"/>
  <c r="BT51" i="6845" s="1"/>
  <c r="AK51" i="6845"/>
  <c r="BX51" i="6845" s="1"/>
  <c r="C52" i="6845"/>
  <c r="D52" i="6845"/>
  <c r="AQ52" i="6845" s="1"/>
  <c r="E52" i="6845"/>
  <c r="AR52" i="6845" s="1"/>
  <c r="F52" i="6845"/>
  <c r="H52" i="6845"/>
  <c r="I52" i="6845"/>
  <c r="J52" i="6845"/>
  <c r="K52" i="6845"/>
  <c r="L52" i="6845"/>
  <c r="M52" i="6845"/>
  <c r="N52" i="6845"/>
  <c r="O52" i="6845"/>
  <c r="P52" i="6845"/>
  <c r="S52" i="6845"/>
  <c r="T52" i="6845"/>
  <c r="BG52" i="6845" s="1"/>
  <c r="U52" i="6845"/>
  <c r="W52" i="6845"/>
  <c r="BJ52" i="6845" s="1"/>
  <c r="BM52" i="6845"/>
  <c r="AA52" i="6845"/>
  <c r="BN52" i="6845" s="1"/>
  <c r="AB52" i="6845"/>
  <c r="BO52" i="6845" s="1"/>
  <c r="AC52" i="6845"/>
  <c r="BP52" i="6845" s="1"/>
  <c r="AD52" i="6845"/>
  <c r="BQ52" i="6845" s="1"/>
  <c r="AE52" i="6845"/>
  <c r="BR52" i="6845" s="1"/>
  <c r="AF52" i="6845"/>
  <c r="BS52" i="6845" s="1"/>
  <c r="AG52" i="6845"/>
  <c r="BT52" i="6845" s="1"/>
  <c r="AK52" i="6845"/>
  <c r="BX52" i="6845" s="1"/>
  <c r="C53" i="6845"/>
  <c r="D53" i="6845"/>
  <c r="AQ53" i="6845" s="1"/>
  <c r="E53" i="6845"/>
  <c r="AR53" i="6845" s="1"/>
  <c r="F53" i="6845"/>
  <c r="H53" i="6845"/>
  <c r="I53" i="6845"/>
  <c r="J53" i="6845"/>
  <c r="K53" i="6845"/>
  <c r="L53" i="6845"/>
  <c r="M53" i="6845"/>
  <c r="N53" i="6845"/>
  <c r="O53" i="6845"/>
  <c r="P53" i="6845"/>
  <c r="S53" i="6845"/>
  <c r="T53" i="6845"/>
  <c r="BG53" i="6845" s="1"/>
  <c r="U53" i="6845"/>
  <c r="W53" i="6845"/>
  <c r="BJ53" i="6845" s="1"/>
  <c r="BM53" i="6845"/>
  <c r="AA53" i="6845"/>
  <c r="BN53" i="6845" s="1"/>
  <c r="AB53" i="6845"/>
  <c r="BO53" i="6845" s="1"/>
  <c r="AC53" i="6845"/>
  <c r="BP53" i="6845" s="1"/>
  <c r="AD53" i="6845"/>
  <c r="BQ53" i="6845" s="1"/>
  <c r="AE53" i="6845"/>
  <c r="BR53" i="6845" s="1"/>
  <c r="AF53" i="6845"/>
  <c r="BS53" i="6845" s="1"/>
  <c r="AG53" i="6845"/>
  <c r="BT53" i="6845" s="1"/>
  <c r="AK53" i="6845"/>
  <c r="BX53" i="6845" s="1"/>
  <c r="C54" i="6845"/>
  <c r="D54" i="6845"/>
  <c r="E54" i="6845"/>
  <c r="F54" i="6845"/>
  <c r="H54" i="6845"/>
  <c r="I54" i="6845"/>
  <c r="J54" i="6845"/>
  <c r="K54" i="6845"/>
  <c r="L54" i="6845"/>
  <c r="M54" i="6845"/>
  <c r="N54" i="6845"/>
  <c r="O54" i="6845"/>
  <c r="P54" i="6845"/>
  <c r="S54" i="6845"/>
  <c r="T54" i="6845"/>
  <c r="BG54" i="6845" s="1"/>
  <c r="U54" i="6845"/>
  <c r="W54" i="6845"/>
  <c r="BJ54" i="6845" s="1"/>
  <c r="BM54" i="6845"/>
  <c r="AA54" i="6845"/>
  <c r="BN54" i="6845" s="1"/>
  <c r="AB54" i="6845"/>
  <c r="BO54" i="6845" s="1"/>
  <c r="AC54" i="6845"/>
  <c r="BP54" i="6845" s="1"/>
  <c r="AD54" i="6845"/>
  <c r="BQ54" i="6845" s="1"/>
  <c r="AE54" i="6845"/>
  <c r="BR54" i="6845" s="1"/>
  <c r="AF54" i="6845"/>
  <c r="BS54" i="6845" s="1"/>
  <c r="AG54" i="6845"/>
  <c r="BT54" i="6845" s="1"/>
  <c r="AK54" i="6845"/>
  <c r="BX54" i="6845" s="1"/>
  <c r="C55" i="6845"/>
  <c r="D55" i="6845"/>
  <c r="AQ55" i="6845" s="1"/>
  <c r="E55" i="6845"/>
  <c r="AR55" i="6845" s="1"/>
  <c r="F55" i="6845"/>
  <c r="H55" i="6845"/>
  <c r="I55" i="6845"/>
  <c r="J55" i="6845"/>
  <c r="K55" i="6845"/>
  <c r="L55" i="6845"/>
  <c r="M55" i="6845"/>
  <c r="N55" i="6845"/>
  <c r="O55" i="6845"/>
  <c r="P55" i="6845"/>
  <c r="S55" i="6845"/>
  <c r="T55" i="6845"/>
  <c r="BG55" i="6845" s="1"/>
  <c r="U55" i="6845"/>
  <c r="W55" i="6845"/>
  <c r="BJ55" i="6845" s="1"/>
  <c r="BM55" i="6845"/>
  <c r="AA55" i="6845"/>
  <c r="BN55" i="6845" s="1"/>
  <c r="AB55" i="6845"/>
  <c r="BO55" i="6845" s="1"/>
  <c r="AC55" i="6845"/>
  <c r="BP55" i="6845" s="1"/>
  <c r="AD55" i="6845"/>
  <c r="BQ55" i="6845" s="1"/>
  <c r="AE55" i="6845"/>
  <c r="BR55" i="6845" s="1"/>
  <c r="AF55" i="6845"/>
  <c r="BS55" i="6845" s="1"/>
  <c r="AG55" i="6845"/>
  <c r="BT55" i="6845" s="1"/>
  <c r="AK55" i="6845"/>
  <c r="BX55" i="6845" s="1"/>
  <c r="C56" i="6845"/>
  <c r="D56" i="6845"/>
  <c r="AQ56" i="6845" s="1"/>
  <c r="E56" i="6845"/>
  <c r="AR56" i="6845" s="1"/>
  <c r="F56" i="6845"/>
  <c r="H56" i="6845"/>
  <c r="I56" i="6845"/>
  <c r="J56" i="6845"/>
  <c r="K56" i="6845"/>
  <c r="L56" i="6845"/>
  <c r="M56" i="6845"/>
  <c r="N56" i="6845"/>
  <c r="O56" i="6845"/>
  <c r="P56" i="6845"/>
  <c r="S56" i="6845"/>
  <c r="T56" i="6845"/>
  <c r="BG56" i="6845" s="1"/>
  <c r="U56" i="6845"/>
  <c r="W56" i="6845"/>
  <c r="BJ56" i="6845" s="1"/>
  <c r="BM56" i="6845"/>
  <c r="AA56" i="6845"/>
  <c r="BN56" i="6845" s="1"/>
  <c r="AB56" i="6845"/>
  <c r="BO56" i="6845" s="1"/>
  <c r="AC56" i="6845"/>
  <c r="BP56" i="6845" s="1"/>
  <c r="AD56" i="6845"/>
  <c r="BQ56" i="6845" s="1"/>
  <c r="AE56" i="6845"/>
  <c r="BR56" i="6845" s="1"/>
  <c r="AF56" i="6845"/>
  <c r="BS56" i="6845" s="1"/>
  <c r="AG56" i="6845"/>
  <c r="BT56" i="6845" s="1"/>
  <c r="AK56" i="6845"/>
  <c r="BX56" i="6845" s="1"/>
  <c r="C57" i="6845"/>
  <c r="D57" i="6845"/>
  <c r="AQ57" i="6845" s="1"/>
  <c r="E57" i="6845"/>
  <c r="AR57" i="6845" s="1"/>
  <c r="F57" i="6845"/>
  <c r="H57" i="6845"/>
  <c r="I57" i="6845"/>
  <c r="J57" i="6845"/>
  <c r="K57" i="6845"/>
  <c r="L57" i="6845"/>
  <c r="M57" i="6845"/>
  <c r="N57" i="6845"/>
  <c r="O57" i="6845"/>
  <c r="P57" i="6845"/>
  <c r="S57" i="6845"/>
  <c r="T57" i="6845"/>
  <c r="BG57" i="6845" s="1"/>
  <c r="U57" i="6845"/>
  <c r="W57" i="6845"/>
  <c r="BJ57" i="6845" s="1"/>
  <c r="BM57" i="6845"/>
  <c r="AA57" i="6845"/>
  <c r="BN57" i="6845" s="1"/>
  <c r="AB57" i="6845"/>
  <c r="BO57" i="6845" s="1"/>
  <c r="AC57" i="6845"/>
  <c r="BP57" i="6845" s="1"/>
  <c r="AD57" i="6845"/>
  <c r="BQ57" i="6845" s="1"/>
  <c r="AE57" i="6845"/>
  <c r="BR57" i="6845" s="1"/>
  <c r="AF57" i="6845"/>
  <c r="BS57" i="6845" s="1"/>
  <c r="AG57" i="6845"/>
  <c r="BT57" i="6845" s="1"/>
  <c r="AK57" i="6845"/>
  <c r="BX57" i="6845" s="1"/>
  <c r="C58" i="6845"/>
  <c r="D58" i="6845"/>
  <c r="AQ58" i="6845" s="1"/>
  <c r="E58" i="6845"/>
  <c r="AR58" i="6845" s="1"/>
  <c r="F58" i="6845"/>
  <c r="H58" i="6845"/>
  <c r="I58" i="6845"/>
  <c r="J58" i="6845"/>
  <c r="K58" i="6845"/>
  <c r="L58" i="6845"/>
  <c r="M58" i="6845"/>
  <c r="N58" i="6845"/>
  <c r="O58" i="6845"/>
  <c r="P58" i="6845"/>
  <c r="S58" i="6845"/>
  <c r="T58" i="6845"/>
  <c r="BG58" i="6845" s="1"/>
  <c r="U58" i="6845"/>
  <c r="W58" i="6845"/>
  <c r="BJ58" i="6845" s="1"/>
  <c r="BM58" i="6845"/>
  <c r="AA58" i="6845"/>
  <c r="BN58" i="6845" s="1"/>
  <c r="AB58" i="6845"/>
  <c r="BO58" i="6845" s="1"/>
  <c r="AC58" i="6845"/>
  <c r="BP58" i="6845" s="1"/>
  <c r="AD58" i="6845"/>
  <c r="BQ58" i="6845" s="1"/>
  <c r="AE58" i="6845"/>
  <c r="BR58" i="6845" s="1"/>
  <c r="AF58" i="6845"/>
  <c r="BS58" i="6845" s="1"/>
  <c r="AG58" i="6845"/>
  <c r="BT58" i="6845" s="1"/>
  <c r="AK58" i="6845"/>
  <c r="BX58" i="6845" s="1"/>
  <c r="C59" i="6845"/>
  <c r="D59" i="6845"/>
  <c r="AQ59" i="6845" s="1"/>
  <c r="E59" i="6845"/>
  <c r="AR59" i="6845" s="1"/>
  <c r="F59" i="6845"/>
  <c r="H59" i="6845"/>
  <c r="I59" i="6845"/>
  <c r="J59" i="6845"/>
  <c r="K59" i="6845"/>
  <c r="L59" i="6845"/>
  <c r="M59" i="6845"/>
  <c r="N59" i="6845"/>
  <c r="O59" i="6845"/>
  <c r="P59" i="6845"/>
  <c r="S59" i="6845"/>
  <c r="T59" i="6845"/>
  <c r="BG59" i="6845" s="1"/>
  <c r="U59" i="6845"/>
  <c r="W59" i="6845"/>
  <c r="BJ59" i="6845" s="1"/>
  <c r="BM59" i="6845"/>
  <c r="AA59" i="6845"/>
  <c r="BN59" i="6845" s="1"/>
  <c r="AB59" i="6845"/>
  <c r="BO59" i="6845" s="1"/>
  <c r="AC59" i="6845"/>
  <c r="BP59" i="6845" s="1"/>
  <c r="AD59" i="6845"/>
  <c r="BQ59" i="6845" s="1"/>
  <c r="AE59" i="6845"/>
  <c r="BR59" i="6845" s="1"/>
  <c r="AF59" i="6845"/>
  <c r="BS59" i="6845" s="1"/>
  <c r="AG59" i="6845"/>
  <c r="BT59" i="6845" s="1"/>
  <c r="AK59" i="6845"/>
  <c r="BX59" i="6845" s="1"/>
  <c r="B42" i="6845"/>
  <c r="B43" i="6845"/>
  <c r="B44" i="6845"/>
  <c r="B45" i="6845"/>
  <c r="B46" i="6845"/>
  <c r="B47" i="6845"/>
  <c r="B48" i="6845"/>
  <c r="B49" i="6845"/>
  <c r="B50" i="6845"/>
  <c r="B51" i="6845"/>
  <c r="AO51" i="6845" s="1"/>
  <c r="B52" i="6845"/>
  <c r="AO52" i="6845" s="1"/>
  <c r="B53" i="6845"/>
  <c r="AO53" i="6845" s="1"/>
  <c r="B54" i="6845"/>
  <c r="B55" i="6845"/>
  <c r="AO55" i="6845" s="1"/>
  <c r="B56" i="6845"/>
  <c r="AO56" i="6845" s="1"/>
  <c r="B57" i="6845"/>
  <c r="AO57" i="6845" s="1"/>
  <c r="B58" i="6845"/>
  <c r="AO58" i="6845" s="1"/>
  <c r="B59" i="6845"/>
  <c r="AO59" i="6845" s="1"/>
  <c r="B41" i="6845"/>
  <c r="AQ54" i="6845"/>
  <c r="AR54" i="6845"/>
  <c r="M40" i="6884" l="1"/>
  <c r="M37" i="6884"/>
  <c r="M112" i="6884"/>
  <c r="M132" i="6884"/>
  <c r="M41" i="6884"/>
  <c r="P58" i="7047" s="1"/>
  <c r="M38" i="6884"/>
  <c r="M42" i="6884"/>
  <c r="M39" i="6884"/>
  <c r="M134" i="6884"/>
  <c r="M102" i="6884"/>
  <c r="M107" i="6884"/>
  <c r="M130" i="6884"/>
  <c r="L24" i="7000"/>
  <c r="O24" i="7047"/>
  <c r="O25" i="7047" s="1"/>
  <c r="C24" i="7047"/>
  <c r="P24" i="7000"/>
  <c r="C24" i="7000"/>
  <c r="J24" i="6999"/>
  <c r="M24" i="7047"/>
  <c r="N24" i="7000"/>
  <c r="J24" i="7047"/>
  <c r="G24" i="7000"/>
  <c r="J24" i="7000"/>
  <c r="L24" i="7047"/>
  <c r="N24" i="7047"/>
  <c r="K24" i="6999"/>
  <c r="K24" i="7047"/>
  <c r="E24" i="7047"/>
  <c r="K24" i="7000"/>
  <c r="BU56" i="6845"/>
  <c r="BU55" i="6845"/>
  <c r="M24" i="6999"/>
  <c r="O24" i="6999"/>
  <c r="L24" i="6999"/>
  <c r="D24" i="6999"/>
  <c r="D25" i="6999" s="1"/>
  <c r="D89" i="6999" s="1"/>
  <c r="G24" i="6999"/>
  <c r="N24" i="6999"/>
  <c r="E24" i="6999"/>
  <c r="O24" i="7000"/>
  <c r="M24" i="7000"/>
  <c r="E24" i="7000"/>
  <c r="P24" i="6999"/>
  <c r="C24" i="6999"/>
  <c r="BU51" i="6845"/>
  <c r="BU58" i="6845"/>
  <c r="BU59" i="6845"/>
  <c r="BU57" i="6845"/>
  <c r="BU53" i="6845"/>
  <c r="BU52" i="6845"/>
  <c r="AO54" i="6845"/>
  <c r="BU54" i="6845" s="1"/>
  <c r="G70" i="7047" l="1"/>
  <c r="G72" i="7047" s="1"/>
  <c r="H70" i="7047"/>
  <c r="H72" i="7047" s="1"/>
  <c r="O89" i="7047"/>
  <c r="O84" i="7047"/>
  <c r="P61" i="7047"/>
  <c r="P60" i="7047"/>
  <c r="P79" i="7047" s="1"/>
  <c r="O58" i="7047"/>
  <c r="P58" i="7000"/>
  <c r="P60" i="7000" s="1"/>
  <c r="P79" i="7000" s="1"/>
  <c r="O58" i="7000"/>
  <c r="O61" i="7000" s="1"/>
  <c r="O58" i="6999"/>
  <c r="P58" i="6999"/>
  <c r="D60" i="6887"/>
  <c r="O61" i="7047" l="1"/>
  <c r="O60" i="7047"/>
  <c r="O79" i="7047" s="1"/>
  <c r="P70" i="7047"/>
  <c r="P72" i="7047" s="1"/>
  <c r="P87" i="7047"/>
  <c r="P92" i="7047" s="1"/>
  <c r="P61" i="7000"/>
  <c r="O60" i="7000"/>
  <c r="O79" i="7000" s="1"/>
  <c r="O87" i="7000" s="1"/>
  <c r="P61" i="6999"/>
  <c r="P60" i="6999"/>
  <c r="P79" i="6999" s="1"/>
  <c r="O61" i="6999"/>
  <c r="O60" i="6999"/>
  <c r="O79" i="6999" s="1"/>
  <c r="P87" i="7000"/>
  <c r="P70" i="7000"/>
  <c r="P72" i="7000" s="1"/>
  <c r="P94" i="7047" l="1"/>
  <c r="P93" i="7047"/>
  <c r="O87" i="7047"/>
  <c r="O92" i="7047" s="1"/>
  <c r="O70" i="7047"/>
  <c r="O72" i="7047" s="1"/>
  <c r="O70" i="7000"/>
  <c r="O72" i="7000" s="1"/>
  <c r="O70" i="6999"/>
  <c r="O72" i="6999" s="1"/>
  <c r="O87" i="6999"/>
  <c r="P87" i="6999"/>
  <c r="P70" i="6999"/>
  <c r="P72" i="6999" s="1"/>
  <c r="E34" i="6887"/>
  <c r="F34" i="6887"/>
  <c r="G34" i="6887"/>
  <c r="H34" i="6887"/>
  <c r="I34" i="6887"/>
  <c r="J34" i="6887"/>
  <c r="K34" i="6887"/>
  <c r="L34" i="6887"/>
  <c r="M34" i="6887"/>
  <c r="N34" i="6887"/>
  <c r="O34" i="6887"/>
  <c r="C85" i="6887" s="1"/>
  <c r="P34" i="6887"/>
  <c r="Q34" i="6887"/>
  <c r="R34" i="6887"/>
  <c r="S34" i="6887"/>
  <c r="T34" i="6887"/>
  <c r="U34" i="6887"/>
  <c r="V34" i="6887"/>
  <c r="W34" i="6887"/>
  <c r="X34" i="6887"/>
  <c r="Y34" i="6887"/>
  <c r="Z34" i="6887"/>
  <c r="Z63" i="6887"/>
  <c r="Y63" i="6887"/>
  <c r="X63" i="6887"/>
  <c r="W63" i="6887"/>
  <c r="V63" i="6887"/>
  <c r="U63" i="6887"/>
  <c r="T63" i="6887"/>
  <c r="S63" i="6887"/>
  <c r="R63" i="6887"/>
  <c r="Q63" i="6887"/>
  <c r="P63" i="6887"/>
  <c r="O63" i="6887"/>
  <c r="N63" i="6887"/>
  <c r="M63" i="6887"/>
  <c r="L63" i="6887"/>
  <c r="K63" i="6887"/>
  <c r="J63" i="6887"/>
  <c r="I63" i="6887"/>
  <c r="H63" i="6887"/>
  <c r="G63" i="6887"/>
  <c r="F63" i="6887"/>
  <c r="E63" i="6887"/>
  <c r="D63" i="6887"/>
  <c r="C63" i="6887"/>
  <c r="D61" i="6887"/>
  <c r="Z62" i="6887"/>
  <c r="Y62" i="6887"/>
  <c r="X62" i="6887"/>
  <c r="W62" i="6887"/>
  <c r="V62" i="6887"/>
  <c r="U62" i="6887"/>
  <c r="T62" i="6887"/>
  <c r="S62" i="6887"/>
  <c r="R62" i="6887"/>
  <c r="Q62" i="6887"/>
  <c r="P62" i="6887"/>
  <c r="O62" i="6887"/>
  <c r="N62" i="6887"/>
  <c r="M62" i="6887"/>
  <c r="L62" i="6887"/>
  <c r="K62" i="6887"/>
  <c r="J62" i="6887"/>
  <c r="I62" i="6887"/>
  <c r="H62" i="6887"/>
  <c r="G62" i="6887"/>
  <c r="F62" i="6887"/>
  <c r="E62" i="6887"/>
  <c r="Z61" i="6887"/>
  <c r="Y61" i="6887"/>
  <c r="X61" i="6887"/>
  <c r="W61" i="6887"/>
  <c r="V61" i="6887"/>
  <c r="U61" i="6887"/>
  <c r="T61" i="6887"/>
  <c r="S61" i="6887"/>
  <c r="R61" i="6887"/>
  <c r="Q61" i="6887"/>
  <c r="P61" i="6887"/>
  <c r="O61" i="6887"/>
  <c r="N61" i="6887"/>
  <c r="M61" i="6887"/>
  <c r="L61" i="6887"/>
  <c r="K61" i="6887"/>
  <c r="J61" i="6887"/>
  <c r="I61" i="6887"/>
  <c r="H61" i="6887"/>
  <c r="G61" i="6887"/>
  <c r="F61" i="6887"/>
  <c r="E61" i="6887"/>
  <c r="O94" i="7047" l="1"/>
  <c r="O93" i="7047"/>
  <c r="P120" i="6884" a="1"/>
  <c r="P120" i="6884" s="1"/>
  <c r="P117" i="6884" a="1"/>
  <c r="I123" i="6884" a="1"/>
  <c r="I123" i="6884" s="1"/>
  <c r="I120" i="6884" a="1"/>
  <c r="I120" i="6884" s="1"/>
  <c r="I117" i="6884" a="1"/>
  <c r="I114" i="6884" a="1"/>
  <c r="I114" i="6884" s="1"/>
  <c r="H123" i="6884" a="1"/>
  <c r="H123" i="6884" s="1"/>
  <c r="H120" i="6884" a="1"/>
  <c r="H120" i="6884" s="1"/>
  <c r="H117" i="6884" a="1"/>
  <c r="H114" i="6884" a="1"/>
  <c r="H114" i="6884" s="1"/>
  <c r="G123" i="6884" a="1"/>
  <c r="G123" i="6884" s="1"/>
  <c r="G120" i="6884" a="1"/>
  <c r="G120" i="6884" s="1"/>
  <c r="G117" i="6884" a="1"/>
  <c r="G114" i="6884" a="1"/>
  <c r="G114" i="6884" s="1"/>
  <c r="Q123" i="6884" a="1"/>
  <c r="Q123" i="6884" s="1"/>
  <c r="J123" i="6884" a="1"/>
  <c r="J123" i="6884" s="1"/>
  <c r="Q120" i="6884" a="1"/>
  <c r="Q120" i="6884" s="1"/>
  <c r="J120" i="6884" a="1"/>
  <c r="J120" i="6884" s="1"/>
  <c r="Q117" i="6884" a="1"/>
  <c r="J117" i="6884" a="1"/>
  <c r="Q114" i="6884" a="1"/>
  <c r="Q114" i="6884" s="1"/>
  <c r="J114" i="6884" a="1"/>
  <c r="J114" i="6884" s="1"/>
  <c r="G104" i="6884" a="1"/>
  <c r="T3" i="6961" a="1"/>
  <c r="T3" i="6961" s="1"/>
  <c r="U3" i="6961" a="1"/>
  <c r="U3" i="6961" s="1"/>
  <c r="V3" i="6961" a="1"/>
  <c r="V3" i="6961" s="1"/>
  <c r="W3" i="6961" a="1"/>
  <c r="W3" i="6961" s="1"/>
  <c r="X3" i="6961" a="1"/>
  <c r="X3" i="6961" s="1"/>
  <c r="Y3" i="6961" a="1"/>
  <c r="Y3" i="6961" s="1"/>
  <c r="Z3" i="6961" a="1"/>
  <c r="Z3" i="6961" s="1"/>
  <c r="AA3" i="6961" a="1"/>
  <c r="AA3" i="6961" s="1"/>
  <c r="AB3" i="6961" a="1"/>
  <c r="AB3" i="6961" s="1"/>
  <c r="AC3" i="6961" a="1"/>
  <c r="AC3" i="6961" s="1"/>
  <c r="AD3" i="6961" a="1"/>
  <c r="AD3" i="6961" s="1"/>
  <c r="AE3" i="6961" a="1"/>
  <c r="AE3" i="6961" s="1"/>
  <c r="AF3" i="6961" a="1"/>
  <c r="AF3" i="6961" s="1"/>
  <c r="AG3" i="6961" a="1"/>
  <c r="AG3" i="6961" s="1"/>
  <c r="AH3" i="6961" a="1"/>
  <c r="AH3" i="6961" s="1"/>
  <c r="AI3" i="6961" a="1"/>
  <c r="AI3" i="6961" s="1"/>
  <c r="AJ3" i="6961" a="1"/>
  <c r="AJ3" i="6961" s="1"/>
  <c r="AK3" i="6961" a="1"/>
  <c r="AK3" i="6961" s="1"/>
  <c r="AL3" i="6961" a="1"/>
  <c r="AL3" i="6961" s="1"/>
  <c r="AM3" i="6961" a="1"/>
  <c r="AM3" i="6961" s="1"/>
  <c r="AN3" i="6961" a="1"/>
  <c r="AN3" i="6961" s="1"/>
  <c r="AO3" i="6961" a="1"/>
  <c r="AO3" i="6961" s="1"/>
  <c r="AP3" i="6961" a="1"/>
  <c r="AP3" i="6961" s="1"/>
  <c r="AQ3" i="6961" a="1"/>
  <c r="AQ3" i="6961" s="1"/>
  <c r="AR3" i="6961" a="1"/>
  <c r="AR3" i="6961" s="1"/>
  <c r="AS3" i="6961" a="1"/>
  <c r="AS3" i="6961" s="1"/>
  <c r="AT3" i="6961" a="1"/>
  <c r="AT3" i="6961" s="1"/>
  <c r="AU3" i="6961" a="1"/>
  <c r="AU3" i="6961" s="1"/>
  <c r="AV3" i="6961" a="1"/>
  <c r="AV3" i="6961" s="1"/>
  <c r="AW3" i="6961" a="1"/>
  <c r="AW3" i="6961" s="1"/>
  <c r="AX3" i="6961" a="1"/>
  <c r="AX3" i="6961" s="1"/>
  <c r="AY3" i="6961" a="1"/>
  <c r="AY3" i="6961" s="1"/>
  <c r="AZ3" i="6961" a="1"/>
  <c r="AZ3" i="6961" s="1"/>
  <c r="BA3" i="6961" a="1"/>
  <c r="BA3" i="6961" s="1"/>
  <c r="BB3" i="6961" a="1"/>
  <c r="BB3" i="6961" s="1"/>
  <c r="BC3" i="6961" a="1"/>
  <c r="BC3" i="6961" s="1"/>
  <c r="BD3" i="6961" a="1"/>
  <c r="BD3" i="6961" s="1"/>
  <c r="BE3" i="6961" a="1"/>
  <c r="BE3" i="6961" s="1"/>
  <c r="BF3" i="6961" a="1"/>
  <c r="BF3" i="6961" s="1"/>
  <c r="BG3" i="6961" a="1"/>
  <c r="BG3" i="6961" s="1"/>
  <c r="BH3" i="6961" a="1"/>
  <c r="BH3" i="6961" s="1"/>
  <c r="BI3" i="6961" a="1"/>
  <c r="BI3" i="6961" s="1"/>
  <c r="BJ3" i="6961" a="1"/>
  <c r="BJ3" i="6961" s="1"/>
  <c r="BK3" i="6961" a="1"/>
  <c r="BK3" i="6961" s="1"/>
  <c r="BL3" i="6961" a="1"/>
  <c r="BL3" i="6961" s="1"/>
  <c r="BM3" i="6961" a="1"/>
  <c r="BM3" i="6961" s="1"/>
  <c r="BN3" i="6961" a="1"/>
  <c r="BN3" i="6961" s="1"/>
  <c r="BO3" i="6961" a="1"/>
  <c r="BO3" i="6961" s="1"/>
  <c r="BP3" i="6961" a="1"/>
  <c r="BP3" i="6961" s="1"/>
  <c r="BQ3" i="6961" a="1"/>
  <c r="BQ3" i="6961" s="1"/>
  <c r="BR3" i="6961" a="1"/>
  <c r="BR3" i="6961" s="1"/>
  <c r="BS3" i="6961" a="1"/>
  <c r="BS3" i="6961" s="1"/>
  <c r="BT3" i="6961" a="1"/>
  <c r="BT3" i="6961" s="1"/>
  <c r="BU3" i="6961" a="1"/>
  <c r="BU3" i="6961" s="1"/>
  <c r="BV3" i="6961" a="1"/>
  <c r="BV3" i="6961" s="1"/>
  <c r="BW3" i="6961" a="1"/>
  <c r="BW3" i="6961" s="1"/>
  <c r="BX3" i="6961" a="1"/>
  <c r="BX3" i="6961" s="1"/>
  <c r="BY3" i="6961" a="1"/>
  <c r="BY3" i="6961" s="1"/>
  <c r="BZ3" i="6961" a="1"/>
  <c r="BZ3" i="6961" s="1"/>
  <c r="C35" i="6887"/>
  <c r="I117" i="6884" l="1"/>
  <c r="H117" i="6884"/>
  <c r="G117" i="6884"/>
  <c r="P117" i="6884"/>
  <c r="G104" i="6884"/>
  <c r="Q117" i="6884"/>
  <c r="J117" i="6884"/>
  <c r="Z35" i="6887"/>
  <c r="Y35" i="6887"/>
  <c r="X35" i="6887"/>
  <c r="W35" i="6887"/>
  <c r="V35" i="6887"/>
  <c r="U35" i="6887"/>
  <c r="T35" i="6887"/>
  <c r="S35" i="6887"/>
  <c r="R35" i="6887"/>
  <c r="Q35" i="6887"/>
  <c r="P35" i="6887"/>
  <c r="O35" i="6887"/>
  <c r="N35" i="6887"/>
  <c r="M35" i="6887"/>
  <c r="L35" i="6887"/>
  <c r="K35" i="6887"/>
  <c r="J35" i="6887"/>
  <c r="I35" i="6887"/>
  <c r="H35" i="6887"/>
  <c r="G35" i="6887"/>
  <c r="F35" i="6887"/>
  <c r="E35" i="6887"/>
  <c r="Z25" i="6887"/>
  <c r="Y25" i="6887"/>
  <c r="X25" i="6887"/>
  <c r="W25" i="6887"/>
  <c r="V25" i="6887"/>
  <c r="U25" i="6887"/>
  <c r="T25" i="6887"/>
  <c r="S25" i="6887"/>
  <c r="R25" i="6887"/>
  <c r="Q25" i="6887"/>
  <c r="P25" i="6887"/>
  <c r="O25" i="6887"/>
  <c r="N25" i="6887"/>
  <c r="M25" i="6887"/>
  <c r="L25" i="6887"/>
  <c r="K25" i="6887"/>
  <c r="J25" i="6887"/>
  <c r="I25" i="6887"/>
  <c r="H25" i="6887"/>
  <c r="G25" i="6887"/>
  <c r="F25" i="6887"/>
  <c r="Z24" i="6887"/>
  <c r="Y24" i="6887"/>
  <c r="X24" i="6887"/>
  <c r="W24" i="6887"/>
  <c r="V24" i="6887"/>
  <c r="U24" i="6887"/>
  <c r="T24" i="6887"/>
  <c r="S24" i="6887"/>
  <c r="R24" i="6887"/>
  <c r="Q24" i="6887"/>
  <c r="P24" i="6887"/>
  <c r="O24" i="6887"/>
  <c r="N24" i="6887"/>
  <c r="M24" i="6887"/>
  <c r="L24" i="6887"/>
  <c r="K24" i="6887"/>
  <c r="J24" i="6887"/>
  <c r="I24" i="6887"/>
  <c r="H24" i="6887"/>
  <c r="G24" i="6887"/>
  <c r="F24" i="6887"/>
  <c r="E24" i="6887"/>
  <c r="E25" i="6887" s="1"/>
  <c r="D24" i="6887"/>
  <c r="C24" i="6887"/>
  <c r="B4" i="6884" a="1"/>
  <c r="B4" i="6884" s="1"/>
  <c r="A4" i="6884" a="1"/>
  <c r="A4" i="6884" s="1"/>
  <c r="A1" i="6961" s="1" a="1"/>
  <c r="S3" i="6961" s="1" a="1"/>
  <c r="S3" i="6961" s="1"/>
  <c r="S109" i="6884" a="1"/>
  <c r="Q109" i="6884" a="1"/>
  <c r="I109" i="6884" a="1"/>
  <c r="H109" i="6884" a="1"/>
  <c r="G109" i="6884" a="1"/>
  <c r="J109" i="6884" a="1"/>
  <c r="I104" i="6884" a="1"/>
  <c r="H104" i="6884" a="1"/>
  <c r="Q104" i="6884" a="1"/>
  <c r="J104" i="6884" a="1"/>
  <c r="S109" i="6884" l="1"/>
  <c r="J104" i="6884"/>
  <c r="H104" i="6884"/>
  <c r="Q104" i="6884"/>
  <c r="G109" i="6884"/>
  <c r="I104" i="6884"/>
  <c r="I109" i="6884"/>
  <c r="Q109" i="6884"/>
  <c r="J109" i="6884"/>
  <c r="H109" i="6884"/>
  <c r="Q3" i="6961" a="1"/>
  <c r="Q3" i="6961" s="1"/>
  <c r="R3" i="6961" a="1"/>
  <c r="R3" i="6961" s="1"/>
  <c r="A1" i="6961"/>
  <c r="A3" i="6961" s="1" a="1"/>
  <c r="A3" i="6961" s="1"/>
  <c r="I3" i="6961" a="1"/>
  <c r="I3" i="6961" s="1"/>
  <c r="B3" i="6961" a="1"/>
  <c r="B3" i="6961" s="1"/>
  <c r="C3" i="6961" a="1"/>
  <c r="C3" i="6961" s="1"/>
  <c r="K3" i="6961" a="1"/>
  <c r="K3" i="6961" s="1"/>
  <c r="D3" i="6961" a="1"/>
  <c r="D3" i="6961" s="1"/>
  <c r="L3" i="6961" a="1"/>
  <c r="L3" i="6961" s="1"/>
  <c r="N3" i="6961" a="1"/>
  <c r="N3" i="6961" s="1"/>
  <c r="E3" i="6961" a="1"/>
  <c r="E3" i="6961" s="1"/>
  <c r="M3" i="6961" a="1"/>
  <c r="M3" i="6961" s="1"/>
  <c r="F3" i="6961" a="1"/>
  <c r="F3" i="6961" s="1"/>
  <c r="G3" i="6961" a="1"/>
  <c r="G3" i="6961" s="1"/>
  <c r="O3" i="6961" a="1"/>
  <c r="O3" i="6961" s="1"/>
  <c r="H3" i="6961" a="1"/>
  <c r="H3" i="6961" s="1"/>
  <c r="P3" i="6961" a="1"/>
  <c r="P3" i="6961" s="1"/>
  <c r="J3" i="6961" a="1"/>
  <c r="J3" i="6961" s="1"/>
  <c r="S99" i="6884" a="1"/>
  <c r="S61" i="6884" a="1"/>
  <c r="Q99" i="6884" a="1"/>
  <c r="Q61" i="6884" a="1"/>
  <c r="Q134" i="6884" s="1"/>
  <c r="P99" i="6884" a="1"/>
  <c r="P61" i="6884" a="1"/>
  <c r="J99" i="6884" a="1"/>
  <c r="J61" i="6884" a="1"/>
  <c r="I99" i="6884" a="1"/>
  <c r="H99" i="6884" a="1"/>
  <c r="H61" i="6884" a="1"/>
  <c r="S76" i="6884" a="1"/>
  <c r="J76" i="6884" a="1"/>
  <c r="I76" i="6884" a="1"/>
  <c r="H76" i="6884" a="1"/>
  <c r="G76" i="6884" a="1"/>
  <c r="V91" i="6884" a="1"/>
  <c r="X91" i="6884" a="1"/>
  <c r="C51" i="7074" s="1"/>
  <c r="C52" i="7074" s="1"/>
  <c r="C55" i="7074" s="1"/>
  <c r="S91" i="6884" a="1"/>
  <c r="C61" i="7074" s="1"/>
  <c r="C62" i="7074" s="1"/>
  <c r="C81" i="7074" s="1"/>
  <c r="C97" i="7074" s="1"/>
  <c r="Q91" i="6884" a="1"/>
  <c r="Q91" i="6884" s="1"/>
  <c r="P91" i="6884" a="1"/>
  <c r="I91" i="6884" a="1"/>
  <c r="C80" i="7074" s="1"/>
  <c r="H91" i="6884" a="1"/>
  <c r="C79" i="7074" s="1"/>
  <c r="G91" i="6884" a="1"/>
  <c r="S88" i="6884" a="1"/>
  <c r="P88" i="6884" a="1"/>
  <c r="Q88" i="6884" a="1"/>
  <c r="Q88" i="6884" s="1"/>
  <c r="J88" i="6884" a="1"/>
  <c r="I88" i="6884" a="1"/>
  <c r="H88" i="6884" a="1"/>
  <c r="G88" i="6884" a="1"/>
  <c r="S82" i="6884" a="1"/>
  <c r="S85" i="6884" a="1"/>
  <c r="S85" i="6884" s="1"/>
  <c r="Q85" i="6884" a="1"/>
  <c r="Q85" i="6884" s="1"/>
  <c r="P85" i="6884" a="1"/>
  <c r="P85" i="6884" s="1"/>
  <c r="J85" i="6884" a="1"/>
  <c r="J85" i="6884" s="1"/>
  <c r="I85" i="6884" a="1"/>
  <c r="I85" i="6884" s="1"/>
  <c r="H85" i="6884" a="1"/>
  <c r="H85" i="6884" s="1"/>
  <c r="G85" i="6884" a="1"/>
  <c r="G85" i="6884" s="1"/>
  <c r="Q82" i="6884" a="1"/>
  <c r="Q82" i="6884" s="1"/>
  <c r="P82" i="6884" a="1"/>
  <c r="J82" i="6884" a="1"/>
  <c r="I82" i="6884" a="1"/>
  <c r="H82" i="6884" a="1"/>
  <c r="G82" i="6884" a="1"/>
  <c r="S79" i="6884" a="1"/>
  <c r="Q79" i="6884" a="1"/>
  <c r="Q79" i="6884" s="1"/>
  <c r="I18" i="7000"/>
  <c r="J79" i="6884" a="1"/>
  <c r="I79" i="6884" a="1"/>
  <c r="I78" i="7000" s="1"/>
  <c r="I86" i="7000" s="1"/>
  <c r="H79" i="6884" a="1"/>
  <c r="I77" i="7000" s="1"/>
  <c r="I85" i="7000" s="1"/>
  <c r="G79" i="6884" a="1"/>
  <c r="J73" i="6884" a="1"/>
  <c r="J73" i="6884" s="1"/>
  <c r="Q70" i="6884" a="1"/>
  <c r="P70" i="6884" a="1"/>
  <c r="J70" i="6884" a="1"/>
  <c r="H64" i="6884" a="1"/>
  <c r="H58" i="6884" a="1"/>
  <c r="H55" i="6884" a="1"/>
  <c r="H55" i="6884" s="1"/>
  <c r="H52" i="6884" a="1"/>
  <c r="H49" i="6884" a="1"/>
  <c r="H46" i="6884" a="1"/>
  <c r="H43" i="6884" a="1"/>
  <c r="H43" i="6884" s="1"/>
  <c r="S52" i="6884" a="1"/>
  <c r="Q67" i="6884" a="1"/>
  <c r="P67" i="6884" a="1"/>
  <c r="P52" i="6884" a="1"/>
  <c r="J67" i="6884" a="1"/>
  <c r="S64" i="6884" a="1"/>
  <c r="S64" i="6884" s="1"/>
  <c r="Q64" i="6884" a="1"/>
  <c r="Q64" i="6884" s="1"/>
  <c r="Q127" i="6884" s="1"/>
  <c r="P64" i="6884" a="1"/>
  <c r="P64" i="6884" s="1"/>
  <c r="P127" i="6884" s="1"/>
  <c r="J64" i="6884" a="1"/>
  <c r="I64" i="6884" a="1"/>
  <c r="G64" i="6884" a="1"/>
  <c r="I61" i="6884" a="1"/>
  <c r="G61" i="6884" a="1"/>
  <c r="S58" i="6884" a="1"/>
  <c r="J58" i="6884" a="1"/>
  <c r="I58" i="6884" a="1"/>
  <c r="G58" i="6884" a="1"/>
  <c r="S55" i="6884" a="1"/>
  <c r="S55" i="6884" s="1"/>
  <c r="Q55" i="6884" a="1"/>
  <c r="Q55" i="6884" s="1"/>
  <c r="P55" i="6884" a="1"/>
  <c r="P55" i="6884" s="1"/>
  <c r="J55" i="6884" a="1"/>
  <c r="J55" i="6884" s="1"/>
  <c r="I55" i="6884" a="1"/>
  <c r="I55" i="6884" s="1"/>
  <c r="G55" i="6884" a="1"/>
  <c r="G55" i="6884" s="1"/>
  <c r="Q52" i="6884" a="1"/>
  <c r="J52" i="6884" a="1"/>
  <c r="I52" i="6884" a="1"/>
  <c r="G52" i="6884" a="1"/>
  <c r="P49" i="6884" a="1"/>
  <c r="P49" i="6884" s="1"/>
  <c r="Q49" i="6884" a="1"/>
  <c r="Q49" i="6884" s="1"/>
  <c r="I49" i="6884" a="1"/>
  <c r="S49" i="6884" a="1"/>
  <c r="S49" i="6884" s="1"/>
  <c r="S46" i="6884" a="1"/>
  <c r="L59" i="7000" s="1"/>
  <c r="L60" i="7000" s="1"/>
  <c r="L79" i="7000" s="1"/>
  <c r="S43" i="6884" a="1"/>
  <c r="S43" i="6884" s="1"/>
  <c r="S16" i="6884" a="1"/>
  <c r="S10" i="6884" a="1"/>
  <c r="S7" i="6884" a="1"/>
  <c r="S7" i="6884" s="1"/>
  <c r="R7" i="6884" a="1"/>
  <c r="R7" i="6884" s="1"/>
  <c r="S4" i="6884" a="1"/>
  <c r="R4" i="6884" a="1"/>
  <c r="J49" i="6884" a="1"/>
  <c r="G49" i="6884" a="1"/>
  <c r="R46" i="6884" a="1"/>
  <c r="Q46" i="6884" a="1"/>
  <c r="Q46" i="6884" s="1"/>
  <c r="P46" i="6884" a="1"/>
  <c r="J46" i="6884" a="1"/>
  <c r="I46" i="6884" a="1"/>
  <c r="G46" i="6884" a="1"/>
  <c r="Q43" i="6884" a="1"/>
  <c r="Q43" i="6884" s="1"/>
  <c r="P43" i="6884" a="1"/>
  <c r="P43" i="6884" s="1"/>
  <c r="J43" i="6884" a="1"/>
  <c r="J43" i="6884" s="1"/>
  <c r="I43" i="6884" a="1"/>
  <c r="I43" i="6884" s="1"/>
  <c r="G43" i="6884" a="1"/>
  <c r="G43" i="6884" s="1"/>
  <c r="R34" i="6884" a="1"/>
  <c r="Q34" i="6884" a="1"/>
  <c r="Q34" i="6884" s="1"/>
  <c r="P34" i="6884" a="1"/>
  <c r="J34" i="6884" a="1"/>
  <c r="I34" i="6884" a="1"/>
  <c r="H34" i="6884" a="1"/>
  <c r="G34" i="6884" a="1"/>
  <c r="P31" i="6884" a="1"/>
  <c r="Q31" i="6884" a="1"/>
  <c r="Q31" i="6884" s="1"/>
  <c r="J31" i="6884" a="1"/>
  <c r="I31" i="6884" a="1"/>
  <c r="H31" i="6884" a="1"/>
  <c r="Q28" i="6884" a="1"/>
  <c r="Q28" i="6884" s="1"/>
  <c r="P28" i="6884" a="1"/>
  <c r="J28" i="6884" a="1"/>
  <c r="I28" i="6884" a="1"/>
  <c r="H28" i="6884" a="1"/>
  <c r="G28" i="6884" a="1"/>
  <c r="Q25" i="6884" a="1"/>
  <c r="Q25" i="6884" s="1"/>
  <c r="P25" i="6884" a="1"/>
  <c r="J25" i="6884" a="1"/>
  <c r="I25" i="6884" a="1"/>
  <c r="Q22" i="6884" a="1"/>
  <c r="Q22" i="6884" s="1"/>
  <c r="J22" i="6884" a="1"/>
  <c r="J22" i="6884" s="1"/>
  <c r="I22" i="6884" a="1"/>
  <c r="I22" i="6884" s="1"/>
  <c r="Q19" i="6884" a="1"/>
  <c r="Q19" i="6884" s="1"/>
  <c r="P19" i="6884" a="1"/>
  <c r="H19" i="6884" a="1"/>
  <c r="D79" i="7074" s="1"/>
  <c r="J19" i="6884" a="1"/>
  <c r="D82" i="7074" s="1"/>
  <c r="C98" i="7074" s="1"/>
  <c r="I19" i="6884" a="1"/>
  <c r="D80" i="7074" s="1"/>
  <c r="G19" i="6884" a="1"/>
  <c r="D78" i="7074" s="1"/>
  <c r="R16" i="6884" a="1"/>
  <c r="Q16" i="6884" a="1"/>
  <c r="Q16" i="6884" s="1"/>
  <c r="P16" i="6884" a="1"/>
  <c r="J16" i="6884" a="1"/>
  <c r="I16" i="6884" a="1"/>
  <c r="H16" i="6884" a="1"/>
  <c r="G16" i="6884" a="1"/>
  <c r="R10" i="6884" a="1"/>
  <c r="Q10" i="6884" a="1"/>
  <c r="Q10" i="6884" s="1"/>
  <c r="P10" i="6884" a="1"/>
  <c r="G10" i="6884" a="1"/>
  <c r="J10" i="6884" a="1"/>
  <c r="I10" i="6884" a="1"/>
  <c r="H10" i="6884" a="1"/>
  <c r="Q7" i="6884" a="1"/>
  <c r="Q7" i="6884" s="1"/>
  <c r="P7" i="6884" a="1"/>
  <c r="P7" i="6884" s="1"/>
  <c r="N7" i="6884" a="1"/>
  <c r="N7" i="6884" s="1"/>
  <c r="J7" i="6884" a="1"/>
  <c r="J7" i="6884" s="1"/>
  <c r="I7" i="6884" a="1"/>
  <c r="I7" i="6884" s="1"/>
  <c r="G7" i="6884" a="1"/>
  <c r="G7" i="6884" s="1"/>
  <c r="Q4" i="6884" a="1"/>
  <c r="Q4" i="6884" s="1"/>
  <c r="P4" i="6884" a="1"/>
  <c r="N4" i="6884" a="1"/>
  <c r="J4" i="6884" a="1"/>
  <c r="I4" i="6884" a="1"/>
  <c r="H4" i="6884" a="1"/>
  <c r="G4" i="6884" a="1"/>
  <c r="R31" i="6884" a="1"/>
  <c r="P22" i="6884" a="1"/>
  <c r="P22" i="6884" s="1"/>
  <c r="C96" i="7074" l="1"/>
  <c r="I80" i="7000"/>
  <c r="I88" i="7000" s="1"/>
  <c r="L77" i="7000"/>
  <c r="I77" i="7047"/>
  <c r="I85" i="7047" s="1"/>
  <c r="F59" i="7000"/>
  <c r="F59" i="7047"/>
  <c r="I59" i="7047"/>
  <c r="J133" i="6884"/>
  <c r="G80" i="7000"/>
  <c r="G88" i="7000" s="1"/>
  <c r="J80" i="7047"/>
  <c r="J80" i="7000"/>
  <c r="N34" i="7047"/>
  <c r="N35" i="7047" s="1"/>
  <c r="F18" i="7000"/>
  <c r="F25" i="7000" s="1"/>
  <c r="F89" i="7000" s="1"/>
  <c r="F18" i="7047"/>
  <c r="H78" i="7000"/>
  <c r="H86" i="7000" s="1"/>
  <c r="I78" i="7047"/>
  <c r="I86" i="7047" s="1"/>
  <c r="I80" i="7047"/>
  <c r="I88" i="7047" s="1"/>
  <c r="H76" i="7047"/>
  <c r="H76" i="7000"/>
  <c r="I59" i="7000"/>
  <c r="G81" i="7000"/>
  <c r="J81" i="7047"/>
  <c r="J81" i="7000"/>
  <c r="N77" i="7047"/>
  <c r="D76" i="7047"/>
  <c r="D84" i="7047" s="1"/>
  <c r="D76" i="7000"/>
  <c r="D84" i="7000" s="1"/>
  <c r="N18" i="7047"/>
  <c r="E76" i="7047"/>
  <c r="E76" i="7000"/>
  <c r="F80" i="7000"/>
  <c r="F88" i="7000" s="1"/>
  <c r="F80" i="7047"/>
  <c r="F88" i="7047" s="1"/>
  <c r="I76" i="7047"/>
  <c r="I84" i="7047" s="1"/>
  <c r="I76" i="7000"/>
  <c r="D77" i="7000"/>
  <c r="D85" i="7000" s="1"/>
  <c r="D77" i="7047"/>
  <c r="D85" i="7047" s="1"/>
  <c r="N78" i="7047"/>
  <c r="N86" i="7047" s="1"/>
  <c r="J34" i="7047"/>
  <c r="J35" i="7047" s="1"/>
  <c r="J34" i="7000"/>
  <c r="J35" i="7000" s="1"/>
  <c r="D78" i="7000"/>
  <c r="D86" i="7000" s="1"/>
  <c r="D78" i="7047"/>
  <c r="D86" i="7047" s="1"/>
  <c r="F76" i="7047"/>
  <c r="F76" i="7000"/>
  <c r="N80" i="7047"/>
  <c r="G59" i="7000"/>
  <c r="G60" i="7000" s="1"/>
  <c r="G79" i="7000" s="1"/>
  <c r="G87" i="7000" s="1"/>
  <c r="J59" i="7047"/>
  <c r="J60" i="7047" s="1"/>
  <c r="J79" i="7047" s="1"/>
  <c r="J59" i="7000"/>
  <c r="J60" i="7000" s="1"/>
  <c r="J79" i="7000" s="1"/>
  <c r="D80" i="7000"/>
  <c r="D88" i="7000" s="1"/>
  <c r="D80" i="7047"/>
  <c r="D88" i="7047" s="1"/>
  <c r="F77" i="7000"/>
  <c r="F85" i="7000" s="1"/>
  <c r="F77" i="7047"/>
  <c r="F85" i="7047" s="1"/>
  <c r="D59" i="7000"/>
  <c r="D59" i="7047"/>
  <c r="F78" i="7000"/>
  <c r="F86" i="7000" s="1"/>
  <c r="F78" i="7047"/>
  <c r="F86" i="7047" s="1"/>
  <c r="L78" i="7000"/>
  <c r="L86" i="7000" s="1"/>
  <c r="L76" i="7047"/>
  <c r="L76" i="7000"/>
  <c r="M76" i="7047"/>
  <c r="M76" i="7000"/>
  <c r="I133" i="6884"/>
  <c r="C79" i="6887"/>
  <c r="C76" i="7000"/>
  <c r="C76" i="7047"/>
  <c r="C78" i="7047"/>
  <c r="C86" i="7047" s="1"/>
  <c r="I130" i="6884"/>
  <c r="I132" i="6884"/>
  <c r="I128" i="6884"/>
  <c r="I129" i="6884"/>
  <c r="I131" i="6884"/>
  <c r="C80" i="7047"/>
  <c r="C88" i="7047" s="1"/>
  <c r="J130" i="6884"/>
  <c r="J132" i="6884"/>
  <c r="J128" i="6884"/>
  <c r="J137" i="6884" s="1"/>
  <c r="J129" i="6884"/>
  <c r="J131" i="6884"/>
  <c r="Q130" i="6884"/>
  <c r="Q132" i="6884"/>
  <c r="Q128" i="6884"/>
  <c r="Q129" i="6884"/>
  <c r="Q131" i="6884"/>
  <c r="C18" i="7047"/>
  <c r="P128" i="6884"/>
  <c r="P129" i="6884" s="1"/>
  <c r="Q67" i="6884"/>
  <c r="Q137" i="6884"/>
  <c r="Q136" i="6884"/>
  <c r="C59" i="7000"/>
  <c r="C59" i="7047"/>
  <c r="S128" i="6884"/>
  <c r="S137" i="6884" s="1"/>
  <c r="S129" i="6884"/>
  <c r="S130" i="6884"/>
  <c r="S132" i="6884"/>
  <c r="S131" i="6884"/>
  <c r="C77" i="7047"/>
  <c r="C85" i="7047" s="1"/>
  <c r="H130" i="6884"/>
  <c r="H132" i="6884"/>
  <c r="H128" i="6884"/>
  <c r="H129" i="6884"/>
  <c r="H131" i="6884"/>
  <c r="H10" i="6884"/>
  <c r="K77" i="7047"/>
  <c r="K77" i="7000"/>
  <c r="I10" i="6884"/>
  <c r="K78" i="7047"/>
  <c r="K86" i="7047" s="1"/>
  <c r="K78" i="7000"/>
  <c r="K86" i="7000" s="1"/>
  <c r="J10" i="6884"/>
  <c r="K80" i="7047"/>
  <c r="K80" i="7000"/>
  <c r="G10" i="6884"/>
  <c r="K76" i="7000"/>
  <c r="K76" i="7047"/>
  <c r="P10" i="6884"/>
  <c r="K18" i="7047"/>
  <c r="K18" i="7000"/>
  <c r="R10" i="6884"/>
  <c r="K34" i="7047"/>
  <c r="K35" i="7047" s="1"/>
  <c r="K34" i="7000"/>
  <c r="K35" i="7000" s="1"/>
  <c r="S10" i="6884"/>
  <c r="K59" i="7047"/>
  <c r="K60" i="7047" s="1"/>
  <c r="K79" i="7047" s="1"/>
  <c r="K59" i="7000"/>
  <c r="K60" i="7000" s="1"/>
  <c r="K79" i="7000" s="1"/>
  <c r="J76" i="7000"/>
  <c r="J76" i="7047"/>
  <c r="G77" i="7000"/>
  <c r="G85" i="7000" s="1"/>
  <c r="J77" i="7047"/>
  <c r="J77" i="7000"/>
  <c r="G78" i="7000"/>
  <c r="G86" i="7000" s="1"/>
  <c r="J78" i="7047"/>
  <c r="J86" i="7047" s="1"/>
  <c r="J78" i="7000"/>
  <c r="J86" i="7000" s="1"/>
  <c r="G18" i="7000"/>
  <c r="G19" i="7000" s="1"/>
  <c r="J18" i="7047"/>
  <c r="J18" i="7000"/>
  <c r="H77" i="7047"/>
  <c r="H85" i="7047" s="1"/>
  <c r="H78" i="7047"/>
  <c r="H86" i="7047" s="1"/>
  <c r="H80" i="7047"/>
  <c r="H88" i="7047" s="1"/>
  <c r="H18" i="7047"/>
  <c r="H18" i="7000"/>
  <c r="H77" i="7000"/>
  <c r="H85" i="7000" s="1"/>
  <c r="H80" i="7000"/>
  <c r="H88" i="7000" s="1"/>
  <c r="P133" i="6884"/>
  <c r="J140" i="6884"/>
  <c r="J139" i="6884"/>
  <c r="Q133" i="6884"/>
  <c r="P139" i="6884"/>
  <c r="P140" i="6884"/>
  <c r="E59" i="7000"/>
  <c r="E59" i="7047"/>
  <c r="S139" i="6884"/>
  <c r="S140" i="6884"/>
  <c r="S134" i="6884"/>
  <c r="Q70" i="6884"/>
  <c r="Q140" i="6884"/>
  <c r="Q139" i="6884"/>
  <c r="E18" i="7047"/>
  <c r="P134" i="6884"/>
  <c r="G139" i="6884"/>
  <c r="G140" i="6884"/>
  <c r="E77" i="7047"/>
  <c r="E85" i="7047" s="1"/>
  <c r="H139" i="6884"/>
  <c r="H140" i="6884"/>
  <c r="H134" i="6884"/>
  <c r="E78" i="7047"/>
  <c r="E86" i="7047" s="1"/>
  <c r="I140" i="6884"/>
  <c r="I139" i="6884"/>
  <c r="I134" i="6884"/>
  <c r="H133" i="6884"/>
  <c r="E80" i="7047"/>
  <c r="E88" i="7047" s="1"/>
  <c r="J134" i="6884"/>
  <c r="M78" i="7047"/>
  <c r="M86" i="7047" s="1"/>
  <c r="M18" i="7047"/>
  <c r="M80" i="7047"/>
  <c r="I25" i="6884"/>
  <c r="J25" i="6884"/>
  <c r="P25" i="6884"/>
  <c r="L80" i="7047"/>
  <c r="L18" i="7047"/>
  <c r="L18" i="7000"/>
  <c r="L19" i="7000" s="1"/>
  <c r="L78" i="7047"/>
  <c r="L86" i="7047" s="1"/>
  <c r="L77" i="7047"/>
  <c r="M77" i="7047"/>
  <c r="L80" i="7000"/>
  <c r="R34" i="6884"/>
  <c r="J34" i="6884"/>
  <c r="G34" i="6884"/>
  <c r="H34" i="6884"/>
  <c r="I34" i="6884"/>
  <c r="P34" i="6884"/>
  <c r="P77" i="7000"/>
  <c r="P78" i="7000"/>
  <c r="P86" i="7000" s="1"/>
  <c r="P80" i="7000"/>
  <c r="P18" i="7000"/>
  <c r="P34" i="7000"/>
  <c r="P35" i="7000" s="1"/>
  <c r="S99" i="6884"/>
  <c r="S133" i="6884"/>
  <c r="H59" i="7000"/>
  <c r="H60" i="7000" s="1"/>
  <c r="H79" i="7000" s="1"/>
  <c r="H87" i="7000" s="1"/>
  <c r="N18" i="7000"/>
  <c r="N19" i="7000" s="1"/>
  <c r="N78" i="7000"/>
  <c r="N86" i="7000" s="1"/>
  <c r="N80" i="7000"/>
  <c r="N77" i="7000"/>
  <c r="M77" i="7000"/>
  <c r="H99" i="6884"/>
  <c r="I19" i="7000"/>
  <c r="I25" i="7000"/>
  <c r="I89" i="7000" s="1"/>
  <c r="J99" i="6884"/>
  <c r="E18" i="7000"/>
  <c r="O77" i="7000"/>
  <c r="P99" i="6884"/>
  <c r="O78" i="7000"/>
  <c r="O86" i="7000" s="1"/>
  <c r="Q61" i="6884"/>
  <c r="Q99" i="6884"/>
  <c r="C78" i="7000"/>
  <c r="C86" i="7000" s="1"/>
  <c r="M78" i="7000"/>
  <c r="M86" i="7000" s="1"/>
  <c r="Q52" i="6884"/>
  <c r="Q126" i="6884" s="1"/>
  <c r="G133" i="6884"/>
  <c r="G134" i="6884"/>
  <c r="O34" i="7000"/>
  <c r="O35" i="7000" s="1"/>
  <c r="M80" i="7000"/>
  <c r="E78" i="7000"/>
  <c r="E86" i="7000" s="1"/>
  <c r="E77" i="7000"/>
  <c r="E85" i="7000" s="1"/>
  <c r="O80" i="7000"/>
  <c r="G128" i="6884"/>
  <c r="C18" i="7000"/>
  <c r="O18" i="7000"/>
  <c r="C80" i="7000"/>
  <c r="C88" i="7000" s="1"/>
  <c r="M18" i="7000"/>
  <c r="I99" i="6884"/>
  <c r="L87" i="7000"/>
  <c r="L70" i="7000"/>
  <c r="L72" i="7000" s="1"/>
  <c r="C77" i="7000"/>
  <c r="C85" i="7000" s="1"/>
  <c r="E80" i="7000"/>
  <c r="E88" i="7000" s="1"/>
  <c r="J16" i="6884"/>
  <c r="D82" i="6887"/>
  <c r="I52" i="6884"/>
  <c r="G79" i="6884"/>
  <c r="J88" i="6884"/>
  <c r="G76" i="6884"/>
  <c r="P16" i="6884"/>
  <c r="G46" i="6884"/>
  <c r="S58" i="6884"/>
  <c r="P52" i="6884"/>
  <c r="H58" i="6884"/>
  <c r="H79" i="6884"/>
  <c r="H76" i="6884"/>
  <c r="P19" i="6884"/>
  <c r="I46" i="6884"/>
  <c r="H64" i="6884"/>
  <c r="I79" i="6884"/>
  <c r="P88" i="6884"/>
  <c r="I76" i="6884"/>
  <c r="R16" i="6884"/>
  <c r="J46" i="6884"/>
  <c r="S16" i="6884"/>
  <c r="J79" i="6884"/>
  <c r="S88" i="6884"/>
  <c r="J76" i="6884"/>
  <c r="P46" i="6884"/>
  <c r="S76" i="6884"/>
  <c r="R46" i="6884"/>
  <c r="S46" i="6884"/>
  <c r="J64" i="6884"/>
  <c r="P70" i="6884"/>
  <c r="S79" i="6884"/>
  <c r="C80" i="6887"/>
  <c r="C96" i="6887" s="1"/>
  <c r="G82" i="6884"/>
  <c r="J49" i="6884"/>
  <c r="I49" i="6884"/>
  <c r="H82" i="6884"/>
  <c r="S82" i="6884"/>
  <c r="G16" i="6884"/>
  <c r="G58" i="6884"/>
  <c r="D76" i="6999" s="1"/>
  <c r="H46" i="6884"/>
  <c r="I82" i="6884"/>
  <c r="G88" i="6884"/>
  <c r="F76" i="6999" s="1"/>
  <c r="H16" i="6884"/>
  <c r="D78" i="6887"/>
  <c r="I58" i="6884"/>
  <c r="H49" i="6884"/>
  <c r="J82" i="6884"/>
  <c r="H88" i="6884"/>
  <c r="I16" i="6884"/>
  <c r="D80" i="6887"/>
  <c r="J58" i="6884"/>
  <c r="H52" i="6884"/>
  <c r="P82" i="6884"/>
  <c r="I88" i="6884"/>
  <c r="I64" i="6884"/>
  <c r="J70" i="6884"/>
  <c r="D79" i="6887"/>
  <c r="G64" i="6884"/>
  <c r="G49" i="6884"/>
  <c r="G31" i="6884" a="1"/>
  <c r="H22" i="6884" a="1"/>
  <c r="H22" i="6884" s="1"/>
  <c r="Z93" i="6884"/>
  <c r="Z92" i="6884"/>
  <c r="U93" i="6884"/>
  <c r="C54" i="7074" s="1"/>
  <c r="G19" i="6884"/>
  <c r="I19" i="6884"/>
  <c r="J19" i="6884"/>
  <c r="H19" i="6884"/>
  <c r="G52" i="6884"/>
  <c r="J52" i="6884"/>
  <c r="G61" i="6884"/>
  <c r="I61" i="6884"/>
  <c r="J67" i="6884"/>
  <c r="P67" i="6884"/>
  <c r="S52" i="6884"/>
  <c r="U92" i="6884"/>
  <c r="C61" i="6887"/>
  <c r="C62" i="6887" s="1"/>
  <c r="H61" i="6884"/>
  <c r="J61" i="6884"/>
  <c r="P61" i="6884"/>
  <c r="S61" i="6884"/>
  <c r="T92" i="6884"/>
  <c r="T93" i="6884"/>
  <c r="H28" i="6884"/>
  <c r="I4" i="6884"/>
  <c r="I28" i="6884"/>
  <c r="J31" i="6884"/>
  <c r="J4" i="6884"/>
  <c r="P28" i="6884"/>
  <c r="P31" i="6884"/>
  <c r="R4" i="6884"/>
  <c r="G91" i="6884"/>
  <c r="H4" i="6884"/>
  <c r="I31" i="6884"/>
  <c r="P4" i="6884"/>
  <c r="R31" i="6884"/>
  <c r="S4" i="6884"/>
  <c r="H91" i="6884"/>
  <c r="S91" i="6884"/>
  <c r="J28" i="6884"/>
  <c r="N4" i="6884"/>
  <c r="I91" i="6884"/>
  <c r="X91" i="6884"/>
  <c r="C51" i="6887"/>
  <c r="C52" i="6887" s="1"/>
  <c r="P91" i="6884"/>
  <c r="V91" i="6884"/>
  <c r="Z91" i="6884" s="1"/>
  <c r="G4" i="6884"/>
  <c r="G28" i="6884"/>
  <c r="H31" i="6884"/>
  <c r="H7" i="6884" a="1"/>
  <c r="H7" i="6884" s="1"/>
  <c r="C53" i="7074" l="1"/>
  <c r="C45" i="7074"/>
  <c r="C49" i="7074" s="1"/>
  <c r="C50" i="7074" s="1"/>
  <c r="C86" i="7074" s="1"/>
  <c r="J136" i="6884"/>
  <c r="P135" i="6884"/>
  <c r="J135" i="6884"/>
  <c r="F19" i="7000"/>
  <c r="N88" i="7047"/>
  <c r="J85" i="7047"/>
  <c r="N85" i="7047"/>
  <c r="G70" i="7000"/>
  <c r="G72" i="7000" s="1"/>
  <c r="S136" i="6884"/>
  <c r="J85" i="7000"/>
  <c r="J80" i="6999"/>
  <c r="N18" i="6999"/>
  <c r="E76" i="6999"/>
  <c r="P136" i="6884"/>
  <c r="F19" i="7047"/>
  <c r="F25" i="7047"/>
  <c r="F89" i="7047" s="1"/>
  <c r="P137" i="6884"/>
  <c r="J81" i="6999"/>
  <c r="N76" i="7047"/>
  <c r="N76" i="7000"/>
  <c r="I76" i="6999"/>
  <c r="P131" i="6884"/>
  <c r="J88" i="7000"/>
  <c r="J87" i="7000"/>
  <c r="J70" i="7000"/>
  <c r="J72" i="7000" s="1"/>
  <c r="J88" i="7047"/>
  <c r="N19" i="7047"/>
  <c r="N25" i="7047"/>
  <c r="J34" i="6999"/>
  <c r="J35" i="6999" s="1"/>
  <c r="J59" i="6999"/>
  <c r="J60" i="6999" s="1"/>
  <c r="J79" i="6999" s="1"/>
  <c r="J87" i="7047"/>
  <c r="J70" i="7047"/>
  <c r="J72" i="7047" s="1"/>
  <c r="M76" i="6999"/>
  <c r="L76" i="6999"/>
  <c r="G25" i="7000"/>
  <c r="G84" i="7000" s="1"/>
  <c r="S135" i="6884"/>
  <c r="C76" i="6999"/>
  <c r="G135" i="6884"/>
  <c r="C77" i="6999"/>
  <c r="C85" i="6999" s="1"/>
  <c r="H135" i="6884"/>
  <c r="I135" i="6884"/>
  <c r="G137" i="6884"/>
  <c r="G136" i="6884"/>
  <c r="G130" i="6884"/>
  <c r="G132" i="6884"/>
  <c r="G129" i="6884"/>
  <c r="G131" i="6884"/>
  <c r="H136" i="6884"/>
  <c r="H137" i="6884"/>
  <c r="Q135" i="6884"/>
  <c r="P130" i="6884"/>
  <c r="P132" i="6884"/>
  <c r="C19" i="7047"/>
  <c r="C25" i="7047"/>
  <c r="I137" i="6884"/>
  <c r="I136" i="6884"/>
  <c r="K87" i="7000"/>
  <c r="K70" i="7000"/>
  <c r="K72" i="7000" s="1"/>
  <c r="K87" i="7047"/>
  <c r="K70" i="7047"/>
  <c r="K72" i="7047" s="1"/>
  <c r="K59" i="6999"/>
  <c r="K60" i="6999" s="1"/>
  <c r="K79" i="6999" s="1"/>
  <c r="K34" i="6999"/>
  <c r="K35" i="6999" s="1"/>
  <c r="K19" i="7000"/>
  <c r="K25" i="7000"/>
  <c r="K89" i="7000" s="1"/>
  <c r="K19" i="7047"/>
  <c r="K25" i="7047"/>
  <c r="K89" i="7047" s="1"/>
  <c r="K18" i="6999"/>
  <c r="K76" i="6999"/>
  <c r="K88" i="7000"/>
  <c r="K88" i="7047"/>
  <c r="K80" i="6999"/>
  <c r="K78" i="6999"/>
  <c r="K86" i="6999" s="1"/>
  <c r="K85" i="7000"/>
  <c r="K85" i="7047"/>
  <c r="K77" i="6999"/>
  <c r="J76" i="6999"/>
  <c r="J18" i="6999"/>
  <c r="J77" i="6999"/>
  <c r="J78" i="6999"/>
  <c r="J86" i="6999" s="1"/>
  <c r="J19" i="7000"/>
  <c r="J25" i="7000"/>
  <c r="J89" i="7000" s="1"/>
  <c r="J19" i="7047"/>
  <c r="J25" i="7047"/>
  <c r="J89" i="7047" s="1"/>
  <c r="H18" i="6999"/>
  <c r="H25" i="7000"/>
  <c r="H89" i="7000" s="1"/>
  <c r="H19" i="7000"/>
  <c r="H19" i="7047"/>
  <c r="H25" i="7047"/>
  <c r="H89" i="7047" s="1"/>
  <c r="I138" i="6884"/>
  <c r="E19" i="7047"/>
  <c r="E25" i="7047"/>
  <c r="E89" i="7047" s="1"/>
  <c r="J138" i="6884"/>
  <c r="H138" i="6884"/>
  <c r="P138" i="6884"/>
  <c r="G138" i="6884"/>
  <c r="Q138" i="6884"/>
  <c r="S138" i="6884"/>
  <c r="M18" i="6999"/>
  <c r="M19" i="7047"/>
  <c r="M25" i="7047"/>
  <c r="L25" i="7000"/>
  <c r="L19" i="7047"/>
  <c r="L25" i="7047"/>
  <c r="L18" i="6999"/>
  <c r="P18" i="6999"/>
  <c r="P19" i="7000"/>
  <c r="P25" i="7000"/>
  <c r="P89" i="7000" s="1"/>
  <c r="P80" i="6999"/>
  <c r="P77" i="6999"/>
  <c r="P85" i="7000"/>
  <c r="P34" i="6999"/>
  <c r="P35" i="6999" s="1"/>
  <c r="P78" i="6999"/>
  <c r="P86" i="6999" s="1"/>
  <c r="P88" i="7000"/>
  <c r="H70" i="7000"/>
  <c r="H72" i="7000" s="1"/>
  <c r="N25" i="7000"/>
  <c r="O85" i="7000"/>
  <c r="O88" i="7000"/>
  <c r="I84" i="7000"/>
  <c r="F84" i="7000"/>
  <c r="G31" i="6884"/>
  <c r="G77" i="6999"/>
  <c r="G85" i="6999" s="1"/>
  <c r="N77" i="6999"/>
  <c r="L78" i="6999"/>
  <c r="L86" i="6999" s="1"/>
  <c r="D77" i="6999"/>
  <c r="D85" i="6999" s="1"/>
  <c r="F80" i="6999"/>
  <c r="F88" i="6999" s="1"/>
  <c r="M19" i="7000"/>
  <c r="M25" i="7000"/>
  <c r="L59" i="6999"/>
  <c r="L60" i="6999" s="1"/>
  <c r="L79" i="6999" s="1"/>
  <c r="F59" i="6999"/>
  <c r="P126" i="6884"/>
  <c r="C18" i="6999"/>
  <c r="O19" i="7000"/>
  <c r="O25" i="7000"/>
  <c r="O89" i="7000" s="1"/>
  <c r="F77" i="6999"/>
  <c r="F85" i="6999" s="1"/>
  <c r="I80" i="6999"/>
  <c r="I88" i="6999" s="1"/>
  <c r="D59" i="6999"/>
  <c r="E19" i="7000"/>
  <c r="E25" i="7000"/>
  <c r="E89" i="7000" s="1"/>
  <c r="G78" i="6999"/>
  <c r="G86" i="6999" s="1"/>
  <c r="N80" i="6999"/>
  <c r="L77" i="6999"/>
  <c r="I77" i="6999"/>
  <c r="I85" i="6999" s="1"/>
  <c r="G81" i="6999"/>
  <c r="M78" i="6999"/>
  <c r="M86" i="6999" s="1"/>
  <c r="D84" i="6999"/>
  <c r="I59" i="6999"/>
  <c r="H59" i="6999"/>
  <c r="H60" i="6999" s="1"/>
  <c r="F18" i="6999"/>
  <c r="C78" i="6999"/>
  <c r="C86" i="6999" s="1"/>
  <c r="M80" i="6999"/>
  <c r="I18" i="6999"/>
  <c r="I78" i="6999"/>
  <c r="I86" i="6999" s="1"/>
  <c r="G80" i="6999"/>
  <c r="G88" i="6999" s="1"/>
  <c r="D80" i="6999"/>
  <c r="D88" i="6999" s="1"/>
  <c r="M77" i="6999"/>
  <c r="C59" i="6999"/>
  <c r="E18" i="6999"/>
  <c r="O77" i="6999"/>
  <c r="G18" i="6999"/>
  <c r="O80" i="6999"/>
  <c r="E80" i="6999"/>
  <c r="E88" i="6999" s="1"/>
  <c r="D78" i="6999"/>
  <c r="D86" i="6999" s="1"/>
  <c r="L80" i="6999"/>
  <c r="O78" i="6999"/>
  <c r="O86" i="6999" s="1"/>
  <c r="G59" i="6999"/>
  <c r="G60" i="6999" s="1"/>
  <c r="G79" i="6999" s="1"/>
  <c r="E59" i="6999"/>
  <c r="O34" i="6999"/>
  <c r="O35" i="6999" s="1"/>
  <c r="E78" i="6999"/>
  <c r="E86" i="6999" s="1"/>
  <c r="N78" i="6999"/>
  <c r="N86" i="6999" s="1"/>
  <c r="E77" i="6999"/>
  <c r="E85" i="6999" s="1"/>
  <c r="C80" i="6999"/>
  <c r="C88" i="6999" s="1"/>
  <c r="F78" i="6999"/>
  <c r="F86" i="6999" s="1"/>
  <c r="C19" i="7000"/>
  <c r="C25" i="7000"/>
  <c r="C89" i="7000" s="1"/>
  <c r="U91" i="6884"/>
  <c r="C54" i="6887"/>
  <c r="C53" i="6887"/>
  <c r="H25" i="6884" a="1"/>
  <c r="C45" i="6887"/>
  <c r="C81" i="6887"/>
  <c r="C97" i="6887" s="1"/>
  <c r="T91" i="6884"/>
  <c r="G22" i="6884" a="1"/>
  <c r="G22" i="6884" s="1"/>
  <c r="C88" i="7074" l="1"/>
  <c r="C90" i="7074" s="1"/>
  <c r="C87" i="7074"/>
  <c r="F84" i="7047"/>
  <c r="J85" i="6999"/>
  <c r="N84" i="7047"/>
  <c r="N89" i="7047"/>
  <c r="J87" i="6999"/>
  <c r="J70" i="6999"/>
  <c r="J72" i="6999" s="1"/>
  <c r="J88" i="6999"/>
  <c r="N76" i="6999"/>
  <c r="K85" i="6999"/>
  <c r="K88" i="6999"/>
  <c r="K84" i="7047"/>
  <c r="K92" i="7047" s="1"/>
  <c r="G89" i="7000"/>
  <c r="G92" i="7000" s="1"/>
  <c r="G94" i="7000" s="1"/>
  <c r="J84" i="7000"/>
  <c r="J92" i="7000" s="1"/>
  <c r="J94" i="7000" s="1"/>
  <c r="J84" i="7047"/>
  <c r="J92" i="7047" s="1"/>
  <c r="J94" i="7047" s="1"/>
  <c r="K84" i="7000"/>
  <c r="K92" i="7000" s="1"/>
  <c r="C84" i="7047"/>
  <c r="C89" i="7047"/>
  <c r="K19" i="6999"/>
  <c r="K25" i="6999"/>
  <c r="K87" i="6999"/>
  <c r="K70" i="6999"/>
  <c r="K72" i="6999" s="1"/>
  <c r="J19" i="6999"/>
  <c r="J25" i="6999"/>
  <c r="J89" i="6999" s="1"/>
  <c r="E84" i="7047"/>
  <c r="H19" i="6999"/>
  <c r="H25" i="6999"/>
  <c r="H84" i="7000"/>
  <c r="H92" i="7000" s="1"/>
  <c r="H84" i="7047"/>
  <c r="H92" i="7047" s="1"/>
  <c r="H25" i="6884"/>
  <c r="P84" i="7000"/>
  <c r="P92" i="7000" s="1"/>
  <c r="P85" i="6999"/>
  <c r="P19" i="6999"/>
  <c r="P25" i="6999"/>
  <c r="P89" i="6999" s="1"/>
  <c r="P88" i="6999"/>
  <c r="N34" i="7000"/>
  <c r="N89" i="7000" s="1"/>
  <c r="E84" i="7000"/>
  <c r="M19" i="6999"/>
  <c r="M25" i="6999"/>
  <c r="G70" i="6999"/>
  <c r="G72" i="6999" s="1"/>
  <c r="G87" i="6999"/>
  <c r="I19" i="6999"/>
  <c r="I25" i="6999"/>
  <c r="I89" i="6999" s="1"/>
  <c r="F19" i="6999"/>
  <c r="F25" i="6999"/>
  <c r="F89" i="6999" s="1"/>
  <c r="O85" i="6999"/>
  <c r="C19" i="6999"/>
  <c r="C25" i="6999"/>
  <c r="C89" i="6999" s="1"/>
  <c r="O84" i="7000"/>
  <c r="O92" i="7000" s="1"/>
  <c r="O19" i="6999"/>
  <c r="O25" i="6999"/>
  <c r="O89" i="6999" s="1"/>
  <c r="O88" i="6999"/>
  <c r="L19" i="6999"/>
  <c r="L25" i="6999"/>
  <c r="L87" i="6999"/>
  <c r="L70" i="6999"/>
  <c r="L72" i="6999" s="1"/>
  <c r="N19" i="6999"/>
  <c r="N25" i="6999"/>
  <c r="G19" i="6999"/>
  <c r="G25" i="6999"/>
  <c r="G89" i="6999" s="1"/>
  <c r="E19" i="6999"/>
  <c r="E25" i="6999"/>
  <c r="E89" i="6999" s="1"/>
  <c r="C84" i="7000"/>
  <c r="N92" i="7047" l="1"/>
  <c r="N94" i="7047" s="1"/>
  <c r="J84" i="6999"/>
  <c r="J92" i="6999" s="1"/>
  <c r="J94" i="6999" s="1"/>
  <c r="G93" i="7000"/>
  <c r="J93" i="7000"/>
  <c r="J93" i="7047"/>
  <c r="K89" i="6999"/>
  <c r="K84" i="6999"/>
  <c r="K93" i="7047"/>
  <c r="K94" i="7047"/>
  <c r="K93" i="7000"/>
  <c r="K94" i="7000"/>
  <c r="H93" i="7000"/>
  <c r="H94" i="7000"/>
  <c r="H93" i="6999"/>
  <c r="H93" i="7047"/>
  <c r="H94" i="7047"/>
  <c r="P84" i="6999"/>
  <c r="P92" i="6999" s="1"/>
  <c r="P93" i="7000"/>
  <c r="P94" i="7000"/>
  <c r="N85" i="7000"/>
  <c r="N88" i="7000"/>
  <c r="N84" i="7000"/>
  <c r="N35" i="7000"/>
  <c r="F84" i="6999"/>
  <c r="I84" i="6999"/>
  <c r="C84" i="6999"/>
  <c r="O84" i="6999"/>
  <c r="O92" i="6999" s="1"/>
  <c r="O94" i="6999" s="1"/>
  <c r="E84" i="6999"/>
  <c r="O94" i="7000"/>
  <c r="O93" i="7000"/>
  <c r="G84" i="6999"/>
  <c r="G92" i="6999" s="1"/>
  <c r="N34" i="6999"/>
  <c r="N89" i="6999" s="1"/>
  <c r="G25" i="6884" a="1"/>
  <c r="E26" i="6887"/>
  <c r="E55" i="6887"/>
  <c r="D25" i="6887"/>
  <c r="D26" i="6887"/>
  <c r="D55" i="6887"/>
  <c r="F55" i="6887"/>
  <c r="G55" i="6887"/>
  <c r="H55" i="6887"/>
  <c r="I55" i="6887"/>
  <c r="J55" i="6887"/>
  <c r="K55" i="6887"/>
  <c r="L55" i="6887"/>
  <c r="M55" i="6887"/>
  <c r="N55" i="6887"/>
  <c r="O55" i="6887"/>
  <c r="P55" i="6887"/>
  <c r="Q55" i="6887"/>
  <c r="R55" i="6887"/>
  <c r="S55" i="6887"/>
  <c r="T55" i="6887"/>
  <c r="U55" i="6887"/>
  <c r="V55" i="6887"/>
  <c r="W55" i="6887"/>
  <c r="X55" i="6887"/>
  <c r="Y55" i="6887"/>
  <c r="Z55" i="6887"/>
  <c r="C55" i="6887"/>
  <c r="Z26" i="6887"/>
  <c r="Y26" i="6887"/>
  <c r="X26" i="6887"/>
  <c r="W26" i="6887"/>
  <c r="V26" i="6887"/>
  <c r="U26" i="6887"/>
  <c r="T26" i="6887"/>
  <c r="S26" i="6887"/>
  <c r="R26" i="6887"/>
  <c r="Q26" i="6887"/>
  <c r="P26" i="6887"/>
  <c r="O26" i="6887"/>
  <c r="N26" i="6887"/>
  <c r="M26" i="6887"/>
  <c r="L26" i="6887"/>
  <c r="K26" i="6887"/>
  <c r="J26" i="6887"/>
  <c r="I26" i="6887"/>
  <c r="H26" i="6887"/>
  <c r="G26" i="6887"/>
  <c r="F26" i="6887"/>
  <c r="C26" i="6887"/>
  <c r="C25" i="6887"/>
  <c r="N93" i="7047" l="1"/>
  <c r="J93" i="6999"/>
  <c r="K92" i="6999"/>
  <c r="K94" i="6999" s="1"/>
  <c r="G25" i="6884"/>
  <c r="P94" i="6999"/>
  <c r="P93" i="6999"/>
  <c r="N92" i="7000"/>
  <c r="N93" i="7000" s="1"/>
  <c r="O93" i="6999"/>
  <c r="G93" i="6999"/>
  <c r="G94" i="6999"/>
  <c r="N35" i="6999"/>
  <c r="N88" i="6999"/>
  <c r="N85" i="6999"/>
  <c r="N84" i="6999"/>
  <c r="K93" i="6999" l="1"/>
  <c r="N94" i="7000"/>
  <c r="N92" i="6999"/>
  <c r="N93" i="6999" s="1"/>
  <c r="C49" i="6887"/>
  <c r="C50" i="6887" s="1"/>
  <c r="C86" i="6887" s="1"/>
  <c r="C87" i="6887" l="1"/>
  <c r="C89" i="6887" s="1"/>
  <c r="C88" i="6887"/>
  <c r="C90" i="6887" s="1"/>
  <c r="N94" i="6999"/>
  <c r="C91" i="6887" l="1"/>
  <c r="C95" i="6887"/>
  <c r="C94" i="6887"/>
  <c r="AR12" i="6845"/>
  <c r="AQ12" i="6845"/>
  <c r="AO11" i="6845"/>
  <c r="BG50" i="6845"/>
  <c r="BG49" i="6845"/>
  <c r="BG48" i="6845"/>
  <c r="BG47" i="6845"/>
  <c r="BG46" i="6845"/>
  <c r="BG45" i="6845"/>
  <c r="BG44" i="6845"/>
  <c r="BG43" i="6845"/>
  <c r="BG42" i="6845"/>
  <c r="BG41" i="6845"/>
  <c r="BG40" i="6845"/>
  <c r="BG39" i="6845"/>
  <c r="BG38" i="6845"/>
  <c r="BG37" i="6845"/>
  <c r="BG36" i="6845"/>
  <c r="BG35" i="6845"/>
  <c r="BG34" i="6845"/>
  <c r="BG33" i="6845"/>
  <c r="BG32" i="6845"/>
  <c r="BG31" i="6845"/>
  <c r="BG30" i="6845"/>
  <c r="BG29" i="6845"/>
  <c r="BG28" i="6845"/>
  <c r="BG27" i="6845"/>
  <c r="BG26" i="6845"/>
  <c r="BG25" i="6845"/>
  <c r="BG24" i="6845"/>
  <c r="BG23" i="6845"/>
  <c r="BG22" i="6845"/>
  <c r="BG21" i="6845"/>
  <c r="BG20" i="6845"/>
  <c r="BG19" i="6845"/>
  <c r="BG18" i="6845"/>
  <c r="BG17" i="6845"/>
  <c r="BG16" i="6845"/>
  <c r="BG15" i="6845"/>
  <c r="BG14" i="6845"/>
  <c r="BG13" i="6845"/>
  <c r="BG12" i="6845"/>
  <c r="BG11" i="6845"/>
  <c r="Y40" i="6845"/>
  <c r="Y39" i="6845"/>
  <c r="Y38" i="6845"/>
  <c r="Y37" i="6845"/>
  <c r="Y36" i="6845"/>
  <c r="Y35" i="6845"/>
  <c r="Y34" i="6845"/>
  <c r="Y33" i="6845"/>
  <c r="Y32" i="6845"/>
  <c r="Y31" i="6845"/>
  <c r="Y30" i="6845"/>
  <c r="Y29" i="6845"/>
  <c r="Y28" i="6845"/>
  <c r="Y27" i="6845"/>
  <c r="Y26" i="6845"/>
  <c r="Y25" i="6845"/>
  <c r="Y24" i="6845"/>
  <c r="Y23" i="6845"/>
  <c r="Y22" i="6845"/>
  <c r="Y21" i="6845"/>
  <c r="Y20" i="6845"/>
  <c r="Y19" i="6845"/>
  <c r="Y18" i="6845"/>
  <c r="Y17" i="6845"/>
  <c r="Y16" i="6845"/>
  <c r="Y15" i="6845"/>
  <c r="Y14" i="6845"/>
  <c r="Y13" i="6845"/>
  <c r="Y12" i="6845"/>
  <c r="Y11" i="6845"/>
  <c r="Y10" i="6845" s="1"/>
  <c r="X40" i="6845"/>
  <c r="X39" i="6845"/>
  <c r="X38" i="6845"/>
  <c r="X37" i="6845"/>
  <c r="X36" i="6845"/>
  <c r="X35" i="6845"/>
  <c r="X34" i="6845"/>
  <c r="X33" i="6845"/>
  <c r="X32" i="6845"/>
  <c r="X31" i="6845"/>
  <c r="X30" i="6845"/>
  <c r="X29" i="6845"/>
  <c r="X28" i="6845"/>
  <c r="X27" i="6845"/>
  <c r="X26" i="6845"/>
  <c r="X25" i="6845"/>
  <c r="X24" i="6845"/>
  <c r="X23" i="6845"/>
  <c r="X22" i="6845"/>
  <c r="X21" i="6845"/>
  <c r="X20" i="6845"/>
  <c r="X19" i="6845"/>
  <c r="X18" i="6845"/>
  <c r="X17" i="6845"/>
  <c r="X16" i="6845"/>
  <c r="X15" i="6845"/>
  <c r="X14" i="6845"/>
  <c r="X13" i="6845"/>
  <c r="X12" i="6845"/>
  <c r="X11" i="6845"/>
  <c r="X10" i="6845" s="1"/>
  <c r="V40" i="6845"/>
  <c r="V39" i="6845"/>
  <c r="V38" i="6845"/>
  <c r="V37" i="6845"/>
  <c r="V36" i="6845"/>
  <c r="V35" i="6845"/>
  <c r="V34" i="6845"/>
  <c r="V33" i="6845"/>
  <c r="V32" i="6845"/>
  <c r="V31" i="6845"/>
  <c r="V30" i="6845"/>
  <c r="V29" i="6845"/>
  <c r="V28" i="6845"/>
  <c r="V27" i="6845"/>
  <c r="V26" i="6845"/>
  <c r="V25" i="6845"/>
  <c r="V24" i="6845"/>
  <c r="V23" i="6845"/>
  <c r="V22" i="6845"/>
  <c r="V21" i="6845"/>
  <c r="V20" i="6845"/>
  <c r="V19" i="6845"/>
  <c r="V18" i="6845"/>
  <c r="V17" i="6845"/>
  <c r="V16" i="6845"/>
  <c r="V15" i="6845"/>
  <c r="V14" i="6845"/>
  <c r="V13" i="6845"/>
  <c r="V12" i="6845"/>
  <c r="V11" i="6845"/>
  <c r="V10" i="6845" s="1"/>
  <c r="R40" i="6845"/>
  <c r="R39" i="6845"/>
  <c r="BE39" i="6845" s="1"/>
  <c r="R38" i="6845"/>
  <c r="BE38" i="6845" s="1"/>
  <c r="R37" i="6845"/>
  <c r="R36" i="6845"/>
  <c r="BE36" i="6845" s="1"/>
  <c r="R35" i="6845"/>
  <c r="BE35" i="6845" s="1"/>
  <c r="R34" i="6845"/>
  <c r="BE34" i="6845" s="1"/>
  <c r="R33" i="6845"/>
  <c r="BE33" i="6845" s="1"/>
  <c r="R32" i="6845"/>
  <c r="BE32" i="6845" s="1"/>
  <c r="R31" i="6845"/>
  <c r="BE31" i="6845" s="1"/>
  <c r="R30" i="6845"/>
  <c r="BE30" i="6845" s="1"/>
  <c r="R29" i="6845"/>
  <c r="BE29" i="6845" s="1"/>
  <c r="R28" i="6845"/>
  <c r="R27" i="6845"/>
  <c r="BE27" i="6845" s="1"/>
  <c r="R26" i="6845"/>
  <c r="BE26" i="6845" s="1"/>
  <c r="R25" i="6845"/>
  <c r="BE25" i="6845" s="1"/>
  <c r="R24" i="6845"/>
  <c r="BE24" i="6845" s="1"/>
  <c r="R23" i="6845"/>
  <c r="BE23" i="6845" s="1"/>
  <c r="R22" i="6845"/>
  <c r="BE22" i="6845" s="1"/>
  <c r="R21" i="6845"/>
  <c r="BE21" i="6845" s="1"/>
  <c r="R20" i="6845"/>
  <c r="R19" i="6845"/>
  <c r="BE19" i="6845" s="1"/>
  <c r="R18" i="6845"/>
  <c r="R17" i="6845"/>
  <c r="BE17" i="6845" s="1"/>
  <c r="R16" i="6845"/>
  <c r="BE16" i="6845" s="1"/>
  <c r="R15" i="6845"/>
  <c r="BE15" i="6845" s="1"/>
  <c r="R14" i="6845"/>
  <c r="BE14" i="6845" s="1"/>
  <c r="R13" i="6845"/>
  <c r="BE13" i="6845" s="1"/>
  <c r="R12" i="6845"/>
  <c r="BE12" i="6845" s="1"/>
  <c r="R11" i="6845"/>
  <c r="R10" i="6845" s="1"/>
  <c r="BE10" i="6845" s="1"/>
  <c r="Q40" i="6845"/>
  <c r="Q39" i="6845"/>
  <c r="Q38" i="6845"/>
  <c r="Q37" i="6845"/>
  <c r="Q36" i="6845"/>
  <c r="Q35" i="6845"/>
  <c r="Q34" i="6845"/>
  <c r="Q33" i="6845"/>
  <c r="Q32" i="6845"/>
  <c r="Q31" i="6845"/>
  <c r="Q30" i="6845"/>
  <c r="Q29" i="6845"/>
  <c r="Q28" i="6845"/>
  <c r="Q27" i="6845"/>
  <c r="Q26" i="6845"/>
  <c r="Q25" i="6845"/>
  <c r="Q24" i="6845"/>
  <c r="Q23" i="6845"/>
  <c r="Q22" i="6845"/>
  <c r="Q21" i="6845"/>
  <c r="Q20" i="6845"/>
  <c r="Q19" i="6845"/>
  <c r="Q18" i="6845"/>
  <c r="Q17" i="6845"/>
  <c r="Q16" i="6845"/>
  <c r="Q15" i="6845"/>
  <c r="Q14" i="6845"/>
  <c r="Q13" i="6845"/>
  <c r="Q12" i="6845"/>
  <c r="Q11" i="6845"/>
  <c r="Q10" i="6845" s="1"/>
  <c r="G40" i="6845"/>
  <c r="G39" i="6845"/>
  <c r="AT39" i="6845" s="1"/>
  <c r="G38" i="6845"/>
  <c r="AT38" i="6845" s="1"/>
  <c r="G37" i="6845"/>
  <c r="AT37" i="6845" s="1"/>
  <c r="G36" i="6845"/>
  <c r="AT36" i="6845" s="1"/>
  <c r="G35" i="6845"/>
  <c r="AT35" i="6845" s="1"/>
  <c r="G34" i="6845"/>
  <c r="AT34" i="6845" s="1"/>
  <c r="G33" i="6845"/>
  <c r="AT33" i="6845" s="1"/>
  <c r="G32" i="6845"/>
  <c r="AT32" i="6845" s="1"/>
  <c r="G31" i="6845"/>
  <c r="AT31" i="6845" s="1"/>
  <c r="G30" i="6845"/>
  <c r="AT30" i="6845" s="1"/>
  <c r="G29" i="6845"/>
  <c r="AT29" i="6845" s="1"/>
  <c r="G28" i="6845"/>
  <c r="AT28" i="6845"/>
  <c r="G27" i="6845"/>
  <c r="AT27" i="6845" s="1"/>
  <c r="G26" i="6845"/>
  <c r="AT26" i="6845" s="1"/>
  <c r="G25" i="6845"/>
  <c r="AT25" i="6845" s="1"/>
  <c r="G24" i="6845"/>
  <c r="AT24" i="6845"/>
  <c r="G23" i="6845"/>
  <c r="AT23" i="6845" s="1"/>
  <c r="G22" i="6845"/>
  <c r="AT22" i="6845" s="1"/>
  <c r="G21" i="6845"/>
  <c r="AT21" i="6845" s="1"/>
  <c r="G20" i="6845"/>
  <c r="AT20" i="6845" s="1"/>
  <c r="M77" i="6884" s="1"/>
  <c r="G19" i="6845"/>
  <c r="AT19" i="6845" s="1"/>
  <c r="G18" i="6845"/>
  <c r="AT18" i="6845" s="1"/>
  <c r="G17" i="6845"/>
  <c r="AT17" i="6845" s="1"/>
  <c r="G16" i="6845"/>
  <c r="AT16" i="6845" s="1"/>
  <c r="G15" i="6845"/>
  <c r="AT15" i="6845" s="1"/>
  <c r="G14" i="6845"/>
  <c r="AT14" i="6845" s="1"/>
  <c r="G13" i="6845"/>
  <c r="AT13" i="6845" s="1"/>
  <c r="M76" i="6884" s="1"/>
  <c r="G12" i="6845"/>
  <c r="AT12" i="6845" s="1"/>
  <c r="G11" i="6845"/>
  <c r="AR50" i="6845"/>
  <c r="AR49" i="6845"/>
  <c r="AR48" i="6845"/>
  <c r="AR47" i="6845"/>
  <c r="AR46" i="6845"/>
  <c r="AR45" i="6845"/>
  <c r="AR44" i="6845"/>
  <c r="AR43" i="6845"/>
  <c r="AR42" i="6845"/>
  <c r="AR41" i="6845"/>
  <c r="AR40" i="6845"/>
  <c r="M90" i="6884" s="1"/>
  <c r="AR39" i="6845"/>
  <c r="AR38" i="6845"/>
  <c r="AR37" i="6845"/>
  <c r="AR36" i="6845"/>
  <c r="AR35" i="6845"/>
  <c r="AR34" i="6845"/>
  <c r="AR33" i="6845"/>
  <c r="AR32" i="6845"/>
  <c r="AR31" i="6845"/>
  <c r="AR30" i="6845"/>
  <c r="AR29" i="6845"/>
  <c r="AR28" i="6845"/>
  <c r="AR27" i="6845"/>
  <c r="AR26" i="6845"/>
  <c r="AR25" i="6845"/>
  <c r="AR24" i="6845"/>
  <c r="AR23" i="6845"/>
  <c r="AR22" i="6845"/>
  <c r="AR21" i="6845"/>
  <c r="AR20" i="6845"/>
  <c r="M89" i="6884" s="1"/>
  <c r="AR19" i="6845"/>
  <c r="AR18" i="6845"/>
  <c r="AR17" i="6845"/>
  <c r="AR16" i="6845"/>
  <c r="AR15" i="6845"/>
  <c r="AR14" i="6845"/>
  <c r="AR13" i="6845"/>
  <c r="M88" i="6884" s="1"/>
  <c r="AR11" i="6845"/>
  <c r="AQ50" i="6845"/>
  <c r="AQ49" i="6845"/>
  <c r="AQ48" i="6845"/>
  <c r="AQ47" i="6845"/>
  <c r="AQ46" i="6845"/>
  <c r="AQ45" i="6845"/>
  <c r="AQ44" i="6845"/>
  <c r="AQ43" i="6845"/>
  <c r="AQ42" i="6845"/>
  <c r="AQ41" i="6845"/>
  <c r="AQ40" i="6845"/>
  <c r="AQ39" i="6845"/>
  <c r="AQ38" i="6845"/>
  <c r="AQ37" i="6845"/>
  <c r="AQ36" i="6845"/>
  <c r="AQ35" i="6845"/>
  <c r="AQ34" i="6845"/>
  <c r="AQ33" i="6845"/>
  <c r="AQ32" i="6845"/>
  <c r="AQ31" i="6845"/>
  <c r="AQ30" i="6845"/>
  <c r="AQ29" i="6845"/>
  <c r="AQ28" i="6845"/>
  <c r="AQ27" i="6845"/>
  <c r="AQ26" i="6845"/>
  <c r="AQ25" i="6845"/>
  <c r="AQ24" i="6845"/>
  <c r="AQ23" i="6845"/>
  <c r="AQ22" i="6845"/>
  <c r="AQ21" i="6845"/>
  <c r="AQ20" i="6845"/>
  <c r="AQ19" i="6845"/>
  <c r="AQ18" i="6845"/>
  <c r="AQ17" i="6845"/>
  <c r="AQ16" i="6845"/>
  <c r="AQ15" i="6845"/>
  <c r="AQ14" i="6845"/>
  <c r="AQ13" i="6845"/>
  <c r="AQ11" i="6845"/>
  <c r="AO50" i="6845"/>
  <c r="BU50" i="6845" s="1"/>
  <c r="AO49" i="6845"/>
  <c r="BU49" i="6845" s="1"/>
  <c r="AO48" i="6845"/>
  <c r="BU48" i="6845" s="1"/>
  <c r="AO47" i="6845"/>
  <c r="BU47" i="6845" s="1"/>
  <c r="AO46" i="6845"/>
  <c r="BU46" i="6845" s="1"/>
  <c r="AO45" i="6845"/>
  <c r="BU45" i="6845" s="1"/>
  <c r="AO44" i="6845"/>
  <c r="BU44" i="6845" s="1"/>
  <c r="AO43" i="6845"/>
  <c r="BU43" i="6845" s="1"/>
  <c r="AO42" i="6845"/>
  <c r="BU42" i="6845" s="1"/>
  <c r="AO41" i="6845"/>
  <c r="BU41" i="6845" s="1"/>
  <c r="AO40" i="6845"/>
  <c r="AO39" i="6845"/>
  <c r="AO38" i="6845"/>
  <c r="AO37" i="6845"/>
  <c r="AO36" i="6845"/>
  <c r="AO35" i="6845"/>
  <c r="AO34" i="6845"/>
  <c r="AO33" i="6845"/>
  <c r="AO32" i="6845"/>
  <c r="AO31" i="6845"/>
  <c r="AO30" i="6845"/>
  <c r="AO29" i="6845"/>
  <c r="AO28" i="6845"/>
  <c r="AO27" i="6845"/>
  <c r="AO26" i="6845"/>
  <c r="AO25" i="6845"/>
  <c r="AO24" i="6845"/>
  <c r="AO23" i="6845"/>
  <c r="AO22" i="6845"/>
  <c r="AO21" i="6845"/>
  <c r="AO20" i="6845"/>
  <c r="AO19" i="6845"/>
  <c r="AO18" i="6845"/>
  <c r="AO17" i="6845"/>
  <c r="AO16" i="6845"/>
  <c r="AO15" i="6845"/>
  <c r="AO14" i="6845"/>
  <c r="AO13" i="6845"/>
  <c r="AO12" i="6845"/>
  <c r="BJ48" i="6845"/>
  <c r="AP61" i="6845"/>
  <c r="AP10" i="6845" s="1"/>
  <c r="BI61" i="6845"/>
  <c r="BJ25" i="6845"/>
  <c r="BJ41" i="6845"/>
  <c r="BJ26" i="6845"/>
  <c r="BJ42" i="6845"/>
  <c r="BJ12" i="6845"/>
  <c r="BJ28" i="6845"/>
  <c r="BJ44" i="6845"/>
  <c r="BJ15" i="6845"/>
  <c r="BJ31" i="6845"/>
  <c r="BJ47" i="6845"/>
  <c r="BE11" i="6845"/>
  <c r="BJ17" i="6845"/>
  <c r="BJ33" i="6845"/>
  <c r="BJ49" i="6845"/>
  <c r="BJ18" i="6845"/>
  <c r="BJ34" i="6845"/>
  <c r="BJ50" i="6845"/>
  <c r="BJ20" i="6845"/>
  <c r="BJ36" i="6845"/>
  <c r="BE37" i="6845"/>
  <c r="BJ23" i="6845"/>
  <c r="BJ39" i="6845"/>
  <c r="BJ11" i="6845"/>
  <c r="BJ19" i="6845"/>
  <c r="BJ27" i="6845"/>
  <c r="BJ35" i="6845"/>
  <c r="BJ43" i="6845"/>
  <c r="BJ13" i="6845"/>
  <c r="BJ21" i="6845"/>
  <c r="BJ29" i="6845"/>
  <c r="BJ37" i="6845"/>
  <c r="BJ45" i="6845"/>
  <c r="BE18" i="6845"/>
  <c r="BJ14" i="6845"/>
  <c r="BJ22" i="6845"/>
  <c r="BJ30" i="6845"/>
  <c r="BJ38" i="6845"/>
  <c r="BJ46" i="6845"/>
  <c r="BE20" i="6845"/>
  <c r="BE28" i="6845"/>
  <c r="BJ16" i="6845"/>
  <c r="BJ24" i="6845"/>
  <c r="BJ32" i="6845"/>
  <c r="BJ40" i="6845"/>
  <c r="AP23" i="6845"/>
  <c r="V4" i="6845"/>
  <c r="U4" i="6845"/>
  <c r="Y4" i="6845"/>
  <c r="W4" i="6845"/>
  <c r="X4" i="6845"/>
  <c r="O4" i="6845"/>
  <c r="E4" i="6845"/>
  <c r="I4" i="6845"/>
  <c r="K4" i="6845"/>
  <c r="F4" i="6845"/>
  <c r="R4" i="6845"/>
  <c r="Q4" i="6845"/>
  <c r="S4" i="6845"/>
  <c r="N4" i="6845"/>
  <c r="M4" i="6845"/>
  <c r="B4" i="6845"/>
  <c r="L4" i="6845"/>
  <c r="H4" i="6845"/>
  <c r="J4" i="6845"/>
  <c r="T4" i="6845"/>
  <c r="P4" i="6845"/>
  <c r="M64" i="6884" l="1"/>
  <c r="M61" i="6884"/>
  <c r="M127" i="6884"/>
  <c r="M138" i="6884"/>
  <c r="M70" i="6884"/>
  <c r="M63" i="6884"/>
  <c r="M66" i="6884"/>
  <c r="M139" i="6884"/>
  <c r="M71" i="6884"/>
  <c r="M65" i="6884"/>
  <c r="M62" i="6884"/>
  <c r="F58" i="7000"/>
  <c r="AP42" i="6845"/>
  <c r="BW42" i="6845" s="1"/>
  <c r="AP25" i="6845"/>
  <c r="AP19" i="6845"/>
  <c r="AP24" i="6845"/>
  <c r="AP37" i="6845"/>
  <c r="AP35" i="6845"/>
  <c r="BV35" i="6845" s="1"/>
  <c r="AP16" i="6845"/>
  <c r="BW16" i="6845" s="1"/>
  <c r="AP29" i="6845"/>
  <c r="BW29" i="6845" s="1"/>
  <c r="F58" i="6999"/>
  <c r="AP20" i="6845"/>
  <c r="AP47" i="6845"/>
  <c r="AP13" i="6845"/>
  <c r="AP36" i="6845"/>
  <c r="BV36" i="6845" s="1"/>
  <c r="AP39" i="6845"/>
  <c r="BW39" i="6845" s="1"/>
  <c r="AT11" i="6845"/>
  <c r="G10" i="6845"/>
  <c r="AT10" i="6845" s="1"/>
  <c r="BV10" i="6845"/>
  <c r="AI10" i="6845" s="1"/>
  <c r="BW10" i="6845"/>
  <c r="AJ10" i="6845" s="1"/>
  <c r="AP28" i="6845"/>
  <c r="BW28" i="6845" s="1"/>
  <c r="AP41" i="6845"/>
  <c r="BV41" i="6845" s="1"/>
  <c r="AP15" i="6845"/>
  <c r="BW15" i="6845" s="1"/>
  <c r="AP44" i="6845"/>
  <c r="BW44" i="6845" s="1"/>
  <c r="AP26" i="6845"/>
  <c r="BV26" i="6845" s="1"/>
  <c r="AP46" i="6845"/>
  <c r="BV46" i="6845" s="1"/>
  <c r="AP33" i="6845"/>
  <c r="BV33" i="6845" s="1"/>
  <c r="AP27" i="6845"/>
  <c r="AP38" i="6845"/>
  <c r="AP49" i="6845"/>
  <c r="BV49" i="6845" s="1"/>
  <c r="AP43" i="6845"/>
  <c r="BV43" i="6845" s="1"/>
  <c r="AP30" i="6845"/>
  <c r="BV30" i="6845" s="1"/>
  <c r="F58" i="7047"/>
  <c r="AP18" i="6845"/>
  <c r="BV18" i="6845" s="1"/>
  <c r="AP48" i="6845"/>
  <c r="BV48" i="6845" s="1"/>
  <c r="AP22" i="6845"/>
  <c r="AP34" i="6845"/>
  <c r="AP40" i="6845"/>
  <c r="AP14" i="6845"/>
  <c r="AP50" i="6845"/>
  <c r="BV50" i="6845" s="1"/>
  <c r="AP32" i="6845"/>
  <c r="AP45" i="6845"/>
  <c r="BW45" i="6845" s="1"/>
  <c r="BI10" i="6845"/>
  <c r="BW43" i="6845"/>
  <c r="BW37" i="6845"/>
  <c r="BV37" i="6845"/>
  <c r="BU12" i="6845"/>
  <c r="BU20" i="6845"/>
  <c r="BU28" i="6845"/>
  <c r="BU36" i="6845"/>
  <c r="BU13" i="6845"/>
  <c r="M99" i="6884" s="1"/>
  <c r="BU21" i="6845"/>
  <c r="BU29" i="6845"/>
  <c r="BU37" i="6845"/>
  <c r="BW19" i="6845"/>
  <c r="BV19" i="6845"/>
  <c r="BV23" i="6845"/>
  <c r="BW23" i="6845"/>
  <c r="BV44" i="6845"/>
  <c r="BW20" i="6845"/>
  <c r="BV20" i="6845"/>
  <c r="BV13" i="6845"/>
  <c r="M104" i="6884" s="1"/>
  <c r="BW13" i="6845"/>
  <c r="M109" i="6884" s="1"/>
  <c r="BU14" i="6845"/>
  <c r="BU22" i="6845"/>
  <c r="BU30" i="6845"/>
  <c r="BU38" i="6845"/>
  <c r="BU19" i="6845"/>
  <c r="BU15" i="6845"/>
  <c r="BU23" i="6845"/>
  <c r="BU31" i="6845"/>
  <c r="BU39" i="6845"/>
  <c r="BV25" i="6845"/>
  <c r="BW25" i="6845"/>
  <c r="BW24" i="6845"/>
  <c r="BV24" i="6845"/>
  <c r="BU16" i="6845"/>
  <c r="BU24" i="6845"/>
  <c r="BU32" i="6845"/>
  <c r="BU40" i="6845"/>
  <c r="M101" i="6884" s="1"/>
  <c r="BU27" i="6845"/>
  <c r="BU35" i="6845"/>
  <c r="BW32" i="6845"/>
  <c r="BV32" i="6845"/>
  <c r="BW38" i="6845"/>
  <c r="BV38" i="6845"/>
  <c r="BU17" i="6845"/>
  <c r="BU25" i="6845"/>
  <c r="BU33" i="6845"/>
  <c r="BV34" i="6845"/>
  <c r="BW34" i="6845"/>
  <c r="BV47" i="6845"/>
  <c r="BW47" i="6845"/>
  <c r="BW14" i="6845"/>
  <c r="BV14" i="6845"/>
  <c r="BU18" i="6845"/>
  <c r="BU26" i="6845"/>
  <c r="BU34" i="6845"/>
  <c r="BU11" i="6845"/>
  <c r="V44" i="6845"/>
  <c r="BI44" i="6845" s="1"/>
  <c r="V52" i="6845"/>
  <c r="BI52" i="6845" s="1"/>
  <c r="V41" i="6845"/>
  <c r="V47" i="6845"/>
  <c r="BI47" i="6845" s="1"/>
  <c r="V55" i="6845"/>
  <c r="BI55" i="6845" s="1"/>
  <c r="V46" i="6845"/>
  <c r="BI46" i="6845" s="1"/>
  <c r="V54" i="6845"/>
  <c r="BI54" i="6845" s="1"/>
  <c r="V42" i="6845"/>
  <c r="BI42" i="6845" s="1"/>
  <c r="V50" i="6845"/>
  <c r="BI50" i="6845" s="1"/>
  <c r="V58" i="6845"/>
  <c r="BI58" i="6845" s="1"/>
  <c r="V57" i="6845"/>
  <c r="BI57" i="6845" s="1"/>
  <c r="V45" i="6845"/>
  <c r="V53" i="6845"/>
  <c r="BI53" i="6845" s="1"/>
  <c r="V49" i="6845"/>
  <c r="BI49" i="6845" s="1"/>
  <c r="V48" i="6845"/>
  <c r="BI48" i="6845" s="1"/>
  <c r="V56" i="6845"/>
  <c r="BI56" i="6845" s="1"/>
  <c r="V43" i="6845"/>
  <c r="BI43" i="6845" s="1"/>
  <c r="V51" i="6845"/>
  <c r="BI51" i="6845" s="1"/>
  <c r="V59" i="6845"/>
  <c r="BI59" i="6845" s="1"/>
  <c r="Y43" i="6845"/>
  <c r="Y51" i="6845"/>
  <c r="Y59" i="6845"/>
  <c r="Y48" i="6845"/>
  <c r="Y46" i="6845"/>
  <c r="Y54" i="6845"/>
  <c r="Y45" i="6845"/>
  <c r="Y53" i="6845"/>
  <c r="Y41" i="6845"/>
  <c r="Y49" i="6845"/>
  <c r="Y57" i="6845"/>
  <c r="Y56" i="6845"/>
  <c r="Y44" i="6845"/>
  <c r="Y52" i="6845"/>
  <c r="Y47" i="6845"/>
  <c r="Y55" i="6845"/>
  <c r="Y42" i="6845"/>
  <c r="Y50" i="6845"/>
  <c r="Y58" i="6845"/>
  <c r="BE40" i="6845"/>
  <c r="R48" i="6845"/>
  <c r="BE48" i="6845" s="1"/>
  <c r="R56" i="6845"/>
  <c r="BE56" i="6845" s="1"/>
  <c r="R43" i="6845"/>
  <c r="BE43" i="6845" s="1"/>
  <c r="R51" i="6845"/>
  <c r="BE51" i="6845" s="1"/>
  <c r="R59" i="6845"/>
  <c r="BE59" i="6845" s="1"/>
  <c r="R42" i="6845"/>
  <c r="BE42" i="6845" s="1"/>
  <c r="R50" i="6845"/>
  <c r="BE50" i="6845" s="1"/>
  <c r="R58" i="6845"/>
  <c r="BE58" i="6845" s="1"/>
  <c r="R46" i="6845"/>
  <c r="BE46" i="6845" s="1"/>
  <c r="R54" i="6845"/>
  <c r="BE54" i="6845" s="1"/>
  <c r="R53" i="6845"/>
  <c r="BE53" i="6845" s="1"/>
  <c r="R41" i="6845"/>
  <c r="BE41" i="6845" s="1"/>
  <c r="R49" i="6845"/>
  <c r="BE49" i="6845" s="1"/>
  <c r="R57" i="6845"/>
  <c r="BE57" i="6845" s="1"/>
  <c r="R45" i="6845"/>
  <c r="BE45" i="6845" s="1"/>
  <c r="R44" i="6845"/>
  <c r="BE44" i="6845" s="1"/>
  <c r="R52" i="6845"/>
  <c r="BE52" i="6845" s="1"/>
  <c r="R47" i="6845"/>
  <c r="BE47" i="6845" s="1"/>
  <c r="R55" i="6845"/>
  <c r="BE55" i="6845" s="1"/>
  <c r="BI35" i="6845"/>
  <c r="X46" i="6845"/>
  <c r="X54" i="6845"/>
  <c r="X43" i="6845"/>
  <c r="X51" i="6845"/>
  <c r="X41" i="6845"/>
  <c r="X49" i="6845"/>
  <c r="X57" i="6845"/>
  <c r="X48" i="6845"/>
  <c r="X56" i="6845"/>
  <c r="X44" i="6845"/>
  <c r="X52" i="6845"/>
  <c r="X59" i="6845"/>
  <c r="X47" i="6845"/>
  <c r="X55" i="6845"/>
  <c r="X42" i="6845"/>
  <c r="X50" i="6845"/>
  <c r="X58" i="6845"/>
  <c r="X45" i="6845"/>
  <c r="X53" i="6845"/>
  <c r="AT40" i="6845"/>
  <c r="M78" i="6884" s="1"/>
  <c r="G41" i="6845"/>
  <c r="AT41" i="6845" s="1"/>
  <c r="G49" i="6845"/>
  <c r="AT49" i="6845" s="1"/>
  <c r="G57" i="6845"/>
  <c r="AT57" i="6845" s="1"/>
  <c r="G46" i="6845"/>
  <c r="AT46" i="6845" s="1"/>
  <c r="G54" i="6845"/>
  <c r="AT54" i="6845" s="1"/>
  <c r="G44" i="6845"/>
  <c r="AT44" i="6845" s="1"/>
  <c r="G52" i="6845"/>
  <c r="AT52" i="6845" s="1"/>
  <c r="G43" i="6845"/>
  <c r="AT43" i="6845" s="1"/>
  <c r="G51" i="6845"/>
  <c r="AT51" i="6845" s="1"/>
  <c r="G59" i="6845"/>
  <c r="AT59" i="6845" s="1"/>
  <c r="G47" i="6845"/>
  <c r="AT47" i="6845" s="1"/>
  <c r="G55" i="6845"/>
  <c r="AT55" i="6845" s="1"/>
  <c r="G42" i="6845"/>
  <c r="AT42" i="6845" s="1"/>
  <c r="G50" i="6845"/>
  <c r="AT50" i="6845" s="1"/>
  <c r="G58" i="6845"/>
  <c r="AT58" i="6845" s="1"/>
  <c r="G45" i="6845"/>
  <c r="AT45" i="6845" s="1"/>
  <c r="G53" i="6845"/>
  <c r="AT53" i="6845" s="1"/>
  <c r="G48" i="6845"/>
  <c r="AT48" i="6845" s="1"/>
  <c r="G56" i="6845"/>
  <c r="AT56" i="6845" s="1"/>
  <c r="AP21" i="6845"/>
  <c r="AP53" i="6845"/>
  <c r="AP57" i="6845"/>
  <c r="AP56" i="6845"/>
  <c r="AP51" i="6845"/>
  <c r="AP52" i="6845"/>
  <c r="AP59" i="6845"/>
  <c r="AP55" i="6845"/>
  <c r="AP58" i="6845"/>
  <c r="AP54" i="6845"/>
  <c r="Q43" i="6845"/>
  <c r="Q51" i="6845"/>
  <c r="Q59" i="6845"/>
  <c r="Q56" i="6845"/>
  <c r="Q46" i="6845"/>
  <c r="Q54" i="6845"/>
  <c r="Q45" i="6845"/>
  <c r="Q53" i="6845"/>
  <c r="Q41" i="6845"/>
  <c r="Q49" i="6845"/>
  <c r="Q57" i="6845"/>
  <c r="Q48" i="6845"/>
  <c r="Q44" i="6845"/>
  <c r="Q52" i="6845"/>
  <c r="Q47" i="6845"/>
  <c r="Q55" i="6845"/>
  <c r="Q42" i="6845"/>
  <c r="Q50" i="6845"/>
  <c r="Q58" i="6845"/>
  <c r="AP17" i="6845"/>
  <c r="AP11" i="6845"/>
  <c r="BD61" i="6845"/>
  <c r="BD38" i="6845" s="1"/>
  <c r="AP31" i="6845"/>
  <c r="BK61" i="6845"/>
  <c r="BK11" i="6845" s="1"/>
  <c r="AP12" i="6845"/>
  <c r="BD37" i="6845"/>
  <c r="BI16" i="6845"/>
  <c r="BI24" i="6845"/>
  <c r="BI32" i="6845"/>
  <c r="BI40" i="6845"/>
  <c r="BI33" i="6845"/>
  <c r="BI13" i="6845"/>
  <c r="BI37" i="6845"/>
  <c r="BI29" i="6845"/>
  <c r="BK28" i="6845"/>
  <c r="BI14" i="6845"/>
  <c r="BI22" i="6845"/>
  <c r="BI38" i="6845"/>
  <c r="BI17" i="6845"/>
  <c r="BD23" i="6845"/>
  <c r="BD47" i="6845"/>
  <c r="BD25" i="6845"/>
  <c r="BI41" i="6845"/>
  <c r="BD27" i="6845"/>
  <c r="BI30" i="6845"/>
  <c r="BI12" i="6845"/>
  <c r="BI26" i="6845"/>
  <c r="BI45" i="6845"/>
  <c r="BI36" i="6845"/>
  <c r="BI27" i="6845"/>
  <c r="BI28" i="6845"/>
  <c r="BI19" i="6845"/>
  <c r="BI21" i="6845"/>
  <c r="BI25" i="6845"/>
  <c r="BI11" i="6845"/>
  <c r="BI31" i="6845"/>
  <c r="BI39" i="6845"/>
  <c r="BI20" i="6845"/>
  <c r="BI15" i="6845"/>
  <c r="BI34" i="6845"/>
  <c r="BI18" i="6845"/>
  <c r="BI23" i="6845"/>
  <c r="G4" i="6845"/>
  <c r="C4" i="6845"/>
  <c r="D4" i="6845"/>
  <c r="BW18" i="6845" l="1"/>
  <c r="M54" i="6884"/>
  <c r="M125" i="6884"/>
  <c r="M122" i="6884"/>
  <c r="M57" i="6884"/>
  <c r="M119" i="6884"/>
  <c r="M116" i="6884"/>
  <c r="M51" i="6884"/>
  <c r="M52" i="6884"/>
  <c r="M123" i="6884"/>
  <c r="M49" i="6884"/>
  <c r="M120" i="6884"/>
  <c r="M55" i="6884"/>
  <c r="M114" i="6884"/>
  <c r="M117" i="6884"/>
  <c r="M126" i="6884"/>
  <c r="M100" i="6884"/>
  <c r="M133" i="6884"/>
  <c r="M124" i="6884"/>
  <c r="M50" i="6884"/>
  <c r="M121" i="6884"/>
  <c r="M53" i="6884"/>
  <c r="M115" i="6884"/>
  <c r="M118" i="6884"/>
  <c r="M128" i="6884"/>
  <c r="M56" i="6884"/>
  <c r="M140" i="6884"/>
  <c r="M72" i="6884"/>
  <c r="M129" i="6884"/>
  <c r="M105" i="6884"/>
  <c r="BV29" i="6845"/>
  <c r="M110" i="6884"/>
  <c r="M131" i="6884"/>
  <c r="BW48" i="6845"/>
  <c r="BV45" i="6845"/>
  <c r="BV16" i="6845"/>
  <c r="AI16" i="6845" s="1"/>
  <c r="BW35" i="6845"/>
  <c r="BK35" i="6845"/>
  <c r="BW30" i="6845"/>
  <c r="BW50" i="6845"/>
  <c r="F61" i="7000"/>
  <c r="F60" i="7000"/>
  <c r="F79" i="7000" s="1"/>
  <c r="F87" i="7000" s="1"/>
  <c r="F92" i="7000" s="1"/>
  <c r="BV15" i="6845"/>
  <c r="AI15" i="6845" s="1"/>
  <c r="BK59" i="6845"/>
  <c r="BV39" i="6845"/>
  <c r="BK52" i="6845"/>
  <c r="BD20" i="6845"/>
  <c r="BD39" i="6845"/>
  <c r="BW46" i="6845"/>
  <c r="BD12" i="6845"/>
  <c r="BK14" i="6845"/>
  <c r="BD58" i="6845"/>
  <c r="BD45" i="6845"/>
  <c r="BW33" i="6845"/>
  <c r="AJ33" i="6845" s="1"/>
  <c r="BV42" i="6845"/>
  <c r="BK33" i="6845"/>
  <c r="BD50" i="6845"/>
  <c r="BK53" i="6845"/>
  <c r="BW27" i="6845"/>
  <c r="BV40" i="6845"/>
  <c r="M106" i="6884" s="1"/>
  <c r="BV28" i="6845"/>
  <c r="AI28" i="6845" s="1"/>
  <c r="BD17" i="6845"/>
  <c r="BD42" i="6845"/>
  <c r="BD46" i="6845"/>
  <c r="BK45" i="6845"/>
  <c r="BK49" i="6845"/>
  <c r="BW41" i="6845"/>
  <c r="BW49" i="6845"/>
  <c r="BV27" i="6845"/>
  <c r="AI27" i="6845" s="1"/>
  <c r="BW40" i="6845"/>
  <c r="M111" i="6884" s="1"/>
  <c r="BD32" i="6845"/>
  <c r="BD56" i="6845"/>
  <c r="BW26" i="6845"/>
  <c r="BK44" i="6845"/>
  <c r="BV22" i="6845"/>
  <c r="AI22" i="6845" s="1"/>
  <c r="BW36" i="6845"/>
  <c r="AJ36" i="6845" s="1"/>
  <c r="BD30" i="6845"/>
  <c r="BW22" i="6845"/>
  <c r="AJ22" i="6845" s="1"/>
  <c r="BD34" i="6845"/>
  <c r="BK19" i="6845"/>
  <c r="BD24" i="6845"/>
  <c r="BK51" i="6845"/>
  <c r="E58" i="7000"/>
  <c r="E60" i="7000" s="1"/>
  <c r="E79" i="7000" s="1"/>
  <c r="E58" i="7047"/>
  <c r="I58" i="7047"/>
  <c r="F60" i="7047"/>
  <c r="F79" i="7047" s="1"/>
  <c r="F61" i="7047"/>
  <c r="E58" i="6999"/>
  <c r="E61" i="6999" s="1"/>
  <c r="BD44" i="6845"/>
  <c r="BD43" i="6845"/>
  <c r="BD59" i="6845"/>
  <c r="BD33" i="6845"/>
  <c r="BD48" i="6845"/>
  <c r="BK47" i="6845"/>
  <c r="BK10" i="6845"/>
  <c r="BD26" i="6845"/>
  <c r="BD11" i="6845"/>
  <c r="BD57" i="6845"/>
  <c r="BD49" i="6845"/>
  <c r="F61" i="6999"/>
  <c r="F60" i="6999"/>
  <c r="F79" i="6999" s="1"/>
  <c r="I58" i="6999"/>
  <c r="BD10" i="6845"/>
  <c r="BD21" i="6845"/>
  <c r="BD22" i="6845"/>
  <c r="BD13" i="6845"/>
  <c r="BD29" i="6845"/>
  <c r="BD51" i="6845"/>
  <c r="AJ27" i="6845"/>
  <c r="AH27" i="6845"/>
  <c r="AI20" i="6845"/>
  <c r="AH13" i="6845"/>
  <c r="AH34" i="6845"/>
  <c r="AI33" i="6845"/>
  <c r="BV51" i="6845"/>
  <c r="BW51" i="6845"/>
  <c r="AI26" i="6845"/>
  <c r="AJ16" i="6845"/>
  <c r="AI32" i="6845"/>
  <c r="AH32" i="6845"/>
  <c r="AJ24" i="6845"/>
  <c r="AJ39" i="6845"/>
  <c r="AH30" i="6845"/>
  <c r="AH37" i="6845"/>
  <c r="AH20" i="6845"/>
  <c r="BV52" i="6845"/>
  <c r="BW52" i="6845"/>
  <c r="AJ26" i="6845"/>
  <c r="AJ37" i="6845"/>
  <c r="AH26" i="6845"/>
  <c r="AJ32" i="6845"/>
  <c r="AJ25" i="6845"/>
  <c r="AJ13" i="6845"/>
  <c r="AI14" i="6845"/>
  <c r="AJ34" i="6845"/>
  <c r="AI25" i="6845"/>
  <c r="BW54" i="6845"/>
  <c r="BV54" i="6845"/>
  <c r="BW53" i="6845"/>
  <c r="BV53" i="6845"/>
  <c r="AH18" i="6845"/>
  <c r="AJ14" i="6845"/>
  <c r="AI34" i="6845"/>
  <c r="AJ30" i="6845"/>
  <c r="AH31" i="6845"/>
  <c r="AH19" i="6845"/>
  <c r="AI23" i="6845"/>
  <c r="BV17" i="6845"/>
  <c r="BW17" i="6845"/>
  <c r="AH15" i="6845"/>
  <c r="AI39" i="6845"/>
  <c r="BW56" i="6845"/>
  <c r="BV56" i="6845"/>
  <c r="AH39" i="6845"/>
  <c r="BV12" i="6845"/>
  <c r="AI12" i="6845" s="1"/>
  <c r="BW12" i="6845"/>
  <c r="AI13" i="6845"/>
  <c r="AJ20" i="6845"/>
  <c r="AH29" i="6845"/>
  <c r="BW31" i="6845"/>
  <c r="BV31" i="6845"/>
  <c r="BW58" i="6845"/>
  <c r="BV58" i="6845"/>
  <c r="BV21" i="6845"/>
  <c r="BW21" i="6845"/>
  <c r="AH25" i="6845"/>
  <c r="AI18" i="6845"/>
  <c r="AI36" i="6845"/>
  <c r="AH16" i="6845"/>
  <c r="AI30" i="6845"/>
  <c r="AH14" i="6845"/>
  <c r="AH21" i="6845"/>
  <c r="AH36" i="6845"/>
  <c r="AJ15" i="6845"/>
  <c r="BW57" i="6845"/>
  <c r="BV57" i="6845"/>
  <c r="AH33" i="6845"/>
  <c r="AH35" i="6845"/>
  <c r="AH24" i="6845"/>
  <c r="AH22" i="6845"/>
  <c r="AJ23" i="6845"/>
  <c r="AJ28" i="6845"/>
  <c r="AH12" i="6845"/>
  <c r="BW55" i="6845"/>
  <c r="BV55" i="6845"/>
  <c r="BK57" i="6845"/>
  <c r="AJ18" i="6845"/>
  <c r="AI38" i="6845"/>
  <c r="AH23" i="6845"/>
  <c r="AI19" i="6845"/>
  <c r="AI29" i="6845"/>
  <c r="AJ35" i="6845"/>
  <c r="BW59" i="6845"/>
  <c r="BV59" i="6845"/>
  <c r="BK55" i="6845"/>
  <c r="AH17" i="6845"/>
  <c r="AJ38" i="6845"/>
  <c r="AH40" i="6845"/>
  <c r="AI24" i="6845"/>
  <c r="AH38" i="6845"/>
  <c r="AJ19" i="6845"/>
  <c r="AJ29" i="6845"/>
  <c r="AI35" i="6845"/>
  <c r="AH28" i="6845"/>
  <c r="AI37" i="6845"/>
  <c r="BW11" i="6845"/>
  <c r="BV11" i="6845"/>
  <c r="AH11" i="6845"/>
  <c r="BL58" i="6845"/>
  <c r="BD28" i="6845"/>
  <c r="BD19" i="6845"/>
  <c r="BD18" i="6845"/>
  <c r="BD31" i="6845"/>
  <c r="BD36" i="6845"/>
  <c r="BK54" i="6845"/>
  <c r="BD55" i="6845"/>
  <c r="BD53" i="6845"/>
  <c r="BK58" i="6845"/>
  <c r="BK56" i="6845"/>
  <c r="BL56" i="6845"/>
  <c r="BD35" i="6845"/>
  <c r="BD14" i="6845"/>
  <c r="BD15" i="6845"/>
  <c r="BD41" i="6845"/>
  <c r="BD40" i="6845"/>
  <c r="BD52" i="6845"/>
  <c r="BD54" i="6845"/>
  <c r="BK17" i="6845"/>
  <c r="BK24" i="6845"/>
  <c r="BL61" i="6845"/>
  <c r="BL53" i="6845" s="1"/>
  <c r="BK23" i="6845"/>
  <c r="BK27" i="6845"/>
  <c r="BK31" i="6845"/>
  <c r="BK16" i="6845"/>
  <c r="BD16" i="6845"/>
  <c r="BK26" i="6845"/>
  <c r="BK50" i="6845"/>
  <c r="BK34" i="6845"/>
  <c r="BK18" i="6845"/>
  <c r="BK36" i="6845"/>
  <c r="BK20" i="6845"/>
  <c r="M59" i="6884" s="1"/>
  <c r="BK46" i="6845"/>
  <c r="BK21" i="6845"/>
  <c r="BK38" i="6845"/>
  <c r="BK48" i="6845"/>
  <c r="BK15" i="6845"/>
  <c r="BK39" i="6845"/>
  <c r="BK42" i="6845"/>
  <c r="BK29" i="6845"/>
  <c r="BK30" i="6845"/>
  <c r="BK43" i="6845"/>
  <c r="BK41" i="6845"/>
  <c r="BK40" i="6845"/>
  <c r="M60" i="6884" s="1"/>
  <c r="BK13" i="6845"/>
  <c r="M58" i="6884" s="1"/>
  <c r="BK12" i="6845"/>
  <c r="BK37" i="6845"/>
  <c r="BK22" i="6845"/>
  <c r="BK25" i="6845"/>
  <c r="BK32" i="6845"/>
  <c r="D62" i="6887"/>
  <c r="D81" i="6887" s="1"/>
  <c r="F70" i="7000" l="1"/>
  <c r="F72" i="7000" s="1"/>
  <c r="M135" i="6884"/>
  <c r="M67" i="6884"/>
  <c r="BL59" i="6845"/>
  <c r="M136" i="6884"/>
  <c r="M68" i="6884"/>
  <c r="M137" i="6884"/>
  <c r="M69" i="6884"/>
  <c r="D58" i="7000"/>
  <c r="AJ40" i="6845"/>
  <c r="AJ44" i="6845" s="1"/>
  <c r="AI40" i="6845"/>
  <c r="AI59" i="6845" s="1"/>
  <c r="E61" i="7000"/>
  <c r="E60" i="6999"/>
  <c r="E79" i="6999" s="1"/>
  <c r="E87" i="6999" s="1"/>
  <c r="E92" i="6999" s="1"/>
  <c r="C58" i="7000"/>
  <c r="C61" i="7000" s="1"/>
  <c r="C58" i="6999"/>
  <c r="C61" i="6999" s="1"/>
  <c r="F87" i="7047"/>
  <c r="F92" i="7047" s="1"/>
  <c r="F70" i="7047"/>
  <c r="F72" i="7047" s="1"/>
  <c r="C58" i="7047"/>
  <c r="I61" i="7047"/>
  <c r="I60" i="7047"/>
  <c r="I79" i="7047" s="1"/>
  <c r="E61" i="7047"/>
  <c r="E60" i="7047"/>
  <c r="E79" i="7047" s="1"/>
  <c r="I58" i="7000"/>
  <c r="I61" i="7000" s="1"/>
  <c r="D58" i="6999"/>
  <c r="F87" i="6999"/>
  <c r="F92" i="6999" s="1"/>
  <c r="F70" i="6999"/>
  <c r="F72" i="6999" s="1"/>
  <c r="E70" i="7000"/>
  <c r="E72" i="7000" s="1"/>
  <c r="E87" i="7000"/>
  <c r="E92" i="7000" s="1"/>
  <c r="I61" i="6999"/>
  <c r="I60" i="6999"/>
  <c r="I79" i="6999" s="1"/>
  <c r="F93" i="7000"/>
  <c r="F94" i="7000"/>
  <c r="BL57" i="6845"/>
  <c r="BL10" i="6845"/>
  <c r="D58" i="7047"/>
  <c r="AJ12" i="6845"/>
  <c r="AJ31" i="6845"/>
  <c r="AJ57" i="6845"/>
  <c r="AJ50" i="6845"/>
  <c r="AJ58" i="6845"/>
  <c r="AJ59" i="6845"/>
  <c r="AJ43" i="6845"/>
  <c r="AJ54" i="6845"/>
  <c r="AJ48" i="6845"/>
  <c r="AJ49" i="6845"/>
  <c r="AJ56" i="6845"/>
  <c r="AJ45" i="6845"/>
  <c r="AJ21" i="6845"/>
  <c r="AJ17" i="6845"/>
  <c r="AI17" i="6845"/>
  <c r="AI21" i="6845"/>
  <c r="AI41" i="6845"/>
  <c r="AI51" i="6845"/>
  <c r="AI50" i="6845"/>
  <c r="AI55" i="6845"/>
  <c r="AI45" i="6845"/>
  <c r="AI49" i="6845"/>
  <c r="AI54" i="6845"/>
  <c r="AI56" i="6845"/>
  <c r="AI58" i="6845"/>
  <c r="AI53" i="6845"/>
  <c r="AI57" i="6845"/>
  <c r="AI47" i="6845"/>
  <c r="AI43" i="6845"/>
  <c r="AI52" i="6845"/>
  <c r="AH43" i="6845"/>
  <c r="AH53" i="6845"/>
  <c r="AH47" i="6845"/>
  <c r="AH51" i="6845"/>
  <c r="AH42" i="6845"/>
  <c r="AH41" i="6845"/>
  <c r="AH57" i="6845"/>
  <c r="AH55" i="6845"/>
  <c r="AH59" i="6845"/>
  <c r="AH50" i="6845"/>
  <c r="AH48" i="6845"/>
  <c r="AH56" i="6845"/>
  <c r="AH49" i="6845"/>
  <c r="AH44" i="6845"/>
  <c r="AH58" i="6845"/>
  <c r="AH54" i="6845"/>
  <c r="AH46" i="6845"/>
  <c r="AH52" i="6845"/>
  <c r="AH45" i="6845"/>
  <c r="AI31" i="6845"/>
  <c r="AI11" i="6845"/>
  <c r="AJ11" i="6845"/>
  <c r="BL55" i="6845"/>
  <c r="BL54" i="6845"/>
  <c r="BL21" i="6845"/>
  <c r="BL52" i="6845"/>
  <c r="BL51" i="6845"/>
  <c r="BL12" i="6845"/>
  <c r="BL32" i="6845"/>
  <c r="BL27" i="6845"/>
  <c r="BL15" i="6845"/>
  <c r="BL30" i="6845"/>
  <c r="BL26" i="6845"/>
  <c r="BL50" i="6845"/>
  <c r="BL37" i="6845"/>
  <c r="BL45" i="6845"/>
  <c r="BL35" i="6845"/>
  <c r="BL48" i="6845"/>
  <c r="BL49" i="6845"/>
  <c r="BL29" i="6845"/>
  <c r="BL22" i="6845"/>
  <c r="BL33" i="6845"/>
  <c r="BL18" i="6845"/>
  <c r="BL17" i="6845"/>
  <c r="BL16" i="6845"/>
  <c r="BL28" i="6845"/>
  <c r="BL13" i="6845"/>
  <c r="M73" i="6884" s="1"/>
  <c r="BL42" i="6845"/>
  <c r="BL38" i="6845"/>
  <c r="BL40" i="6845"/>
  <c r="M75" i="6884" s="1"/>
  <c r="BL14" i="6845"/>
  <c r="BL39" i="6845"/>
  <c r="BL25" i="6845"/>
  <c r="BL47" i="6845"/>
  <c r="BL23" i="6845"/>
  <c r="BL46" i="6845"/>
  <c r="BL19" i="6845"/>
  <c r="BL43" i="6845"/>
  <c r="BL41" i="6845"/>
  <c r="BL31" i="6845"/>
  <c r="BL44" i="6845"/>
  <c r="BL24" i="6845"/>
  <c r="BL20" i="6845"/>
  <c r="M74" i="6884" s="1"/>
  <c r="BL34" i="6845"/>
  <c r="BL36" i="6845"/>
  <c r="BL11" i="6845"/>
  <c r="D72" i="6887"/>
  <c r="AJ52" i="6845" l="1"/>
  <c r="D60" i="7000"/>
  <c r="D79" i="7000" s="1"/>
  <c r="D87" i="7000" s="1"/>
  <c r="D92" i="7000" s="1"/>
  <c r="D61" i="7000"/>
  <c r="AJ47" i="6845"/>
  <c r="AJ53" i="6845"/>
  <c r="AJ55" i="6845"/>
  <c r="AI48" i="6845"/>
  <c r="AJ42" i="6845"/>
  <c r="AI42" i="6845"/>
  <c r="AI46" i="6845"/>
  <c r="AJ41" i="6845"/>
  <c r="AJ46" i="6845"/>
  <c r="AI44" i="6845"/>
  <c r="AJ51" i="6845"/>
  <c r="E70" i="6999"/>
  <c r="E72" i="6999" s="1"/>
  <c r="C60" i="7000"/>
  <c r="C79" i="7000" s="1"/>
  <c r="C70" i="7000" s="1"/>
  <c r="C72" i="7000" s="1"/>
  <c r="F93" i="7047"/>
  <c r="F94" i="7047"/>
  <c r="E87" i="7047"/>
  <c r="E92" i="7047" s="1"/>
  <c r="E70" i="7047"/>
  <c r="E72" i="7047" s="1"/>
  <c r="C60" i="6999"/>
  <c r="C79" i="6999" s="1"/>
  <c r="C87" i="6999" s="1"/>
  <c r="C92" i="6999" s="1"/>
  <c r="I70" i="7047"/>
  <c r="I72" i="7047" s="1"/>
  <c r="I87" i="7047"/>
  <c r="I92" i="7047" s="1"/>
  <c r="C61" i="7047"/>
  <c r="C60" i="7047"/>
  <c r="C79" i="7047" s="1"/>
  <c r="D61" i="7047"/>
  <c r="D60" i="7047"/>
  <c r="D79" i="7047" s="1"/>
  <c r="I60" i="7000"/>
  <c r="I79" i="7000" s="1"/>
  <c r="I70" i="7000" s="1"/>
  <c r="I72" i="7000" s="1"/>
  <c r="E94" i="6999"/>
  <c r="E93" i="6999"/>
  <c r="I87" i="6999"/>
  <c r="I92" i="6999" s="1"/>
  <c r="I70" i="6999"/>
  <c r="I72" i="6999" s="1"/>
  <c r="F93" i="6999"/>
  <c r="F94" i="6999"/>
  <c r="E93" i="7000"/>
  <c r="E94" i="7000"/>
  <c r="D61" i="6999"/>
  <c r="D60" i="6999"/>
  <c r="D79" i="6999" s="1"/>
  <c r="D70" i="7000" l="1"/>
  <c r="D72" i="7000" s="1"/>
  <c r="C87" i="7000"/>
  <c r="C92" i="7000" s="1"/>
  <c r="C93" i="7000" s="1"/>
  <c r="C70" i="6999"/>
  <c r="C72" i="6999" s="1"/>
  <c r="C87" i="7047"/>
  <c r="C92" i="7047" s="1"/>
  <c r="C70" i="7047"/>
  <c r="C72" i="7047" s="1"/>
  <c r="E94" i="7047"/>
  <c r="E93" i="7047"/>
  <c r="I93" i="7047"/>
  <c r="I94" i="7047"/>
  <c r="D87" i="7047"/>
  <c r="D92" i="7047" s="1"/>
  <c r="D70" i="7047"/>
  <c r="D72" i="7047" s="1"/>
  <c r="I87" i="7000"/>
  <c r="I92" i="7000" s="1"/>
  <c r="D70" i="6999"/>
  <c r="D72" i="6999" s="1"/>
  <c r="D87" i="6999"/>
  <c r="D92" i="6999" s="1"/>
  <c r="C94" i="6999"/>
  <c r="C93" i="6999"/>
  <c r="I94" i="6999"/>
  <c r="I93" i="6999"/>
  <c r="D93" i="7000"/>
  <c r="D94" i="7000"/>
  <c r="C94" i="7000" l="1"/>
  <c r="D94" i="7047"/>
  <c r="D93" i="7047"/>
  <c r="C93" i="7047"/>
  <c r="C94" i="7047"/>
  <c r="I94" i="7000"/>
  <c r="I93" i="7000"/>
  <c r="D93" i="6999"/>
  <c r="D94" i="6999"/>
  <c r="R28" i="6884" l="1" a="1"/>
  <c r="R19" i="6884" a="1"/>
  <c r="L34" i="7047" l="1"/>
  <c r="L85" i="7047" s="1"/>
  <c r="D34" i="7074"/>
  <c r="L34" i="7000"/>
  <c r="L89" i="7000" s="1"/>
  <c r="D34" i="6887"/>
  <c r="D35" i="6887" s="1"/>
  <c r="R25" i="6884" a="1"/>
  <c r="M34" i="7000"/>
  <c r="M34" i="7047"/>
  <c r="R28" i="6884"/>
  <c r="R22" i="6884" a="1"/>
  <c r="R22" i="6884" s="1"/>
  <c r="R19" i="6884"/>
  <c r="L35" i="7047" l="1"/>
  <c r="L88" i="7047"/>
  <c r="L89" i="7047"/>
  <c r="L84" i="7047"/>
  <c r="D35" i="7074"/>
  <c r="C85" i="7074"/>
  <c r="C89" i="7074" s="1"/>
  <c r="C91" i="7074" s="1"/>
  <c r="L35" i="7000"/>
  <c r="L84" i="7000"/>
  <c r="L88" i="7000"/>
  <c r="L85" i="7000"/>
  <c r="L34" i="6999"/>
  <c r="M34" i="6999"/>
  <c r="R25" i="6884"/>
  <c r="M85" i="7047"/>
  <c r="M89" i="7047"/>
  <c r="M88" i="7047"/>
  <c r="M84" i="7047"/>
  <c r="M35" i="7047"/>
  <c r="M89" i="7000"/>
  <c r="M85" i="7000"/>
  <c r="M35" i="7000"/>
  <c r="M88" i="7000"/>
  <c r="M84" i="7000"/>
  <c r="L92" i="7047" l="1"/>
  <c r="L94" i="7047" s="1"/>
  <c r="C95" i="7074"/>
  <c r="C94" i="7074"/>
  <c r="L92" i="7000"/>
  <c r="L94" i="7000" s="1"/>
  <c r="C101" i="6887"/>
  <c r="C102" i="6887" s="1"/>
  <c r="M92" i="7000"/>
  <c r="M92" i="7047"/>
  <c r="M88" i="6999"/>
  <c r="M84" i="6999"/>
  <c r="M85" i="6999"/>
  <c r="M35" i="6999"/>
  <c r="M89" i="6999"/>
  <c r="L84" i="6999"/>
  <c r="L88" i="6999"/>
  <c r="L89" i="6999"/>
  <c r="L35" i="6999"/>
  <c r="L85" i="6999"/>
  <c r="L93" i="7047" l="1"/>
  <c r="H143" i="7000" a="1"/>
  <c r="H143" i="7000" s="1"/>
  <c r="I143" i="7000" a="1"/>
  <c r="I143" i="7000" s="1"/>
  <c r="C101" i="7074"/>
  <c r="C102" i="7074" s="1"/>
  <c r="L93" i="7000"/>
  <c r="M94" i="7000"/>
  <c r="M93" i="7000"/>
  <c r="L92" i="6999"/>
  <c r="M92" i="6999"/>
  <c r="M94" i="7047"/>
  <c r="M93" i="7047"/>
  <c r="J144" i="7000" l="1"/>
  <c r="K144" i="7000"/>
  <c r="L93" i="6999"/>
  <c r="L94" i="6999"/>
  <c r="G143" i="7000" a="1"/>
  <c r="M93" i="6999"/>
  <c r="M94" i="6999"/>
  <c r="G143" i="7000" l="1"/>
  <c r="K149" i="7000"/>
  <c r="K147" i="7000"/>
  <c r="J152" i="7000"/>
  <c r="K152" i="7000"/>
  <c r="J150" i="7000"/>
  <c r="J147" i="7000"/>
  <c r="J145" i="7000"/>
  <c r="J151" i="7000"/>
  <c r="K146" i="7000"/>
  <c r="K151" i="7000"/>
  <c r="J149" i="7000"/>
  <c r="K145" i="7000"/>
  <c r="K148" i="7000"/>
  <c r="J146" i="7000"/>
  <c r="J148" i="7000"/>
  <c r="K150" i="7000"/>
  <c r="K143" i="7000" l="1"/>
  <c r="J143" i="7000"/>
  <c r="P6" i="6961"/>
  <c r="P5" i="6961"/>
  <c r="P4" i="6961"/>
  <c r="N4" i="6961"/>
  <c r="L6" i="6961"/>
  <c r="L5" i="6961"/>
  <c r="L4" i="6961"/>
  <c r="K4" i="6961"/>
  <c r="J4" i="6961"/>
  <c r="I6" i="6961"/>
  <c r="I5" i="6961"/>
  <c r="I4" i="6961"/>
  <c r="H5" i="6961"/>
  <c r="H4" i="6961"/>
  <c r="G4" i="6961"/>
  <c r="F7" i="6961"/>
  <c r="F6" i="6961"/>
  <c r="F5" i="6961"/>
  <c r="F4" i="6961"/>
  <c r="D15" i="6961"/>
  <c r="D14" i="6961"/>
  <c r="D13" i="6961"/>
  <c r="D12" i="6961"/>
  <c r="D11" i="6961"/>
  <c r="D10" i="6961"/>
  <c r="D9" i="6961"/>
  <c r="D8" i="6961"/>
  <c r="D7" i="6961"/>
  <c r="D6" i="6961"/>
  <c r="D5" i="6961"/>
  <c r="D4" i="6961"/>
  <c r="C7" i="6961"/>
  <c r="C6" i="6961"/>
  <c r="C5" i="6961"/>
  <c r="C4" i="6961"/>
  <c r="A6" i="6961"/>
  <c r="A5" i="6961"/>
  <c r="A4" i="6961"/>
  <c r="P1" i="6961"/>
  <c r="O1" i="6961"/>
  <c r="N1" i="6961"/>
  <c r="M1" i="6961"/>
  <c r="L1" i="6961"/>
  <c r="K1" i="6961"/>
  <c r="J1" i="6961"/>
  <c r="I1" i="6961"/>
  <c r="H1" i="6961"/>
  <c r="G1" i="6961"/>
  <c r="F1" i="6961"/>
  <c r="E1" i="6961"/>
  <c r="D1" i="6961"/>
  <c r="C1" i="6961"/>
  <c r="B1" i="6961"/>
  <c r="I152" i="7000"/>
  <c r="I151" i="7000"/>
  <c r="I150" i="7000"/>
  <c r="I149" i="7000"/>
  <c r="I148" i="7000"/>
  <c r="I147" i="7000"/>
  <c r="I146" i="7000"/>
  <c r="I145" i="7000"/>
  <c r="I144" i="7000"/>
  <c r="H152" i="7000"/>
  <c r="H151" i="7000"/>
  <c r="H150" i="7000"/>
  <c r="H149" i="7000"/>
  <c r="H148" i="7000"/>
  <c r="H147" i="7000"/>
  <c r="H146" i="7000"/>
  <c r="H145" i="7000"/>
  <c r="H144" i="7000"/>
  <c r="G152" i="7000"/>
  <c r="G151" i="7000"/>
  <c r="G150" i="7000"/>
  <c r="G149" i="7000"/>
  <c r="G148" i="7000"/>
  <c r="G147" i="7000"/>
  <c r="G146" i="7000"/>
  <c r="G145" i="7000"/>
  <c r="G144" i="7000"/>
  <c r="S125" i="6884"/>
  <c r="S124" i="6884"/>
  <c r="Q125" i="6884"/>
  <c r="Q124" i="6884"/>
  <c r="P125" i="6884"/>
  <c r="P124" i="6884"/>
  <c r="O125" i="6884"/>
  <c r="O124" i="6884"/>
  <c r="J125" i="6884"/>
  <c r="J124" i="6884"/>
  <c r="I125" i="6884"/>
  <c r="I124" i="6884"/>
  <c r="H125" i="6884"/>
  <c r="H124" i="6884"/>
  <c r="G125" i="6884"/>
  <c r="G124" i="6884"/>
  <c r="S122" i="6884"/>
  <c r="S121" i="6884"/>
  <c r="Q122" i="6884"/>
  <c r="Q121" i="6884"/>
  <c r="P122" i="6884"/>
  <c r="P121" i="6884"/>
  <c r="O122" i="6884"/>
  <c r="O121" i="6884"/>
  <c r="J122" i="6884"/>
  <c r="J121" i="6884"/>
  <c r="I122" i="6884"/>
  <c r="I121" i="6884"/>
  <c r="H122" i="6884"/>
  <c r="H121" i="6884"/>
  <c r="G122" i="6884"/>
  <c r="G121" i="6884"/>
  <c r="S119" i="6884"/>
  <c r="S118" i="6884"/>
  <c r="Q119" i="6884"/>
  <c r="Q118" i="6884"/>
  <c r="P119" i="6884"/>
  <c r="P118" i="6884"/>
  <c r="O119" i="6884"/>
  <c r="O118" i="6884"/>
  <c r="J119" i="6884"/>
  <c r="J118" i="6884"/>
  <c r="I119" i="6884"/>
  <c r="I118" i="6884"/>
  <c r="H119" i="6884"/>
  <c r="H118" i="6884"/>
  <c r="G119" i="6884"/>
  <c r="G118" i="6884"/>
  <c r="S116" i="6884"/>
  <c r="S115" i="6884"/>
  <c r="Q116" i="6884"/>
  <c r="Q115" i="6884"/>
  <c r="P116" i="6884"/>
  <c r="P115" i="6884"/>
  <c r="O116" i="6884"/>
  <c r="O115" i="6884"/>
  <c r="J116" i="6884"/>
  <c r="J115" i="6884"/>
  <c r="I116" i="6884"/>
  <c r="I115" i="6884"/>
  <c r="H116" i="6884"/>
  <c r="H115" i="6884"/>
  <c r="G116" i="6884"/>
  <c r="G115" i="6884"/>
  <c r="S113" i="6884"/>
  <c r="Q113" i="6884"/>
  <c r="P113" i="6884"/>
  <c r="O113" i="6884"/>
  <c r="J113" i="6884"/>
  <c r="I113" i="6884"/>
  <c r="H113" i="6884"/>
  <c r="G113" i="6884"/>
  <c r="S111" i="6884"/>
  <c r="S110" i="6884"/>
  <c r="Q111" i="6884"/>
  <c r="Q110" i="6884"/>
  <c r="P111" i="6884"/>
  <c r="P110" i="6884"/>
  <c r="O111" i="6884"/>
  <c r="O110" i="6884"/>
  <c r="J111" i="6884"/>
  <c r="J110" i="6884"/>
  <c r="I111" i="6884"/>
  <c r="I110" i="6884"/>
  <c r="H111" i="6884"/>
  <c r="H110" i="6884"/>
  <c r="G111" i="6884"/>
  <c r="G110" i="6884"/>
  <c r="S108" i="6884"/>
  <c r="Q108" i="6884"/>
  <c r="P108" i="6884"/>
  <c r="O108" i="6884"/>
  <c r="J108" i="6884"/>
  <c r="I108" i="6884"/>
  <c r="H108" i="6884"/>
  <c r="G108" i="6884"/>
  <c r="S106" i="6884"/>
  <c r="S105" i="6884"/>
  <c r="Q106" i="6884"/>
  <c r="Q105" i="6884"/>
  <c r="P106" i="6884"/>
  <c r="P105" i="6884"/>
  <c r="O106" i="6884"/>
  <c r="O105" i="6884"/>
  <c r="J106" i="6884"/>
  <c r="J105" i="6884"/>
  <c r="I106" i="6884"/>
  <c r="I105" i="6884"/>
  <c r="H106" i="6884"/>
  <c r="H105" i="6884"/>
  <c r="G106" i="6884"/>
  <c r="G105" i="6884"/>
  <c r="S103" i="6884"/>
  <c r="Q103" i="6884"/>
  <c r="P103" i="6884"/>
  <c r="O103" i="6884"/>
  <c r="J103" i="6884"/>
  <c r="I103" i="6884"/>
  <c r="H103" i="6884"/>
  <c r="G103" i="6884"/>
  <c r="S101" i="6884"/>
  <c r="S100" i="6884"/>
  <c r="Q101" i="6884"/>
  <c r="Q100" i="6884"/>
  <c r="P101" i="6884"/>
  <c r="P100" i="6884"/>
  <c r="O101" i="6884"/>
  <c r="O100" i="6884"/>
  <c r="J101" i="6884"/>
  <c r="J100" i="6884"/>
  <c r="I101" i="6884"/>
  <c r="I100" i="6884"/>
  <c r="H101" i="6884"/>
  <c r="H100" i="6884"/>
  <c r="G101" i="6884"/>
  <c r="G100" i="6884"/>
  <c r="S98" i="6884"/>
  <c r="R98" i="6884"/>
  <c r="Q98" i="6884"/>
  <c r="P98" i="6884"/>
  <c r="O98" i="6884"/>
  <c r="J98" i="6884"/>
  <c r="I98" i="6884"/>
  <c r="H98" i="6884"/>
  <c r="G98" i="6884"/>
  <c r="S96" i="6884"/>
  <c r="S95" i="6884"/>
  <c r="R96" i="6884"/>
  <c r="R95" i="6884"/>
  <c r="Q96" i="6884"/>
  <c r="Q95" i="6884"/>
  <c r="P96" i="6884"/>
  <c r="P95" i="6884"/>
  <c r="O96" i="6884"/>
  <c r="O95" i="6884"/>
  <c r="J96" i="6884"/>
  <c r="J95" i="6884"/>
  <c r="I96" i="6884"/>
  <c r="I95" i="6884"/>
  <c r="H96" i="6884"/>
  <c r="H95" i="6884"/>
  <c r="G96" i="6884"/>
  <c r="G95" i="6884"/>
  <c r="AD93" i="6884"/>
  <c r="AD92" i="6884"/>
  <c r="AC93" i="6884"/>
  <c r="AC92" i="6884"/>
  <c r="AB93" i="6884"/>
  <c r="AB92" i="6884"/>
  <c r="Y93" i="6884"/>
  <c r="Y92" i="6884"/>
  <c r="X93" i="6884"/>
  <c r="X92" i="6884"/>
  <c r="W93" i="6884"/>
  <c r="W92" i="6884"/>
  <c r="V93" i="6884"/>
  <c r="V92" i="6884"/>
  <c r="S93" i="6884"/>
  <c r="S92" i="6884"/>
  <c r="Q93" i="6884"/>
  <c r="Q92" i="6884"/>
  <c r="P93" i="6884"/>
  <c r="P92" i="6884"/>
  <c r="O93" i="6884"/>
  <c r="O92" i="6884"/>
  <c r="I93" i="6884"/>
  <c r="I92" i="6884"/>
  <c r="H93" i="6884"/>
  <c r="H92" i="6884"/>
  <c r="G93" i="6884"/>
  <c r="G92" i="6884"/>
  <c r="S90" i="6884"/>
  <c r="S89" i="6884"/>
  <c r="Q90" i="6884"/>
  <c r="Q89" i="6884"/>
  <c r="P90" i="6884"/>
  <c r="P89" i="6884"/>
  <c r="O90" i="6884"/>
  <c r="O89" i="6884"/>
  <c r="J90" i="6884"/>
  <c r="J89" i="6884"/>
  <c r="I90" i="6884"/>
  <c r="I89" i="6884"/>
  <c r="H90" i="6884"/>
  <c r="H89" i="6884"/>
  <c r="G90" i="6884"/>
  <c r="G89" i="6884"/>
  <c r="S87" i="6884"/>
  <c r="S86" i="6884"/>
  <c r="Q87" i="6884"/>
  <c r="Q86" i="6884"/>
  <c r="P87" i="6884"/>
  <c r="P86" i="6884"/>
  <c r="O87" i="6884"/>
  <c r="O86" i="6884"/>
  <c r="J87" i="6884"/>
  <c r="J86" i="6884"/>
  <c r="I87" i="6884"/>
  <c r="I86" i="6884"/>
  <c r="H87" i="6884"/>
  <c r="H86" i="6884"/>
  <c r="G87" i="6884"/>
  <c r="G86" i="6884"/>
  <c r="S84" i="6884"/>
  <c r="S83" i="6884"/>
  <c r="Q84" i="6884"/>
  <c r="Q83" i="6884"/>
  <c r="P84" i="6884"/>
  <c r="P83" i="6884"/>
  <c r="O84" i="6884"/>
  <c r="O83" i="6884"/>
  <c r="J84" i="6884"/>
  <c r="J83" i="6884"/>
  <c r="I84" i="6884"/>
  <c r="I83" i="6884"/>
  <c r="H84" i="6884"/>
  <c r="H83" i="6884"/>
  <c r="G84" i="6884"/>
  <c r="G83" i="6884"/>
  <c r="S81" i="6884"/>
  <c r="S80" i="6884"/>
  <c r="Q81" i="6884"/>
  <c r="Q80" i="6884"/>
  <c r="P81" i="6884"/>
  <c r="P80" i="6884"/>
  <c r="O81" i="6884"/>
  <c r="O80" i="6884"/>
  <c r="J81" i="6884"/>
  <c r="J80" i="6884"/>
  <c r="I81" i="6884"/>
  <c r="I80" i="6884"/>
  <c r="H81" i="6884"/>
  <c r="H80" i="6884"/>
  <c r="G81" i="6884"/>
  <c r="G80" i="6884"/>
  <c r="S78" i="6884"/>
  <c r="S77" i="6884"/>
  <c r="Q78" i="6884"/>
  <c r="Q77" i="6884"/>
  <c r="P78" i="6884"/>
  <c r="P77" i="6884"/>
  <c r="O78" i="6884"/>
  <c r="O77" i="6884"/>
  <c r="J78" i="6884"/>
  <c r="J77" i="6884"/>
  <c r="I78" i="6884"/>
  <c r="I77" i="6884"/>
  <c r="H78" i="6884"/>
  <c r="H77" i="6884"/>
  <c r="G78" i="6884"/>
  <c r="G77" i="6884"/>
  <c r="S75" i="6884"/>
  <c r="S74" i="6884"/>
  <c r="Q75" i="6884"/>
  <c r="Q74" i="6884"/>
  <c r="P75" i="6884"/>
  <c r="P74" i="6884"/>
  <c r="O75" i="6884"/>
  <c r="O74" i="6884"/>
  <c r="L75" i="6884"/>
  <c r="L74" i="6884"/>
  <c r="J75" i="6884"/>
  <c r="J74" i="6884"/>
  <c r="I75" i="6884"/>
  <c r="I74" i="6884"/>
  <c r="H75" i="6884"/>
  <c r="H74" i="6884"/>
  <c r="G75" i="6884"/>
  <c r="G74" i="6884"/>
  <c r="S72" i="6884"/>
  <c r="S71" i="6884"/>
  <c r="Q72" i="6884"/>
  <c r="Q71" i="6884"/>
  <c r="P72" i="6884"/>
  <c r="P71" i="6884"/>
  <c r="O72" i="6884"/>
  <c r="O71" i="6884"/>
  <c r="L72" i="6884"/>
  <c r="L71" i="6884"/>
  <c r="J72" i="6884"/>
  <c r="J71" i="6884"/>
  <c r="I72" i="6884"/>
  <c r="I71" i="6884"/>
  <c r="H72" i="6884"/>
  <c r="H71" i="6884"/>
  <c r="G72" i="6884"/>
  <c r="G71" i="6884"/>
  <c r="S69" i="6884"/>
  <c r="S68" i="6884"/>
  <c r="Q69" i="6884"/>
  <c r="Q68" i="6884"/>
  <c r="P69" i="6884"/>
  <c r="P68" i="6884"/>
  <c r="O69" i="6884"/>
  <c r="O68" i="6884"/>
  <c r="L69" i="6884"/>
  <c r="L68" i="6884"/>
  <c r="J69" i="6884"/>
  <c r="J68" i="6884"/>
  <c r="I69" i="6884"/>
  <c r="I68" i="6884"/>
  <c r="H69" i="6884"/>
  <c r="H68" i="6884"/>
  <c r="G69" i="6884"/>
  <c r="G68" i="6884"/>
  <c r="S66" i="6884"/>
  <c r="S65" i="6884"/>
  <c r="Q66" i="6884"/>
  <c r="Q65" i="6884"/>
  <c r="P66" i="6884"/>
  <c r="P65" i="6884"/>
  <c r="O66" i="6884"/>
  <c r="O65" i="6884"/>
  <c r="J66" i="6884"/>
  <c r="J65" i="6884"/>
  <c r="I66" i="6884"/>
  <c r="I65" i="6884"/>
  <c r="H66" i="6884"/>
  <c r="H65" i="6884"/>
  <c r="G66" i="6884"/>
  <c r="G65" i="6884"/>
  <c r="S63" i="6884"/>
  <c r="S62" i="6884"/>
  <c r="Q63" i="6884"/>
  <c r="Q62" i="6884"/>
  <c r="P63" i="6884"/>
  <c r="P62" i="6884"/>
  <c r="O63" i="6884"/>
  <c r="O62" i="6884"/>
  <c r="J63" i="6884"/>
  <c r="J62" i="6884"/>
  <c r="I63" i="6884"/>
  <c r="I62" i="6884"/>
  <c r="H63" i="6884"/>
  <c r="H62" i="6884"/>
  <c r="G63" i="6884"/>
  <c r="G62" i="6884"/>
  <c r="S60" i="6884"/>
  <c r="S59" i="6884"/>
  <c r="Q60" i="6884"/>
  <c r="Q59" i="6884"/>
  <c r="P60" i="6884"/>
  <c r="P59" i="6884"/>
  <c r="O60" i="6884"/>
  <c r="O59" i="6884"/>
  <c r="J60" i="6884"/>
  <c r="J59" i="6884"/>
  <c r="I60" i="6884"/>
  <c r="I59" i="6884"/>
  <c r="H60" i="6884"/>
  <c r="H59" i="6884"/>
  <c r="G60" i="6884"/>
  <c r="G59" i="6884"/>
  <c r="S57" i="6884"/>
  <c r="S56" i="6884"/>
  <c r="Q57" i="6884"/>
  <c r="Q56" i="6884"/>
  <c r="P57" i="6884"/>
  <c r="P56" i="6884"/>
  <c r="O57" i="6884"/>
  <c r="O56" i="6884"/>
  <c r="J57" i="6884"/>
  <c r="J56" i="6884"/>
  <c r="I57" i="6884"/>
  <c r="I56" i="6884"/>
  <c r="H57" i="6884"/>
  <c r="H56" i="6884"/>
  <c r="G57" i="6884"/>
  <c r="G56" i="6884"/>
  <c r="S54" i="6884"/>
  <c r="S53" i="6884"/>
  <c r="Q54" i="6884"/>
  <c r="Q53" i="6884"/>
  <c r="P54" i="6884"/>
  <c r="P53" i="6884"/>
  <c r="O54" i="6884"/>
  <c r="O53" i="6884"/>
  <c r="J54" i="6884"/>
  <c r="J53" i="6884"/>
  <c r="I54" i="6884"/>
  <c r="I53" i="6884"/>
  <c r="H54" i="6884"/>
  <c r="H53" i="6884"/>
  <c r="G54" i="6884"/>
  <c r="G53" i="6884"/>
  <c r="S51" i="6884"/>
  <c r="S50" i="6884"/>
  <c r="Q51" i="6884"/>
  <c r="Q50" i="6884"/>
  <c r="P51" i="6884"/>
  <c r="P50" i="6884"/>
  <c r="O51" i="6884"/>
  <c r="O50" i="6884"/>
  <c r="J51" i="6884"/>
  <c r="J50" i="6884"/>
  <c r="I51" i="6884"/>
  <c r="I50" i="6884"/>
  <c r="H51" i="6884"/>
  <c r="H50" i="6884"/>
  <c r="G51" i="6884"/>
  <c r="G50" i="6884"/>
  <c r="S48" i="6884"/>
  <c r="S47" i="6884"/>
  <c r="R48" i="6884"/>
  <c r="R47" i="6884"/>
  <c r="Q48" i="6884"/>
  <c r="Q47" i="6884"/>
  <c r="P48" i="6884"/>
  <c r="P47" i="6884"/>
  <c r="O48" i="6884"/>
  <c r="O47" i="6884"/>
  <c r="J48" i="6884"/>
  <c r="J47" i="6884"/>
  <c r="I48" i="6884"/>
  <c r="I47" i="6884"/>
  <c r="H48" i="6884"/>
  <c r="H47" i="6884"/>
  <c r="G48" i="6884"/>
  <c r="G47" i="6884"/>
  <c r="S45" i="6884"/>
  <c r="S44" i="6884"/>
  <c r="R45" i="6884"/>
  <c r="R44" i="6884"/>
  <c r="Q45" i="6884"/>
  <c r="Q44" i="6884"/>
  <c r="P45" i="6884"/>
  <c r="P44" i="6884"/>
  <c r="O45" i="6884"/>
  <c r="O44" i="6884"/>
  <c r="J45" i="6884"/>
  <c r="J44" i="6884"/>
  <c r="I45" i="6884"/>
  <c r="I44" i="6884"/>
  <c r="H45" i="6884"/>
  <c r="H44" i="6884"/>
  <c r="G45" i="6884"/>
  <c r="G44" i="6884"/>
  <c r="R42" i="6884"/>
  <c r="R41" i="6884"/>
  <c r="Q42" i="6884"/>
  <c r="Q41" i="6884"/>
  <c r="P42" i="6884"/>
  <c r="P41" i="6884"/>
  <c r="O42" i="6884"/>
  <c r="O41" i="6884"/>
  <c r="J42" i="6884"/>
  <c r="J41" i="6884"/>
  <c r="I42" i="6884"/>
  <c r="I41" i="6884"/>
  <c r="H42" i="6884"/>
  <c r="H41" i="6884"/>
  <c r="G42" i="6884"/>
  <c r="G41" i="6884"/>
  <c r="R39" i="6884"/>
  <c r="R38" i="6884"/>
  <c r="Q39" i="6884"/>
  <c r="Q38" i="6884"/>
  <c r="P39" i="6884"/>
  <c r="P38" i="6884"/>
  <c r="O39" i="6884"/>
  <c r="O38" i="6884"/>
  <c r="J39" i="6884"/>
  <c r="J38" i="6884"/>
  <c r="I39" i="6884"/>
  <c r="I38" i="6884"/>
  <c r="H39" i="6884"/>
  <c r="H38" i="6884"/>
  <c r="G39" i="6884"/>
  <c r="G38" i="6884"/>
  <c r="R36" i="6884"/>
  <c r="R35" i="6884"/>
  <c r="Q36" i="6884"/>
  <c r="Q35" i="6884"/>
  <c r="P36" i="6884"/>
  <c r="P35" i="6884"/>
  <c r="O36" i="6884"/>
  <c r="O35" i="6884"/>
  <c r="J36" i="6884"/>
  <c r="J35" i="6884"/>
  <c r="I36" i="6884"/>
  <c r="I35" i="6884"/>
  <c r="H36" i="6884"/>
  <c r="H35" i="6884"/>
  <c r="G36" i="6884"/>
  <c r="G35" i="6884"/>
  <c r="R33" i="6884"/>
  <c r="R32" i="6884"/>
  <c r="Q33" i="6884"/>
  <c r="Q32" i="6884"/>
  <c r="P33" i="6884"/>
  <c r="P32" i="6884"/>
  <c r="O33" i="6884"/>
  <c r="O32" i="6884"/>
  <c r="J33" i="6884"/>
  <c r="J32" i="6884"/>
  <c r="I33" i="6884"/>
  <c r="I32" i="6884"/>
  <c r="H33" i="6884"/>
  <c r="H32" i="6884"/>
  <c r="G33" i="6884"/>
  <c r="G32" i="6884"/>
  <c r="R30" i="6884"/>
  <c r="R29" i="6884"/>
  <c r="Q30" i="6884"/>
  <c r="Q29" i="6884"/>
  <c r="P30" i="6884"/>
  <c r="P29" i="6884"/>
  <c r="O30" i="6884"/>
  <c r="O29" i="6884"/>
  <c r="J30" i="6884"/>
  <c r="J29" i="6884"/>
  <c r="I30" i="6884"/>
  <c r="I29" i="6884"/>
  <c r="H30" i="6884"/>
  <c r="H29" i="6884"/>
  <c r="G30" i="6884"/>
  <c r="G29" i="6884"/>
  <c r="R27" i="6884"/>
  <c r="R26" i="6884"/>
  <c r="Q27" i="6884"/>
  <c r="Q26" i="6884"/>
  <c r="P27" i="6884"/>
  <c r="P26" i="6884"/>
  <c r="O27" i="6884"/>
  <c r="O26" i="6884"/>
  <c r="J27" i="6884"/>
  <c r="J26" i="6884"/>
  <c r="I27" i="6884"/>
  <c r="I26" i="6884"/>
  <c r="H27" i="6884"/>
  <c r="H26" i="6884"/>
  <c r="G27" i="6884"/>
  <c r="G26" i="6884"/>
  <c r="R24" i="6884"/>
  <c r="R23" i="6884"/>
  <c r="Q24" i="6884"/>
  <c r="Q23" i="6884"/>
  <c r="P24" i="6884"/>
  <c r="P23" i="6884"/>
  <c r="O24" i="6884"/>
  <c r="O23" i="6884"/>
  <c r="J24" i="6884"/>
  <c r="J23" i="6884"/>
  <c r="I24" i="6884"/>
  <c r="I23" i="6884"/>
  <c r="H24" i="6884"/>
  <c r="H23" i="6884"/>
  <c r="G24" i="6884"/>
  <c r="G23" i="6884"/>
  <c r="R21" i="6884"/>
  <c r="R20" i="6884"/>
  <c r="Q21" i="6884"/>
  <c r="Q20" i="6884"/>
  <c r="P21" i="6884"/>
  <c r="P20" i="6884"/>
  <c r="O21" i="6884"/>
  <c r="O20" i="6884"/>
  <c r="J21" i="6884"/>
  <c r="J20" i="6884"/>
  <c r="I21" i="6884"/>
  <c r="I20" i="6884"/>
  <c r="H21" i="6884"/>
  <c r="H20" i="6884"/>
  <c r="G21" i="6884"/>
  <c r="G20" i="6884"/>
  <c r="S18" i="6884"/>
  <c r="S17" i="6884"/>
  <c r="R18" i="6884"/>
  <c r="R17" i="6884"/>
  <c r="Q18" i="6884"/>
  <c r="Q17" i="6884"/>
  <c r="P18" i="6884"/>
  <c r="P17" i="6884"/>
  <c r="O18" i="6884"/>
  <c r="O17" i="6884"/>
  <c r="J18" i="6884"/>
  <c r="J17" i="6884"/>
  <c r="I18" i="6884"/>
  <c r="I17" i="6884"/>
  <c r="H18" i="6884"/>
  <c r="H17" i="6884"/>
  <c r="G18" i="6884"/>
  <c r="G17" i="6884"/>
  <c r="S15" i="6884"/>
  <c r="S14" i="6884"/>
  <c r="R15" i="6884"/>
  <c r="R14" i="6884"/>
  <c r="Q15" i="6884"/>
  <c r="Q14" i="6884"/>
  <c r="P15" i="6884"/>
  <c r="P14" i="6884"/>
  <c r="O15" i="6884"/>
  <c r="O14" i="6884"/>
  <c r="J15" i="6884"/>
  <c r="J14" i="6884"/>
  <c r="I15" i="6884"/>
  <c r="I14" i="6884"/>
  <c r="H15" i="6884"/>
  <c r="H14" i="6884"/>
  <c r="G15" i="6884"/>
  <c r="G14" i="6884"/>
  <c r="S12" i="6884"/>
  <c r="S11" i="6884"/>
  <c r="R12" i="6884"/>
  <c r="R11" i="6884"/>
  <c r="Q12" i="6884"/>
  <c r="Q11" i="6884"/>
  <c r="P12" i="6884"/>
  <c r="P11" i="6884"/>
  <c r="O12" i="6884"/>
  <c r="O11" i="6884"/>
  <c r="J12" i="6884"/>
  <c r="J11" i="6884"/>
  <c r="I12" i="6884"/>
  <c r="I11" i="6884"/>
  <c r="H12" i="6884"/>
  <c r="H11" i="6884"/>
  <c r="G12" i="6884"/>
  <c r="G11" i="6884"/>
  <c r="S9" i="6884"/>
  <c r="S8" i="6884"/>
  <c r="R9" i="6884"/>
  <c r="R8" i="6884"/>
  <c r="Q9" i="6884"/>
  <c r="Q8" i="6884"/>
  <c r="P9" i="6884"/>
  <c r="P8" i="6884"/>
  <c r="O9" i="6884"/>
  <c r="O8" i="6884"/>
  <c r="N9" i="6884"/>
  <c r="N8" i="6884"/>
  <c r="J9" i="6884"/>
  <c r="J8" i="6884"/>
  <c r="I9" i="6884"/>
  <c r="I8" i="6884"/>
  <c r="H9" i="6884"/>
  <c r="H8" i="6884"/>
  <c r="G9" i="6884"/>
  <c r="G8" i="6884"/>
  <c r="S6" i="6884"/>
  <c r="S5" i="6884"/>
  <c r="R6" i="6884"/>
  <c r="R5" i="6884"/>
  <c r="Q6" i="6884"/>
  <c r="Q5" i="6884"/>
  <c r="P6" i="6884"/>
  <c r="P5" i="6884"/>
  <c r="O6" i="6884"/>
  <c r="O5" i="6884"/>
  <c r="N6" i="6884"/>
  <c r="N5" i="6884"/>
  <c r="J6" i="6884"/>
  <c r="J5" i="6884"/>
  <c r="I6" i="6884"/>
  <c r="I5" i="6884"/>
  <c r="H6" i="6884"/>
  <c r="H5" i="6884"/>
  <c r="G6" i="6884"/>
  <c r="G5" i="6884"/>
  <c r="C6" i="6884"/>
  <c r="C5" i="6884"/>
  <c r="B57" i="6884"/>
  <c r="B56" i="6884"/>
  <c r="B55" i="6884"/>
  <c r="B54" i="6884"/>
  <c r="B53" i="6884"/>
  <c r="B52" i="6884"/>
  <c r="B51" i="6884"/>
  <c r="B50" i="6884"/>
  <c r="B49" i="6884"/>
  <c r="B48" i="6884"/>
  <c r="B47" i="6884"/>
  <c r="B46" i="6884"/>
  <c r="B45" i="6884"/>
  <c r="B44" i="6884"/>
  <c r="B43" i="6884"/>
  <c r="B42" i="6884"/>
  <c r="B41" i="6884"/>
  <c r="B40" i="6884"/>
  <c r="B39" i="6884"/>
  <c r="B38" i="6884"/>
  <c r="B37" i="6884"/>
  <c r="B36" i="6884"/>
  <c r="B35" i="6884"/>
  <c r="B34" i="6884"/>
  <c r="B33" i="6884"/>
  <c r="B32" i="6884"/>
  <c r="B31" i="6884"/>
  <c r="B30" i="6884"/>
  <c r="B29" i="6884"/>
  <c r="B28" i="6884"/>
  <c r="B27" i="6884"/>
  <c r="B26" i="6884"/>
  <c r="B25" i="6884"/>
  <c r="B24" i="6884"/>
  <c r="B23" i="6884"/>
  <c r="B22" i="6884"/>
  <c r="B21" i="6884"/>
  <c r="B20" i="6884"/>
  <c r="B19" i="6884"/>
  <c r="B18" i="6884"/>
  <c r="B17" i="6884"/>
  <c r="B16" i="6884"/>
  <c r="B15" i="6884"/>
  <c r="B14" i="6884"/>
  <c r="B13" i="6884"/>
  <c r="B12" i="6884"/>
  <c r="B11" i="6884"/>
  <c r="B10" i="6884"/>
  <c r="B9" i="6884"/>
  <c r="B8" i="6884"/>
  <c r="B7" i="6884"/>
  <c r="B6" i="6884"/>
  <c r="B5" i="6884"/>
  <c r="A19" i="6884"/>
  <c r="A18" i="6884"/>
  <c r="A17" i="6884"/>
  <c r="A16" i="6884"/>
  <c r="A15" i="6884"/>
  <c r="A14" i="6884"/>
  <c r="A13" i="6884"/>
  <c r="A12" i="6884"/>
  <c r="A11" i="6884"/>
  <c r="A10" i="6884"/>
  <c r="A9" i="6884"/>
  <c r="A8" i="6884"/>
  <c r="A7" i="6884"/>
  <c r="A6" i="6884"/>
  <c r="A5" i="68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tc={A0AD20EF-63E4-4121-9E7A-F0B0C523A610}</author>
    <author>tc={810F8C9B-FE39-4CDB-9F08-B6C8AC5CC17B}</author>
    <author>tc={BBF56697-E839-40A9-ACBD-01B341DBD08A}</author>
    <author>tc={50B0579A-89F9-49A0-86E9-C7EE2FF3E036}</author>
    <author>tc={B50BB948-EBFF-4CF3-B926-0856D431F93D}</author>
    <author>tc={644ABBB7-AAE1-4F15-A60E-867FC7E02533}</author>
    <author>tc={AC812EB9-9D3E-4651-938D-00A4C2F06681}</author>
    <author>tc={A9B29D96-B404-4A57-8B8A-C26180749566}</author>
    <author>tc={3D05D977-B053-4026-BCE9-2DFFEFC4DB9A}</author>
    <author>tc={56D0CF4F-63B9-47DA-A471-958BC97D620A}</author>
    <author>tc={B3708C3C-61DD-4824-85ED-BD6A2C176750}</author>
    <author>tc={AA9A037F-D0DD-47CB-BC89-ABFE166F5ACA}</author>
    <author>tc={A093F8C2-0B73-430A-9D10-375C90C77FAE}</author>
    <author>tc={DC9C1ED8-D144-4730-9D3F-AEF1E67170A2}</author>
  </authors>
  <commentList>
    <comment ref="C11" authorId="0" shapeId="0" xr:uid="{A0AD20EF-63E4-4121-9E7A-F0B0C523A61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1st Row</t>
        </r>
      </text>
    </comment>
    <comment ref="C12" authorId="1" shapeId="0" xr:uid="{810F8C9B-FE39-4CDB-9F08-B6C8AC5CC1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2nd Row</t>
        </r>
      </text>
    </comment>
    <comment ref="C13" authorId="2" shapeId="0" xr:uid="{BBF56697-E839-40A9-ACBD-01B341DBD08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3rd row</t>
        </r>
      </text>
    </comment>
    <comment ref="C14" authorId="3" shapeId="0" xr:uid="{50B0579A-89F9-49A0-86E9-C7EE2FF3E03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4th row</t>
        </r>
      </text>
    </comment>
    <comment ref="B34" authorId="4" shapeId="0" xr:uid="{B50BB948-EBFF-4CF3-B926-0856D431F93D}">
      <text>
        <r>
          <rPr>
            <sz val="11"/>
            <color theme="1"/>
            <rFont val="Calibri"/>
            <family val="2"/>
            <scheme val="minor"/>
          </rPr>
          <t>For thermal power plants where FLHs are not stated in the TC, a generic value of 4000 FLHs is utilised, unless the user inserts a new value.</t>
        </r>
      </text>
    </comment>
    <comment ref="B48" authorId="5" shapeId="0" xr:uid="{644ABBB7-AAE1-4F15-A60E-867FC7E0253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7" authorId="6" shapeId="0" xr:uid="{AC812EB9-9D3E-4651-938D-00A4C2F0668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60" authorId="7" shapeId="0" xr:uid="{A9B29D96-B404-4A57-8B8A-C261807495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64" authorId="8" shapeId="0" xr:uid="{3D05D977-B053-4026-BCE9-2DFFEFC4DB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Default: 0</t>
        </r>
      </text>
    </comment>
    <comment ref="B68" authorId="9" shapeId="0" xr:uid="{56D0CF4F-63B9-47DA-A471-958BC97D620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5" authorId="10" shapeId="0" xr:uid="{B3708C3C-61DD-4824-85ED-BD6A2C17675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79" authorId="11" shapeId="0" xr:uid="{AA9A037F-D0DD-47CB-BC89-ABFE166F5AC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88" authorId="12" shapeId="0" xr:uid="{A093F8C2-0B73-430A-9D10-375C90C77FA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89" authorId="13" shapeId="0" xr:uid="{DC9C1ED8-D144-4730-9D3F-AEF1E67170A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tc={F5D5486A-EFF5-430A-A755-52D416D752E1}</author>
    <author>tc={359EDEF5-6110-46EB-AB03-CE5CA4B66C21}</author>
    <author>tc={ECAA8311-A93D-4A34-893D-A15B2D985CD9}</author>
    <author>tc={BC941C60-A8EF-4D3C-9ABF-FE4E5DACD7AF}</author>
    <author>tc={0341FCBA-4A09-4DD3-9897-59ABADCB2B5C}</author>
    <author>tc={43E382CE-5549-44F6-ACE5-EB0F4A3D6807}</author>
    <author>tc={0EAC75FF-6562-4B94-95D3-F974A157C1CF}</author>
    <author>tc={92912556-5642-4589-8BE3-38DC5F904927}</author>
    <author>tc={A912D14B-F9FD-47AC-B77B-E40C6FEDD966}</author>
    <author>tc={F1016D3B-8E97-4AB9-A8EB-76E10FC01985}</author>
  </authors>
  <commentList>
    <comment ref="B34" authorId="0" shapeId="0" xr:uid="{F5D5486A-EFF5-430A-A755-52D416D752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thermal power plants where there is an absence of FLHs stated in the TC, a generic value of 4000 FLHs is utilised, unless the user inserts a new value.</t>
        </r>
      </text>
    </comment>
    <comment ref="B48" authorId="1" shapeId="0" xr:uid="{359EDEF5-6110-46EB-AB03-CE5CA4B66C2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9" authorId="2" shapeId="0" xr:uid="{ECAA8311-A93D-4A34-893D-A15B2D985CD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C59" authorId="3" shapeId="0" xr:uid="{BC941C60-A8EF-4D3C-9ABF-FE4E5DACD7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If coupled to the indicated technologies listed on the right, choose 0</t>
        </r>
      </text>
    </comment>
    <comment ref="B62" authorId="4" shapeId="0" xr:uid="{0341FCBA-4A09-4DD3-9897-59ABADCB2B5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70" authorId="5" shapeId="0" xr:uid="{43E382CE-5549-44F6-ACE5-EB0F4A3D68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7" authorId="6" shapeId="0" xr:uid="{0EAC75FF-6562-4B94-95D3-F974A157C1C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81" authorId="7" shapeId="0" xr:uid="{92912556-5642-4589-8BE3-38DC5F90492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98" authorId="8" shapeId="0" xr:uid="{A912D14B-F9FD-47AC-B77B-E40C6FEDD96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99" authorId="9" shapeId="0" xr:uid="{F1016D3B-8E97-4AB9-A8EB-76E10FC01985}">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tc={9E51C94A-658E-4E87-8A64-6880AF049149}</author>
    <author>tc={B667D403-396F-4EA8-A4D5-D213596837AE}</author>
    <author>tc={37D42EF7-1852-484F-8581-57CC351D92F0}</author>
    <author>tc={328BA8C0-5147-42F8-8E85-DB470A87DAB9}</author>
    <author>tc={14C8C924-B0EC-421B-A6A3-2CC6731F4C5C}</author>
    <author>tc={52F99A4B-8D8F-4F1E-A547-2AEFE1187355}</author>
    <author>tc={7A5978D3-0176-4B73-BD22-2D71DEBD78FF}</author>
    <author>tc={F25F7469-B40F-464E-8E38-77829E21CB67}</author>
    <author>tc={64E6E2D0-57DC-41B8-BD00-7E59CD6842CA}</author>
    <author>tc={63DE63D3-3FF2-47C8-86D5-6E724DBC77B3}</author>
    <author>tc={225A8091-A1F9-4CC1-8522-48F71A6827F7}</author>
    <author>tc={BCB41965-855F-4B5C-8AF3-0997A83B9410}</author>
    <author>tc={D76CC451-A83A-49F3-8C20-A963CB65FD20}</author>
    <author>tc={B3DC1362-1485-4E8D-B7B7-FD239CE93AE7}</author>
    <author>tc={8E90C79F-9779-433B-B892-EB1AA0813849}</author>
    <author>tc={2F5C67CF-17C2-4D53-B2CF-21FDD83AD651}</author>
    <author>tc={8E5DDBDA-8097-4B12-BA64-F2CA3C086A24}</author>
    <author>tc={F3799E70-9FFB-4443-B947-1592AF49CC31}</author>
    <author>tc={3302AD98-B7A9-4A24-A84A-219FD6ADCF4A}</author>
  </authors>
  <commentList>
    <comment ref="M3" authorId="0" shapeId="0" xr:uid="{9E51C94A-658E-4E87-8A64-6880AF0491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Costs adjusted adjusted from the cost database ("Fuel Costs" sheet)  to the corresponding input data price level seen in column E.
Remember to update the Cost database levels to the correct price level.</t>
        </r>
      </text>
    </comment>
    <comment ref="O3" authorId="1" shapeId="0" xr:uid="{B667D403-396F-4EA8-A4D5-D213596837A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The year in which the technology becomes available, and therefore reflecting the cost levels and technological specifications of the projection.</t>
        </r>
      </text>
    </comment>
    <comment ref="S3" authorId="2" shapeId="0" xr:uid="{37D42EF7-1852-484F-8581-57CC351D92F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Total Input to Total Output</t>
        </r>
      </text>
    </comment>
    <comment ref="X3" authorId="3" shapeId="0" xr:uid="{328BA8C0-5147-42F8-8E85-DB470A87DAB9}">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Cycle life specified as the number of cycles at 1C/1C to 80% state-of-health </t>
        </r>
      </text>
    </comment>
    <comment ref="E126" authorId="4" shapeId="0" xr:uid="{14C8C924-B0EC-421B-A6A3-2CC6731F4C5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Supercritical</t>
        </r>
      </text>
    </comment>
    <comment ref="E127" authorId="5" shapeId="0" xr:uid="{52F99A4B-8D8F-4F1E-A547-2AEFE118735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SCGT</t>
        </r>
      </text>
    </comment>
    <comment ref="D128" authorId="6" shapeId="0" xr:uid="{7A5978D3-0176-4B73-BD22-2D71DEBD78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29" authorId="7" shapeId="0" xr:uid="{F25F7469-B40F-464E-8E38-77829E21CB6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30" authorId="8" shapeId="0" xr:uid="{64E6E2D0-57DC-41B8-BD00-7E59CD6842C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31" authorId="9" shapeId="0" xr:uid="{63DE63D3-3FF2-47C8-86D5-6E724DBC77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32" authorId="10" shapeId="0" xr:uid="{225A8091-A1F9-4CC1-8522-48F71A6827F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33" authorId="11" shapeId="0" xr:uid="{BCB41965-855F-4B5C-8AF3-0997A83B941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 For other costs, the original plant specifications are adjusted per TC percentage. For efficiencies, the original plant specifications are adjusted per TC percentage points</t>
        </r>
      </text>
    </comment>
    <comment ref="D134" authorId="12" shapeId="0" xr:uid="{D76CC451-A83A-49F3-8C20-A963CB65FD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35" authorId="13" shapeId="0" xr:uid="{B3DC1362-1485-4E8D-B7B7-FD239CE93AE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36" authorId="14" shapeId="0" xr:uid="{8E90C79F-9779-433B-B892-EB1AA08138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37" authorId="15" shapeId="0" xr:uid="{2F5C67CF-17C2-4D53-B2CF-21FDD83AD6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38" authorId="16" shapeId="0" xr:uid="{8E5DDBDA-8097-4B12-BA64-F2CA3C086A2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39" authorId="17" shapeId="0" xr:uid="{F3799E70-9FFB-4443-B947-1592AF49CC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 ref="D140" authorId="18" shapeId="0" xr:uid="{3302AD98-B7A9-4A24-A84A-219FD6ADCF4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Only additional costs for CAPEX</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tc={9671DF08-1F5B-4883-87AE-1941A5711C0F}</author>
    <author>tc={8213FB4D-A5AD-4958-9DF7-C6589535743B}</author>
    <author>tc={78397769-8DA7-436C-BBCD-FA8058511A68}</author>
    <author>tc={8C835C40-71F5-4BFC-9998-73A029A3391E}</author>
    <author>tc={D19EFBC9-3A35-4CEF-887F-401CFE351891}</author>
    <author>tc={62217673-44D2-4885-95C5-C1A0E58676F1}</author>
    <author>tc={C8FDD397-01B7-49D9-AAD1-CC56883FEF13}</author>
    <author>tc={6613F7C8-6FCC-4050-99EA-B282497D383F}</author>
    <author>tc={5AF47D35-3C7D-44F1-8B52-EB4C6FAC58C2}</author>
    <author>tc={232C77C7-E510-4108-BB13-B69AA6B08A71}</author>
  </authors>
  <commentList>
    <comment ref="B34" authorId="0" shapeId="0" xr:uid="{9671DF08-1F5B-4883-87AE-1941A5711C0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thermal power plants where there is an absence of FLHs stated in the TC, a generic value of 4000 FLHs is utilised, unless the user inserts a new value.</t>
        </r>
      </text>
    </comment>
    <comment ref="B48" authorId="1" shapeId="0" xr:uid="{8213FB4D-A5AD-4958-9DF7-C658953574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7" authorId="2" shapeId="0" xr:uid="{78397769-8DA7-436C-BBCD-FA8058511A6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60" authorId="3" shapeId="0" xr:uid="{8C835C40-71F5-4BFC-9998-73A029A3391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64" authorId="4" shapeId="0" xr:uid="{D19EFBC9-3A35-4CEF-887F-401CFE3518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Default: 0</t>
        </r>
      </text>
    </comment>
    <comment ref="B68" authorId="5" shapeId="0" xr:uid="{62217673-44D2-4885-95C5-C1A0E58676F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5" authorId="6" shapeId="0" xr:uid="{C8FDD397-01B7-49D9-AAD1-CC56883FEF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79" authorId="7" shapeId="0" xr:uid="{6613F7C8-6FCC-4050-99EA-B282497D38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88" authorId="8" shapeId="0" xr:uid="{5AF47D35-3C7D-44F1-8B52-EB4C6FAC58C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89" authorId="9" shapeId="0" xr:uid="{232C77C7-E510-4108-BB13-B69AA6B08A71}">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tc={8B3718B9-4949-48BB-9EED-25DE2F1229ED}</author>
    <author>tc={DA960A47-38D6-4240-9D72-AE3FE79B29BE}</author>
    <author>tc={6B60A135-6801-457F-8BBA-4609E3336AA2}</author>
    <author>tc={2EE7712B-2399-4100-A50D-9EF5A17E334D}</author>
    <author>tc={35FCD999-D234-4C49-B5D6-6F674E1BEC6A}</author>
    <author>tc={ECAC5FB5-A86D-49C0-89A7-25CCF1F94096}</author>
    <author>tc={486A0316-B547-4D0D-8359-C80B6B191BFF}</author>
    <author>tc={24BF44B0-88DF-4364-890A-853FDB56EB59}</author>
    <author>tc={827CF758-494A-4780-ADD7-DC4021A94D81}</author>
    <author>tc={DB7EBEA1-CAE5-4787-9EE7-5753E9F7F95B}</author>
  </authors>
  <commentList>
    <comment ref="B34" authorId="0" shapeId="0" xr:uid="{8B3718B9-4949-48BB-9EED-25DE2F1229E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thermal power plants where there is an absence of FLHs stated in the TC, a generic value of 4000 FLHs is utilised, unless the user inserts a new value.</t>
        </r>
      </text>
    </comment>
    <comment ref="B48" authorId="1" shapeId="0" xr:uid="{DA960A47-38D6-4240-9D72-AE3FE79B29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7" authorId="2" shapeId="0" xr:uid="{6B60A135-6801-457F-8BBA-4609E3336AA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60" authorId="3" shapeId="0" xr:uid="{2EE7712B-2399-4100-A50D-9EF5A17E334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64" authorId="4" shapeId="0" xr:uid="{35FCD999-D234-4C49-B5D6-6F674E1BEC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Default: 0</t>
        </r>
      </text>
    </comment>
    <comment ref="B68" authorId="5" shapeId="0" xr:uid="{ECAC5FB5-A86D-49C0-89A7-25CCF1F94096}">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5" authorId="6" shapeId="0" xr:uid="{486A0316-B547-4D0D-8359-C80B6B191B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79" authorId="7" shapeId="0" xr:uid="{24BF44B0-88DF-4364-890A-853FDB56EB5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88" authorId="8" shapeId="0" xr:uid="{827CF758-494A-4780-ADD7-DC4021A94D8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89" authorId="9" shapeId="0" xr:uid="{DB7EBEA1-CAE5-4787-9EE7-5753E9F7F95B}">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tc={5E0B88A5-EA83-4C16-AED5-19345A9A0DA0}</author>
    <author>tc={1D7527B4-1171-4024-BCD3-A46A796DE267}</author>
    <author>tc={CA81BF24-1E5D-4A4D-9889-D0B7714BC949}</author>
    <author>tc={5A68FAF2-FFFA-497E-BC1F-FD5B227AF888}</author>
    <author>tc={DA544937-136B-49E2-B9B8-4DC4652B5BC2}</author>
    <author>tc={E7DD8EAD-2A10-4430-9408-5081B94659D0}</author>
    <author>tc={304AF8AC-E89C-4E78-84ED-D9604B6F2941}</author>
    <author>tc={A3FA5EC9-FC8F-4503-8114-CF3214A9B7AF}</author>
    <author>tc={C7BCA347-01FA-46C1-9235-4B6784C1C927}</author>
    <author>tc={23DBFA8D-93EF-421A-9A06-5D7F8DDEBF23}</author>
  </authors>
  <commentList>
    <comment ref="B34" authorId="0" shapeId="0" xr:uid="{5E0B88A5-EA83-4C16-AED5-19345A9A0DA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thermal power plants where there is an absence of FLHs stated in the TC, a generic value of 4000 FLHs is utilised, unless the user inserts a new value.</t>
        </r>
      </text>
    </comment>
    <comment ref="B48" authorId="1" shapeId="0" xr:uid="{1D7527B4-1171-4024-BCD3-A46A796DE26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7" authorId="2" shapeId="0" xr:uid="{CA81BF24-1E5D-4A4D-9889-D0B7714BC9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60" authorId="3" shapeId="0" xr:uid="{5A68FAF2-FFFA-497E-BC1F-FD5B227AF88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64" authorId="4" shapeId="0" xr:uid="{DA544937-136B-49E2-B9B8-4DC4652B5BC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Default: 0</t>
        </r>
      </text>
    </comment>
    <comment ref="B68" authorId="5" shapeId="0" xr:uid="{E7DD8EAD-2A10-4430-9408-5081B94659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5" authorId="6" shapeId="0" xr:uid="{304AF8AC-E89C-4E78-84ED-D9604B6F294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79" authorId="7" shapeId="0" xr:uid="{A3FA5EC9-FC8F-4503-8114-CF3214A9B7A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88" authorId="8" shapeId="0" xr:uid="{C7BCA347-01FA-46C1-9235-4B6784C1C92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89" authorId="9" shapeId="0" xr:uid="{23DBFA8D-93EF-421A-9A06-5D7F8DDEBF23}">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tc={94D01B45-8155-4A04-8A54-2A8207B49BA3}</author>
    <author>tc={529AC8F5-832D-4E19-BCA9-7C9920D319CD}</author>
    <author>tc={5FE5EAA5-37F5-4747-A2AF-DC0778EEEF31}</author>
    <author>tc={5761F4F5-48C4-4434-AFC6-D8C613849A78}</author>
    <author>tc={A0BA5E0C-E90D-457B-9ED7-F2ECAE660ADE}</author>
    <author>tc={DE8F9EB1-BA8E-4D51-9FD0-009E091DD42F}</author>
    <author>tc={CBE37EAC-F274-4244-865E-949313D52765}</author>
    <author>tc={8ECB9114-A337-416E-B56B-4E3A868EFF5D}</author>
    <author>tc={96D62D3C-BE52-467B-A467-84ACD4D52809}</author>
    <author>tc={7CB18359-F038-4305-844A-A98490A6C08B}</author>
  </authors>
  <commentList>
    <comment ref="B34" authorId="0" shapeId="0" xr:uid="{94D01B45-8155-4A04-8A54-2A8207B49BA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thermal power plants where there is an absence of FLHs stated in the TC, a generic value of 4000 FLHs is utilised, unless the user inserts a new value.</t>
        </r>
      </text>
    </comment>
    <comment ref="B48" authorId="1" shapeId="0" xr:uid="{529AC8F5-832D-4E19-BCA9-7C9920D319C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Used in case that the storage volume is utilised only to x% of its extent.</t>
        </r>
      </text>
    </comment>
    <comment ref="B59" authorId="2" shapeId="0" xr:uid="{5FE5EAA5-37F5-4747-A2AF-DC0778EEEF3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C59" authorId="3" shapeId="0" xr:uid="{5761F4F5-48C4-4434-AFC6-D8C613849A7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If coupled to the indicated technologies listed on the right, choose 0</t>
        </r>
      </text>
    </comment>
    <comment ref="B62" authorId="4" shapeId="0" xr:uid="{A0BA5E0C-E90D-457B-9ED7-F2ECAE660A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adjusted, if applicable</t>
        </r>
      </text>
    </comment>
    <comment ref="B70" authorId="5" shapeId="0" xr:uid="{DE8F9EB1-BA8E-4D51-9FD0-009E091DD42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be inserted in the target price year</t>
        </r>
      </text>
    </comment>
    <comment ref="B77" authorId="6" shapeId="0" xr:uid="{CBE37EAC-F274-4244-865E-949313D527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 the case of evaluating new plants vs existing, the Capex of existing plants can be disregarded (set selection to "No")  to provide information on the value of either proceed with operating existing plants or invest and operate new ones.</t>
        </r>
      </text>
    </comment>
    <comment ref="B81" authorId="7" shapeId="0" xr:uid="{8ECB9114-A337-416E-B56B-4E3A868EFF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Inflation adjustments (if any) take place above</t>
        </r>
      </text>
    </comment>
    <comment ref="B98" authorId="8" shapeId="0" xr:uid="{96D62D3C-BE52-467B-A467-84ACD4D5280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 indication of the already assumed start-ups per year within the O&amp;M cost categories should accompany this sheet to inform the user for the need of additional start-up considerations above the assumed levels.</t>
        </r>
      </text>
    </comment>
    <comment ref="B99" authorId="9" shapeId="0" xr:uid="{7CB18359-F038-4305-844A-A98490A6C08B}">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 section with environmental externality costs should probably be included in a future version of the tool accounting for NOx, SO2 and etc. Currently such costs are absent in the TC data sheets.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tc={E708797F-71D0-4760-A6A2-71D3FEFB393F}</author>
    <author>tc={3D1B129D-E9AE-47AD-9AC0-22B13DDA229B}</author>
    <author>tc={352EBF86-3A09-4CAC-9CAC-1413B21ADE4E}</author>
    <author>tc={B91928C9-8A4B-40CC-99D7-B85B3694E142}</author>
    <author>tc={BEC1912B-3337-4E65-9D47-921EE3045685}</author>
  </authors>
  <commentList>
    <comment ref="Z4" authorId="0" shapeId="0" xr:uid="{E708797F-71D0-4760-A6A2-71D3FEFB393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Rough approximations based on previous experiences. Update is suggested to the user's best expectations.</t>
        </r>
      </text>
    </comment>
    <comment ref="AA4" authorId="1" shapeId="0" xr:uid="{3D1B129D-E9AE-47AD-9AC0-22B13DDA229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Rough approximations based on previous experiences. Update is suggested to the user's best expectations.</t>
        </r>
      </text>
    </comment>
    <comment ref="AB4" authorId="2" shapeId="0" xr:uid="{352EBF86-3A09-4CAC-9CAC-1413B21ADE4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IEA Shipping 24 $/GJ in 2030
https://www.iea.org/reports/the-role-of-low-carbon-fuels-in-the-clean-energy-transitions-of-the-power-sector
Page 59</t>
        </r>
      </text>
    </comment>
    <comment ref="AC4" authorId="3" shapeId="0" xr:uid="{B91928C9-8A4B-40CC-99D7-B85B3694E14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IEA shipping 24 $/GJ in 2030 
https://www.iea.org/reports/the-role-of-low-carbon-fuels-in-the-clean-energy-transitions-of-the-power-sector
Page 59
</t>
        </r>
      </text>
    </comment>
    <comment ref="AD4" authorId="4" shapeId="0" xr:uid="{BEC1912B-3337-4E65-9D47-921EE304568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Includes H2, electricity and CO2 prices. Assumed CO2 Price 100 $/ton today, transitioning to 80 $/ton towards 2050. 1.4 ton per ton MeOH and 5.54 kWh/kg MeOH LHV
The CO2 price is scaled down here by 78% (total input to output efficiency of the Methanol plant) as during the tool's operation the efficiency scales up the input price per MWh output, and the CO2 quantity here represents tons CO2 per ton Output.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B0DD2BA-E9BA-4E68-883A-DE69B79ACF2D}" keepAlive="1" name="Area Results - Annual" description="Balmorel: Area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Area Results - Annual] --BerserqToolIdentificationKey"/>
  </connection>
  <connection id="2" xr16:uid="{C0754EA5-644D-404E-9FD2-9F5618EB0D78}" keepAlive="1" name="Area Results - Timestep" description="Balmorel: Area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Area Results - Timestep] --BerserqToolIdentificationKey"/>
  </connection>
  <connection id="3" xr16:uid="{2FAF997B-0778-417D-BE84-BE2D1CC545A0}" keepAlive="1" name="Contract Company" description="Balmorel: Contract Company"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Company] --BerserqToolIdentificationKey"/>
  </connection>
  <connection id="4" xr16:uid="{2A68C8BF-B098-413C-BE1C-E743F20B5E12}" keepAlive="1" name="Contract Data" description="Balmorel: Contract Data"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Data] --BerserqToolIdentificationKey"/>
  </connection>
  <connection id="5" xr16:uid="{0748C2FA-C30F-44D5-B1DB-81BA99DCD633}" keepAlive="1" name="Contract Economy - Annual" description="Balmorel: Contract Economy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Economy - Annual] --BerserqToolIdentificationKey"/>
  </connection>
  <connection id="6" xr16:uid="{0BA40F06-9A1C-4AC2-9688-A44E871F4DF5}" keepAlive="1" name="Contract Economy - Timestep" description="Balmorel: Contract Economy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Economy - Timestep] --BerserqToolIdentificationKey"/>
  </connection>
  <connection id="7" xr16:uid="{1C30FA11-76BA-4132-AA64-89E0F51FB207}" keepAlive="1" name="Contract Exchange - Timestep" description="Balmorel: Contract Exchange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Exchange - Timestep] --BerserqToolIdentificationKey"/>
  </connection>
  <connection id="8" xr16:uid="{919E6857-F25D-44F1-8820-0C154B8F7BFA}" keepAlive="1" name="Contract Heatprice - Annual" description="Balmorel: Contract Heatprice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Heatprice - Annual] --BerserqToolIdentificationKey"/>
  </connection>
  <connection id="9" xr16:uid="{D3445923-789D-4E60-A448-5B973C31EBB6}" keepAlive="1" name="Contract Heatprice - Monthly" description="Balmorel: Contract Heatprice - Monthly"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ontract Heatprice - Monthly] --BerserqToolIdentificationKey"/>
  </connection>
  <connection id="10" xr16:uid="{DCCE366F-58C0-473E-B215-2EA08F1B3BC2}" keepAlive="1" name="Critical Line - Annual" description="Balmorel: Critical Line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Critical Line - Annual] --BerserqToolIdentificationKey"/>
  </connection>
  <connection id="11" xr16:uid="{070C188A-F8A9-4516-B12E-AEF661A166C4}" keepAlive="1" name="Emissions Price" description="Balmorel: Emissions Price"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Emissions Price] --BerserqToolIdentificationKey"/>
  </connection>
  <connection id="12" xr16:uid="{8A1D55D2-91FD-4F53-91AE-44FFEB3680D4}" keepAlive="1" name="Flow Results - Annual" description="Balmorel: Flow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Flow Results - Annual] --BerserqToolIdentificationKey"/>
  </connection>
  <connection id="13" xr16:uid="{FFF2B0B8-A01F-4FB1-AA35-0F4F4E066140}" keepAlive="1" name="Flow Results - Timestep" description="Balmorel: Flow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Flow Results - Timestep] --BerserqToolIdentificationKey"/>
  </connection>
  <connection id="14" xr16:uid="{653A7EC8-4419-48A2-A744-3657ACCAD73D}" keepAlive="1" name="Fuel Details" description="Balmorel: Fuel Detail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Fuel Details] --BerserqToolIdentificationKey"/>
  </connection>
  <connection id="15" xr16:uid="{BD20A809-78E4-4CD7-95C0-29FAB2C3CEB0}" keepAlive="1" name="Full Load Hours" description="Balmorel: Full Load Hour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Full Load Hours] --BerserqToolIdentificationKey"/>
  </connection>
  <connection id="16" xr16:uid="{8ACF78B5-45B6-4D1C-BDDF-81D08B7638F3}" keepAlive="1" name="Heat Transmission Results - Annual" description="Balmorel: Heat Transmission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Heat Transmission Results - Annual] --BerserqToolIdentificationKey"/>
  </connection>
  <connection id="17" xr16:uid="{C5C1F2B1-99FD-4E85-BA4E-07E06228E223}" keepAlive="1" name="Heat Transmission Results - Timestep" description="Balmorel: Heat Transmission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Heat Transmission Results - Timestep] --BerserqToolIdentificationKey"/>
  </connection>
  <connection id="18" xr16:uid="{357DCBE8-2300-4DB3-90B2-9E12CBA99BA5}" keepAlive="1" name="LCOE Results" description="Balmorel: LCOE Result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LCOE Results] --BerserqToolIdentificationKey"/>
  </connection>
  <connection id="19" xr16:uid="{1597F239-B3FC-4234-9739-F60350853AC9}" keepAlive="1" name="Policies" description="Balmorel: Policie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Policies] --BerserqToolIdentificationKey"/>
  </connection>
  <connection id="20" xr16:uid="{C74355BE-7D4A-4AD6-BEA2-B6DDACE198BE}" keepAlive="1" name="Process Capacityl" description="Balmorel: Process Capacity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Process Capacityl] --BerserqToolIdentificationKey"/>
  </connection>
  <connection id="21" xr16:uid="{E29C6A48-8B20-4460-895A-B1D0CB0E676E}" keepAlive="1" name="Process Results - Annual" description="Balmorel: Process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Process Results - Annual] --BerserqToolIdentificationKey"/>
  </connection>
  <connection id="22" xr16:uid="{7984125F-F01B-45F5-9724-008038680F4E}" keepAlive="1" name="Process Results - Timestep" description="Balmorel: Process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Process Results - Timestep] --BerserqToolIdentificationKey"/>
  </connection>
  <connection id="23" xr16:uid="{87C28139-A422-4C71-A560-C47D43DAB4AB}" keepAlive="1" name="Regional Results - Annual" description="Balmorel: Regional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Regional Results - Annual] --BerserqToolIdentificationKey"/>
  </connection>
  <connection id="24" xr16:uid="{25600300-9818-4FC5-8B91-5677167E953F}" keepAlive="1" name="Regional Results - Timestep" description="Balmorel: Regional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Regional Results - Timestep] --BerserqToolIdentificationKey"/>
  </connection>
  <connection id="25" xr16:uid="{175C4D99-5EFD-44F9-8390-2804CBAB4DD2}" keepAlive="1" name="Solve Results" description="Balmorel: Solve Result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Solve Results] --BerserqToolIdentificationKey"/>
  </connection>
  <connection id="26" xr16:uid="{4DB91C6E-8D70-4A61-A801-0503269F6E80}" keepAlive="1" name="Technology Details" description="Balmorel: Technology Details"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Technology Details] --BerserqToolIdentificationKey"/>
  </connection>
  <connection id="27" xr16:uid="{663AAAC4-AF0E-492F-9259-307E0FC652CF}" keepAlive="1" name="Transflow Results - Annual" description="Balmorel: Transflow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Transflow Results - Annual] --BerserqToolIdentificationKey"/>
  </connection>
  <connection id="28" xr16:uid="{7DB07B76-7E02-4468-A745-A1816F628C7A}" keepAlive="1" name="Transflow Results - Timestep" description="Balmorel: Transflow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Transflow Results - Timestep] --BerserqToolIdentificationKey"/>
  </connection>
  <connection id="29" xr16:uid="{421C8B83-A084-4593-AE28-0FAC34AA158D}" keepAlive="1" name="Transmission Results - Annual" description="Balmorel: Transmission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Transmission Results - Annual] --BerserqToolIdentificationKey"/>
  </connection>
  <connection id="30" xr16:uid="{CC519FB0-20CC-44E2-888C-E500DC0D8ACE}" keepAlive="1" name="Transmission Results - Timestep" description="Balmorel: Transmission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Transmission Results - Timestep] --BerserqToolIdentificationKey"/>
  </connection>
  <connection id="31" xr16:uid="{CAA68A1E-1187-4D0F-BB3D-B72ACEC9948E}" keepAlive="1" name="Unit Capacity" description="Balmorel: Unit Capacity"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Unit Capacity] --BerserqToolIdentificationKey"/>
  </connection>
  <connection id="32" xr16:uid="{306A334F-6024-4012-9706-0374C1AAB652}" keepAlive="1" name="Unit Results - Annual" description="Balmorel: Unit Results - Annual"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Unit Results - Annual] --BerserqToolIdentificationKey"/>
  </connection>
  <connection id="33" xr16:uid="{CE39AD4B-A823-413F-8BD1-4FEDD754528A}" keepAlive="1" name="Unit Results - Timestep" description="Balmorel: Unit Results - Timestep" type="5" refreshedVersion="8">
    <dbPr connection="Provider=SQLOLEDB.1;Integrated Security=SSPI;Persist Security Info=True;Initial Catalog=balmorelDBdk2;Data Source=SQL\SQL2017INST2;Use Procedure for Prepare=1;Auto Translate=True;Packet Size=4096;Workstation ID=PC153;Use Encryption for Data=False;Tag with column collation when possible=False" command="select top 0 NULL AS [No data loaded] from bw.[Unit Results - Timestep] --BerserqToolIdentificationKey"/>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<sst xmlns="http://schemas.openxmlformats.org/spreadsheetml/2006/main" count="8950" uniqueCount="1018">
  <si>
    <t>Colour Coding</t>
  </si>
  <si>
    <t>Explanation</t>
  </si>
  <si>
    <t>Leave intact - Calculated Automatically</t>
  </si>
  <si>
    <t>User Selection - Dropdown</t>
  </si>
  <si>
    <t>User Input</t>
  </si>
  <si>
    <t/>
  </si>
  <si>
    <t>Error Flags</t>
  </si>
  <si>
    <t>LCOE Price Year (user defined, default 2022)</t>
  </si>
  <si>
    <t>Average Annual Inflation (user defined, default 2%)</t>
  </si>
  <si>
    <t>Technology specifications:</t>
  </si>
  <si>
    <t>Fuel</t>
  </si>
  <si>
    <t>Coal</t>
  </si>
  <si>
    <t>Gas</t>
  </si>
  <si>
    <t>Diesel</t>
  </si>
  <si>
    <t>Geothermal</t>
  </si>
  <si>
    <t>Biomass</t>
  </si>
  <si>
    <t>Biogas</t>
  </si>
  <si>
    <t>Municipal Solid Waste</t>
  </si>
  <si>
    <t>Tidal</t>
  </si>
  <si>
    <t>Nuclear</t>
  </si>
  <si>
    <t>Hydro</t>
  </si>
  <si>
    <t>Solar PV</t>
  </si>
  <si>
    <t>Wind Turbines</t>
  </si>
  <si>
    <t>Technology type</t>
  </si>
  <si>
    <t>Supercritical</t>
  </si>
  <si>
    <t>IGCC</t>
  </si>
  <si>
    <t>CCGT</t>
  </si>
  <si>
    <t>Fuel oil</t>
  </si>
  <si>
    <t>Large (Flash or Dry)</t>
  </si>
  <si>
    <t>Small (Palm oil or Rice husk)</t>
  </si>
  <si>
    <t>Small</t>
  </si>
  <si>
    <t>Incineration</t>
  </si>
  <si>
    <t>Stream</t>
  </si>
  <si>
    <t>PWR</t>
  </si>
  <si>
    <t>SMR (Land based, water cooled)</t>
  </si>
  <si>
    <t>Micro/Mini</t>
  </si>
  <si>
    <t>Ground mounted</t>
  </si>
  <si>
    <t>Floating PV</t>
  </si>
  <si>
    <t>Onshore</t>
  </si>
  <si>
    <t>Offshore</t>
  </si>
  <si>
    <t>Floating</t>
  </si>
  <si>
    <t>Year</t>
  </si>
  <si>
    <t>Economic lifetime [y]</t>
  </si>
  <si>
    <t>Error flags (if any)</t>
  </si>
  <si>
    <t>Financial specifications:</t>
  </si>
  <si>
    <t>WACC type</t>
  </si>
  <si>
    <t>Generic</t>
  </si>
  <si>
    <t>Insert user value [%]  [if applicable]</t>
  </si>
  <si>
    <t>WACC</t>
  </si>
  <si>
    <t>Annuity factor</t>
  </si>
  <si>
    <t>Data input price year</t>
  </si>
  <si>
    <t>Inflation adjustment to target price year</t>
  </si>
  <si>
    <t>Generation specifications:</t>
  </si>
  <si>
    <t>FLH type</t>
  </si>
  <si>
    <t>User defined</t>
  </si>
  <si>
    <t>Insert user value [h]  [if applicable]</t>
  </si>
  <si>
    <t>FLH [h/y]</t>
  </si>
  <si>
    <t>Only for storage technologies :</t>
  </si>
  <si>
    <t>Storage specifications type  [if applicable]</t>
  </si>
  <si>
    <t>Volume [MWh] - user defined  [if applicable]</t>
  </si>
  <si>
    <t>Charging Capacity [MW] - user defined  [if applicable]</t>
  </si>
  <si>
    <t>Discharging Capacity [MW] - user defined  [if applicable]</t>
  </si>
  <si>
    <t>Volume [MWh]</t>
  </si>
  <si>
    <t>Charging Capacity [MW]</t>
  </si>
  <si>
    <t>Discharging Capacity [MW]</t>
  </si>
  <si>
    <t>Hours to load (incl. charging efficiency)</t>
  </si>
  <si>
    <t>Hours to unload</t>
  </si>
  <si>
    <t>Cycles per year - user defined  [if applicable]</t>
  </si>
  <si>
    <t>Approximate load of cycles - user defined  [%, if applicable. Default: 100%]</t>
  </si>
  <si>
    <t>Equivalent full load cycles per year</t>
  </si>
  <si>
    <t>Estimated Annual Generation [GWh/year]</t>
  </si>
  <si>
    <t>Suggested lifetime cycles  [if applicable]</t>
  </si>
  <si>
    <t>Feasible annual cycles  [if applicable]</t>
  </si>
  <si>
    <t>Input fuel specifications:</t>
  </si>
  <si>
    <t>Method for input for cost of fuel/energy</t>
  </si>
  <si>
    <t>Cost of input fuel [$/GJinput] - User input  [if applicable]</t>
  </si>
  <si>
    <t>Cost of input energy [$/GJinput]</t>
  </si>
  <si>
    <t>Electricity efficiency, net, annual / roundtrip efficiency   
[%, MWhe-output to MWh(fuel/energy)-input]</t>
  </si>
  <si>
    <t>Fuel cost per energy output [$/MWhe-output]</t>
  </si>
  <si>
    <t>Additional operation details (if any):</t>
  </si>
  <si>
    <t>Number of additional cold start-ups per year  [if applicable]</t>
  </si>
  <si>
    <t>CO2 emissions:</t>
  </si>
  <si>
    <t>CO2 emissions consideration [y/n]</t>
  </si>
  <si>
    <t>No</t>
  </si>
  <si>
    <t>Yes</t>
  </si>
  <si>
    <t>CO2 emissions price [$/ton CO2eq, User defined]</t>
  </si>
  <si>
    <t>Method for input for CO2 Emissions</t>
  </si>
  <si>
    <t>CO2 emissions quantity [tons CO2eq/Mwhe-output, Generic]</t>
  </si>
  <si>
    <t>CO2 emissions quantity [tons CO2eq/Mwhe-output, User defined]</t>
  </si>
  <si>
    <t>CO2 emissions quantity [tons CO2eq/Mwhe-output]</t>
  </si>
  <si>
    <t>Cost results:</t>
  </si>
  <si>
    <t>CAPEX inclusion [y/n]</t>
  </si>
  <si>
    <t>Investment [m$/MWe]</t>
  </si>
  <si>
    <t>Fixed O&amp;M [k$/MWe/y]</t>
  </si>
  <si>
    <t>Variable O&amp;M [$/MWhe]</t>
  </si>
  <si>
    <t>Additional start-ups [$/MWe]</t>
  </si>
  <si>
    <t>Other [m$/MWe]</t>
  </si>
  <si>
    <t>[$/MWh]</t>
  </si>
  <si>
    <t>Investment</t>
  </si>
  <si>
    <t>Fixed O&amp;M</t>
  </si>
  <si>
    <t>Variable O&amp;M</t>
  </si>
  <si>
    <t>Input fuel</t>
  </si>
  <si>
    <t>Additional start-ups</t>
  </si>
  <si>
    <t>Other</t>
  </si>
  <si>
    <t>CO2 emissions</t>
  </si>
  <si>
    <t>Total LCOE</t>
  </si>
  <si>
    <t>Label</t>
  </si>
  <si>
    <t>Ammonia</t>
  </si>
  <si>
    <t>Hydrogen</t>
  </si>
  <si>
    <t>IGCC (CCS)</t>
  </si>
  <si>
    <t>IGCC (incl. lifetime extension)</t>
  </si>
  <si>
    <t>Supercritical (CCS)</t>
  </si>
  <si>
    <t>Supercritical (incl. lifetime extension)</t>
  </si>
  <si>
    <t>Co-firing PC (20% NH3)</t>
  </si>
  <si>
    <t>Co-firing PC (100% NH3)</t>
  </si>
  <si>
    <t>Co-firing (20% wood pellets)</t>
  </si>
  <si>
    <t>Co-firing (100% wood pellets)</t>
  </si>
  <si>
    <t>CCGT (CCS)</t>
  </si>
  <si>
    <t>Co-firing CCGT (20% H2)</t>
  </si>
  <si>
    <t>Co-firing CCGT (100% H2)</t>
  </si>
  <si>
    <t>Storage</t>
  </si>
  <si>
    <t>Electric Storage (Lithium-ion)</t>
  </si>
  <si>
    <t>Large</t>
  </si>
  <si>
    <t>SMR</t>
  </si>
  <si>
    <t>Conventional</t>
  </si>
  <si>
    <t>Baseload: Low carbon</t>
  </si>
  <si>
    <t>Baseload: RE</t>
  </si>
  <si>
    <t>VRE</t>
  </si>
  <si>
    <t>Natural Gas</t>
  </si>
  <si>
    <t>SMR (Unavailable)</t>
  </si>
  <si>
    <t>Ground-mounted</t>
  </si>
  <si>
    <t>Dispatchable: Low Carbon</t>
  </si>
  <si>
    <t>Nuclear (PWR)</t>
  </si>
  <si>
    <t>Nuclear (SMR)</t>
  </si>
  <si>
    <t>Dispatchable: RE</t>
  </si>
  <si>
    <t>Solar PV (Ground-mounted)</t>
  </si>
  <si>
    <t>Solar PV (Floating)</t>
  </si>
  <si>
    <t>Wind Turbines (Onshore)</t>
  </si>
  <si>
    <t>Wind Turbines (Offshore)</t>
  </si>
  <si>
    <t>Wind Turbines (Floating)</t>
  </si>
  <si>
    <t>Existing Coal Plant</t>
  </si>
  <si>
    <t>Existing Gas Plant</t>
  </si>
  <si>
    <t>$/GJ</t>
  </si>
  <si>
    <t>Industrial</t>
  </si>
  <si>
    <t>Small onshore</t>
  </si>
  <si>
    <t>Technology</t>
  </si>
  <si>
    <t>-</t>
  </si>
  <si>
    <t>Existing Coal Plant (incl. lifetime extension)</t>
  </si>
  <si>
    <t>Existing Coal Plant (Ammonia Co-firing, 20%)</t>
  </si>
  <si>
    <t>Existing Coal Plant (Biomass Co-firing, 20%)</t>
  </si>
  <si>
    <t>Existing Coal Plant (Ammonia Co-firing, 100%)</t>
  </si>
  <si>
    <t>Existing Coal Plant (Biomass Co-firing, 100%)</t>
  </si>
  <si>
    <t>Existing Gas Plant (Hydrogen Co-firing, 20%)</t>
  </si>
  <si>
    <t>Existing Gas Plant (Hydrogen Co-firing, 100%)</t>
  </si>
  <si>
    <t>Existing Coal Plant (with CCS)</t>
  </si>
  <si>
    <t>Existing Gas Plant (with CCS)</t>
  </si>
  <si>
    <t>LCOE Price Year (user defined, default 2021)</t>
  </si>
  <si>
    <t>Evaluation Period [y]</t>
  </si>
  <si>
    <t>Choose Storage Type Below</t>
  </si>
  <si>
    <t>Estimated Annual Generation [GWh/year, incl. discharging efficiency]</t>
  </si>
  <si>
    <t>Electric efficiency - charging [if applicable]</t>
  </si>
  <si>
    <t>Electric efficiency - discharging [if applicable]</t>
  </si>
  <si>
    <t>CAPEX Incusion</t>
  </si>
  <si>
    <t>Primary generation [MWh]</t>
  </si>
  <si>
    <t>Storage input [MWh]</t>
  </si>
  <si>
    <t>Battery losses (Charging)</t>
  </si>
  <si>
    <t>Battery losses (Discharging)</t>
  </si>
  <si>
    <t>Generation to grid [MWh] (Non storage)</t>
  </si>
  <si>
    <t>Generation to grid [MWh] (Storage)</t>
  </si>
  <si>
    <t>Useful energy [MWh]</t>
  </si>
  <si>
    <t>LCOE [$/MWh]</t>
  </si>
  <si>
    <t>Version</t>
  </si>
  <si>
    <t>Date</t>
  </si>
  <si>
    <t>Person</t>
  </si>
  <si>
    <t>v1</t>
  </si>
  <si>
    <t>Unique Fuel</t>
  </si>
  <si>
    <t>Unique Technology</t>
  </si>
  <si>
    <t>Price Level [y]</t>
  </si>
  <si>
    <r>
      <t>Fuel Type [$/GJ] (</t>
    </r>
    <r>
      <rPr>
        <b/>
        <sz val="11"/>
        <color rgb="FFFF0000"/>
        <rFont val="Calibri"/>
        <family val="2"/>
        <scheme val="minor"/>
      </rPr>
      <t>Please Select</t>
    </r>
    <r>
      <rPr>
        <b/>
        <sz val="11"/>
        <color theme="1"/>
        <rFont val="Calibri"/>
        <family val="2"/>
        <scheme val="minor"/>
      </rPr>
      <t>)</t>
    </r>
  </si>
  <si>
    <t>Fuel Type CO2 Emissions [kg/GJfuel]</t>
  </si>
  <si>
    <t>Fuel Cost [$/GJ]</t>
  </si>
  <si>
    <t>Available From</t>
  </si>
  <si>
    <t>Lifetime [y]</t>
  </si>
  <si>
    <t>Construction Duration [y]</t>
  </si>
  <si>
    <t>FLH [MWh/MW]</t>
  </si>
  <si>
    <t>Charging Efficiency</t>
  </si>
  <si>
    <t>Discharging Efficiency</t>
  </si>
  <si>
    <t>Hours to Load [h]</t>
  </si>
  <si>
    <t>Hours to Unload [h]</t>
  </si>
  <si>
    <t>Suggested Lifetime (Cycles)</t>
  </si>
  <si>
    <t>Representative Volume [MWh]</t>
  </si>
  <si>
    <t>Representative Input Capacity [MW]</t>
  </si>
  <si>
    <t>Representative Output Capacity [MW]</t>
  </si>
  <si>
    <t>Expansion Costs - Energy Component [m$/MWh]</t>
  </si>
  <si>
    <t>Expansion Costs - Power Component [m$/MW]</t>
  </si>
  <si>
    <t>Other Project Costs [m$/MWh]</t>
  </si>
  <si>
    <t>WACC [%]</t>
  </si>
  <si>
    <t>Generalised WACC</t>
  </si>
  <si>
    <t>GEOTHERMAL</t>
  </si>
  <si>
    <t>Small (Binary or Condensing)</t>
  </si>
  <si>
    <t>HYDRO_RVR</t>
  </si>
  <si>
    <t>Medium/Small</t>
  </si>
  <si>
    <t>Electricity for Storage</t>
  </si>
  <si>
    <t>SOLAR</t>
  </si>
  <si>
    <t>Rooftop</t>
  </si>
  <si>
    <t>WIND_ONSHORE</t>
  </si>
  <si>
    <t>WIND_OFFSHORE</t>
  </si>
  <si>
    <t>Impoundment</t>
  </si>
  <si>
    <t>WAVE</t>
  </si>
  <si>
    <t>Subcritical</t>
  </si>
  <si>
    <t>COAL</t>
  </si>
  <si>
    <t>Ultra supercritical</t>
  </si>
  <si>
    <t>COAL_IGCC</t>
  </si>
  <si>
    <t>NAT_GAS</t>
  </si>
  <si>
    <t>SCGT</t>
  </si>
  <si>
    <t>COAL_CCS</t>
  </si>
  <si>
    <t>NAT_GAS_CCS</t>
  </si>
  <si>
    <t>COAL_IGCC_CCS</t>
  </si>
  <si>
    <t>BIOMASS</t>
  </si>
  <si>
    <t>BIOGAS</t>
  </si>
  <si>
    <t>MUNI_WASTE</t>
  </si>
  <si>
    <t>Landfill</t>
  </si>
  <si>
    <t>DIESEL</t>
  </si>
  <si>
    <t>NUCLEAR</t>
  </si>
  <si>
    <t>20% Hydrogen - 80% Natural Gas</t>
  </si>
  <si>
    <t>20% Ammonia - 80% Coal</t>
  </si>
  <si>
    <t>20% Wood - 80% Coal</t>
  </si>
  <si>
    <t>Wood</t>
  </si>
  <si>
    <t>Subcritical (incl. lifetime extension)</t>
  </si>
  <si>
    <t>Ultra supercritical (incl. lifetime extension)</t>
  </si>
  <si>
    <t>User Specified Fuel</t>
  </si>
  <si>
    <t>User Specified Technology</t>
  </si>
  <si>
    <t>Electricity for PtX</t>
  </si>
  <si>
    <t>Total Fuel Cost for Ammonia Prod</t>
  </si>
  <si>
    <t xml:space="preserve">Technology </t>
  </si>
  <si>
    <t>Geothermal power plant - large system (flash or dry)</t>
  </si>
  <si>
    <t>Uncertainty (2023)</t>
  </si>
  <si>
    <t>Uncertainty (2050)</t>
  </si>
  <si>
    <t>Note</t>
  </si>
  <si>
    <t>Ref</t>
  </si>
  <si>
    <t>Energy/technical data</t>
  </si>
  <si>
    <t>Lower</t>
  </si>
  <si>
    <t>Upper</t>
  </si>
  <si>
    <t>Generating capacity for one unit (MWe)</t>
  </si>
  <si>
    <t>Generating capacity for total power plant (MWe)</t>
  </si>
  <si>
    <t>Electricity efficiency, net (%), name plate</t>
  </si>
  <si>
    <t>A</t>
  </si>
  <si>
    <t>Electricity efficiency, net (%), annual average</t>
  </si>
  <si>
    <t>Forced outage (%)</t>
  </si>
  <si>
    <t>Planned outage (weeks per year)</t>
  </si>
  <si>
    <t>Technical lifetime (years)</t>
  </si>
  <si>
    <t>1,10</t>
  </si>
  <si>
    <t>Construction time (years)</t>
  </si>
  <si>
    <t>H</t>
  </si>
  <si>
    <r>
      <t>Space requirement (1000 m</t>
    </r>
    <r>
      <rPr>
        <vertAlign val="superscript"/>
        <sz val="9"/>
        <rFont val="Times New Roman"/>
        <family val="1"/>
      </rPr>
      <t>2</t>
    </r>
    <r>
      <rPr>
        <sz val="9"/>
        <rFont val="Times New Roman"/>
        <family val="1"/>
      </rPr>
      <t>/MWe)</t>
    </r>
  </si>
  <si>
    <t>Additional data for non thermal plants</t>
  </si>
  <si>
    <t>Capacity factor (%), theoretical</t>
  </si>
  <si>
    <t>Capacity factor (%), incl. outages</t>
  </si>
  <si>
    <t>Ramping configurations</t>
  </si>
  <si>
    <t>Ramping (% per minute)</t>
  </si>
  <si>
    <t>Minimum load (% of full load)</t>
  </si>
  <si>
    <t>Warm start-up time (hours)</t>
  </si>
  <si>
    <t>Cold start-up time (hours)</t>
  </si>
  <si>
    <t>Environment</t>
  </si>
  <si>
    <r>
      <t>PM 2.5 (gram per Nm</t>
    </r>
    <r>
      <rPr>
        <vertAlign val="superscript"/>
        <sz val="9"/>
        <rFont val="Times New Roman"/>
        <family val="1"/>
      </rPr>
      <t>3</t>
    </r>
    <r>
      <rPr>
        <sz val="9"/>
        <rFont val="Times New Roman"/>
        <family val="1"/>
      </rPr>
      <t>)</t>
    </r>
  </si>
  <si>
    <t>C</t>
  </si>
  <si>
    <r>
      <t>SO</t>
    </r>
    <r>
      <rPr>
        <vertAlign val="subscript"/>
        <sz val="9"/>
        <rFont val="Times New Roman"/>
        <family val="1"/>
      </rPr>
      <t>2</t>
    </r>
    <r>
      <rPr>
        <sz val="9"/>
        <rFont val="Times New Roman"/>
        <family val="1"/>
      </rPr>
      <t xml:space="preserve"> (degree of desulphuring, %) </t>
    </r>
  </si>
  <si>
    <r>
      <t>NO</t>
    </r>
    <r>
      <rPr>
        <vertAlign val="subscript"/>
        <sz val="9"/>
        <rFont val="Times New Roman"/>
        <family val="1"/>
      </rPr>
      <t>X</t>
    </r>
    <r>
      <rPr>
        <sz val="9"/>
        <rFont val="Times New Roman"/>
        <family val="1"/>
      </rPr>
      <t xml:space="preserve"> (g per GJ fuel) </t>
    </r>
  </si>
  <si>
    <r>
      <t>CH</t>
    </r>
    <r>
      <rPr>
        <vertAlign val="subscript"/>
        <sz val="9"/>
        <rFont val="Times New Roman"/>
        <family val="1"/>
      </rPr>
      <t>4</t>
    </r>
    <r>
      <rPr>
        <sz val="9"/>
        <rFont val="Times New Roman"/>
        <family val="1"/>
      </rPr>
      <t xml:space="preserve"> (g per GJ fuel)</t>
    </r>
  </si>
  <si>
    <r>
      <t>N</t>
    </r>
    <r>
      <rPr>
        <vertAlign val="subscript"/>
        <sz val="9"/>
        <rFont val="Times New Roman"/>
        <family val="1"/>
      </rPr>
      <t>2</t>
    </r>
    <r>
      <rPr>
        <sz val="9"/>
        <rFont val="Times New Roman"/>
        <family val="1"/>
      </rPr>
      <t>O (g per GJ fuel)</t>
    </r>
  </si>
  <si>
    <t xml:space="preserve">Financial data                                 </t>
  </si>
  <si>
    <t xml:space="preserve">Nominal investment (M$/MWe) </t>
  </si>
  <si>
    <t>B,D,E,F</t>
  </si>
  <si>
    <t>1,2,3,4</t>
  </si>
  <si>
    <t xml:space="preserve"> - of which equipment</t>
  </si>
  <si>
    <t xml:space="preserve"> - of which installation</t>
  </si>
  <si>
    <t>Fixed O&amp;M ($/MWe/year)</t>
  </si>
  <si>
    <t>B,D,G</t>
  </si>
  <si>
    <t>3,11</t>
  </si>
  <si>
    <t xml:space="preserve">Variable O&amp;M ($/MWh) </t>
  </si>
  <si>
    <t>B,D</t>
  </si>
  <si>
    <t>1,4</t>
  </si>
  <si>
    <t>Start-up costs ($/MWe/start-up)</t>
  </si>
  <si>
    <t>Technology specific data</t>
  </si>
  <si>
    <t>Exploration costs (M$/MWe)</t>
  </si>
  <si>
    <t>Confirmation costs (M$/MWe)</t>
  </si>
  <si>
    <t>References:</t>
  </si>
  <si>
    <t>MEMR Focus Group Discussions with various stakeholders for the purposes of updating the Technology Catalogue in 2023</t>
  </si>
  <si>
    <t>IEA, World Energy Outlook, 2023</t>
  </si>
  <si>
    <t>IRENA, 2023, Renewable Power Generation Costs in 2022</t>
  </si>
  <si>
    <t>Learning curve approach for the development of financial parameters.</t>
  </si>
  <si>
    <t>Moon &amp; Zarrouk, 2012, “Efficiency Of Geothermal Power Plants: A Worldwide Review”.</t>
  </si>
  <si>
    <t>Yuniarto, et. al., 2015. “Geothermal Power Plant Emissions in Indonesia”.</t>
  </si>
  <si>
    <t>Geothermal Energy Association, 2006, "A Handbook on the Externalities, Employment, and Economics of Geothermal Energy".</t>
  </si>
  <si>
    <t>Geothermal Energy Association, 2015, "Geothermal Energy Association Issue Brief: Firm and Flexible Power Services Available from Geothermal Facilities"</t>
  </si>
  <si>
    <t>IRENA, 2015, Renewable Power Generation Costs in 2014.</t>
  </si>
  <si>
    <t>Moore, 2016, "Geothermal Power Generation: Developments and Innovation, chapter 18: Project permitting, finance, and economics for geothermal power generation"</t>
  </si>
  <si>
    <t>NREL ATB 2023</t>
  </si>
  <si>
    <t xml:space="preserve">Notes: </t>
  </si>
  <si>
    <t>The efficiency is the thermal efficiency - meaning the utilization of heat from the ground. Since the geothermal heat is renewable and considered free, then an increase in effciency will give a lower investment cost per MW. These large units are assumed to be flach units at high source temperatures.</t>
  </si>
  <si>
    <t>B</t>
  </si>
  <si>
    <t>Uncertainty (Upper/Lower) is estimated as +/- 25%, which is an estimate build upon cases from IRENA (ref. 9)</t>
  </si>
  <si>
    <r>
      <t>Geothermal do emit H</t>
    </r>
    <r>
      <rPr>
        <vertAlign val="subscript"/>
        <sz val="9"/>
        <rFont val="Times New Roman"/>
        <family val="1"/>
      </rPr>
      <t>2</t>
    </r>
    <r>
      <rPr>
        <sz val="9"/>
        <rFont val="Times New Roman"/>
        <family val="1"/>
      </rPr>
      <t>S. From Minister of Environment Regulation 21/2008 this shall be below 35 mg/Nm</t>
    </r>
    <r>
      <rPr>
        <vertAlign val="superscript"/>
        <sz val="9"/>
        <rFont val="Times New Roman"/>
        <family val="1"/>
      </rPr>
      <t>3</t>
    </r>
    <r>
      <rPr>
        <sz val="9"/>
        <rFont val="Times New Roman"/>
        <family val="1"/>
      </rPr>
      <t>.</t>
    </r>
  </si>
  <si>
    <t>D</t>
  </si>
  <si>
    <t>The learning rate is assumed to impact the geothermal specific equipment and installation. The power plant units (i.e. the turbine and pump) is assumed to have very litle development. From Ref. 9 it is assumed that half of the investment cost are on the geothermal specific equipment.</t>
  </si>
  <si>
    <t>E</t>
  </si>
  <si>
    <t>Investment cost are including Exploration and Confirmation costs (see under Technology specific data).</t>
  </si>
  <si>
    <t>F</t>
  </si>
  <si>
    <t>For 2020, uncertainty ranges are based on cost spans of various sources. For 2050, we combine the base uncertainity in 2020 with an additional uncertainty span based on varying  learning rates</t>
  </si>
  <si>
    <t>G</t>
  </si>
  <si>
    <t>O&amp;M includes costs related to the continous management of the geothermal site to maintain capacity and performance. Given cost is estimated for two sets of wells for makeup and reinjection over the 25-year life of the project to maintain performance.</t>
  </si>
  <si>
    <t>Refers to construction of the steam cycle power plant itself. Preperation of the geothermal site includes surveying, exploration, drilling, resource confirmation, which can take 4-5 years in total.</t>
  </si>
  <si>
    <t>Geothermal power plant - small system (binary or condensing)</t>
  </si>
  <si>
    <t>1,8</t>
  </si>
  <si>
    <t>1,5</t>
  </si>
  <si>
    <t>C,D,E,F</t>
  </si>
  <si>
    <t>1,2,4,8,11</t>
  </si>
  <si>
    <t>C,D,G</t>
  </si>
  <si>
    <t>1,4,9,11</t>
  </si>
  <si>
    <t>C,D</t>
  </si>
  <si>
    <t>Budisulistyo &amp; Krumdieck , 2014, "Thermodynamic and economic analysis for the pre- feasibility study of a binary geothermal power plant"</t>
  </si>
  <si>
    <t>Climate Policy Initiative, 2015, Using Private Finance to Accelerate Geothermal Deployment: Sarulla Geothermal Power Plant, Indonesia.</t>
  </si>
  <si>
    <t>The efficiency is the thermal efficiency - meaning the utilization of heat from the ground. Since the geothermal heat is renewable and considered free, then an increase in effciency will give a lower investment cost per MW. These smaller units are assumed to be binary units at medium source temperatures.</t>
  </si>
  <si>
    <t>Uncertainty (Upper/Lower) is estimated as +/- 25%.</t>
  </si>
  <si>
    <t>Investment cost include the engineering, procurement and construction (EPC) cost. See description under Methodology.</t>
  </si>
  <si>
    <t>For 2020, uncertainty ranges are based on cost spans of various sources. For 2050, we combine the base uncertainity in 2020 with an additional uncertainty span based on learning rates variying between 10-15% and capacity deployment from Stated Policies and Sustainable Development scenarios separately.</t>
  </si>
  <si>
    <t>O&amp;M includes costs related to the continous management of the geothermal site to maintain capacity and performance. Given costs is estimated for two sets of wells for makeup and reinjection over the 25-year life of the project to maintain performance.</t>
  </si>
  <si>
    <t> </t>
  </si>
  <si>
    <t>Hydro power plant - large system</t>
  </si>
  <si>
    <t>1,2,11</t>
  </si>
  <si>
    <t>D,E,F</t>
  </si>
  <si>
    <t>1,4,5,6</t>
  </si>
  <si>
    <t>6,10</t>
  </si>
  <si>
    <t>Branche, 2011, “Hydropower: the strongest performer in the CDM process, reflecting high quality of hydro in comparison to other renewable energy sources”.</t>
  </si>
  <si>
    <t>Eurelectric, 2015, "Hydropower - Supporting a power system in transition".</t>
  </si>
  <si>
    <t>IEA, 2021, Hydropower Special Market Report</t>
  </si>
  <si>
    <t>Stepan, 2011, Workshop on Rehabilitation of Hydropower, “The 3-Phase Approach”.</t>
  </si>
  <si>
    <t>Prayogo, 2003, "Teknologi Mikrohidro dalam Pemanfaatan Sumber Daya Air untuk Menunjang Pembangunan Pedesaan. Semiloka Produk-produk Penelitian Departement Kimpraswill Makassar".</t>
  </si>
  <si>
    <t>General Electric, www.gerenewableenergy.com, Accessed: 20th July 2017</t>
  </si>
  <si>
    <t>ASEAN, 2016, "Levelised cost of electricity of selected renewable technologies in the ASEAN member states".</t>
  </si>
  <si>
    <t>MEMR, 2023, "Handbook of Energy &amp; Economic Statistics of Indonesia 2022"</t>
  </si>
  <si>
    <t>This is the efficiency of the utilization of the waters potential energy. This can not be compared with a thermal power plant that have to pay for its fuel.</t>
  </si>
  <si>
    <t>Hydro power plants can have a very long lifetime is operated and mainted properly. Hover Dam in USA is almost 100 years old.</t>
  </si>
  <si>
    <t>Numbers are very site sensitive. There will be an improvement by learning curve development, but this improvement will equalized because the best locations will be utilized first. The investment largely depends on civil work.</t>
  </si>
  <si>
    <t>Based on data collection from Indonesian projects</t>
  </si>
  <si>
    <t>For large hydropower plants the civil works and earthworks to establish tunneling and dams are often the biggest share of the costs (around 50% according to Ref 6). These costs are included as instalaltion costs as described in the overall methodology.</t>
  </si>
  <si>
    <t>Hydro power plant - Medium/small system</t>
  </si>
  <si>
    <t>2,9</t>
  </si>
  <si>
    <t>8,9</t>
  </si>
  <si>
    <t>5,6,9</t>
  </si>
  <si>
    <t>4,5,6,9</t>
  </si>
  <si>
    <t>Energy and Environmental Economics, 2014, "Capital Cost Review of Power Generation Technologies - Recommendations for WECC’s 10- and 20-Year Studies".</t>
  </si>
  <si>
    <t>ASEAN, 2019, "Levelised cost of electricity of selected renewable technologies in the ASEAN member states".</t>
  </si>
  <si>
    <t>For hydropower plants the civil works and earthworks to are often a significant share of the costs which are included as installation according to the methodology.</t>
  </si>
  <si>
    <t>Hydro power plant - Mini/micro system</t>
  </si>
  <si>
    <t>1,2</t>
  </si>
  <si>
    <t>D,F</t>
  </si>
  <si>
    <t>1,4,5</t>
  </si>
  <si>
    <t>IFC, 2015, "Hydroelectric Power - A guide for developers and investers".</t>
  </si>
  <si>
    <t>Hydro power plants can have a very long lifetime is operated and mainted properbly. Hover Dam in USA is almost 100 years old.</t>
  </si>
  <si>
    <t>Numbers are very site sensitive and the uncertainty can be even more extreme than listed. There will be an improvement by learning curve development, but this improvement will equalized because the best locations will be utilized first. The investment largely depends on civil work.</t>
  </si>
  <si>
    <t>It is assumed that micro and mini hydro do not have a reservior (run-of-river) and therefor is not capable of regulation. The possibility of a turbine bypass could give the possibility of down regulation.</t>
  </si>
  <si>
    <t>PV ground-mounted, utility-scale, grid connected</t>
  </si>
  <si>
    <t>Generating capacity a typical power plant (MWe)</t>
  </si>
  <si>
    <t>1</t>
  </si>
  <si>
    <r>
      <t>Space requirement (1000 m</t>
    </r>
    <r>
      <rPr>
        <vertAlign val="superscript"/>
        <sz val="8"/>
        <color theme="1"/>
        <rFont val="Times New Roman"/>
        <family val="1"/>
      </rPr>
      <t>2</t>
    </r>
    <r>
      <rPr>
        <sz val="8"/>
        <color theme="1"/>
        <rFont val="Times New Roman"/>
        <family val="1"/>
      </rPr>
      <t>/MWp)</t>
    </r>
  </si>
  <si>
    <t>U,V</t>
  </si>
  <si>
    <t>7,8</t>
  </si>
  <si>
    <t>L,M</t>
  </si>
  <si>
    <t>1,2,3</t>
  </si>
  <si>
    <t>L,M,X</t>
  </si>
  <si>
    <r>
      <t>PM 2.5 (gram per Nm</t>
    </r>
    <r>
      <rPr>
        <vertAlign val="superscript"/>
        <sz val="8"/>
        <color theme="1"/>
        <rFont val="Times New Roman"/>
        <family val="1"/>
      </rPr>
      <t>3</t>
    </r>
    <r>
      <rPr>
        <sz val="8"/>
        <color theme="1"/>
        <rFont val="Times New Roman"/>
        <family val="1"/>
      </rPr>
      <t>)</t>
    </r>
  </si>
  <si>
    <r>
      <t>SO</t>
    </r>
    <r>
      <rPr>
        <vertAlign val="subscript"/>
        <sz val="8"/>
        <color theme="1"/>
        <rFont val="Times New Roman"/>
        <family val="1"/>
      </rPr>
      <t>2</t>
    </r>
    <r>
      <rPr>
        <sz val="8"/>
        <color theme="1"/>
        <rFont val="Times New Roman"/>
        <family val="1"/>
      </rPr>
      <t xml:space="preserve"> (degree of desulphuring, %) </t>
    </r>
  </si>
  <si>
    <r>
      <t>NO</t>
    </r>
    <r>
      <rPr>
        <vertAlign val="subscript"/>
        <sz val="8"/>
        <color theme="1"/>
        <rFont val="Times New Roman"/>
        <family val="1"/>
      </rPr>
      <t>X</t>
    </r>
    <r>
      <rPr>
        <sz val="8"/>
        <color theme="1"/>
        <rFont val="Times New Roman"/>
        <family val="1"/>
      </rPr>
      <t xml:space="preserve"> (g per GJ fuel) </t>
    </r>
  </si>
  <si>
    <r>
      <t>CH</t>
    </r>
    <r>
      <rPr>
        <vertAlign val="subscript"/>
        <sz val="8"/>
        <color theme="1"/>
        <rFont val="Times New Roman"/>
        <family val="1"/>
      </rPr>
      <t>4</t>
    </r>
    <r>
      <rPr>
        <sz val="8"/>
        <color theme="1"/>
        <rFont val="Times New Roman"/>
        <family val="1"/>
      </rPr>
      <t xml:space="preserve"> (g per GJ fuel)</t>
    </r>
  </si>
  <si>
    <r>
      <t>N</t>
    </r>
    <r>
      <rPr>
        <vertAlign val="subscript"/>
        <sz val="8"/>
        <color theme="1"/>
        <rFont val="Times New Roman"/>
        <family val="1"/>
      </rPr>
      <t>2</t>
    </r>
    <r>
      <rPr>
        <sz val="8"/>
        <color theme="1"/>
        <rFont val="Times New Roman"/>
        <family val="1"/>
      </rPr>
      <t>O (g per GJ fuel)</t>
    </r>
  </si>
  <si>
    <t>Nominal investment (M$/MWe) </t>
  </si>
  <si>
    <t>E,P,R,S</t>
  </si>
  <si>
    <t>1,4,5,8,9</t>
  </si>
  <si>
    <t>W</t>
  </si>
  <si>
    <t>Q</t>
  </si>
  <si>
    <t>Global horizontal irradiance (kWh/m2/y)</t>
  </si>
  <si>
    <t>DC/AC sizing factor (Wp/W)</t>
  </si>
  <si>
    <t>Transposition Factor for fixed tilt system</t>
  </si>
  <si>
    <t>Performance ratio [-]</t>
  </si>
  <si>
    <t>I</t>
  </si>
  <si>
    <t>PV module conversion efficiency (%)</t>
  </si>
  <si>
    <t>Inverter lifetime (years)</t>
  </si>
  <si>
    <t>Output</t>
  </si>
  <si>
    <t>Full load hours (kWh/kW)</t>
  </si>
  <si>
    <t>J, L,M</t>
  </si>
  <si>
    <t>Peak power full load hours (kWh/kWp)</t>
  </si>
  <si>
    <t>K, L,M</t>
  </si>
  <si>
    <t>Financial data</t>
  </si>
  <si>
    <t>PV module &amp; inverter cost ($/Wp)</t>
  </si>
  <si>
    <t>Balance Of Plant cost ($/Wp)</t>
  </si>
  <si>
    <t>Installation and other cost ($/Wp)</t>
  </si>
  <si>
    <t>Specific investment, total system ($/Wp)</t>
  </si>
  <si>
    <t>Specific investment, total system (M$/MW)</t>
  </si>
  <si>
    <t>P</t>
  </si>
  <si>
    <t>Data analysed from www.renewables.ninja for multiple locations in Indonesia.</t>
  </si>
  <si>
    <t>PVGIS © Europeen Communitees 2001-2012.</t>
  </si>
  <si>
    <t>IRENA, Renewable Power Generation Costs in 2022, 2023</t>
  </si>
  <si>
    <r>
      <t>The Danish Energy Agency, Technology data for g</t>
    </r>
    <r>
      <rPr>
        <sz val="9"/>
        <color theme="1"/>
        <rFont val="Times New Roman"/>
        <family val="1"/>
      </rPr>
      <t>eneration of electricity and district heating, 2023.</t>
    </r>
  </si>
  <si>
    <t>Space requirement mapped for local utility-scale PV by EA Energy Analysis in 2023, based on emthodology of ref. 7</t>
  </si>
  <si>
    <t>M. Bolinger and G. Bolinger, Land Requirements for Utility-Scale PV: An Empirical Update on Power and Energy Density, 2022</t>
  </si>
  <si>
    <t>World Energy Outlook 2022, IEA, 2023</t>
  </si>
  <si>
    <t>IRENA, Future of Solar PV - Deployment, investment,technology, grid integration and socio-economic aspects, 2019</t>
  </si>
  <si>
    <t>Listed as MWe. The MWp will depend on the DC/AC siizing factor</t>
  </si>
  <si>
    <t>See "PV module conversion efficiency (%)". The improvement in technology development is also captured in capacity factor, investment costs and space requirement.</t>
  </si>
  <si>
    <t>The generation from a PV system reflects the yearly and daily variation in solar irradiation. It is possible to curtail solar, and this can be done rapidly.</t>
  </si>
  <si>
    <t>The global horizontal irradiation is a measure of the energy resource potential available and depends on the exact geographical location. 1700 kWh/m2/year corresponds to a resource slightly above the median value in Java. The range of GHI across the country ranges from 1300 kWh/m2 to 2200 kWh/m2.</t>
  </si>
  <si>
    <t>The DC/AC equals module peak capacity Wp divided by plant capacity We (output of the inverter). The sizing factor is chosen according to the desired utilisation/loading of the inverter which can also reflect a desire to maximise the energy production from a given (restricted) AC-capacity.</t>
  </si>
  <si>
    <t>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In Indonesia the TF factor for fixed systems is very low, adding only 0-1 % to the production.</t>
  </si>
  <si>
    <t>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potential added benefit of having bifacial modules which raise the generation by 5%.</t>
  </si>
  <si>
    <t>J</t>
  </si>
  <si>
    <t>The full load hours is defined as the peak full load hours*DC/AC sizing factor</t>
  </si>
  <si>
    <t>K</t>
  </si>
  <si>
    <t>The number of full load hours is calculated based on the other values in the table. The formula is: Peak full load hours = Global horizontal irradiance * transposition factor * performance ratio.</t>
  </si>
  <si>
    <t>L</t>
  </si>
  <si>
    <t>Capacity factor = Full load hours / 8760.</t>
  </si>
  <si>
    <t>M</t>
  </si>
  <si>
    <t>The capacity factor or full load hours depend greatly on the global horizontal irradiance at the specific plant site. For sites significantly different from the 1700 kWh/m2/year solar irradiation mentioned here, the caacity factors should be adjusted accordingly.</t>
  </si>
  <si>
    <t xml:space="preserve">P </t>
  </si>
  <si>
    <t>The “specific investment, total system per rated capacity W(AC)” is calculated as “specific investment, total system per Wp(DC)” multiplied by the sizing factor.</t>
  </si>
  <si>
    <t>The cost of O&amp;M includes insurance and regular replacement of inverters, technical operation, preventive maintenance, commercial operation, corrective maintenance, insurance, greenkeeping and security. O&amp;M costs are assumed to decrease slower than for equipments. Reported values have a wide range so a +/- 50% interval is suggested for the uncertainty intervals.</t>
  </si>
  <si>
    <t>R</t>
  </si>
  <si>
    <t>Invstment cost projections and unertainty ranges are based on a continued reduction estimated from a number of sources incl. ref. 1, 5, 8, 9.</t>
  </si>
  <si>
    <t>S</t>
  </si>
  <si>
    <t>For 2023, uncertainty ranges are based on cost spans of various sources, incl. Focus Group Discussions with various stakeholders</t>
  </si>
  <si>
    <t>T</t>
  </si>
  <si>
    <t>PV module conversion efficiency (%) is the ration of the energy from the sun that hits the solar panel that is coverted into DC eletricity in the module.</t>
  </si>
  <si>
    <t xml:space="preserve">Is the ration of the energy from the sun that hits the solar panel that is coverted into DC eletricity in the module  </t>
  </si>
  <si>
    <t>U</t>
  </si>
  <si>
    <t>Estimations of space requirements are based on the mapping of the average polygonal area occupied by PV arrays and electrical equipments like inverter pad of existing utility scale PV plants in Indonesia and Singapore. The methode is decribed in [8].</t>
  </si>
  <si>
    <t>V</t>
  </si>
  <si>
    <t xml:space="preserve">The space requirement is reduced because of the improved efficiency of the modules, assuming that total area decrease by only 80 % of the decreased demand for modul area.  </t>
  </si>
  <si>
    <t>The cost of labour and the installation performance is not expected to improve in the same extent as the costs for the equipment. Therefore, the share of installation cost would increase over the years.</t>
  </si>
  <si>
    <t>X</t>
  </si>
  <si>
    <t xml:space="preserve">Yearlly outage time is assumed to be 0,5 % equal to approxemately 2 hours. </t>
  </si>
  <si>
    <t xml:space="preserve"> PV household scale,  rooftop, grid connected</t>
  </si>
  <si>
    <t>Generating capacity for total power plant (kWe(AC))</t>
  </si>
  <si>
    <r>
      <t>Space requirement (m</t>
    </r>
    <r>
      <rPr>
        <vertAlign val="superscript"/>
        <sz val="8"/>
        <rFont val="Times New Roman"/>
        <family val="1"/>
      </rPr>
      <t>2</t>
    </r>
    <r>
      <rPr>
        <sz val="8"/>
        <rFont val="Times New Roman"/>
        <family val="1"/>
      </rPr>
      <t>/kWe(AC))</t>
    </r>
  </si>
  <si>
    <r>
      <t>PM 2.5 (gram per Nm</t>
    </r>
    <r>
      <rPr>
        <vertAlign val="superscript"/>
        <sz val="8"/>
        <rFont val="Times New Roman"/>
        <family val="1"/>
      </rPr>
      <t>3</t>
    </r>
    <r>
      <rPr>
        <sz val="8"/>
        <rFont val="Times New Roman"/>
        <family val="1"/>
      </rPr>
      <t>)</t>
    </r>
  </si>
  <si>
    <r>
      <t>SO</t>
    </r>
    <r>
      <rPr>
        <vertAlign val="subscript"/>
        <sz val="8"/>
        <rFont val="Times New Roman"/>
        <family val="1"/>
      </rPr>
      <t>2</t>
    </r>
    <r>
      <rPr>
        <sz val="8"/>
        <rFont val="Times New Roman"/>
        <family val="1"/>
      </rPr>
      <t xml:space="preserve"> (degree of desulphuring, %) </t>
    </r>
  </si>
  <si>
    <r>
      <t>NO</t>
    </r>
    <r>
      <rPr>
        <vertAlign val="subscript"/>
        <sz val="8"/>
        <rFont val="Times New Roman"/>
        <family val="1"/>
      </rPr>
      <t>X</t>
    </r>
    <r>
      <rPr>
        <sz val="8"/>
        <rFont val="Times New Roman"/>
        <family val="1"/>
      </rPr>
      <t xml:space="preserve"> (g per GJ fuel) </t>
    </r>
  </si>
  <si>
    <r>
      <t>CH</t>
    </r>
    <r>
      <rPr>
        <vertAlign val="subscript"/>
        <sz val="8"/>
        <rFont val="Times New Roman"/>
        <family val="1"/>
      </rPr>
      <t>4</t>
    </r>
    <r>
      <rPr>
        <sz val="8"/>
        <rFont val="Times New Roman"/>
        <family val="1"/>
      </rPr>
      <t xml:space="preserve"> (g per GJ fuel)</t>
    </r>
  </si>
  <si>
    <r>
      <t>N</t>
    </r>
    <r>
      <rPr>
        <vertAlign val="subscript"/>
        <sz val="8"/>
        <rFont val="Times New Roman"/>
        <family val="1"/>
      </rPr>
      <t>2</t>
    </r>
    <r>
      <rPr>
        <sz val="8"/>
        <rFont val="Times New Roman"/>
        <family val="1"/>
      </rPr>
      <t>O (g per GJ fuel)</t>
    </r>
  </si>
  <si>
    <t>E,R,S</t>
  </si>
  <si>
    <t>1,4,5,6,8,9</t>
  </si>
  <si>
    <t>1,5,6</t>
  </si>
  <si>
    <t>2,3</t>
  </si>
  <si>
    <t>Performance ratio</t>
  </si>
  <si>
    <t>1,4,6</t>
  </si>
  <si>
    <t>J, L</t>
  </si>
  <si>
    <t>K, L</t>
  </si>
  <si>
    <t>Specific investment, total system (million $/MW)</t>
  </si>
  <si>
    <t>USAID, Panduan Perencanaan dan Pemanfaatan PLTS ATAP DI INDONESIA, 2020</t>
  </si>
  <si>
    <t>IESR, Indonesia Solar Energy Outlook 2023</t>
  </si>
  <si>
    <t>World Energy Outlook 2022, IEA 2023</t>
  </si>
  <si>
    <t>Investment cost include the engineering, procurement and construction (EPC). See description under Methodology.</t>
  </si>
  <si>
    <t>The global horizontal irradiation is a measure of the energy resource potential available and depends on the exact geographical location. 1700 kWh/m2 corresponds to a resource slightly above the median value in Java. The range of GHI across the country ranges from 1330 kWh/m2 to 2200 kWh/m2.</t>
  </si>
  <si>
    <t>The DC/AC equals module peak capacity Wp divided by plant capacity We(output of the inverter). The sizing factor is chosen according to the desired utilisation/loading of the inverter which can also reflect a desire to maximise the energy production from a given (restricted) AC-capacity.</t>
  </si>
  <si>
    <t>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</si>
  <si>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The cost of O&amp;M includes insurance and regular replacement of inverters, technical operation, preventive maintenance, commercial operation, corrective maintenance, insurance, greenkeeping and security.  O&amp;M costs are assumed to decrease slower than for equipments. Reported values have a wide range so a +/- 50% interval is suggested for the uncertainty intervals.</t>
  </si>
  <si>
    <t>Invstment cost projections and future unertainty ranges are assumed to be similar to the ones for ground-mounted plants and is based on a continued cost redutions estimated from a number of sources, incl. ref. 1, 4, 8, 9.</t>
  </si>
  <si>
    <t>For 2023, uncertainty ranges are based on cost spans of various sources.</t>
  </si>
  <si>
    <t xml:space="preserve">The space requirement is reduced because of the improved efficiency of the modules, assuming that total area decrese by only 95 % of the decreased demand for modul area.  </t>
  </si>
  <si>
    <t xml:space="preserve">Yearlly outage time is assumed to be 0,5 % equale approxemately 2 hour. </t>
  </si>
  <si>
    <t xml:space="preserve"> PV Industrial scale, rooftop or ground mounted -  grid connected</t>
  </si>
  <si>
    <t>Generating capacity for total power plant (kWe)</t>
  </si>
  <si>
    <r>
      <t>Space requirement (1000 m</t>
    </r>
    <r>
      <rPr>
        <vertAlign val="superscript"/>
        <sz val="8"/>
        <color theme="1"/>
        <rFont val="Times New Roman"/>
        <family val="1"/>
      </rPr>
      <t>2</t>
    </r>
    <r>
      <rPr>
        <sz val="8"/>
        <color theme="1"/>
        <rFont val="Times New Roman"/>
        <family val="1"/>
      </rPr>
      <t>/MWe)</t>
    </r>
  </si>
  <si>
    <t>1,2,7</t>
  </si>
  <si>
    <t>1,3,5,6,8,9</t>
  </si>
  <si>
    <t>D,W</t>
  </si>
  <si>
    <t>4,5</t>
  </si>
  <si>
    <t>F,M</t>
  </si>
  <si>
    <t>DC/AC sizing factor (Wp/We)</t>
  </si>
  <si>
    <t>1,3,5</t>
  </si>
  <si>
    <t>Cirata 1 MW Solar PV O&amp;M and Financial Perspective, Sharing Experience. PJB.</t>
  </si>
  <si>
    <t>The share of different elementes of the total system costs are based on a general assumption on a differences from utility scale systems, which is then applied to the full system costs.</t>
  </si>
  <si>
    <t>Invstment cost projections and future unertainty ranges are assumed to be similar to the ones for ground-mounted plants and is based on a continued cost reduction estimated from a number of sources, incl. ref. 1, 4, 8, 9.</t>
  </si>
  <si>
    <t>For 2023, uncertainty ranges are based on cost spans of various sources</t>
  </si>
  <si>
    <t>PV Floating, utility-scale,  grid connected</t>
  </si>
  <si>
    <r>
      <t>Space requirement (1000 m</t>
    </r>
    <r>
      <rPr>
        <vertAlign val="superscript"/>
        <sz val="8"/>
        <rFont val="Times New Roman"/>
        <family val="1"/>
      </rPr>
      <t>2</t>
    </r>
    <r>
      <rPr>
        <sz val="8"/>
        <rFont val="Times New Roman"/>
        <family val="1"/>
      </rPr>
      <t>/MWe)</t>
    </r>
  </si>
  <si>
    <t>M,L</t>
  </si>
  <si>
    <t>1,2,4</t>
  </si>
  <si>
    <t>M,L,X</t>
  </si>
  <si>
    <t>1,3,8,10,11,12</t>
  </si>
  <si>
    <t>1,3,6</t>
  </si>
  <si>
    <t>Installation and other cost ($/Wp]</t>
  </si>
  <si>
    <t>Benefits of pairing floating solar photovoltaics with hydropower reservoirs  in Europe  2023, https://www.sciencedirect.com/science/article/pii/S136403212200870X?via%3Dihub</t>
  </si>
  <si>
    <t>The Danish Energy Agency, Generation of electricity and district heating, 2020.</t>
  </si>
  <si>
    <t>M Rosa-Clot and G.M. Tina, Levelized Cost of Energy (LCOE) Analysis</t>
  </si>
  <si>
    <r>
      <t xml:space="preserve">Iselectric brochure.  </t>
    </r>
    <r>
      <rPr>
        <sz val="9"/>
        <rFont val="Times New Roman"/>
        <family val="1"/>
      </rPr>
      <t>Last accessed: September 2020</t>
    </r>
  </si>
  <si>
    <t>The Energy and Resources Institute, Floating Solar Photovoltaic (FSPV): A Third Pillar to Solar PV Sector?, 2019</t>
  </si>
  <si>
    <t>A A Untoro et al, Study of Economic Viability of Floating Photovoltaic Electric Power in Indonesia, 2021</t>
  </si>
  <si>
    <t>International Bank for Reconstruction and Development, Where Sun Meets Water: Floating Solar Market Report, 2018</t>
  </si>
  <si>
    <t>NREL, Floating Photovoltaic System Cost Benchmark: Q1 2021 Installations on Artificial Water Bodies, 2021</t>
  </si>
  <si>
    <t>Invstment cost projections and future unertainty ranges are assumed to be similar to the ones for ground-mounted plants and are based on a continued cost reduction estimated from a number of sources.</t>
  </si>
  <si>
    <t>Estimations of space requirements are based on the mapping of the average polygonal area occupied by PV arrays and electrical equipments like inverter pad of existing floating PV plants in Indonesia and Singapore.</t>
  </si>
  <si>
    <t xml:space="preserve">The space requirement is reduced because of the improved efficiency of the modules, assuming that total area decrese by only 90 % of the decreased demand for module area.  </t>
  </si>
  <si>
    <t xml:space="preserve">The cost of labour and the installation performance is not expected to improve in the same extent as the costs for the equipment. Therefore, the share of installation cost would increase over the years. The cost of instalation is expected to be 10 % lower than for Ground mounted, based on [13] </t>
  </si>
  <si>
    <t>Wind power - Onshore</t>
  </si>
  <si>
    <t>Rotor Diameter (m)</t>
  </si>
  <si>
    <t>Hub Height (m)</t>
  </si>
  <si>
    <t>Specific Power (W/m2)</t>
  </si>
  <si>
    <t>A,B</t>
  </si>
  <si>
    <t>6,7</t>
  </si>
  <si>
    <t>A,D,F</t>
  </si>
  <si>
    <t>1,5,8</t>
  </si>
  <si>
    <t>4,5,9</t>
  </si>
  <si>
    <t>PLN data provided by the System Planning Division at PLN. Supported by review of international price data, cf. technology description.</t>
  </si>
  <si>
    <t>Danish Energy Agency, 2012/2016.Technology Data on Energy Plants - Generation of Electricity and District Heating, Energy Storage and Energy Carrier Generation and Conversion</t>
  </si>
  <si>
    <t>IEA Wind Task 26, 2015, "Wind Technology, Cost, and Performance Trends in Denmark, Germany, Ireland, Norway, the EU, and the USA: 2007–2012".</t>
  </si>
  <si>
    <t>Renewables Ninja</t>
  </si>
  <si>
    <t>Global Wind Atlas</t>
  </si>
  <si>
    <t>ASEAN Centre for Energy, China Renewable Energy Engineering Institute. "Research on Applicantions of Low Wind Speed Power in ASEAN". Nov 2021.</t>
  </si>
  <si>
    <t>Stehly, Tyler and Patrick Duffy. 2021. 2020 Cost of Wind Energy Review. Golden, CO: National Renewable Energy Laboratory. NREL/TP-5000-81209. https://www.nrel.gov/docs/fy22osti/81209.pdf.</t>
  </si>
  <si>
    <t>The onshore turbine assumed in this technology catalog is a class III turbine, as the onshore wind speeds in Indonesia are very low.</t>
  </si>
  <si>
    <t>The capacity factor provided represents the expected performance at the best onshore wind locations in Indonesia (where average wind speeds are above 6 m/s), which are found almost exclusicly on Jawa. However, the majority of Indonesia as very low wind speeds, where capacity factor below 20% should be expected</t>
  </si>
  <si>
    <t>Equipment: Cost of turbines including transportation. Installation: Electricical infrastructure of turbine, civil works, grid connection, planning and management. The split of cost may vary considerably from project to project.</t>
  </si>
  <si>
    <t>The CapEx decrease comes from the NREL ATB's moderate scenario</t>
  </si>
  <si>
    <t>With sufficient wind resource available (wind speed higher than 4-6 m/s and lower than 25-30 m/s) wind turbines can always provide down regulation, and in many cases also up regulation, provided the turbine is running in power-curtailed mode (i.e. with an output which is deliberately set below the possible power based on the available wind).</t>
  </si>
  <si>
    <t>F O&amp;M includes cost of land</t>
  </si>
  <si>
    <t>Wind power - Small onshore wind turbines &lt; 1 MW</t>
  </si>
  <si>
    <t>5, 6</t>
  </si>
  <si>
    <t>1, 6</t>
  </si>
  <si>
    <t>D,E</t>
  </si>
  <si>
    <t>Wind Energy Resources of Indonesia 2014-2017, EMD International A/S, Denmark, financed by the Environmental Support Programme 3 (ESP3) / Danida.</t>
  </si>
  <si>
    <t>Case: Faroe Islands, Húsahagi 2014</t>
  </si>
  <si>
    <t>Case: Kenya, Lake Turkana, 2014-2017</t>
  </si>
  <si>
    <t>The efficiency is defined as 100%. The improvement in technology development is captured in capacity factor, investment cost and space requirement.</t>
  </si>
  <si>
    <t xml:space="preserve">The capacity factor provided represent an average of good locations in Indonesia, see presentation in catalogue text. As mentioned in the description, generelly speaking, the wind resource in Indonesia is scarce. </t>
  </si>
  <si>
    <t>The IEA expects approximately a doubling of the accumulated wind power capacity between 2020 and 2030 and 4-5 times more by 2050 compared to 2020. Assuming a learning of 12.5 % per annum this yields a cost reduction of approx. 13 % by 2030 and approx. 25 % by 2050.</t>
  </si>
  <si>
    <t>Wind power - Offshore</t>
  </si>
  <si>
    <t>2,6,7</t>
  </si>
  <si>
    <t>D,G</t>
  </si>
  <si>
    <t>NREL's Aunnual Technology Baseline ATB 2023</t>
  </si>
  <si>
    <t>Wind power - Floating offshore</t>
  </si>
  <si>
    <t>Generating capacity for total wind farm (MWe)</t>
  </si>
  <si>
    <t>Planned outage (%)</t>
  </si>
  <si>
    <t>Nominal investment (M$/MWe)</t>
  </si>
  <si>
    <t>3,4,5</t>
  </si>
  <si>
    <t xml:space="preserve"> - of which equipment (%)</t>
  </si>
  <si>
    <t xml:space="preserve"> - of which installation (%)</t>
  </si>
  <si>
    <t>Rotor diameter (m)</t>
  </si>
  <si>
    <t>Hub height (m)</t>
  </si>
  <si>
    <t>Specific power (W/m2)</t>
  </si>
  <si>
    <t>Availability (%)</t>
  </si>
  <si>
    <t>Global Wind Energy Council, 2020, "Global Offshore Wind Report 2020"</t>
  </si>
  <si>
    <t>BVG Associates, 2020, "Offshore wind roadmap for Vietnam"</t>
  </si>
  <si>
    <r>
      <t xml:space="preserve">Borg M. et al., </t>
    </r>
    <r>
      <rPr>
        <i/>
        <sz val="9"/>
        <rFont val="Times New Roman"/>
        <family val="1"/>
      </rPr>
      <t>Qualification of innovative floating substructures for 10MW wind turbines and water depths greater than 50m</t>
    </r>
    <r>
      <rPr>
        <sz val="9"/>
        <rFont val="Times New Roman"/>
        <family val="1"/>
      </rPr>
      <t>, 2019</t>
    </r>
  </si>
  <si>
    <r>
      <t xml:space="preserve">World Bank, </t>
    </r>
    <r>
      <rPr>
        <i/>
        <sz val="9"/>
        <rFont val="Times New Roman"/>
        <family val="1"/>
      </rPr>
      <t>Offshore wind roadmap for Vietnam: Preliminary Findings,</t>
    </r>
    <r>
      <rPr>
        <sz val="9"/>
        <rFont val="Times New Roman"/>
        <family val="1"/>
      </rPr>
      <t xml:space="preserve"> 2020.</t>
    </r>
  </si>
  <si>
    <r>
      <t xml:space="preserve">AEGIR, </t>
    </r>
    <r>
      <rPr>
        <i/>
        <sz val="9"/>
        <rFont val="Times New Roman"/>
        <family val="1"/>
      </rPr>
      <t>Vietnam site LCOE screening</t>
    </r>
    <r>
      <rPr>
        <sz val="9"/>
        <rFont val="Times New Roman"/>
        <family val="1"/>
      </rPr>
      <t>, 2020.</t>
    </r>
  </si>
  <si>
    <t>M. Aquilina, 2014, "Cost Modelling of Floating Wind Farms with Upscaled Rotors in Maltese Waters"</t>
  </si>
  <si>
    <t>Tidal power - Impoundment Type</t>
  </si>
  <si>
    <t>3,5</t>
  </si>
  <si>
    <t>DECC GOV.UK, “The UK 2050 Calculator: Tidal Range Cost Data,” 2011.</t>
  </si>
  <si>
    <t>Ernst &amp; Young, “Cost of and financial support for wave, tidal stream and tidal range generation in the UK,” 2010</t>
  </si>
  <si>
    <t>IRENA, “Tidal Energy Technology Brief,” 2014</t>
  </si>
  <si>
    <t>Pacific Northwest National Laboratory (PNNL), Tethys</t>
  </si>
  <si>
    <t>Tatiana Montllonch Araquistain, Tidal Power: Economic and Technological assessment.</t>
  </si>
  <si>
    <t>Based on various projects and company datasheets. The turbine size can vary from project to project based on requirement. The Sihwa Lake project in Korea has 25.4 MW turbines.</t>
  </si>
  <si>
    <t>The capacity is strongly dependent on resources available and shape of coastline. Although a lot of proposed plants are much larger in size, with some being  over 2 GW as well, the capacity shown here is based on deployment of plants so far.</t>
  </si>
  <si>
    <t>Actual operational life can be upto 120 years. However, lifetime is taken as 40 years, since there can be significant re-fitting costs after 40 years and discounted cash flows are insignificant after 40 years.</t>
  </si>
  <si>
    <t>Based on information of proposed plants.</t>
  </si>
  <si>
    <t>The projections here are assuming that with increased deployment and improved technology the values will improve within the range estimated.</t>
  </si>
  <si>
    <t>Bulb type turbines are commonly used for tidal impoundment plants. The value here is estimated based on efficiencies of bulb type water turbines.</t>
  </si>
  <si>
    <t>Considered as similar to Hydro</t>
  </si>
  <si>
    <t>Tidal power - Stream Type</t>
  </si>
  <si>
    <t>2,3,5</t>
  </si>
  <si>
    <t>Ernst &amp; Young, “Cost of and financial support for wave, tidal stream and tidal range generation in the UK,” 2010.</t>
  </si>
  <si>
    <t>Ocean Energy Systems - OES (IEA), “International Levelised Cost of Energy for Ocean Energy Technologies,” 2015.</t>
  </si>
  <si>
    <t>SIMEC Atlantis Energy, Projects</t>
  </si>
  <si>
    <t>UK Govt., Electricity Generation Costs 2020 (back calculation from LCOE values)</t>
  </si>
  <si>
    <t>Projects are in the early stages os turbines and capacities are smaller. Larger projects are expected to be executed in smaller capacity phases.</t>
  </si>
  <si>
    <t>Estimated based on MeyGen tidal stream project</t>
  </si>
  <si>
    <t>Pollution Prevention and Abatement Handbook, 1998: Toward Cleaner Production, Bind 777</t>
  </si>
  <si>
    <t>Subcritical coal power plant</t>
  </si>
  <si>
    <r>
      <t>PM 2.5 (mg per Nm</t>
    </r>
    <r>
      <rPr>
        <vertAlign val="superscript"/>
        <sz val="9"/>
        <rFont val="Times New Roman"/>
        <family val="1"/>
      </rPr>
      <t>3</t>
    </r>
    <r>
      <rPr>
        <sz val="9"/>
        <rFont val="Times New Roman"/>
        <family val="1"/>
      </rPr>
      <t>)</t>
    </r>
  </si>
  <si>
    <t>A,F</t>
  </si>
  <si>
    <t>2,4</t>
  </si>
  <si>
    <t>A,C,D</t>
  </si>
  <si>
    <t>A,D</t>
  </si>
  <si>
    <t>E,H</t>
  </si>
  <si>
    <t>1,3</t>
  </si>
  <si>
    <t>Platts Utility Data Institute (UDI) World Electric Power Plant Database (WEPP)</t>
  </si>
  <si>
    <t>Maximum emission from Minister of Environment Regulation 21/2008</t>
  </si>
  <si>
    <t>Deutsches Institut für Wirtschaftsforschung, On Start-up Costs of Thermal Power Plants in Markets with Increasing Shares of Fluctuating Renewables, 2016.</t>
  </si>
  <si>
    <t>Assumed gradidual improvement to international standard in 2050.</t>
  </si>
  <si>
    <t xml:space="preserve">Assumed no improvement for regulatory capability. </t>
  </si>
  <si>
    <t>Indonesian sulphur content in coal is up to 360 g/GJ. Conversion factor 0.35 to mg/Nm3 yields 1030 mg/Nm3. With a max of 750 mg/Nm3 then gives a % of desulphuring of 73%.</t>
  </si>
  <si>
    <t>Calculated from a max of 750 mg/Nm3 to g/GJ (conversion factor 0.35 from Pollution Prevention and Abatement Handbook, 1998)</t>
  </si>
  <si>
    <t>For economy of scale a proportionality factor, a, of 0.8 is suggested.</t>
  </si>
  <si>
    <t>Uncertainty Upper is from regulation. Lower is from current standards in Japan (2020) and South Korea (2050).</t>
  </si>
  <si>
    <t>Supercritical coal power plant</t>
  </si>
  <si>
    <t xml:space="preserve">- </t>
  </si>
  <si>
    <t>E,G,H</t>
  </si>
  <si>
    <t>PLN, 2017, data provided the System Planning Division at PLN</t>
  </si>
  <si>
    <t>IEA, Projected Costs of Generating Electricity, 2015.</t>
  </si>
  <si>
    <t>IEA, World Energy Outlook, 2015.</t>
  </si>
  <si>
    <t>PLN, 2023, data provided the System Planning Division at PLN</t>
  </si>
  <si>
    <t>For economy of scale a proportionality factor, a, of 0.85 is suggested.</t>
  </si>
  <si>
    <t>Ultra-supercritical coal power plant</t>
  </si>
  <si>
    <t>Lifetime extension of coal power plant</t>
  </si>
  <si>
    <t>Uncertainty (2030)</t>
  </si>
  <si>
    <t>Generating capacity for one unit (MW)</t>
  </si>
  <si>
    <t>Electricity efficiency. net (%-point). name plate</t>
  </si>
  <si>
    <t>1,3,4</t>
  </si>
  <si>
    <t>Electricity efficiency. net (%). annual average</t>
  </si>
  <si>
    <t>Forced outage (%-point)</t>
  </si>
  <si>
    <t>Space requirement (1000m2/MW)</t>
  </si>
  <si>
    <t>PM2.5 (% compared to 100% coal)</t>
  </si>
  <si>
    <t xml:space="preserve">SO2 (% compared to 100% coal) </t>
  </si>
  <si>
    <t xml:space="preserve">NOX (% compared to 100% coal) </t>
  </si>
  <si>
    <t>AB</t>
  </si>
  <si>
    <t>IEA, “Generating unit annual capital and life extension cost analysis,” 2019</t>
  </si>
  <si>
    <t>Parsons Brinckerhoff, “Coal and Gas Assumptions,” 2014. [Online]. Available: https://assets.publishing.service.gov.uk/government/uploads/system/uploads/attachment_data/file
/315717/coal_and_gas_assumptions.PDF.</t>
  </si>
  <si>
    <t xml:space="preserve">Danish Energy Agency and Energinet, “Technology Data - Energy Plants for Electricity and District heating generation”, 2016 - Updated </t>
  </si>
  <si>
    <t>EPRI, Generic guidelines for the life extension of fossil fuel power plants, 1986</t>
  </si>
  <si>
    <t>Value depends on the original plant. Value indicates the estimated change from the original value (unit is the same as the parameter).</t>
  </si>
  <si>
    <t>Values will depend on those of the plant prior to LTE, however the average fixed O&amp;M cost may increase slightly for the extension period compared with the original lifetime to accommodate the necessary reinvestments during the extended lifetime</t>
  </si>
  <si>
    <t>It is assumed that plant emissions prior to the LTE are within the legal limits.</t>
  </si>
  <si>
    <t>Investment costs will vary largely, depending on the necessary scope of work. The indicated range represents typical cases where lifetime extended to obtain additional 20 years lifetime.</t>
  </si>
  <si>
    <t>Values will depend on those of the plant prior to LTE, however the average fixed O&amp;M cost may increase slightly for the extension period compared with the original lifetime to accommodate the necessary reinvestments during the extended life time.</t>
  </si>
  <si>
    <t>Coal Power Plant – Steam Cycle – co-firing 20% ammonia</t>
  </si>
  <si>
    <t>Coal Power Plant – Steam Cycle – co-firing 100% ammonia</t>
  </si>
  <si>
    <t>Electricity efficiency. net (%). name plate</t>
  </si>
  <si>
    <t>Ramping configuration</t>
  </si>
  <si>
    <r>
      <t>NO</t>
    </r>
    <r>
      <rPr>
        <vertAlign val="subscript"/>
        <sz val="9"/>
        <color rgb="FF000000"/>
        <rFont val="Times New Roman"/>
        <family val="1"/>
      </rPr>
      <t>X</t>
    </r>
    <r>
      <rPr>
        <sz val="9"/>
        <color rgb="FF000000"/>
        <rFont val="Times New Roman"/>
        <family val="1"/>
      </rPr>
      <t xml:space="preserve"> (% compared to 100% coal) </t>
    </r>
  </si>
  <si>
    <t xml:space="preserve">Financial data    </t>
  </si>
  <si>
    <t>Fixed O&amp;M (% compared to 100% coal)</t>
  </si>
  <si>
    <t>Variable O&amp;M (% compared to 100% coal)</t>
  </si>
  <si>
    <t>G.Nagatani, H.Ishii, T.Ito, E.Ohno, Y.Okuma, “Development of Co-firing method of Pulverized coal and Ammonia to reduce greenhouse gas emissions”. IHI Engineering Review, Vol.53, No.1, 2020.</t>
  </si>
  <si>
    <t>BloombergNEF, Japan’s costly ammonia coal co-firing strategy, 2022</t>
  </si>
  <si>
    <t>T. Ito, H.Ishii, J.Zhang, S..Ishihara, S.Toshiyuki (IHI Corporation), New technology of the Ammonia co-firing with pulverized coal to reduce the NOx emission. AIChE meeting 2019.</t>
  </si>
  <si>
    <t>J.Tan, Y.He, R.Zhu, Y.Zhu, Z.Wang, Experimental study on co-firing characteristic of ammonia with pulverized coal in a staged combustion drop tube furnace, 2022</t>
  </si>
  <si>
    <t>Notes:</t>
  </si>
  <si>
    <t>Typically, the electricity efficiency will be 1-2 % point lower than that of the plant prior to conversion.</t>
  </si>
  <si>
    <t>The nominal investment assumes that exclude investment for a general lifetime extension campaign</t>
  </si>
  <si>
    <t>Coal Power Plant – Steam Cycle – co-firing 20% biomass (wood pellets)</t>
  </si>
  <si>
    <t>Coal Power Plant – Steam Cycle – co-firing 100% biomass (wood pellets)</t>
  </si>
  <si>
    <t>A,C</t>
  </si>
  <si>
    <t>+0.16</t>
  </si>
  <si>
    <t>+0.15</t>
  </si>
  <si>
    <t>+0.12</t>
  </si>
  <si>
    <t>+0.20</t>
  </si>
  <si>
    <t>+0.11</t>
  </si>
  <si>
    <t>+0.19</t>
  </si>
  <si>
    <t>+0.36</t>
  </si>
  <si>
    <t>+0.28</t>
  </si>
  <si>
    <t>+0.46</t>
  </si>
  <si>
    <t>+0.26</t>
  </si>
  <si>
    <t>+0.44</t>
  </si>
  <si>
    <t>“Biomass Co-firing: Technology brief,” IRENA, 2013. https://irena.org/-/media/Files/IRENA/Agency/Publication/2013/IRENA-ETSAP-Tech-Brief-E21-Biomass-Co-firing.pdf</t>
  </si>
  <si>
    <t>X. Wang et al., “Experimental investigation on biomass co-firing in a 300MW pulverized coal-fired utility furnace in China,” Proceedings of the Combustion Institute, vol. 33, no. 2, pp. 2725–2733, 2011, doi: https://doi.org/10.1016/j.proci.2010.06.055.</t>
  </si>
  <si>
    <t>Rohan Fernando, IEA Clean Coal Centre, “Cofiring high ratios of biomass with coal”, 2012</t>
  </si>
  <si>
    <t>Danish Energy Agency and Energinet, “Technology Data - Energy Plants for Electricity and District heating generation”, 2016.</t>
  </si>
  <si>
    <t>Value depends on the original plant. Value indicates the estimated change from the original value (unit is the same as the paramter).</t>
  </si>
  <si>
    <t>Typically the electricity efficiency will be 1-2 % point lower than that of the plant prior to conversion.</t>
  </si>
  <si>
    <t>Some additional under roof space (or silos) will be required for storage of pellets compared to coal (estimated 50%-100% extra m3 storage). But not more floor space (m2).</t>
  </si>
  <si>
    <t>The nominal investment is excluding investment for a general life time extension campaign</t>
  </si>
  <si>
    <t>Cold gas efficiency (%)</t>
  </si>
  <si>
    <t>PM 2.5 (mg per Nm3)</t>
  </si>
  <si>
    <t>7,12</t>
  </si>
  <si>
    <t>9,12</t>
  </si>
  <si>
    <t>CO (g per GJ fuel)</t>
  </si>
  <si>
    <t>6,13</t>
  </si>
  <si>
    <t>MDPI, 2018, "Life Cycle Analysis of Integrated Gasification Combined Cycle Power Generation in the Context of Southeast Asia,"</t>
  </si>
  <si>
    <t>IEEFA, 2018,"Lezna IGCC Project: High Costs and Unreliable Operations Can Be Expected"</t>
  </si>
  <si>
    <t>Nevile Holt - EPRI, 2004,"Coal-based IGCC Plans - Recent Operating Experience and Lessons Learned"</t>
  </si>
  <si>
    <t>EFDA, 2013, "Review and Update of Power Sector"</t>
  </si>
  <si>
    <r>
      <rPr>
        <sz val="9"/>
        <rFont val="Times New Roman"/>
        <family val="1"/>
      </rPr>
      <t xml:space="preserve">Modern Power Systems, Increasing the flexibility of IGCC, </t>
    </r>
    <r>
      <rPr>
        <sz val="9"/>
        <rFont val="Calibri"/>
        <family val="2"/>
        <scheme val="minor"/>
      </rPr>
      <t>https://www.modernpowersystems.com/features/featureincreasing-flexibility-of-igcc-4893259/</t>
    </r>
  </si>
  <si>
    <t>Global CCS Institute, 2017,  "Global Costs of Carbon Capture and Storage"</t>
  </si>
  <si>
    <t>Michael A. Mac Kinnon, University of California, 2017, "The role of natural gas and its infrastructure in mitigating greenhouse gas emissions, improving regional air quality, and renewable resource integration"</t>
  </si>
  <si>
    <t>United States Department of Energy National Energy Technology Laboratory, Gasification Plant Cost and Performance Optimization, 2002</t>
  </si>
  <si>
    <t>IEAGHG, Operating Flexibility of Power Plants with CCS</t>
  </si>
  <si>
    <t>EPRI, Increasing the Flexibility of IGCC Power Plants</t>
  </si>
  <si>
    <t>Koornneef J., 2011, Carbon Dioxide Capture and Air Quality</t>
  </si>
  <si>
    <t>NREL ATB 2020</t>
  </si>
  <si>
    <t>IGCCs use combined (gas) cycles to produce power. Their efficiency is higher for big plant sizes (economy of scale). Preliminary screenings in Sumatra and Kalimantan identify in 150-200 MW the IGCC size.</t>
  </si>
  <si>
    <t>The cold gas efficiency is the efficiency of the gasification unit</t>
  </si>
  <si>
    <t>Unplanned outages can be sizeable. These mainly concern corrosion and fouling in the heat exchangers, particularly the syngas coolers.</t>
  </si>
  <si>
    <t>It is assumed that improvements in the air sepration unit (ASU) and in the gasification unit boost the cycle's ramping capabilities in the coming years</t>
  </si>
  <si>
    <t>Start-up costs vary depending on the idle time. Warm-up of the gasification unit requires time and can be expensive, therefore start-up cost is higher than a CC plant.</t>
  </si>
  <si>
    <t xml:space="preserve">Start-up time is the necessary time to reach minimum load. It takes a long time for IGCC to reach full-load and it can vary depending on the specific technology, hence the wide range. </t>
  </si>
  <si>
    <t>The efficiency is strongly dependent on coal type. High-grade coal can lead to efficiencies of over 45%, but low-rank coal (3-4000 kcal/kg) used in Indonesia leads to lower efficiencies with today's technology.</t>
  </si>
  <si>
    <t>Price for one unit. An IGCC power plant consisting of two units can be considered to have a 10% lower overnight cost</t>
  </si>
  <si>
    <t>Simple Cycle Gas Turbine - large system</t>
  </si>
  <si>
    <t>1, 3</t>
  </si>
  <si>
    <r>
      <t>PM 2.5 (mg per Nm</t>
    </r>
    <r>
      <rPr>
        <vertAlign val="superscript"/>
        <sz val="8"/>
        <rFont val="Times New Roman"/>
        <family val="1"/>
      </rPr>
      <t>3</t>
    </r>
    <r>
      <rPr>
        <sz val="8"/>
        <rFont val="Times New Roman"/>
        <family val="1"/>
      </rPr>
      <t>)</t>
    </r>
  </si>
  <si>
    <t>F,G,H</t>
  </si>
  <si>
    <t>Danish Energy Agency, 2015, "Technology Catalogue on Power and Heat Generation".</t>
  </si>
  <si>
    <t>Vuorinen, A., 2008, "Planning of Optimal Power Systems".</t>
  </si>
  <si>
    <t>Soares, 2008, "Gas Turbines: A Handbook of Air, Land and Sea Applications".</t>
  </si>
  <si>
    <t>Calculated from a max of 400 mg/Nm3 to g/GJ (conversion factor 0.27 from Pollution Prevention and Abatement Handbook, 1998)</t>
  </si>
  <si>
    <t>Commercialised natural gas is practically sulphur free and produces virtually no sulphur dioxide</t>
  </si>
  <si>
    <t>The investment cost of an aero-derivative gas turbine will be in the higher end than an industrial gas turbine (ref. 5) . Roughly 50% higher.</t>
  </si>
  <si>
    <t>For 2020, uncertainty ranges are based on cost spans of various sources.</t>
  </si>
  <si>
    <t>Combined Cycle Gas Turbine</t>
  </si>
  <si>
    <t>1,3,5,10</t>
  </si>
  <si>
    <t>F,H</t>
  </si>
  <si>
    <t>1,3,10</t>
  </si>
  <si>
    <t>Siemens, 2010, "Flexible future for combined cycle".</t>
  </si>
  <si>
    <t>CCGT – co-firing 20% hydrogen (in term of energy)</t>
  </si>
  <si>
    <t>CCGT – co-firing 100% hydrogen (in term of energy)</t>
  </si>
  <si>
    <t>PM2.5  (% compared to 100% natural gas)</t>
  </si>
  <si>
    <t>SO2  (% compared to 100% natural gas)</t>
  </si>
  <si>
    <r>
      <rPr>
        <sz val="9"/>
        <color rgb="FF000000"/>
        <rFont val="Times New Roman"/>
        <family val="1"/>
      </rPr>
      <t>NO</t>
    </r>
    <r>
      <rPr>
        <vertAlign val="subscript"/>
        <sz val="9"/>
        <color rgb="FF000000"/>
        <rFont val="Times New Roman"/>
        <family val="1"/>
      </rPr>
      <t>X</t>
    </r>
    <r>
      <rPr>
        <sz val="9"/>
        <color rgb="FF000000"/>
        <rFont val="Times New Roman"/>
        <family val="1"/>
      </rPr>
      <t xml:space="preserve">  (% compared to 100% natural gas)</t>
    </r>
  </si>
  <si>
    <t>+0.09</t>
  </si>
  <si>
    <t>+0.08</t>
  </si>
  <si>
    <t>ABD</t>
  </si>
  <si>
    <t>+0.31</t>
  </si>
  <si>
    <t>+0.29</t>
  </si>
  <si>
    <t>Fixed O&amp;M (% compared to 100% natural gas)</t>
  </si>
  <si>
    <t>Variable O&amp;M (% compared to 100% natural gas)</t>
  </si>
  <si>
    <t>“Hydrogen gas turbines,” ETN Global, 2020. https://etn.global/wp-content/uploads/2020/01/ETN-Hydrogen-Gas-Turbines-report.pdf.</t>
  </si>
  <si>
    <t>S. Öberg, M. Odenberger, and F. Johnsson, “Exploring the competitiveness of hydrogen-fueled gas turbines in future energy systems,” Int. J. Hydrogen Energy, vol. 47, no. 1, pp. 624–644, 2022, doi: https://doi.org/10.1016/j.ijhydene.2021.10.035.</t>
  </si>
  <si>
    <t>EPRI, “Hydrogen-Capable Gas Turbines for Deep Decarbonization,” 2019. [Online]. Available: https://h2fcp.org/sites/default/files/3002017544_Technology-Insights-Brief_ Hydrogen_Capable-Gas-Turbines-for-Deep-Decarbonization.pdf.</t>
  </si>
  <si>
    <t>T.Wind, F.Guthe, K.Syed, “Co-firing of hydrogen and natural gases in lean premixed conventional and reheat burners (Alstom GT26), 2014</t>
  </si>
  <si>
    <t>L.Wright, C.Lewis, “Emission of Nox from blending of hydrogen and natural gas in space heating boilers”, 2022</t>
  </si>
  <si>
    <t xml:space="preserve">All costs for extra component needed for running the turbine with H2 and for resizing equipment in order to maintain the same power output capacity of the plant is included in the investment cost. The cost of improving pipelines outside the plant-land plot is not included.  </t>
  </si>
  <si>
    <t xml:space="preserve">Supercritical coal power plant with CCS, new plant </t>
  </si>
  <si>
    <t>5,7,8</t>
  </si>
  <si>
    <t>Global CCS Institute, Global costs of carbon capture and storage, 2017</t>
  </si>
  <si>
    <t>Danish Energy Agency, "Technology data - Generation of electricity and district heating", 2020</t>
  </si>
  <si>
    <t>Danish Energy Agency, Technology Data for Carbon Capture, Transport and Storage, 2023</t>
  </si>
  <si>
    <t>UK BEIS, Assessing the Cost Reduction Potential and Competitiveness of Novel UK Casrbon Capture Technology, 2018</t>
  </si>
  <si>
    <t>IRENA, Reaching Zero with Renewables Capturing Carbon, 2021</t>
  </si>
  <si>
    <t>This figure represents the efficiency of the capture process. New technologies might remove CO2 more efficiently in the future. CO2 can be already captured at higher rates, but costs to marginally increase capture rates beyond the reported values are relatively high.</t>
  </si>
  <si>
    <t>In principle, ramping is not affected by the presence/absence of CCS.</t>
  </si>
  <si>
    <t>Minimum load is not affected by CCS. However, the CO2 compressor requires higher loads for smooth operability.</t>
  </si>
  <si>
    <t>The regeneration in the post-combustion unit has a start-up time comparable to that of the power plant.</t>
  </si>
  <si>
    <t>The total installed capacity of the newly bulit Super Critical coal plant with CCS is 600 MW.</t>
  </si>
  <si>
    <t>The nominal investment cost corresponds to the cost of developing a newbuild supercritical plant with CCS facilty. The nominal investment is based on the economy of scale equation, C1/C2 = (P1/P2)^a, assuming the proportionality factor (a) is 0.6</t>
  </si>
  <si>
    <t>Natural Gas Combined Cycle with CCS, new plant</t>
  </si>
  <si>
    <t>1,9</t>
  </si>
  <si>
    <t>5,6,7</t>
  </si>
  <si>
    <t>5,6</t>
  </si>
  <si>
    <t>The total installed capacity of the newly bulit CCGT-CCS is 400 MW.</t>
  </si>
  <si>
    <t>The nominal investment cost corresponds to the cost of developing a newbuild CCS-CCGT.</t>
  </si>
  <si>
    <t>The nominal investment cost for retrofitting corresponds to the cost of retroffiting an existing CCGT with CCS facility. The nominal investment is based on the economy of scale equation, C1/C2 = (P1/P2)^a, assuming the proportionality factor (a) is 0.6</t>
  </si>
  <si>
    <t>A,E</t>
  </si>
  <si>
    <t>,</t>
  </si>
  <si>
    <t>The total installed capacity of the newly bulit IGCC-CCS is 600 MW.</t>
  </si>
  <si>
    <t>The nominal investment cost corresponds to the cost of developing an entirely new IGCC plant with CCS facility. The nominal investment is based on the economy of scale equation, C1/C2 = (P1/P2)^a, assuming the proportionality factor (a) is 0.6</t>
  </si>
  <si>
    <t>Biomass power plant (smal plant - palm oil / rice husk )</t>
  </si>
  <si>
    <t>1,3,7</t>
  </si>
  <si>
    <t>8,10</t>
  </si>
  <si>
    <t>B,C</t>
  </si>
  <si>
    <t>4-8,11</t>
  </si>
  <si>
    <t>4,5,8,11</t>
  </si>
  <si>
    <t>5,11</t>
  </si>
  <si>
    <t>ASEAN Centre of Energy, 2016, "Levelised cost of electricity generation of selected renewable energy technologies in the ASEAN member states".</t>
  </si>
  <si>
    <t>Danish Energy Agency and COWI, 2017, "Technology vatalogue for biomass to energy".</t>
  </si>
  <si>
    <t>IRENA, 2015, "Renewable power generation cost in 2014"</t>
  </si>
  <si>
    <t>IFC and BMF, 2017, "Converting biomass to energy - A guide for developmers and investors".</t>
  </si>
  <si>
    <t>OJK, 2014, "Clean Energy Handbook for Financial Service Institutions", Indonesia Financial Service Authority.</t>
  </si>
  <si>
    <t>IEA-ETSAP and IRENA, 2015, "Biomass for Heat and Power, Technology Brief".</t>
  </si>
  <si>
    <t>PKPPIM, 2014, "Analisis biaya dan manfaat pembiayaan investasi limbah menjadi energi melalui kredit program", Center for Climate Change and Multilateral
Policy Ministry of Finance Indonesia.</t>
  </si>
  <si>
    <t xml:space="preserve">India Central Electricity Authority, 2007, "Report on the Land Requirement of Thermal Power Stations". </t>
  </si>
  <si>
    <t>A. 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</si>
  <si>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Biogas power plant</t>
  </si>
  <si>
    <t>3,5,8,9</t>
  </si>
  <si>
    <t>5,7,9</t>
  </si>
  <si>
    <t>6,9</t>
  </si>
  <si>
    <t>ASEAN Centre of Energy (2016). Levelised cost of electricity generation of selected renewable energy technologies in the ASEAN member states.</t>
  </si>
  <si>
    <t>Winrock, 2015, "Buku Panduan Konversi POME Menjadi Biogas, Pengembangan Proyek di Indonesia", USAID – Winrock International.</t>
  </si>
  <si>
    <t xml:space="preserve">RENAC, 2014, "Biogas Technology and Biomass, Renewables Academy (RENAC)". </t>
  </si>
  <si>
    <t>IFC and BMF, 2017, Converting biomass to energy - A guide for developmers and investors".</t>
  </si>
  <si>
    <t>Chazaro Gerbang Internasional, 2004, "Utilization of Biogas Generated from the Anaerobic Treatment of Palm Oil Mills Effluent (POME) as Indigenous Energy Source for Rural Energy Supply and Electrification - A Pre-Feasibility Study Report"</t>
  </si>
  <si>
    <t>Incineration Power Plant - Municipal Solid Waste</t>
  </si>
  <si>
    <t xml:space="preserve">Nominal investment ( million $/MWe) </t>
  </si>
  <si>
    <t>Waste treatment capacity (tonnes/h)</t>
  </si>
  <si>
    <t>Based on experience from the Netherlands where 30 % electric efficiency is achieve. 1 %-point efficiency subtracted to take into account higher temperature of cooling water in Indonesia (approx. +20 C).</t>
  </si>
  <si>
    <t xml:space="preserve">The investment cost is based on waste to energy CHP plant in Denmark, according to Ref 1. A waste treatment capacity of 27,7 tonnes/h is assumed and an energy content of 10,4 GJ/ton.  The specific finalcial data   is adjusted to reflect that the plant in Indonesia runs in condensing mode and hence the electric  capacity (MWe) is higher than for a combined heat and power, backpressure plant with the same treatment capacity. </t>
  </si>
  <si>
    <t>Calculated from size, fuel efficiency and an average calory value for waste of 9.7 GJ/ton.</t>
  </si>
  <si>
    <t>Landfill Gas Power Plant - Municipal Solid Waste</t>
  </si>
  <si>
    <t>OJK, 2014, "Clean Energy Handbook for Financial Service Institutions", Indonesia Financial Service Authority, Jakarta, Indonesia</t>
  </si>
  <si>
    <t>Renewables Academy" (RENAC) AG, 2014, "Biogas Technology and Biomass", Berlin, Germany.</t>
  </si>
  <si>
    <t>IEA-ETSAP and IRENA, 2015. "Biomass for Heat and Power, Technology Brief".</t>
  </si>
  <si>
    <t>MEMR, 2015, "Waste to Energy Guidebook", Jakarta, Indonesia.</t>
  </si>
  <si>
    <t>Uncertainty (Upper/Lower) is estimated as +/- 10-15%.</t>
  </si>
  <si>
    <t>Diesel engine (using fuel oil)</t>
  </si>
  <si>
    <t xml:space="preserve"> </t>
  </si>
  <si>
    <t>B, C</t>
  </si>
  <si>
    <t>3,4</t>
  </si>
  <si>
    <r>
      <t>SO</t>
    </r>
    <r>
      <rPr>
        <vertAlign val="subscript"/>
        <sz val="9"/>
        <rFont val="Times New Roman"/>
        <family val="1"/>
      </rPr>
      <t>2</t>
    </r>
    <r>
      <rPr>
        <sz val="9"/>
        <rFont val="Times New Roman"/>
        <family val="1"/>
      </rPr>
      <t xml:space="preserve"> (g per GJ fuel) </t>
    </r>
  </si>
  <si>
    <t xml:space="preserve">Wärtsila, 2011, "White paper Combustion engine power plants", Niklas Haga, General Manager, Marketing &amp; Business Development Power Plants </t>
  </si>
  <si>
    <t>Danish Energy Agency, 2016, "Technology Data for Energy Plants"</t>
  </si>
  <si>
    <t>Minister of Environment, Regulation 21/2008</t>
  </si>
  <si>
    <t>The International Council on Combustion Engines, 2008: Guide to diesel exhaust emissions control of NOx, SOx, particles, smoke and CO2</t>
  </si>
  <si>
    <t>http://www.bwsc.com/News---Press.aspx?ID=530&amp;PID=2281&amp;Action=1&amp;NewsId=206</t>
  </si>
  <si>
    <t>BWSC once again to deliver highly efficient power plant in the Faroe Islands.</t>
  </si>
  <si>
    <t>30 % minimum load per unit - corresponds to 6 % for total plant when consisting of 5 units</t>
  </si>
  <si>
    <t>Total particulate matter</t>
  </si>
  <si>
    <t>Typical diesel exhaut emission according to Ref 3 (average of interval) unless this number exceeds the maximum allowed emission according to Minister of Environment Regulation 21/2008. Both SO2 and particulates are dependant on the fuel composition.</t>
  </si>
  <si>
    <t>Nuclear power plant - PWR</t>
  </si>
  <si>
    <t>5,4</t>
  </si>
  <si>
    <r>
      <t>PM 2.5 (mg per Nm</t>
    </r>
    <r>
      <rPr>
        <vertAlign val="superscript"/>
        <sz val="8"/>
        <color rgb="FF000000"/>
        <rFont val="Times New Roman"/>
        <family val="1"/>
      </rPr>
      <t>3</t>
    </r>
    <r>
      <rPr>
        <sz val="8"/>
        <color rgb="FF000000"/>
        <rFont val="Times New Roman"/>
        <family val="1"/>
      </rPr>
      <t>)</t>
    </r>
  </si>
  <si>
    <r>
      <t>SO</t>
    </r>
    <r>
      <rPr>
        <vertAlign val="subscript"/>
        <sz val="8"/>
        <color rgb="FF000000"/>
        <rFont val="Times New Roman"/>
        <family val="1"/>
      </rPr>
      <t>2</t>
    </r>
    <r>
      <rPr>
        <sz val="8"/>
        <color rgb="FF000000"/>
        <rFont val="Times New Roman"/>
        <family val="1"/>
      </rPr>
      <t xml:space="preserve"> (degree of desulphuring, %)</t>
    </r>
  </si>
  <si>
    <r>
      <t>NO</t>
    </r>
    <r>
      <rPr>
        <vertAlign val="subscript"/>
        <sz val="8"/>
        <color rgb="FF000000"/>
        <rFont val="Times New Roman"/>
        <family val="1"/>
      </rPr>
      <t>x</t>
    </r>
    <r>
      <rPr>
        <sz val="8"/>
        <color rgb="FF000000"/>
        <rFont val="Times New Roman"/>
        <family val="1"/>
      </rPr>
      <t xml:space="preserve"> (g per GJ fuel)</t>
    </r>
  </si>
  <si>
    <r>
      <t>CH</t>
    </r>
    <r>
      <rPr>
        <vertAlign val="subscript"/>
        <sz val="8"/>
        <color rgb="FF000000"/>
        <rFont val="Times New Roman"/>
        <family val="1"/>
      </rPr>
      <t>4</t>
    </r>
    <r>
      <rPr>
        <sz val="8"/>
        <color rgb="FF000000"/>
        <rFont val="Times New Roman"/>
        <family val="1"/>
      </rPr>
      <t xml:space="preserve"> (g per GJ fuel)</t>
    </r>
  </si>
  <si>
    <r>
      <t>N</t>
    </r>
    <r>
      <rPr>
        <vertAlign val="subscript"/>
        <sz val="8"/>
        <color rgb="FF000000"/>
        <rFont val="Times New Roman"/>
        <family val="1"/>
      </rPr>
      <t>2</t>
    </r>
    <r>
      <rPr>
        <sz val="8"/>
        <color rgb="FF000000"/>
        <rFont val="Times New Roman"/>
        <family val="1"/>
      </rPr>
      <t>O (g per GJ fuel)</t>
    </r>
  </si>
  <si>
    <t>E,F,G</t>
  </si>
  <si>
    <t>2,3,6,7, 10</t>
  </si>
  <si>
    <t>- of which equipment</t>
  </si>
  <si>
    <t>- of which installation</t>
  </si>
  <si>
    <t>Variable O&amp;M ($/MWh)</t>
  </si>
  <si>
    <r>
      <t xml:space="preserve">N. IEA, “Projected cost of generating electricity 2020 Edition,” </t>
    </r>
    <r>
      <rPr>
        <i/>
        <sz val="9"/>
        <color theme="1"/>
        <rFont val="Times New Roman"/>
        <family val="1"/>
      </rPr>
      <t>Int. ENERGY AGENCY Nucl. ENERGY AGENCY Organ. Econ. CO-OPERATION Dev.</t>
    </r>
    <r>
      <rPr>
        <sz val="9"/>
        <color theme="1"/>
        <rFont val="Times New Roman"/>
        <family val="1"/>
      </rPr>
      <t>, no. January, p. 112, 2020, [Online]. Available: https://ncdc.gov.ng/themes/common/docs/protocols/111_1579986179.pdf</t>
    </r>
  </si>
  <si>
    <t>O. NEA, “Unlocking Reductions in the Construction Costs of Nuclear: A Practical Guide for Stakeholders,” 2020. doi: 10.1787/9789264303119-en.</t>
  </si>
  <si>
    <t>“Economics of Nuclear Power(Updated August 2022).” https://world-nuclear.org/information-library/economic-aspects/economics-of-nuclear-power.aspx#CapitalCosts</t>
  </si>
  <si>
    <t>NEA, “Technical and Economic Aspects of Load Following with Nuclear Power Plants,” 2023.Nuclear Power Reactors in the World | IAEA</t>
  </si>
  <si>
    <t>NEA, “Technical and Economic Aspects of Load Following with Nuclear Power Plants,” 2011. https://www.oecd-nea.org/upload/docs/application/pdf/2021-12/technical_and_economic_aspects_of_load_following_with_nuclear_power_plants.pdf</t>
  </si>
  <si>
    <t>https://www.voanews.com/a/pakistan-signs-4-8-billion-nuclear-power-plant-deal-with-china/7144967.html</t>
  </si>
  <si>
    <t>NREL, Annual Technology Baseline (ATB) 2023, https://atb.nrel.gov/electricity/2023/data</t>
  </si>
  <si>
    <t>8.</t>
  </si>
  <si>
    <t>US Dept. of Energy, Office of Nuclear Energy. The ultimate fast facts guide to Nuclear Energy.</t>
  </si>
  <si>
    <t>9.</t>
  </si>
  <si>
    <t xml:space="preserve">STRATA. The Footprint of Energy: Land use of US Electricity Production 2017 </t>
  </si>
  <si>
    <t>Lazard LCOE+ April 2023</t>
  </si>
  <si>
    <t>Ramping and minimum load are constrained by the core stability'. Minimum requirements are usually set by the regulation.</t>
  </si>
  <si>
    <t xml:space="preserve"> A two-unit configuration is typical in nuclear power plants, but more units can be combined.</t>
  </si>
  <si>
    <t>Generation IV reactors are expected to achieve efficiencies well above 45%. In the future, nuclear reactors are likely' to run often at partial load - thus the gap between nameplate and net efficiency'</t>
  </si>
  <si>
    <t>Nuclear power plants have a very' high energy' density' in terms of area required. The values represented here are for the area needed for the plants. However, there can be a higher requirement based on government regulation and environmental concerns F High variation in cost seen between US. EU costs and China. India costs. Moreover, this also depends on technology'. Here the chosen values are estimated based on a mix of values available along with employing the learning curve approach used for financial parameters.</t>
  </si>
  <si>
    <t xml:space="preserve">Decommissioning costs usually are the 15% of the total investment cost, is not included in the onvestment cost </t>
  </si>
  <si>
    <t>The CAPEX breakdown is composed by 33% share of direct cost (i.e., Equipment, Labour, Construction, Materials and Building), 37% of Indirect cost (i.e., Design services, Construction and Supervision and project management, Commissioning and startup costs), 17% of Financial costs, 10% of Owner's cost.</t>
  </si>
  <si>
    <t>The development of the overnigth cost is based on [6]NREL ATB 2023, the overnigth cost stated in [6]</t>
  </si>
  <si>
    <t>CAPEX is in line with NREL ATB 2023 (overnight capital costs + construction financing costs)</t>
  </si>
  <si>
    <t>Nuclear power plant - SMR (Land based Water-cooled)</t>
  </si>
  <si>
    <t>2,3,4</t>
  </si>
  <si>
    <t>2,1,4</t>
  </si>
  <si>
    <t>2,1</t>
  </si>
  <si>
    <t>2,3, 13</t>
  </si>
  <si>
    <t>1,2,5</t>
  </si>
  <si>
    <r>
      <t>SO</t>
    </r>
    <r>
      <rPr>
        <vertAlign val="subscript"/>
        <sz val="8"/>
        <rFont val="Times New Roman"/>
        <family val="1"/>
      </rPr>
      <t>2</t>
    </r>
    <r>
      <rPr>
        <sz val="8"/>
        <rFont val="Times New Roman"/>
        <family val="1"/>
      </rPr>
      <t xml:space="preserve"> (degree of desulphuring, %)</t>
    </r>
  </si>
  <si>
    <r>
      <t>NO</t>
    </r>
    <r>
      <rPr>
        <vertAlign val="subscript"/>
        <sz val="8"/>
        <rFont val="Times New Roman"/>
        <family val="1"/>
      </rPr>
      <t>x</t>
    </r>
    <r>
      <rPr>
        <sz val="8"/>
        <rFont val="Times New Roman"/>
        <family val="1"/>
      </rPr>
      <t xml:space="preserve"> (g per GJ fuel)</t>
    </r>
  </si>
  <si>
    <r>
      <t>N</t>
    </r>
    <r>
      <rPr>
        <vertAlign val="subscript"/>
        <sz val="8"/>
        <rFont val="Times New Roman"/>
        <family val="1"/>
      </rPr>
      <t>2</t>
    </r>
    <r>
      <rPr>
        <sz val="8"/>
        <rFont val="Times New Roman"/>
        <family val="1"/>
      </rPr>
      <t>O(g per GJ fuel)</t>
    </r>
  </si>
  <si>
    <t>D,E,G</t>
  </si>
  <si>
    <t>2,3,6</t>
  </si>
  <si>
    <t>WNA Word Nuclear Association, economics of Nuclear Power (Updated August 2022) - https://www.world-nuclear.org/information-library/economic-aspects/economics-of-nuclear-power.aspx#ECSArticleLink1</t>
  </si>
  <si>
    <t>IAEA Nuclear Energy Seiries No. Nr-T-1.18 Technology Roadmap for small Modular Reactor Deployment, 2021- https://www-pub.iaea.org/MTCD/Publications/PDF/PUB1944_web.pdf</t>
  </si>
  <si>
    <r>
      <t>M. A. Rahmanta, A. W. Harto, A. Agung, and M. K. Ridwan, “Nuclear Power Plant to Support Indonesia’s Net Zero Emissions: A Case Study of Small Modular Reactor Technology Selection Using Technology Readiness Level and Levelized Cost of Electricity Comparing Method,” </t>
    </r>
    <r>
      <rPr>
        <i/>
        <sz val="9"/>
        <color rgb="FF222222"/>
        <rFont val="Times New Roman"/>
        <family val="1"/>
      </rPr>
      <t>Energies</t>
    </r>
    <r>
      <rPr>
        <sz val="9"/>
        <color rgb="FF222222"/>
        <rFont val="Times New Roman"/>
        <family val="1"/>
      </rPr>
      <t>, vol. 16, no. 9, p. 3752, Apr. 2023, doi: 10.3390/en16093752.</t>
    </r>
  </si>
  <si>
    <t>Goswami GG, Rahman U, Chowdhury M. Estimating the economic cost of setting up a nuclear power plant at Rooppur in Bangladesh. Environ Sci Pollut Res Int. 2022 May;29(23):35073-35095. doi: 10.1007/s11356-021-18129-3. Epub 2022 Jan 19. PMID: 35044606; PMCID: PMC8767363.</t>
  </si>
  <si>
    <t>IAEA, “Technology Roadmap for Small Modular Reactor Deployment, IAEA Nuclear Energy Series No. NR-T-1.18,” 2021, [Online]. Available: https://www-pub.iaea.org/MTCD/Publications/PDF/PUB1944_web.pdf</t>
  </si>
  <si>
    <t>https://iea.blob.core.windows.net/assets/ad5a93ce-3a7f-461d-a441-8a05b7601887/Nuclear_Power_in_a_Clean_Energy_System.pdf</t>
  </si>
  <si>
    <t>IAEA, “Advances in Small Modular Reactor Technology Developments A Supplement to: IAEA Advanced Reactors Information System (ARIS) 2022 Edition,” 2022, [Online]. Available: https://aris.iaea.org/Publications/SMR_booklet_2022.pdf - SMR_booklet_2022.pdf (iaea.org)</t>
  </si>
  <si>
    <t xml:space="preserve"> IAEA, “Advances in Small Modular Reactor Technology Developments”, 2020</t>
  </si>
  <si>
    <t>S. Boarin1, M. Mancini1, M. Ricotti1, G. Locatelli2, Economics and financing ofsmall modular reactors (SMRs).</t>
  </si>
  <si>
    <t>Giorgio Locatelli, Benito Mignacca, Small Modular Nuclear Reactors</t>
  </si>
  <si>
    <t>B. Mignacca, G. Locatelli, “Economics and finance of Small Modular Reactors: A systematic review and research agenda”, Renewable and Sustainable Energy Reviews (2020),  (https://doi.org/10.1016/j.rser.2019.109519)</t>
  </si>
  <si>
    <t>Eye-popping new cost estimates released for NuScale small modular reactor, IEEFA, January 2023
https://ieefa.org/resources/eye-popping-new-cost-estimates-released-nuscale-small-modular-reactor</t>
  </si>
  <si>
    <t>Nuclear power plants have a ' high energy' density' in terms of area required. The values represented here are for the area needed for the plants. However, there can be a higher requirement based on government regulation and environmental concerns F High variation in cost seen between US. EU costs and China. India costs. Moreover, this also depends on technology'. Here the chosen values are estimated based on a mix of values available along with employing the learning curve approach used for financial parameters.</t>
  </si>
  <si>
    <t>Decommissioning costs usually are the 15% of the total investment cost</t>
  </si>
  <si>
    <t>The main characteristic are taken from CAREM-25</t>
  </si>
  <si>
    <t>investment cost for SMR is calculated 38% higher than large reactors</t>
  </si>
  <si>
    <t>+109 mdr:  China, however, managed to connect its first SMR, one of two 100 MW HTR-PM reactors, to the grid on 20 December 2021.Construction only began in 2012, and by then the time estimate for construction had increased to '50 months'. In reality, the first unit took almost 109 months from first concrete to mains connection, more than twice as long as expected[13]</t>
  </si>
  <si>
    <t>Batteries - Lithium-ion (utility-scale)</t>
  </si>
  <si>
    <t>Energy storage capacity for one unit (MWh)</t>
  </si>
  <si>
    <t>Discharge time (hours)</t>
  </si>
  <si>
    <t>Round-trip efficiency (%) AC</t>
  </si>
  <si>
    <t>Round-trip efficiency (%) DC</t>
  </si>
  <si>
    <t>Self-discharge rate (%/day)</t>
  </si>
  <si>
    <t>Technical lifetime (cycles)</t>
  </si>
  <si>
    <t>Energy density (Wh/kg)</t>
  </si>
  <si>
    <t>Response time from idle to full-rated discharge (ms)</t>
  </si>
  <si>
    <t>Response time from full-rated charge to full-rated discharge (sec)</t>
  </si>
  <si>
    <t>&lt;0.08</t>
  </si>
  <si>
    <t>O</t>
  </si>
  <si>
    <t xml:space="preserve">Total investment (MUSD/MWh) </t>
  </si>
  <si>
    <t>- energy component (MUSD/MWh)</t>
  </si>
  <si>
    <t>- power component (MUSD/MW)</t>
  </si>
  <si>
    <t>- other project costs (MUSD/MWh)</t>
  </si>
  <si>
    <t>N</t>
  </si>
  <si>
    <t>Fixed O&amp;M (USD/MW/year)</t>
  </si>
  <si>
    <t xml:space="preserve">Variable O&amp;M (USD/MWh) </t>
  </si>
  <si>
    <t>Energy storage expansion cost (MUSD/MWh)</t>
  </si>
  <si>
    <t>Output capacity expansion cost (MUSD/MW)</t>
  </si>
  <si>
    <t xml:space="preserve">Total investment (MUSD/MW) </t>
  </si>
  <si>
    <t>Fan Xiayue, "Battery technologies for grid-level large-scale electrical energy storage", Transactions of Tianjin University, Springer, 2020.</t>
  </si>
  <si>
    <t>Environmental end energy study institute, Energy storage factsheet, https://www.eesi.org/papers/view/energy-storage-2019.</t>
  </si>
  <si>
    <t>D.M. Greenwood, K.Y. Lim, C. Patsios, P.F. Lyons, Y.S. Lim, P.C. Taylor, Frequency response services designed for energy storage, Appl. Energy. 203 (2017) 115–127.</t>
  </si>
  <si>
    <t>Bloomberg New Energy Finance. New Energy Outlook 2022, 2022.</t>
  </si>
  <si>
    <t>B. Zakeri, S. Syri, Electrical energy storage systems: A comparative life cycle cost analysis, Renew. Sustain. Energy Rev. 42 (2015) 569–596.</t>
  </si>
  <si>
    <t>G. Huff, A.B. Currier, B.C. Kaun, D.M. Rastler, S.B. Chen, D.T. Bradshaw, W.D. Gauntlett, DOE/EPRI electricity storage handbook in collaboration with NRECA, (2015).</t>
  </si>
  <si>
    <t>Lazard, Lazard's Levelized Cost of Storage (2023).</t>
  </si>
  <si>
    <t>The-Future-of-Energy-Storage-MIT-2022</t>
  </si>
  <si>
    <t>A 4-hour battery has been picked as a reference, as there is more data availbe for this power-to-energy ratio in the references listed.</t>
  </si>
  <si>
    <t>The gradual change towards lower C-rates following the transition from frequency regulation to renewable integration promotes lower C-rates. Therefore the average DC roundtrip efficiency is expected to increase slightly. The RT eff. vs. C-rate is exemplified in Figure 7 [3,51]. The AC roundtrip efficiency includes losses in the power electronics and is 2-4% lower than the DC roundtrip efficiency. The total roundtrip efficiency further includes standby losses making the total roundtrip efficiency typically ranging between 80% and 90% [21,22].</t>
  </si>
  <si>
    <t>Samsung SDI 2016 whitepaper on ESS solutions provide 15 year lifetime for current modules operating at C =1/2 to C=3. Steady improvement in battery lifetime due to better materials and battery management expected. Number of cycles can be a more meaningful lifetime indicator.</t>
  </si>
  <si>
    <t>The discharge time is the amount of hours the battery can discharge at rated output capacity. It equals the Energy/Power ratio corrected for the discharge efficiency.</t>
  </si>
  <si>
    <t>Since multi-MWh LIB systems are scalar, the energy and outputr capacity expansion costs are here estimated to be equal to the energy and output capacity components plus the “other costs”</t>
  </si>
  <si>
    <t>Power conversion cost is strongly dependent on scalability and application.</t>
  </si>
  <si>
    <t>The gradual change towards lower C-rates following the transition from frequency regulation to renewable integration promotes lower C-rates. Therefore the average DC roundtrip efficiency is expected to increase slightly. The RT eff. vs. C-rate is exemplified in Figure 7 [3,51]. The AC roundtrip efficiency includes losses in the power electronics and is 2-4% lower than the DC roundtrip efficiency. The total roundtrip efficiency further includes standby losses making the total roundtrip efficiency typically ranging between 80% and 90%</t>
  </si>
  <si>
    <t>Cost per MWh of energy discharged from the battery</t>
  </si>
  <si>
    <t xml:space="preserve">It is expected not to have any outage during lifetime of the grid-connected LIB. Only a few days during the e.g. 15 years life time is needed for service and exchanging fans and blowers for thermal management system and power conversion system. Forced outage is expected to drop with increasing robustness following the learning rate and cumulated production. Planned outage is expected to decrease after 2020 due to increased automation. </t>
  </si>
  <si>
    <t xml:space="preserve">Cycle life specified as the number of cycles at 1C/1C to 80% state-of-health. Samsung SDI 2016 whitepaper on ESS solutions provide 15 year lifetime for current modules operating at C/2 to 3C [14]. Steady improvement in battery lifetime due to better materials and battery management is expected. Kokam ESS solutions are also rated at more than 8000-20000 cycles (80-90% DOD) based on chemistry [3]. Thus for daily full charge-discharge cycles, the batteries are designed to last for 15-50 years if supporting units are well functioning. Lifetimes are given for both graphite and LTO anode based commercial batteries from Kokam. Cycle lives are steadily increasing over last few years as reflected in 2020/2030 numbers [4,5,14]. </t>
  </si>
  <si>
    <t>Other costs include construction costs and entrepreneur work. These costs heavily dependent on location, substrate and site access. Power cables to the site and entrepreneur work for installation of the containers are included in other costs. Therefore other costs are assumed to – roughly – correlate with the system size. Automation is expected to decrease other costs from 2030 and onwards.</t>
  </si>
  <si>
    <t xml:space="preserve">The response time is obtained from simulated response time experiments with hardware in the loop [53]. </t>
  </si>
  <si>
    <t>Hydro pumped storage</t>
  </si>
  <si>
    <t>1,6</t>
  </si>
  <si>
    <t>2,5</t>
  </si>
  <si>
    <t>C,E</t>
  </si>
  <si>
    <t>1,3,4,8</t>
  </si>
  <si>
    <t>Size of reservoir (MWh)</t>
  </si>
  <si>
    <t>1,6,9</t>
  </si>
  <si>
    <t>Load/unload time (hours)</t>
  </si>
  <si>
    <t>U.S. Department of Energy, 2015, “Hydropower Market Report”.</t>
  </si>
  <si>
    <t>Connolly, 2009, "A Review of Energy Storage Technologies - For the integration of fluctuating renewable energy".</t>
  </si>
  <si>
    <t>IRENA, 2012, "Renewable Energy Technologies: Cost Analysis Series - Hydropower".</t>
  </si>
  <si>
    <t>World Bank, 2021: Development of Pumped Storage Hydropower in Java Bali System Project</t>
  </si>
  <si>
    <t>PLN 2020, Environmental and Social Management Plan (ESMP): Upper Cisokan Pumped Storage Hydropower Project 1040 MW</t>
  </si>
  <si>
    <t xml:space="preserve">Size per turbine. </t>
  </si>
  <si>
    <t>Uncertainty (Upper/Lower) is estimated as +/- 50%.</t>
  </si>
  <si>
    <t>The size of the total power plant and not per unit (turbine).</t>
  </si>
  <si>
    <t>3,6</t>
  </si>
  <si>
    <t>$/MMBTU</t>
  </si>
  <si>
    <t>$/Ton</t>
  </si>
  <si>
    <t>$/Barrel</t>
  </si>
  <si>
    <t>Price Year -&gt;</t>
  </si>
  <si>
    <t>FUELOIL</t>
  </si>
  <si>
    <t>HYDRO_RES</t>
  </si>
  <si>
    <t>PUMPED_HYDRO</t>
  </si>
  <si>
    <t>ELECTRIC</t>
  </si>
  <si>
    <t>BIOMASS_IMPORT</t>
  </si>
  <si>
    <t>SOLAR_ROOF</t>
  </si>
  <si>
    <t>COAL_MT</t>
  </si>
  <si>
    <t>GAS_WH</t>
  </si>
  <si>
    <t>Total Fuel Cost for Methanol Prod</t>
  </si>
  <si>
    <t>Electricity Price Forecast</t>
  </si>
  <si>
    <t>Enter the assumed fuel price above</t>
  </si>
  <si>
    <t>kg/GJ</t>
  </si>
  <si>
    <t>A, B</t>
  </si>
  <si>
    <t>1,5,6,9,11</t>
  </si>
  <si>
    <t>NREL, Cost Projections for Utility-Scale
Battery Storage: 2023 Update</t>
  </si>
  <si>
    <t>NREL Annual Technology Baseline (ATB) 2023</t>
  </si>
  <si>
    <t xml:space="preserve">Power and energy output can be scaled linearly by utilizing many modules (up to 250 MW has been demonstrated, https://www.pv-magazine-australia.com/2023/08/10/battery-capacity-overtakes-pumped-hydro-in-nem/). Output capacity expansion can be done reprogramming the management unit without any new battery module. For Utility batteries the ratio between energy storage and capacity is in general between 1 and 10 (C-rate between 1/10 and 1) only rarly the ration will be below 1. </t>
  </si>
  <si>
    <t>4</t>
  </si>
  <si>
    <r>
      <t>CO</t>
    </r>
    <r>
      <rPr>
        <vertAlign val="subscript"/>
        <sz val="8"/>
        <rFont val="Times New Roman"/>
        <family val="1"/>
      </rPr>
      <t>2</t>
    </r>
    <r>
      <rPr>
        <sz val="8"/>
        <rFont val="Times New Roman"/>
        <family val="1"/>
      </rPr>
      <t xml:space="preserve"> emission reduction (%)</t>
    </r>
  </si>
  <si>
    <t>Based on data in sheet Supercritical coal</t>
  </si>
  <si>
    <t>IEA (2021), The Role of Low-Carbon Fuels in the Clean Energy Transitions of the Power Sector</t>
  </si>
  <si>
    <t>NREL Annual Technology Baseline 2023, https://atb.nrel.gov/electricity/2023/data</t>
  </si>
  <si>
    <t xml:space="preserve">The technology Supercritical CCS: Supercritical: solvent-based post combustion CO2 capture (PCCC) designed for 95% capture. The difference in ouput power represents the additional power required by the auxiliary equipment (with CCS, ~15% of the net output). </t>
  </si>
  <si>
    <t>This figure represents the efficiency of the capture process. New technologies might remove CO2 more efficiently in the future. CO2 can be already captured at higher rates, but costs to marginally increase capture rates beyond the reported values are relatively high.Today empiry shows capture rate between 60-80%or less [9, page 28]</t>
  </si>
  <si>
    <t>The forecasted price are calculated considering the average development rates for the CCS technologies in the NREL ATB 2023</t>
  </si>
  <si>
    <t>G, H, I</t>
  </si>
  <si>
    <t>Based on data in sheet CCGT (GAS)</t>
  </si>
  <si>
    <t>The technology CCGT CCS: SOA - solvent-based post combustion CO2 capture (PCCC) designed for 95% capture.  
The difference in ouput power represents the additional power required by the auxiliary equipment (with CCS, ~10-15% of the net output).</t>
  </si>
  <si>
    <t>Coal,  Integrated Gasification Combined Cycle IGCC with CCS, new plant</t>
  </si>
  <si>
    <t>Based on data in sheet IGCC (Coal)</t>
  </si>
  <si>
    <t>The technology IGCC – CCS: SOA - slurry-fed IGCC with water-gas shift two high-hydrogen syngas-fired F-Frame combustion turbine/HRSG trains coupled to a single steam turbine, two-stage selexol acid gas removal system designed for 90% CO2 pre-combustion removal. .   
The difference in ouput power represents the additional power required by the auxiliary equipment (with CCS, ~10-15% of the net output).</t>
  </si>
  <si>
    <t>Efficiency [%]</t>
  </si>
  <si>
    <t>CAPEX [m$/MWoutput]</t>
  </si>
  <si>
    <t>Fixed OPEX [k$/MWoutput/year]</t>
  </si>
  <si>
    <t>Variable OPEX [$/MWhoutput]</t>
  </si>
  <si>
    <t>Start-up Costs [$/MWoutput/year]</t>
  </si>
  <si>
    <t>Other Costs [M$/MWoutput]</t>
  </si>
  <si>
    <t>Investment [m$/MWoutput]</t>
  </si>
  <si>
    <t>Fixed O&amp;M [k$/MWoutput/y]</t>
  </si>
  <si>
    <t>Variable O&amp;M [$/MWhoutput]</t>
  </si>
  <si>
    <t>Fuel cost per energy output [$/MWhoutput]</t>
  </si>
  <si>
    <t>Additional start-ups [$/MWoutput]</t>
  </si>
  <si>
    <t>Other [m$/MWoutput]</t>
  </si>
  <si>
    <t>Any entries left in white cells should be deleted when cleaning up columns. Always start by deleting the 3 first ro entries (Fuel, Technology, Year)</t>
  </si>
  <si>
    <t>The performance ratio is an efficiency measure which takes the combined losses from incident angle modifer, inverter loss, PV systems losses and non-STC corrections and AC grid losses into account. For Floating PV, a 5% improvement in performance is included due to effects of cooling from the water service, as described in reference 4.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</si>
  <si>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 xml:space="preserve">Yearlly outage time is assumed to be 0,5 % equale approxemately 2 hours. </t>
  </si>
  <si>
    <r>
      <t>Space requirement (1000 m</t>
    </r>
    <r>
      <rPr>
        <vertAlign val="superscript"/>
        <sz val="8"/>
        <color theme="1"/>
        <rFont val="Calibri"/>
        <family val="1"/>
        <scheme val="minor"/>
      </rPr>
      <t>2</t>
    </r>
    <r>
      <rPr>
        <sz val="8"/>
        <color theme="1"/>
        <rFont val="Calibri"/>
        <family val="1"/>
        <scheme val="minor"/>
      </rPr>
      <t>/MWe)</t>
    </r>
  </si>
  <si>
    <t>The capacity factor provided represent an average of the absolute best fixed-bottom offshore wind locations in Indonesia (specifically south of Papua)</t>
  </si>
  <si>
    <t>The IEA expects approximately a doubling of the accumulated wind power capacity between 2020 and 2030 and 4-5 times more by 2050 compared to 2020. Assuming a learning of 12.5 % per annum this yields a cost reduction of approx. 13 % by 2030 and approx. 30 % by 2050.</t>
  </si>
  <si>
    <t>For 2023, uncertainty ranges are based on cost spans of various sources. For 2050, we combine the base uncertainity in 2020 with an additional uncertainty span based on learning rates variying between 10-15% and capacity deployment from Stated Policies and Sustainable Development scenarios separately.</t>
  </si>
  <si>
    <r>
      <t>Space requirement (1000 m</t>
    </r>
    <r>
      <rPr>
        <vertAlign val="superscript"/>
        <sz val="8"/>
        <rFont val="Calibri"/>
        <family val="1"/>
        <scheme val="minor"/>
      </rPr>
      <t>2</t>
    </r>
    <r>
      <rPr>
        <sz val="8"/>
        <rFont val="Calibri"/>
        <family val="1"/>
        <scheme val="minor"/>
      </rPr>
      <t>/MWe)</t>
    </r>
  </si>
  <si>
    <t xml:space="preserve"> 4,5</t>
  </si>
  <si>
    <t>Operation and maintenance is entirely allotted to the fixed part.</t>
  </si>
  <si>
    <t>In Indonesia, floating offshore sites - further from shore - have only marginally better average wind speeds as fixed-bottom sites, which are already quite low relative to globally advantageous locations.</t>
  </si>
  <si>
    <t>10,11</t>
  </si>
  <si>
    <t>+1</t>
  </si>
  <si>
    <r>
      <t>NO</t>
    </r>
    <r>
      <rPr>
        <vertAlign val="subscript"/>
        <sz val="8"/>
        <color rgb="FF000000"/>
        <rFont val="Times New Roman"/>
        <family val="1"/>
      </rPr>
      <t>X</t>
    </r>
    <r>
      <rPr>
        <sz val="8"/>
        <color rgb="FF000000"/>
        <rFont val="Times New Roman"/>
        <family val="1"/>
      </rPr>
      <t xml:space="preserve"> (% compared to 100% coal) </t>
    </r>
  </si>
  <si>
    <t>+5%</t>
  </si>
  <si>
    <t>+10%</t>
  </si>
  <si>
    <t>+30%</t>
  </si>
  <si>
    <t>+20%</t>
  </si>
  <si>
    <t>+50%</t>
  </si>
  <si>
    <t>+3%</t>
  </si>
  <si>
    <t>+8%</t>
  </si>
  <si>
    <t>+15%</t>
  </si>
  <si>
    <t>The investment cost includes,  modifying existing coal plants for ammonia co-firing requires boiler modifications and investment in additional facilities like ammonia tanks and vaporizers. In general, the retrofits include (ref. 2):Modified burner; New ammonia receiving device, pipe, tank and vaporizer; Additional NOx removal device. The cost of improving pipelines outside the plant-land plot is not included.</t>
  </si>
  <si>
    <t>Lazard, 2023, "Levelised Cost of Energy +"</t>
  </si>
  <si>
    <t>Global CCS Institute, 2023, Global status of CCS</t>
  </si>
  <si>
    <t>Danish Energy Agency, Technology data - Generation of electricity and district heating, 2020</t>
  </si>
  <si>
    <t>IEA, 2021, The Role of Low-Carbon Fuels in the Clean Energy Transitions of the Power Sector</t>
  </si>
  <si>
    <t>Danish Energy Agency, 2023, Technology Data – Carbon Capture, Transport and Storage</t>
  </si>
  <si>
    <t>EIA, 2020, Capital Cost and Performance Characteristic Estimates for Utility Scale Electric Power Generating Technologies</t>
  </si>
  <si>
    <t>Lazard, 2023, LCOE+</t>
  </si>
  <si>
    <t>IRENA, 2021, Reaching Zero with Renewables Capturing Carbon</t>
  </si>
  <si>
    <t>Danish Technology Catalogue “Technology Data for Energy Plants, Danish Energy Agency 2022</t>
  </si>
  <si>
    <t>2,3,7</t>
  </si>
  <si>
    <t>8,10,12,13</t>
  </si>
  <si>
    <t>1,5,6,10</t>
  </si>
  <si>
    <t>6,9,10</t>
  </si>
  <si>
    <t>7,10</t>
  </si>
  <si>
    <t>DEA, Technology Data for Energy Storage</t>
  </si>
  <si>
    <t>Lazard, 2023, Lazard's Levelised Cost of Storage Analysis - Version 8.0</t>
  </si>
  <si>
    <t>Labels for Figure</t>
  </si>
  <si>
    <t>Choose Power Source Below</t>
  </si>
  <si>
    <t>Please Provide Title</t>
  </si>
  <si>
    <t>LCOE Overview</t>
  </si>
  <si>
    <t>Unique Projection Years</t>
  </si>
  <si>
    <r>
      <t xml:space="preserve">Alternatively, Excel Online can be used at: </t>
    </r>
    <r>
      <rPr>
        <b/>
        <i/>
        <u/>
        <sz val="11"/>
        <color rgb="FF0070C0"/>
        <rFont val="Calibri"/>
        <family val="2"/>
        <scheme val="minor"/>
      </rPr>
      <t xml:space="preserve">https://www.microsoft.com/en-us/microsoft-365/free-office-online-for-the-web </t>
    </r>
  </si>
  <si>
    <t>Dimitrios Eleftheriou (Ea)</t>
  </si>
  <si>
    <t>Comments</t>
  </si>
  <si>
    <t>BIOMASS_CCS</t>
  </si>
  <si>
    <t>Source: power system modelling activities in Indonesia</t>
  </si>
  <si>
    <t>Year Specific $/GJ --&gt;</t>
  </si>
  <si>
    <t>Fuel Specific Units -&gt;</t>
  </si>
  <si>
    <t>25.03.24</t>
  </si>
  <si>
    <t>First public version of simplified LCOE/LCOS tool.</t>
  </si>
  <si>
    <t>The tool is only compatible with Excel 2021 or later versions (incl. Excel 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</si>
</sst>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0_);_(* \(#,##0\);_(* &quot;-&quot;_);_(@_)"/>
    <numFmt numFmtId="43" formatCode="_(* #,##0.00_);_(* \(#,##0.00\);_(* &quot;-&quot;??_);_(@_)"/>
    <numFmt numFmtId="164" formatCode="_-* #,##0_-;\-* #,##0_-;_-* &quot;-&quot;_-;_-@_-"/>
    <numFmt numFmtId="165" formatCode="_-* #,##0.00_-;\-* #,##0.00_-;_-* &quot;-&quot;??_-;_-@_-"/>
    <numFmt numFmtId="166" formatCode="_ * #,##0.00_ ;_ * \-#,##0.00_ ;_ * &quot;-&quot;??_ ;_ @_ "/>
    <numFmt numFmtId="167" formatCode="0.0%"/>
    <numFmt numFmtId="168" formatCode="_ * #,##0_ ;_ * \-#,##0_ ;_ * &quot;-&quot;??_ ;_ @_ "/>
    <numFmt numFmtId="169" formatCode="0.0"/>
    <numFmt numFmtId="170" formatCode="0.00000"/>
    <numFmt numFmtId="171" formatCode="_(* #,##0.0_);_(* \(#,##0.0\);_(* &quot;-&quot;??_);_(@_)"/>
    <numFmt numFmtId="172" formatCode="#,##0;#\ ##0"/>
    <numFmt numFmtId="173" formatCode="_(* #,##0_);_(* \(#,##0\);_(* &quot;-&quot;??_);_(@_)"/>
    <numFmt numFmtId="174" formatCode="_(* #,##0.0_);_(* \(#,##0.0\);_(* &quot;-&quot;_);_(@_)"/>
    <numFmt numFmtId="175" formatCode="#,##0;\-#,##0;&quot;-&quot;;@"/>
    <numFmt numFmtId="176" formatCode="0.00\ &quot;GJ/Ton&quot;"/>
    <numFmt numFmtId="177" formatCode="0\ &quot;kcal/kg&quot;"/>
    <numFmt numFmtId="178" formatCode="0.00\ &quot;Barrel/GJ&quot;"/>
    <numFmt numFmtId="179" formatCode="0.00\ &quot;Uranium/GJ&quot;"/>
    <numFmt numFmtId="180" formatCode="0.00\ &quot;GJ/Barrel&quot;"/>
    <numFmt numFmtId="181" formatCode="0.000"/>
    <numFmt numFmtId="182" formatCode="0.00\ &quot;MMBTU/GJ&quot;"/>
    <numFmt numFmtId="183" formatCode="_-* #,##0.00\ _k_r_._-;\-* #,##0.00\ _k_r_._-;_-* &quot;-&quot;??\ _k_r_._-;_-@_-"/>
    <numFmt numFmtId="184" formatCode="#,##0.0"/>
    <numFmt numFmtId="185" formatCode="&quot;kr.&quot;\ #,##0.00;[Red]&quot;kr.&quot;\ \-#,##0.00"/>
    <numFmt numFmtId="186" formatCode="&quot;kr.&quot;\ #,##0;[Red]&quot;kr.&quot;\ \-#,##0"/>
    <numFmt numFmtId="187" formatCode="\+0;\-0;0"/>
    <numFmt numFmtId="188" formatCode="\+0.00;\-0.00;0.00"/>
    <numFmt numFmtId="189" formatCode="\+0.00"/>
    <numFmt numFmtId="190" formatCode="_ * #,##0.0_ ;_ * \-#,##0.0_ ;_ * &quot;-&quot;??_ ;_ @_ "/>
    <numFmt numFmtId="191" formatCode="&quot;£&quot;\ #,##0.00;[Red]&quot;£&quot;\ \-#,##0.00"/>
    <numFmt numFmtId="192" formatCode="&quot;£&quot;\ #,##0;[Red]&quot;£&quot;\ \-#,##0"/>
    <numFmt numFmtId="193" formatCode="_-* #,##0_-;\-* #,##0_-;_-* &quot;-&quot;??_-;_-@_-"/>
  </numFmts>
  <fonts count="139">
    <font>
      <sz val="11"/>
      <color theme="1"/>
      <name val="Calibri"/>
      <family val="2"/>
      <scheme val="minor"/>
    </font>
    <font>
      <sz val="11"/>
      <color indexed="8"/>
      <name val="Calibri"/>
      <family val="2"/>
    </font>
    <font>
      <sz val="10"/>
      <name val="Arial"/>
      <family val="2"/>
    </font>
    <font>
      <sz val="11"/>
      <color indexed="8"/>
      <name val="Calibri"/>
      <family val="2"/>
    </font>
    <font>
      <b/>
      <sz val="11"/>
      <color theme="1"/>
      <name val="Calibri"/>
      <family val="2"/>
      <scheme val="minor"/>
    </font>
    <font>
      <sz val="11"/>
      <color theme="1"/>
      <name val="Calibri"/>
      <family val="3"/>
      <charset val="134"/>
      <scheme val="minor"/>
    </font>
    <font>
      <sz val="11"/>
      <color theme="1"/>
      <name val="Calibri"/>
      <family val="2"/>
      <scheme val="minor"/>
    </font>
    <font>
      <sz val="10"/>
      <name val="Helv"/>
      <family val="2"/>
    </font>
    <font>
      <sz val="12"/>
      <name val="宋体"/>
      <charset val="134"/>
    </font>
    <font>
      <sz val="12"/>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1"/>
      <color theme="11"/>
      <name val="Calibri"/>
      <family val="2"/>
      <scheme val="minor"/>
    </font>
    <font>
      <sz val="10"/>
      <name val="Arial"/>
      <family val="2"/>
      <charset val="186"/>
    </font>
    <font>
      <sz val="8"/>
      <name val="Arial"/>
      <family val="2"/>
    </font>
    <font>
      <sz val="9"/>
      <name val="Geneva"/>
    </font>
    <font>
      <sz val="7"/>
      <name val="Arial"/>
      <family val="2"/>
    </font>
    <font>
      <u/>
      <sz val="8"/>
      <color indexed="12"/>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u/>
      <sz val="10"/>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color indexed="45"/>
      <name val="Arial"/>
      <family val="2"/>
    </font>
    <font>
      <b/>
      <sz val="7"/>
      <color indexed="45"/>
      <name val="Arial"/>
      <family val="2"/>
    </font>
    <font>
      <sz val="11"/>
      <color indexed="8"/>
      <name val="宋体"/>
      <charset val="134"/>
    </font>
    <font>
      <sz val="11"/>
      <name val="Calibri"/>
      <family val="2"/>
      <scheme val="minor"/>
    </font>
    <font>
      <i/>
      <sz val="11"/>
      <color theme="1"/>
      <name val="Calibri"/>
      <family val="2"/>
      <scheme val="minor"/>
    </font>
    <font>
      <sz val="10"/>
      <name val="Times New Roman"/>
      <family val="1"/>
    </font>
    <font>
      <i/>
      <sz val="11"/>
      <color indexed="8"/>
      <name val="Calibri"/>
      <family val="2"/>
      <scheme val="minor"/>
    </font>
    <font>
      <sz val="11"/>
      <color theme="1"/>
      <name val="Cambria"/>
      <family val="2"/>
    </font>
    <font>
      <sz val="11"/>
      <color theme="1"/>
      <name val="Calibri"/>
      <family val="2"/>
      <charset val="134"/>
      <scheme val="minor"/>
    </font>
    <font>
      <b/>
      <sz val="15"/>
      <color theme="3"/>
      <name val="Cambria"/>
      <family val="2"/>
    </font>
    <font>
      <sz val="11"/>
      <name val="ＭＳ Ｐゴシック"/>
      <charset val="128"/>
    </font>
    <font>
      <b/>
      <i/>
      <sz val="11"/>
      <color theme="1"/>
      <name val="Calibri"/>
      <family val="2"/>
      <scheme val="minor"/>
    </font>
    <font>
      <b/>
      <sz val="16"/>
      <name val="Times New Roman"/>
      <family val="1"/>
    </font>
    <font>
      <sz val="9"/>
      <name val="Times New Roman"/>
      <family val="1"/>
    </font>
    <font>
      <sz val="11"/>
      <color theme="1"/>
      <name val="Times New Roman"/>
      <family val="1"/>
    </font>
    <font>
      <b/>
      <sz val="10"/>
      <name val="Times New Roman"/>
      <family val="1"/>
    </font>
    <font>
      <b/>
      <sz val="9"/>
      <name val="Times New Roman"/>
      <family val="1"/>
    </font>
    <font>
      <vertAlign val="superscript"/>
      <sz val="9"/>
      <name val="Times New Roman"/>
      <family val="1"/>
    </font>
    <font>
      <b/>
      <i/>
      <sz val="10"/>
      <name val="Times New Roman"/>
      <family val="1"/>
    </font>
    <font>
      <vertAlign val="subscript"/>
      <sz val="9"/>
      <name val="Times New Roman"/>
      <family val="1"/>
    </font>
    <font>
      <b/>
      <i/>
      <sz val="9"/>
      <name val="Times New Roman"/>
      <family val="1"/>
    </font>
    <font>
      <sz val="9"/>
      <name val="Calibri"/>
      <family val="1"/>
      <scheme val="minor"/>
    </font>
    <font>
      <sz val="9"/>
      <name val="Calibri"/>
      <family val="2"/>
      <scheme val="minor"/>
    </font>
    <font>
      <sz val="9"/>
      <color theme="1"/>
      <name val="Times New Roman"/>
      <family val="1"/>
    </font>
    <font>
      <sz val="10"/>
      <color theme="1"/>
      <name val="Times New Roman"/>
      <family val="1"/>
    </font>
    <font>
      <sz val="9"/>
      <color rgb="FF000000"/>
      <name val="Times New Roman"/>
      <family val="1"/>
    </font>
    <font>
      <sz val="8"/>
      <color theme="1"/>
      <name val="Arial"/>
      <family val="2"/>
    </font>
    <font>
      <b/>
      <sz val="7"/>
      <color rgb="FF000000"/>
      <name val="Times New Roman"/>
      <family val="1"/>
    </font>
    <font>
      <sz val="7"/>
      <color rgb="FF000000"/>
      <name val="Times New Roman"/>
      <family val="1"/>
    </font>
    <font>
      <sz val="8"/>
      <color theme="1"/>
      <name val="Times New Roman"/>
      <family val="1"/>
    </font>
    <font>
      <b/>
      <sz val="8"/>
      <color rgb="FF000000"/>
      <name val="Times New Roman"/>
      <family val="1"/>
    </font>
    <font>
      <sz val="8"/>
      <color rgb="FF000000"/>
      <name val="Times New Roman"/>
      <family val="1"/>
    </font>
    <font>
      <sz val="8"/>
      <name val="Times New Roman"/>
      <family val="1"/>
    </font>
    <font>
      <sz val="9"/>
      <color rgb="FFFF0000"/>
      <name val="Times New Roman"/>
      <family val="1"/>
    </font>
    <font>
      <b/>
      <sz val="11"/>
      <color rgb="FFFF0000"/>
      <name val="Calibri"/>
      <family val="2"/>
      <scheme val="minor"/>
    </font>
    <font>
      <b/>
      <sz val="12"/>
      <color theme="1"/>
      <name val="Calibri"/>
      <family val="2"/>
      <scheme val="minor"/>
    </font>
    <font>
      <i/>
      <sz val="11"/>
      <color rgb="FFFF0000"/>
      <name val="Calibri"/>
      <family val="2"/>
      <scheme val="minor"/>
    </font>
    <font>
      <b/>
      <sz val="22"/>
      <color rgb="FFFFFFFF"/>
      <name val="Verdana"/>
      <family val="2"/>
    </font>
    <font>
      <b/>
      <sz val="22"/>
      <color rgb="FFFFFFFF"/>
      <name val="Segoe UI"/>
      <family val="2"/>
    </font>
    <font>
      <b/>
      <sz val="12"/>
      <color theme="0"/>
      <name val="Calibri"/>
      <family val="2"/>
    </font>
    <font>
      <sz val="11"/>
      <color indexed="30"/>
      <name val="Calibri"/>
      <family val="2"/>
    </font>
    <font>
      <i/>
      <sz val="11"/>
      <color indexed="8"/>
      <name val="Calibri"/>
      <family val="2"/>
    </font>
    <font>
      <sz val="11"/>
      <color rgb="FF000000"/>
      <name val="Times New Roman"/>
      <family val="1"/>
    </font>
    <font>
      <i/>
      <sz val="9"/>
      <name val="Times New Roman"/>
      <family val="1"/>
    </font>
    <font>
      <sz val="11"/>
      <color rgb="FF2C2F34"/>
      <name val="Segoe UI"/>
      <family val="2"/>
    </font>
    <font>
      <b/>
      <sz val="7"/>
      <color rgb="FF000000"/>
      <name val="Calibri"/>
      <family val="2"/>
    </font>
    <font>
      <b/>
      <sz val="9"/>
      <color rgb="FF000000"/>
      <name val="Calibri"/>
      <family val="2"/>
    </font>
    <font>
      <b/>
      <sz val="10"/>
      <color theme="1"/>
      <name val="Times New Roman"/>
      <family val="1"/>
    </font>
    <font>
      <b/>
      <sz val="9"/>
      <color theme="1"/>
      <name val="Times New Roman"/>
      <family val="1"/>
    </font>
    <font>
      <sz val="11"/>
      <name val="Times New Roman"/>
      <family val="1"/>
    </font>
    <font>
      <b/>
      <sz val="11"/>
      <color theme="1"/>
      <name val="Times New Roman"/>
      <family val="1"/>
    </font>
    <font>
      <i/>
      <sz val="9"/>
      <color theme="1"/>
      <name val="Times New Roman"/>
      <family val="1"/>
    </font>
    <font>
      <sz val="10"/>
      <color rgb="FF000000"/>
      <name val="Times New Roman"/>
      <family val="1"/>
    </font>
    <font>
      <b/>
      <sz val="10"/>
      <color rgb="FF000000"/>
      <name val="Times New Roman"/>
      <family val="1"/>
    </font>
    <font>
      <b/>
      <sz val="9"/>
      <color rgb="FF000000"/>
      <name val="Times New Roman"/>
      <family val="1"/>
    </font>
    <font>
      <vertAlign val="subscript"/>
      <sz val="9"/>
      <color rgb="FF000000"/>
      <name val="Times New Roman"/>
      <family val="1"/>
    </font>
    <font>
      <sz val="9"/>
      <color rgb="FF000000"/>
      <name val="Calibri"/>
      <family val="2"/>
    </font>
    <font>
      <i/>
      <sz val="9"/>
      <color rgb="FF222222"/>
      <name val="Times New Roman"/>
      <family val="1"/>
    </font>
    <font>
      <sz val="9"/>
      <color rgb="FF222222"/>
      <name val="Times New Roman"/>
      <family val="1"/>
    </font>
    <font>
      <b/>
      <sz val="8"/>
      <name val="Times New Roman"/>
      <family val="1"/>
    </font>
    <font>
      <vertAlign val="superscript"/>
      <sz val="8"/>
      <color theme="1"/>
      <name val="Times New Roman"/>
      <family val="1"/>
    </font>
    <font>
      <b/>
      <i/>
      <sz val="8"/>
      <name val="Times New Roman"/>
      <family val="1"/>
    </font>
    <font>
      <b/>
      <i/>
      <sz val="8"/>
      <color theme="1"/>
      <name val="Times New Roman"/>
      <family val="1"/>
    </font>
    <font>
      <b/>
      <sz val="8"/>
      <color theme="1"/>
      <name val="Times New Roman"/>
      <family val="1"/>
    </font>
    <font>
      <vertAlign val="subscript"/>
      <sz val="8"/>
      <color theme="1"/>
      <name val="Times New Roman"/>
      <family val="1"/>
    </font>
    <font>
      <vertAlign val="superscript"/>
      <sz val="8"/>
      <name val="Times New Roman"/>
      <family val="1"/>
    </font>
    <font>
      <vertAlign val="subscript"/>
      <sz val="8"/>
      <name val="Times New Roman"/>
      <family val="1"/>
    </font>
    <font>
      <vertAlign val="superscript"/>
      <sz val="8"/>
      <color rgb="FF000000"/>
      <name val="Times New Roman"/>
      <family val="1"/>
    </font>
    <font>
      <vertAlign val="subscript"/>
      <sz val="8"/>
      <color rgb="FF000000"/>
      <name val="Times New Roman"/>
      <family val="1"/>
    </font>
    <font>
      <b/>
      <sz val="8"/>
      <color rgb="FFFF0000"/>
      <name val="Times New Roman"/>
      <family val="1"/>
    </font>
    <font>
      <sz val="8"/>
      <color rgb="FFFF0000"/>
      <name val="Times New Roman"/>
      <family val="1"/>
    </font>
    <font>
      <i/>
      <sz val="8"/>
      <name val="Times New Roman"/>
      <family val="1"/>
    </font>
    <font>
      <sz val="9"/>
      <color rgb="FF000000"/>
      <name val="Times New Roman"/>
    </font>
    <font>
      <vertAlign val="superscript"/>
      <sz val="8"/>
      <color theme="1"/>
      <name val="Calibri"/>
      <family val="1"/>
      <scheme val="minor"/>
    </font>
    <font>
      <sz val="8"/>
      <color theme="1"/>
      <name val="Calibri"/>
      <family val="1"/>
      <scheme val="minor"/>
    </font>
    <font>
      <vertAlign val="superscript"/>
      <sz val="8"/>
      <name val="Calibri"/>
      <family val="1"/>
      <scheme val="minor"/>
    </font>
    <font>
      <sz val="8"/>
      <name val="Calibri"/>
      <family val="1"/>
      <scheme val="minor"/>
    </font>
    <font>
      <sz val="8"/>
      <color rgb="FF000000"/>
      <name val="Calibri"/>
      <family val="2"/>
    </font>
    <font>
      <sz val="11"/>
      <color rgb="FFFF0000"/>
      <name val="Times New Roman"/>
      <family val="1"/>
    </font>
    <font>
      <sz val="9"/>
      <color theme="1"/>
      <name val="Times New Roman"/>
    </font>
    <font>
      <b/>
      <sz val="12"/>
      <color rgb="FFFF0000"/>
      <name val="Calibri"/>
      <family val="2"/>
      <scheme val="minor"/>
    </font>
    <font>
      <b/>
      <i/>
      <u/>
      <sz val="11"/>
      <color rgb="FF0070C0"/>
      <name val="Calibri"/>
      <family val="2"/>
      <scheme val="minor"/>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39994506668294322"/>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8" tint="0.399945066682943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CFBBD"/>
        <bgColor indexed="64"/>
      </patternFill>
    </fill>
    <fill>
      <patternFill patternType="solid">
        <fgColor rgb="FF00FF99"/>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1"/>
        <bgColor indexed="64"/>
      </patternFill>
    </fill>
    <fill>
      <patternFill patternType="solid">
        <fgColor rgb="FFF97B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3"/>
        <bgColor indexed="64"/>
      </patternFill>
    </fill>
    <fill>
      <patternFill patternType="solid">
        <fgColor theme="4"/>
        <bgColor indexed="64"/>
      </patternFill>
    </fill>
    <fill>
      <patternFill patternType="solid">
        <fgColor theme="1" tint="0.14999847407452621"/>
        <bgColor indexed="64"/>
      </patternFill>
    </fill>
    <fill>
      <patternFill patternType="solid">
        <fgColor theme="6" tint="0.39997558519241921"/>
        <bgColor indexed="64"/>
      </patternFill>
    </fill>
    <fill>
      <patternFill patternType="solid">
        <fgColor theme="0"/>
        <bgColor rgb="FF000000"/>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indexed="22"/>
      </left>
      <right style="thin">
        <color indexed="22"/>
      </right>
      <top style="thin">
        <color indexed="22"/>
      </top>
      <bottom style="thin">
        <color indexed="22"/>
      </bottom>
      <diagonal/>
    </border>
    <border>
      <left/>
      <right/>
      <top/>
      <bottom style="thin">
        <color indexed="5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5"/>
      </top>
      <bottom style="thin">
        <color indexed="45"/>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medium">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384">
    <xf numFmtId="0" fontId="0" fillId="0" borderId="0"/>
    <xf numFmtId="0" fontId="1" fillId="0" borderId="0"/>
    <xf numFmtId="9" fontId="3"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5" fillId="0" borderId="0">
      <alignment vertical="center"/>
    </xf>
    <xf numFmtId="166" fontId="6" fillId="0" borderId="0" applyFont="0" applyFill="0" applyBorder="0" applyAlignment="0" applyProtection="0"/>
    <xf numFmtId="0" fontId="8"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6" fillId="0" borderId="0"/>
    <xf numFmtId="9" fontId="1" fillId="0" borderId="0" applyFont="0" applyFill="0" applyBorder="0" applyAlignment="0" applyProtection="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6" fillId="8" borderId="8" applyNumberFormat="0" applyFont="0" applyAlignment="0" applyProtection="0"/>
    <xf numFmtId="0" fontId="23" fillId="0" borderId="0" applyNumberFormat="0" applyFill="0" applyBorder="0" applyAlignment="0" applyProtection="0"/>
    <xf numFmtId="0" fontId="4" fillId="0" borderId="9" applyNumberFormat="0" applyFill="0" applyAlignment="0" applyProtection="0"/>
    <xf numFmtId="0" fontId="24"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4" fillId="32" borderId="0" applyNumberFormat="0" applyBorder="0" applyAlignment="0" applyProtection="0"/>
    <xf numFmtId="0" fontId="27" fillId="0" borderId="0"/>
    <xf numFmtId="166" fontId="1"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166" fontId="6" fillId="0" borderId="0" applyFont="0" applyFill="0" applyBorder="0" applyAlignment="0" applyProtection="0"/>
    <xf numFmtId="0" fontId="2" fillId="0" borderId="0"/>
    <xf numFmtId="1" fontId="2" fillId="0" borderId="0"/>
    <xf numFmtId="1"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Alignment="0" applyProtection="0"/>
    <xf numFmtId="0" fontId="2" fillId="0" borderId="0"/>
    <xf numFmtId="9" fontId="2"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Alignment="0" applyProtection="0"/>
    <xf numFmtId="170" fontId="2" fillId="33" borderId="10" applyNumberFormat="0" applyFont="0" applyAlignment="0"/>
    <xf numFmtId="0" fontId="2" fillId="34" borderId="11" applyNumberFormat="0" applyFont="0" applyAlignment="0"/>
    <xf numFmtId="0" fontId="28" fillId="35" borderId="11" applyNumberFormat="0" applyFont="0" applyAlignment="0"/>
    <xf numFmtId="166" fontId="2" fillId="0" borderId="0" applyFont="0" applyFill="0" applyBorder="0" applyAlignment="0" applyProtection="0"/>
    <xf numFmtId="171" fontId="2" fillId="0" borderId="0" applyFont="0" applyFill="0" applyBorder="0" applyAlignment="0" applyProtection="0"/>
    <xf numFmtId="0" fontId="2" fillId="36" borderId="12" applyNumberFormat="0" applyFont="0" applyAlignment="0"/>
    <xf numFmtId="0" fontId="2" fillId="37" borderId="12" applyNumberFormat="0" applyFont="0" applyAlignment="0"/>
    <xf numFmtId="9" fontId="2"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166" fontId="2"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166" fontId="6" fillId="0" borderId="0" applyFont="0" applyFill="0" applyBorder="0" applyAlignment="0" applyProtection="0"/>
    <xf numFmtId="0" fontId="27" fillId="0" borderId="0"/>
    <xf numFmtId="0" fontId="6" fillId="0" borderId="0"/>
    <xf numFmtId="9" fontId="6" fillId="0" borderId="0" applyFont="0" applyFill="0" applyBorder="0" applyAlignment="0" applyProtection="0"/>
    <xf numFmtId="0" fontId="28" fillId="0" borderId="0" applyFill="0" applyBorder="0"/>
    <xf numFmtId="166" fontId="29"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2" fillId="0" borderId="0"/>
    <xf numFmtId="166" fontId="2" fillId="0" borderId="0" applyFont="0" applyFill="0" applyBorder="0" applyAlignment="0" applyProtection="0"/>
    <xf numFmtId="166" fontId="2" fillId="0" borderId="0" applyFont="0" applyFill="0" applyBorder="0" applyAlignment="0" applyProtection="0"/>
    <xf numFmtId="0" fontId="6" fillId="0" borderId="0"/>
    <xf numFmtId="166"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8" borderId="8" applyNumberFormat="0" applyFont="0" applyAlignment="0" applyProtection="0"/>
    <xf numFmtId="166" fontId="6" fillId="0" borderId="0" applyFont="0" applyFill="0" applyBorder="0" applyAlignment="0" applyProtection="0"/>
    <xf numFmtId="0" fontId="6" fillId="0" borderId="0"/>
    <xf numFmtId="166" fontId="6" fillId="0" borderId="0" applyFont="0" applyFill="0" applyBorder="0" applyAlignment="0" applyProtection="0"/>
    <xf numFmtId="0" fontId="2" fillId="0" borderId="0"/>
    <xf numFmtId="0" fontId="6" fillId="18" borderId="0" applyNumberFormat="0" applyBorder="0" applyAlignment="0" applyProtection="0"/>
    <xf numFmtId="166" fontId="2"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applyNumberFormat="0" applyFill="0" applyBorder="0" applyAlignment="0" applyProtection="0"/>
    <xf numFmtId="0" fontId="39" fillId="0" borderId="0"/>
    <xf numFmtId="0" fontId="33" fillId="0" borderId="0">
      <alignment horizontal="right"/>
    </xf>
    <xf numFmtId="0" fontId="37" fillId="0" borderId="0"/>
    <xf numFmtId="0" fontId="32" fillId="0" borderId="0"/>
    <xf numFmtId="0" fontId="35" fillId="0" borderId="0"/>
    <xf numFmtId="0" fontId="38" fillId="0" borderId="14" applyNumberFormat="0" applyAlignment="0"/>
    <xf numFmtId="0" fontId="30" fillId="0" borderId="0" applyAlignment="0">
      <alignment horizontal="left"/>
    </xf>
    <xf numFmtId="0" fontId="30" fillId="0" borderId="0">
      <alignment horizontal="right"/>
    </xf>
    <xf numFmtId="167" fontId="30" fillId="0" borderId="0">
      <alignment horizontal="right"/>
    </xf>
    <xf numFmtId="169" fontId="34" fillId="0" borderId="0">
      <alignment horizontal="right"/>
    </xf>
    <xf numFmtId="0" fontId="36" fillId="0" borderId="0"/>
    <xf numFmtId="166" fontId="29" fillId="0" borderId="0" applyFont="0" applyFill="0" applyBorder="0" applyAlignment="0" applyProtection="0"/>
    <xf numFmtId="0" fontId="31" fillId="0" borderId="0" applyNumberFormat="0" applyFill="0" applyBorder="0" applyAlignment="0" applyProtection="0">
      <alignment vertical="top"/>
      <protection locked="0"/>
    </xf>
    <xf numFmtId="167" fontId="29"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8" fillId="0" borderId="0" applyFill="0" applyBorder="0"/>
    <xf numFmtId="166" fontId="29" fillId="0" borderId="0" applyFont="0" applyFill="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5" borderId="0" applyNumberFormat="0" applyBorder="0" applyAlignment="0" applyProtection="0"/>
    <xf numFmtId="0" fontId="42" fillId="39" borderId="0" applyNumberFormat="0" applyBorder="0" applyAlignment="0" applyProtection="0"/>
    <xf numFmtId="0" fontId="43" fillId="56" borderId="15" applyNumberFormat="0" applyAlignment="0" applyProtection="0"/>
    <xf numFmtId="0" fontId="44" fillId="57" borderId="16" applyNumberFormat="0" applyAlignment="0" applyProtection="0"/>
    <xf numFmtId="0" fontId="45" fillId="0" borderId="0" applyNumberFormat="0" applyFill="0" applyBorder="0" applyAlignment="0" applyProtection="0"/>
    <xf numFmtId="0" fontId="46" fillId="40" borderId="0" applyNumberFormat="0" applyBorder="0" applyAlignment="0" applyProtection="0"/>
    <xf numFmtId="0" fontId="47" fillId="0" borderId="17" applyNumberFormat="0" applyFill="0" applyAlignment="0" applyProtection="0"/>
    <xf numFmtId="0" fontId="48" fillId="0" borderId="18" applyNumberFormat="0" applyFill="0" applyAlignment="0" applyProtection="0"/>
    <xf numFmtId="0" fontId="49" fillId="0" borderId="19"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50" fillId="43" borderId="15" applyNumberFormat="0" applyAlignment="0" applyProtection="0"/>
    <xf numFmtId="0" fontId="51" fillId="0" borderId="20" applyNumberFormat="0" applyFill="0" applyAlignment="0" applyProtection="0"/>
    <xf numFmtId="0" fontId="52" fillId="58" borderId="0" applyNumberFormat="0" applyBorder="0" applyAlignment="0" applyProtection="0"/>
    <xf numFmtId="0" fontId="2" fillId="59" borderId="13" applyNumberFormat="0" applyFont="0" applyAlignment="0" applyProtection="0"/>
    <xf numFmtId="0" fontId="53" fillId="56" borderId="21" applyNumberFormat="0" applyAlignment="0" applyProtection="0"/>
    <xf numFmtId="0" fontId="54" fillId="0" borderId="0" applyNumberFormat="0" applyFill="0" applyBorder="0" applyAlignment="0" applyProtection="0"/>
    <xf numFmtId="0" fontId="55" fillId="0" borderId="22" applyNumberFormat="0" applyFill="0" applyAlignment="0" applyProtection="0"/>
    <xf numFmtId="0" fontId="56" fillId="0" borderId="0" applyNumberForma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58" fillId="0" borderId="23" applyNumberFormat="0">
      <alignment vertical="center"/>
    </xf>
    <xf numFmtId="172" fontId="57" fillId="0" borderId="23">
      <alignment horizontal="right" vertical="center"/>
    </xf>
    <xf numFmtId="0" fontId="6" fillId="0" borderId="0"/>
    <xf numFmtId="9" fontId="6" fillId="0" borderId="0" applyFont="0" applyFill="0" applyBorder="0" applyAlignment="0" applyProtection="0"/>
    <xf numFmtId="0" fontId="2" fillId="0" borderId="0"/>
    <xf numFmtId="0" fontId="26" fillId="0" borderId="0" applyNumberForma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2" fillId="0" borderId="0" applyFont="0" applyFill="0" applyBorder="0" applyAlignment="0" applyProtection="0"/>
    <xf numFmtId="0" fontId="6" fillId="0" borderId="0"/>
    <xf numFmtId="166" fontId="29"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9" fontId="2" fillId="0" borderId="0" applyFont="0" applyFill="0" applyBorder="0" applyAlignment="0" applyProtection="0"/>
    <xf numFmtId="0" fontId="6" fillId="0" borderId="0"/>
    <xf numFmtId="166" fontId="6" fillId="0" borderId="0" applyFont="0" applyFill="0" applyBorder="0" applyAlignment="0" applyProtection="0"/>
    <xf numFmtId="0" fontId="6" fillId="0" borderId="0"/>
    <xf numFmtId="0" fontId="6" fillId="0" borderId="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9" fontId="6"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8" fillId="0" borderId="0"/>
    <xf numFmtId="9" fontId="1" fillId="0" borderId="0" applyFont="0" applyFill="0" applyBorder="0" applyAlignment="0" applyProtection="0"/>
    <xf numFmtId="166" fontId="1" fillId="0" borderId="0" applyFont="0" applyFill="0" applyBorder="0" applyAlignment="0" applyProtection="0"/>
    <xf numFmtId="166" fontId="6" fillId="0" borderId="0" applyFont="0" applyFill="0" applyBorder="0" applyAlignment="0" applyProtection="0"/>
    <xf numFmtId="0" fontId="49" fillId="0" borderId="26"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9"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9" fillId="0" borderId="0" applyFont="0" applyFill="0" applyBorder="0" applyAlignment="0" applyProtection="0"/>
    <xf numFmtId="166" fontId="2"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49" fillId="0" borderId="25" applyNumberFormat="0" applyFill="0" applyAlignment="0" applyProtection="0"/>
    <xf numFmtId="0" fontId="49" fillId="0" borderId="24" applyNumberFormat="0" applyFill="0" applyAlignment="0" applyProtection="0"/>
    <xf numFmtId="166" fontId="6"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9"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2"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alignment vertical="center"/>
    </xf>
    <xf numFmtId="0" fontId="8" fillId="0" borderId="0">
      <alignment vertical="center"/>
    </xf>
    <xf numFmtId="0" fontId="59" fillId="0" borderId="0">
      <alignment vertical="center"/>
    </xf>
    <xf numFmtId="0" fontId="49" fillId="0" borderId="26" applyNumberFormat="0" applyFill="0" applyAlignment="0" applyProtection="0"/>
    <xf numFmtId="0" fontId="49" fillId="0" borderId="26" applyNumberFormat="0" applyFill="0" applyAlignment="0" applyProtection="0"/>
    <xf numFmtId="43" fontId="6" fillId="0" borderId="0" applyFont="0" applyFill="0" applyBorder="0" applyAlignment="0" applyProtection="0"/>
    <xf numFmtId="0" fontId="62" fillId="0" borderId="0"/>
    <xf numFmtId="41" fontId="6" fillId="0" borderId="0" applyFont="0" applyFill="0" applyBorder="0" applyAlignment="0" applyProtection="0"/>
    <xf numFmtId="164" fontId="6" fillId="0" borderId="0" applyFont="0" applyFill="0" applyBorder="0" applyAlignment="0" applyProtection="0"/>
    <xf numFmtId="41"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1" fillId="0" borderId="0" applyFont="0" applyFill="0" applyBorder="0" applyAlignment="0" applyProtection="0"/>
    <xf numFmtId="164" fontId="6" fillId="0" borderId="0" applyFont="0" applyFill="0" applyBorder="0" applyAlignment="0" applyProtection="0"/>
    <xf numFmtId="0" fontId="65" fillId="0" borderId="0">
      <alignment vertical="center"/>
    </xf>
    <xf numFmtId="0" fontId="66" fillId="0" borderId="1" applyNumberFormat="0" applyFill="0" applyAlignment="0" applyProtection="0"/>
    <xf numFmtId="0" fontId="64" fillId="0" borderId="0"/>
    <xf numFmtId="164" fontId="6" fillId="0" borderId="0" applyFont="0" applyFill="0" applyBorder="0" applyAlignment="0" applyProtection="0"/>
    <xf numFmtId="0" fontId="6" fillId="0" borderId="0"/>
    <xf numFmtId="165" fontId="6" fillId="0" borderId="0" applyFont="0" applyFill="0" applyBorder="0" applyAlignment="0" applyProtection="0"/>
    <xf numFmtId="0" fontId="67" fillId="0" borderId="0"/>
    <xf numFmtId="9" fontId="1" fillId="0" borderId="0" applyFont="0" applyFill="0" applyBorder="0" applyAlignment="0" applyProtection="0"/>
    <xf numFmtId="165" fontId="1" fillId="0" borderId="0" applyFont="0" applyFill="0" applyBorder="0" applyAlignment="0" applyProtection="0"/>
    <xf numFmtId="166" fontId="6" fillId="0" borderId="0" applyFont="0" applyFill="0" applyBorder="0" applyAlignment="0" applyProtection="0"/>
    <xf numFmtId="0" fontId="16" fillId="4" borderId="0" applyNumberFormat="0" applyBorder="0" applyAlignment="0" applyProtection="0"/>
    <xf numFmtId="166" fontId="6" fillId="0" borderId="0" applyFont="0" applyFill="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8" fillId="0" borderId="0">
      <alignment vertical="center"/>
    </xf>
    <xf numFmtId="165" fontId="6" fillId="0" borderId="0" applyFont="0" applyFill="0" applyBorder="0" applyAlignment="0" applyProtection="0"/>
    <xf numFmtId="0" fontId="6" fillId="0" borderId="0"/>
    <xf numFmtId="0" fontId="25" fillId="0" borderId="0" applyNumberFormat="0" applyFill="0" applyBorder="0" applyAlignment="0" applyProtection="0"/>
    <xf numFmtId="165" fontId="6" fillId="0" borderId="0" applyFont="0" applyFill="0" applyBorder="0" applyAlignment="0" applyProtection="0"/>
    <xf numFmtId="0" fontId="1" fillId="0" borderId="0"/>
  </cellStyleXfs>
  <cellXfs count="1226">
    <xf numFmtId="0" fontId="0" fillId="0" borderId="0" xfId="0"/>
    <xf numFmtId="0" fontId="4" fillId="0" borderId="0" xfId="0" applyFont="1"/>
    <xf numFmtId="0" fontId="0" fillId="0" borderId="0" xfId="0" applyProtection="1">
      <protection locked="0"/>
    </xf>
    <xf numFmtId="0" fontId="0" fillId="60" borderId="0" xfId="0" applyFill="1"/>
    <xf numFmtId="0" fontId="0" fillId="60" borderId="0" xfId="0" applyFill="1" applyAlignment="1">
      <alignment horizontal="center"/>
    </xf>
    <xf numFmtId="0" fontId="0" fillId="0" borderId="0" xfId="0" applyAlignment="1">
      <alignment horizontal="center"/>
    </xf>
    <xf numFmtId="174" fontId="0" fillId="0" borderId="0" xfId="352" applyNumberFormat="1" applyFont="1"/>
    <xf numFmtId="174" fontId="0" fillId="0" borderId="0" xfId="352" applyNumberFormat="1" applyFont="1" applyFill="1"/>
    <xf numFmtId="166" fontId="0" fillId="0" borderId="0" xfId="0" applyNumberFormat="1"/>
    <xf numFmtId="168" fontId="0" fillId="0" borderId="0" xfId="0" applyNumberFormat="1"/>
    <xf numFmtId="0" fontId="0" fillId="63" borderId="0" xfId="0" applyFill="1"/>
    <xf numFmtId="1" fontId="0" fillId="0" borderId="0" xfId="0" applyNumberFormat="1"/>
    <xf numFmtId="174" fontId="0" fillId="0" borderId="0" xfId="0" applyNumberFormat="1"/>
    <xf numFmtId="9" fontId="0" fillId="0" borderId="0" xfId="2" applyFont="1"/>
    <xf numFmtId="0" fontId="4" fillId="0" borderId="0" xfId="0" applyFont="1" applyAlignment="1">
      <alignment horizontal="center"/>
    </xf>
    <xf numFmtId="0" fontId="61" fillId="0" borderId="0" xfId="0" applyFont="1"/>
    <xf numFmtId="0" fontId="0" fillId="0" borderId="0" xfId="0" applyAlignment="1">
      <alignment wrapText="1"/>
    </xf>
    <xf numFmtId="0" fontId="0" fillId="0" borderId="0" xfId="0" applyAlignment="1">
      <alignment horizontal="center" wrapText="1"/>
    </xf>
    <xf numFmtId="166" fontId="0" fillId="0" borderId="0" xfId="7" applyFont="1"/>
    <xf numFmtId="0" fontId="0" fillId="0" borderId="0" xfId="0" applyAlignment="1">
      <alignment horizontal="right"/>
    </xf>
    <xf numFmtId="176" fontId="0" fillId="64" borderId="0" xfId="0" applyNumberFormat="1" applyFill="1"/>
    <xf numFmtId="178" fontId="0" fillId="64" borderId="0" xfId="0" applyNumberFormat="1" applyFill="1"/>
    <xf numFmtId="177" fontId="0" fillId="0" borderId="0" xfId="0" applyNumberFormat="1"/>
    <xf numFmtId="179" fontId="0" fillId="64" borderId="0" xfId="0" applyNumberFormat="1" applyFill="1"/>
    <xf numFmtId="174" fontId="61" fillId="64" borderId="0" xfId="350" applyNumberFormat="1" applyFont="1" applyFill="1" applyProtection="1">
      <protection locked="0"/>
    </xf>
    <xf numFmtId="174" fontId="63" fillId="64" borderId="0" xfId="350" applyNumberFormat="1" applyFont="1" applyFill="1" applyProtection="1">
      <protection locked="0"/>
    </xf>
    <xf numFmtId="174" fontId="0" fillId="64" borderId="0" xfId="350" applyNumberFormat="1" applyFont="1" applyFill="1"/>
    <xf numFmtId="174" fontId="63" fillId="64" borderId="0" xfId="350" applyNumberFormat="1" applyFont="1" applyFill="1" applyBorder="1"/>
    <xf numFmtId="0" fontId="60" fillId="65" borderId="0" xfId="0" applyFont="1" applyFill="1"/>
    <xf numFmtId="174" fontId="0" fillId="64" borderId="0" xfId="352" applyNumberFormat="1" applyFont="1" applyFill="1" applyAlignment="1">
      <alignment horizontal="center"/>
    </xf>
    <xf numFmtId="1" fontId="0" fillId="0" borderId="0" xfId="0" applyNumberFormat="1" applyAlignment="1">
      <alignment horizontal="center"/>
    </xf>
    <xf numFmtId="180" fontId="0" fillId="64" borderId="0" xfId="0" applyNumberFormat="1" applyFill="1"/>
    <xf numFmtId="182" fontId="0" fillId="64" borderId="0" xfId="0" applyNumberFormat="1" applyFill="1"/>
    <xf numFmtId="0" fontId="0" fillId="66" borderId="0" xfId="0" applyFill="1"/>
    <xf numFmtId="166" fontId="0" fillId="0" borderId="0" xfId="7" applyFont="1" applyAlignment="1">
      <alignment horizontal="center"/>
    </xf>
    <xf numFmtId="168" fontId="0" fillId="0" borderId="0" xfId="7" applyNumberFormat="1" applyFont="1"/>
    <xf numFmtId="9" fontId="0" fillId="66" borderId="0" xfId="2" applyFont="1" applyFill="1"/>
    <xf numFmtId="9" fontId="0" fillId="66" borderId="0" xfId="0" applyNumberFormat="1" applyFill="1"/>
    <xf numFmtId="0" fontId="0" fillId="67" borderId="0" xfId="0" applyFill="1"/>
    <xf numFmtId="0" fontId="0" fillId="68" borderId="0" xfId="0" applyFill="1"/>
    <xf numFmtId="0" fontId="0" fillId="69" borderId="0" xfId="0" applyFill="1"/>
    <xf numFmtId="9" fontId="0" fillId="0" borderId="0" xfId="2" applyFont="1" applyAlignment="1">
      <alignment horizontal="right"/>
    </xf>
    <xf numFmtId="9" fontId="0" fillId="0" borderId="0" xfId="0" applyNumberFormat="1" applyAlignment="1">
      <alignment horizontal="right"/>
    </xf>
    <xf numFmtId="168" fontId="0" fillId="0" borderId="0" xfId="7" applyNumberFormat="1" applyFont="1" applyAlignment="1">
      <alignment horizontal="right"/>
    </xf>
    <xf numFmtId="0" fontId="61" fillId="0" borderId="0" xfId="0" applyFont="1" applyAlignment="1">
      <alignment horizontal="right"/>
    </xf>
    <xf numFmtId="0" fontId="4" fillId="0" borderId="0" xfId="0" applyFont="1" applyAlignment="1">
      <alignment horizontal="right"/>
    </xf>
    <xf numFmtId="0" fontId="0" fillId="62" borderId="0" xfId="0" applyFill="1"/>
    <xf numFmtId="0" fontId="0" fillId="70" borderId="0" xfId="0" applyFill="1"/>
    <xf numFmtId="0" fontId="0" fillId="0" borderId="33" xfId="0" applyBorder="1"/>
    <xf numFmtId="0" fontId="0" fillId="0" borderId="33" xfId="0" applyBorder="1" applyAlignment="1">
      <alignment horizontal="center"/>
    </xf>
    <xf numFmtId="1" fontId="0" fillId="0" borderId="33" xfId="0" applyNumberFormat="1" applyBorder="1" applyAlignment="1">
      <alignment horizontal="center"/>
    </xf>
    <xf numFmtId="168" fontId="0" fillId="0" borderId="33" xfId="7" applyNumberFormat="1" applyFont="1" applyBorder="1"/>
    <xf numFmtId="9" fontId="0" fillId="66" borderId="33" xfId="2" applyFont="1" applyFill="1" applyBorder="1"/>
    <xf numFmtId="1" fontId="0" fillId="0" borderId="33" xfId="7" applyNumberFormat="1" applyFont="1" applyBorder="1" applyAlignment="1">
      <alignment horizontal="center"/>
    </xf>
    <xf numFmtId="183" fontId="0" fillId="0" borderId="0" xfId="0" applyNumberFormat="1"/>
    <xf numFmtId="1" fontId="0" fillId="0" borderId="0" xfId="2" applyNumberFormat="1" applyFont="1" applyAlignment="1">
      <alignment horizontal="right"/>
    </xf>
    <xf numFmtId="166" fontId="0" fillId="0" borderId="0" xfId="7" applyFont="1" applyAlignment="1">
      <alignment horizontal="right"/>
    </xf>
    <xf numFmtId="0" fontId="0" fillId="0" borderId="34" xfId="0" applyBorder="1" applyAlignment="1">
      <alignment horizontal="right"/>
    </xf>
    <xf numFmtId="0" fontId="0" fillId="0" borderId="35" xfId="0" applyBorder="1" applyAlignment="1">
      <alignment horizontal="right"/>
    </xf>
    <xf numFmtId="0" fontId="0" fillId="0" borderId="34" xfId="0" applyBorder="1"/>
    <xf numFmtId="167" fontId="0" fillId="66" borderId="33" xfId="2" applyNumberFormat="1" applyFont="1" applyFill="1" applyBorder="1"/>
    <xf numFmtId="1" fontId="0" fillId="0" borderId="0" xfId="0" applyNumberFormat="1" applyAlignment="1">
      <alignment horizontal="right"/>
    </xf>
    <xf numFmtId="1" fontId="0" fillId="66" borderId="33" xfId="2" applyNumberFormat="1" applyFont="1" applyFill="1" applyBorder="1"/>
    <xf numFmtId="0" fontId="68" fillId="0" borderId="0" xfId="0" applyFont="1"/>
    <xf numFmtId="1" fontId="0" fillId="0" borderId="0" xfId="2" applyNumberFormat="1" applyFont="1" applyAlignment="1"/>
    <xf numFmtId="1" fontId="0" fillId="0" borderId="34" xfId="2" applyNumberFormat="1" applyFont="1" applyBorder="1" applyAlignment="1"/>
    <xf numFmtId="1" fontId="0" fillId="0" borderId="35" xfId="2" applyNumberFormat="1" applyFont="1" applyBorder="1" applyAlignment="1"/>
    <xf numFmtId="0" fontId="0" fillId="0" borderId="36" xfId="0" applyBorder="1"/>
    <xf numFmtId="0" fontId="4" fillId="0" borderId="36" xfId="0" applyFont="1" applyBorder="1" applyAlignment="1">
      <alignment horizontal="right"/>
    </xf>
    <xf numFmtId="0" fontId="0" fillId="0" borderId="36" xfId="0" applyBorder="1" applyAlignment="1">
      <alignment horizontal="right"/>
    </xf>
    <xf numFmtId="0" fontId="61" fillId="0" borderId="36" xfId="0" applyFont="1" applyBorder="1" applyAlignment="1">
      <alignment horizontal="right"/>
    </xf>
    <xf numFmtId="9" fontId="0" fillId="0" borderId="36" xfId="0" applyNumberFormat="1" applyBorder="1" applyAlignment="1">
      <alignment horizontal="right"/>
    </xf>
    <xf numFmtId="9" fontId="0" fillId="0" borderId="36" xfId="2" applyFont="1" applyBorder="1" applyAlignment="1">
      <alignment horizontal="right"/>
    </xf>
    <xf numFmtId="0" fontId="0" fillId="0" borderId="37" xfId="0" applyBorder="1" applyAlignment="1">
      <alignment horizontal="right"/>
    </xf>
    <xf numFmtId="168" fontId="0" fillId="0" borderId="36" xfId="7" applyNumberFormat="1" applyFont="1" applyBorder="1" applyAlignment="1">
      <alignment horizontal="right"/>
    </xf>
    <xf numFmtId="1" fontId="0" fillId="0" borderId="36" xfId="0" applyNumberFormat="1" applyBorder="1"/>
    <xf numFmtId="1" fontId="0" fillId="0" borderId="36" xfId="2" applyNumberFormat="1" applyFont="1" applyBorder="1" applyAlignment="1"/>
    <xf numFmtId="1" fontId="0" fillId="0" borderId="37" xfId="2" applyNumberFormat="1" applyFont="1" applyBorder="1" applyAlignment="1"/>
    <xf numFmtId="166" fontId="0" fillId="0" borderId="36" xfId="7" applyFont="1" applyBorder="1"/>
    <xf numFmtId="166" fontId="4" fillId="0" borderId="0" xfId="7" applyFont="1"/>
    <xf numFmtId="166" fontId="4" fillId="0" borderId="0" xfId="7" applyFont="1" applyAlignment="1">
      <alignment horizontal="right"/>
    </xf>
    <xf numFmtId="168" fontId="0" fillId="66" borderId="0" xfId="7" applyNumberFormat="1" applyFont="1" applyFill="1"/>
    <xf numFmtId="0" fontId="4" fillId="62" borderId="0" xfId="0" applyFont="1" applyFill="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69" fillId="60" borderId="0" xfId="380" applyFont="1" applyFill="1"/>
    <xf numFmtId="0" fontId="70" fillId="60" borderId="0" xfId="380" applyFont="1" applyFill="1"/>
    <xf numFmtId="0" fontId="71" fillId="60" borderId="0" xfId="380" applyFont="1" applyFill="1"/>
    <xf numFmtId="0" fontId="72" fillId="60" borderId="47" xfId="380" applyFont="1" applyFill="1" applyBorder="1" applyAlignment="1">
      <alignment vertical="top" wrapText="1"/>
    </xf>
    <xf numFmtId="0" fontId="72" fillId="60" borderId="48" xfId="380" applyFont="1" applyFill="1" applyBorder="1" applyAlignment="1">
      <alignment horizontal="center" vertical="top" wrapText="1"/>
    </xf>
    <xf numFmtId="0" fontId="72" fillId="60" borderId="0" xfId="380" applyFont="1" applyFill="1" applyAlignment="1">
      <alignment vertical="top" wrapText="1"/>
    </xf>
    <xf numFmtId="0" fontId="70" fillId="60" borderId="31" xfId="380" applyFont="1" applyFill="1" applyBorder="1" applyAlignment="1">
      <alignment vertical="top" wrapText="1"/>
    </xf>
    <xf numFmtId="0" fontId="72" fillId="60" borderId="29" xfId="380" applyFont="1" applyFill="1" applyBorder="1" applyAlignment="1">
      <alignment horizontal="center" vertical="top" wrapText="1"/>
    </xf>
    <xf numFmtId="0" fontId="62" fillId="60" borderId="0" xfId="380" applyFont="1" applyFill="1" applyAlignment="1">
      <alignment vertical="top" wrapText="1"/>
    </xf>
    <xf numFmtId="0" fontId="72" fillId="60" borderId="0" xfId="380" applyFont="1" applyFill="1" applyAlignment="1">
      <alignment horizontal="center" vertical="top" wrapText="1"/>
    </xf>
    <xf numFmtId="0" fontId="72" fillId="60" borderId="50" xfId="380" applyFont="1" applyFill="1" applyBorder="1" applyAlignment="1">
      <alignment vertical="top" wrapText="1"/>
    </xf>
    <xf numFmtId="0" fontId="72" fillId="60" borderId="48" xfId="380" applyFont="1" applyFill="1" applyBorder="1" applyAlignment="1">
      <alignment vertical="top" wrapText="1"/>
    </xf>
    <xf numFmtId="0" fontId="72" fillId="60" borderId="49" xfId="380" applyFont="1" applyFill="1" applyBorder="1" applyAlignment="1">
      <alignment vertical="top" wrapText="1"/>
    </xf>
    <xf numFmtId="0" fontId="70" fillId="60" borderId="47" xfId="380" applyFont="1" applyFill="1" applyBorder="1" applyAlignment="1">
      <alignment vertical="center" wrapText="1"/>
    </xf>
    <xf numFmtId="1" fontId="70" fillId="60" borderId="50" xfId="380" applyNumberFormat="1" applyFont="1" applyFill="1" applyBorder="1" applyAlignment="1">
      <alignment horizontal="center" vertical="center"/>
    </xf>
    <xf numFmtId="0" fontId="70" fillId="60" borderId="47" xfId="380" applyFont="1" applyFill="1" applyBorder="1" applyAlignment="1">
      <alignment horizontal="center" vertical="center" wrapText="1"/>
    </xf>
    <xf numFmtId="0" fontId="70" fillId="60" borderId="29" xfId="380" quotePrefix="1" applyFont="1" applyFill="1" applyBorder="1" applyAlignment="1">
      <alignment horizontal="center" vertical="center" wrapText="1"/>
    </xf>
    <xf numFmtId="0" fontId="70" fillId="60" borderId="0" xfId="380" applyFont="1" applyFill="1" applyAlignment="1">
      <alignment vertical="top" wrapText="1"/>
    </xf>
    <xf numFmtId="17" fontId="73" fillId="60" borderId="0" xfId="380" quotePrefix="1" applyNumberFormat="1" applyFont="1" applyFill="1" applyAlignment="1">
      <alignment horizontal="center" vertical="top" wrapText="1"/>
    </xf>
    <xf numFmtId="0" fontId="71" fillId="60" borderId="0" xfId="380" applyFont="1" applyFill="1" applyAlignment="1">
      <alignment vertical="top" wrapText="1"/>
    </xf>
    <xf numFmtId="0" fontId="70" fillId="60" borderId="47" xfId="380" quotePrefix="1" applyFont="1" applyFill="1" applyBorder="1" applyAlignment="1">
      <alignment horizontal="center" vertical="center" wrapText="1"/>
    </xf>
    <xf numFmtId="0" fontId="70" fillId="60" borderId="0" xfId="380" applyFont="1" applyFill="1" applyAlignment="1">
      <alignment horizontal="center" vertical="top" wrapText="1"/>
    </xf>
    <xf numFmtId="0" fontId="70" fillId="60" borderId="30" xfId="380" applyFont="1" applyFill="1" applyBorder="1" applyAlignment="1">
      <alignment vertical="center" wrapText="1"/>
    </xf>
    <xf numFmtId="0" fontId="70" fillId="60" borderId="31" xfId="380" applyFont="1" applyFill="1" applyBorder="1" applyAlignment="1">
      <alignment horizontal="center" vertical="center" wrapText="1"/>
    </xf>
    <xf numFmtId="0" fontId="70" fillId="60" borderId="0" xfId="380" quotePrefix="1" applyFont="1" applyFill="1" applyAlignment="1">
      <alignment horizontal="center" vertical="top" wrapText="1"/>
    </xf>
    <xf numFmtId="0" fontId="70" fillId="60" borderId="31" xfId="380" applyFont="1" applyFill="1" applyBorder="1" applyAlignment="1">
      <alignment vertical="center" wrapText="1"/>
    </xf>
    <xf numFmtId="169" fontId="70" fillId="60" borderId="50" xfId="380" applyNumberFormat="1" applyFont="1" applyFill="1" applyBorder="1" applyAlignment="1">
      <alignment horizontal="center" vertical="center"/>
    </xf>
    <xf numFmtId="0" fontId="70" fillId="60" borderId="51" xfId="380" applyFont="1" applyFill="1" applyBorder="1" applyAlignment="1">
      <alignment vertical="center" wrapText="1"/>
    </xf>
    <xf numFmtId="0" fontId="70" fillId="60" borderId="29" xfId="380" applyFont="1" applyFill="1" applyBorder="1" applyAlignment="1">
      <alignment horizontal="center" vertical="center" wrapText="1"/>
    </xf>
    <xf numFmtId="0" fontId="75" fillId="60" borderId="50" xfId="380" applyFont="1" applyFill="1" applyBorder="1" applyAlignment="1">
      <alignment horizontal="left" vertical="center" wrapText="1"/>
    </xf>
    <xf numFmtId="0" fontId="75" fillId="60" borderId="48" xfId="380" quotePrefix="1" applyFont="1" applyFill="1" applyBorder="1" applyAlignment="1">
      <alignment vertical="center" wrapText="1"/>
    </xf>
    <xf numFmtId="0" fontId="75" fillId="60" borderId="48" xfId="380" quotePrefix="1" applyFont="1" applyFill="1" applyBorder="1" applyAlignment="1">
      <alignment horizontal="center" vertical="center" wrapText="1"/>
    </xf>
    <xf numFmtId="0" fontId="75" fillId="60" borderId="49" xfId="380" quotePrefix="1" applyFont="1" applyFill="1" applyBorder="1" applyAlignment="1">
      <alignment horizontal="center" vertical="center" wrapText="1"/>
    </xf>
    <xf numFmtId="0" fontId="72" fillId="60" borderId="50" xfId="380" applyFont="1" applyFill="1" applyBorder="1" applyAlignment="1">
      <alignment horizontal="left" vertical="center" wrapText="1"/>
    </xf>
    <xf numFmtId="0" fontId="72" fillId="60" borderId="48" xfId="380" quotePrefix="1" applyFont="1" applyFill="1" applyBorder="1" applyAlignment="1">
      <alignment vertical="center" wrapText="1"/>
    </xf>
    <xf numFmtId="0" fontId="72" fillId="60" borderId="48" xfId="380" quotePrefix="1" applyFont="1" applyFill="1" applyBorder="1" applyAlignment="1">
      <alignment horizontal="center" vertical="center" wrapText="1"/>
    </xf>
    <xf numFmtId="0" fontId="72" fillId="60" borderId="49" xfId="380" quotePrefix="1" applyFont="1" applyFill="1" applyBorder="1" applyAlignment="1">
      <alignment horizontal="center" vertical="center" wrapText="1"/>
    </xf>
    <xf numFmtId="3" fontId="70" fillId="60" borderId="47" xfId="271" applyNumberFormat="1" applyFont="1" applyFill="1" applyBorder="1" applyAlignment="1">
      <alignment horizontal="center" vertical="center" wrapText="1"/>
    </xf>
    <xf numFmtId="0" fontId="73" fillId="60" borderId="0" xfId="380" applyFont="1" applyFill="1"/>
    <xf numFmtId="1" fontId="72" fillId="60" borderId="48" xfId="380" applyNumberFormat="1" applyFont="1" applyFill="1" applyBorder="1" applyAlignment="1">
      <alignment horizontal="left" vertical="center" wrapText="1"/>
    </xf>
    <xf numFmtId="0" fontId="72" fillId="60" borderId="48" xfId="380" applyFont="1" applyFill="1" applyBorder="1" applyAlignment="1">
      <alignment horizontal="left" vertical="center" wrapText="1"/>
    </xf>
    <xf numFmtId="0" fontId="72" fillId="60" borderId="49" xfId="380" applyFont="1" applyFill="1" applyBorder="1" applyAlignment="1">
      <alignment horizontal="left" vertical="center" wrapText="1"/>
    </xf>
    <xf numFmtId="1" fontId="70" fillId="60" borderId="47" xfId="380" applyNumberFormat="1" applyFont="1" applyFill="1" applyBorder="1" applyAlignment="1">
      <alignment horizontal="center" vertical="center" wrapText="1"/>
    </xf>
    <xf numFmtId="169" fontId="70" fillId="60" borderId="29" xfId="380" applyNumberFormat="1" applyFont="1" applyFill="1" applyBorder="1" applyAlignment="1">
      <alignment horizontal="center" vertical="center" wrapText="1"/>
    </xf>
    <xf numFmtId="181" fontId="70" fillId="60" borderId="29" xfId="380" applyNumberFormat="1" applyFont="1" applyFill="1" applyBorder="1" applyAlignment="1">
      <alignment horizontal="center" vertical="center" wrapText="1"/>
    </xf>
    <xf numFmtId="169" fontId="70" fillId="60" borderId="0" xfId="380" applyNumberFormat="1" applyFont="1" applyFill="1" applyAlignment="1">
      <alignment horizontal="center" vertical="top" wrapText="1"/>
    </xf>
    <xf numFmtId="0" fontId="73" fillId="60" borderId="0" xfId="380" applyFont="1" applyFill="1" applyAlignment="1">
      <alignment horizontal="left" vertical="center"/>
    </xf>
    <xf numFmtId="2" fontId="70" fillId="60" borderId="50" xfId="380" applyNumberFormat="1" applyFont="1" applyFill="1" applyBorder="1" applyAlignment="1">
      <alignment horizontal="center" vertical="center"/>
    </xf>
    <xf numFmtId="2" fontId="70" fillId="60" borderId="47" xfId="380" applyNumberFormat="1" applyFont="1" applyFill="1" applyBorder="1" applyAlignment="1">
      <alignment horizontal="center" vertical="center" wrapText="1"/>
    </xf>
    <xf numFmtId="2" fontId="70" fillId="60" borderId="0" xfId="380" applyNumberFormat="1" applyFont="1" applyFill="1" applyAlignment="1">
      <alignment horizontal="center" vertical="top" wrapText="1"/>
    </xf>
    <xf numFmtId="9" fontId="70" fillId="60" borderId="47" xfId="271" applyFont="1" applyFill="1" applyBorder="1" applyAlignment="1">
      <alignment horizontal="center" vertical="center" wrapText="1"/>
    </xf>
    <xf numFmtId="4" fontId="70" fillId="60" borderId="47" xfId="271" applyNumberFormat="1" applyFont="1" applyFill="1" applyBorder="1" applyAlignment="1">
      <alignment horizontal="center" vertical="center" wrapText="1"/>
    </xf>
    <xf numFmtId="4" fontId="70" fillId="60" borderId="47" xfId="380" applyNumberFormat="1" applyFont="1" applyFill="1" applyBorder="1" applyAlignment="1">
      <alignment horizontal="center" vertical="center" wrapText="1"/>
    </xf>
    <xf numFmtId="3" fontId="70" fillId="60" borderId="47" xfId="380" applyNumberFormat="1" applyFont="1" applyFill="1" applyBorder="1" applyAlignment="1">
      <alignment horizontal="center" vertical="center" wrapText="1"/>
    </xf>
    <xf numFmtId="0" fontId="72" fillId="60" borderId="50" xfId="380" applyFont="1" applyFill="1" applyBorder="1" applyAlignment="1">
      <alignment vertical="center" wrapText="1"/>
    </xf>
    <xf numFmtId="0" fontId="72" fillId="60" borderId="48" xfId="380" applyFont="1" applyFill="1" applyBorder="1" applyAlignment="1">
      <alignment vertical="center" wrapText="1"/>
    </xf>
    <xf numFmtId="0" fontId="72" fillId="60" borderId="49" xfId="380" applyFont="1" applyFill="1" applyBorder="1" applyAlignment="1">
      <alignment vertical="center" wrapText="1"/>
    </xf>
    <xf numFmtId="3" fontId="70" fillId="60" borderId="29" xfId="380" applyNumberFormat="1" applyFont="1" applyFill="1" applyBorder="1" applyAlignment="1">
      <alignment horizontal="center" vertical="center" wrapText="1"/>
    </xf>
    <xf numFmtId="0" fontId="70" fillId="60" borderId="0" xfId="380" applyFont="1" applyFill="1" applyAlignment="1">
      <alignment horizontal="center"/>
    </xf>
    <xf numFmtId="0" fontId="70" fillId="60" borderId="0" xfId="380" applyFont="1" applyFill="1" applyAlignment="1">
      <alignment vertical="top"/>
    </xf>
    <xf numFmtId="0" fontId="70" fillId="60" borderId="0" xfId="380" applyFont="1" applyFill="1" applyAlignment="1">
      <alignment horizontal="right" vertical="top"/>
    </xf>
    <xf numFmtId="0" fontId="70" fillId="60" borderId="0" xfId="380" applyFont="1" applyFill="1" applyAlignment="1">
      <alignment horizontal="left" vertical="top" wrapText="1"/>
    </xf>
    <xf numFmtId="0" fontId="70" fillId="60" borderId="0" xfId="380" applyFont="1" applyFill="1" applyAlignment="1">
      <alignment horizontal="right" vertical="center"/>
    </xf>
    <xf numFmtId="0" fontId="70" fillId="60" borderId="0" xfId="380" applyFont="1" applyFill="1" applyAlignment="1">
      <alignment horizontal="right"/>
    </xf>
    <xf numFmtId="184" fontId="70" fillId="60" borderId="47" xfId="271" applyNumberFormat="1" applyFont="1" applyFill="1" applyBorder="1" applyAlignment="1">
      <alignment horizontal="center" vertical="center" wrapText="1"/>
    </xf>
    <xf numFmtId="0" fontId="70" fillId="60" borderId="31" xfId="380" quotePrefix="1" applyFont="1" applyFill="1" applyBorder="1" applyAlignment="1">
      <alignment horizontal="center" vertical="center" wrapText="1"/>
    </xf>
    <xf numFmtId="1" fontId="70" fillId="60" borderId="47" xfId="380" quotePrefix="1" applyNumberFormat="1" applyFont="1" applyFill="1" applyBorder="1" applyAlignment="1">
      <alignment horizontal="center" vertical="center" wrapText="1"/>
    </xf>
    <xf numFmtId="1" fontId="70" fillId="60" borderId="47" xfId="380" applyNumberFormat="1" applyFont="1" applyFill="1" applyBorder="1" applyAlignment="1">
      <alignment horizontal="center" vertical="center"/>
    </xf>
    <xf numFmtId="169" fontId="70" fillId="60" borderId="47" xfId="380" applyNumberFormat="1" applyFont="1" applyFill="1" applyBorder="1" applyAlignment="1">
      <alignment horizontal="center" vertical="center"/>
    </xf>
    <xf numFmtId="169" fontId="70" fillId="60" borderId="47" xfId="380" applyNumberFormat="1" applyFont="1" applyFill="1" applyBorder="1" applyAlignment="1">
      <alignment horizontal="center" vertical="center" wrapText="1"/>
    </xf>
    <xf numFmtId="0" fontId="71" fillId="60" borderId="0" xfId="380" applyFont="1" applyFill="1" applyAlignment="1">
      <alignment vertical="top"/>
    </xf>
    <xf numFmtId="0" fontId="70" fillId="60" borderId="0" xfId="380" applyFont="1" applyFill="1" applyAlignment="1">
      <alignment horizontal="left" vertical="top"/>
    </xf>
    <xf numFmtId="2" fontId="70" fillId="0" borderId="50" xfId="380" applyNumberFormat="1" applyFont="1" applyBorder="1" applyAlignment="1">
      <alignment horizontal="center" vertical="center"/>
    </xf>
    <xf numFmtId="0" fontId="70" fillId="0" borderId="29" xfId="380" applyFont="1" applyBorder="1" applyAlignment="1">
      <alignment horizontal="center" vertical="center" wrapText="1"/>
    </xf>
    <xf numFmtId="9" fontId="70" fillId="0" borderId="47" xfId="271" applyFont="1" applyFill="1" applyBorder="1" applyAlignment="1">
      <alignment horizontal="center" vertical="center" wrapText="1"/>
    </xf>
    <xf numFmtId="184" fontId="70" fillId="0" borderId="47" xfId="380" applyNumberFormat="1" applyFont="1" applyBorder="1" applyAlignment="1">
      <alignment horizontal="center" vertical="center" wrapText="1"/>
    </xf>
    <xf numFmtId="3" fontId="70" fillId="0" borderId="47" xfId="271" applyNumberFormat="1" applyFont="1" applyFill="1" applyBorder="1" applyAlignment="1">
      <alignment horizontal="center" vertical="center" wrapText="1"/>
    </xf>
    <xf numFmtId="1" fontId="70" fillId="0" borderId="50" xfId="380" applyNumberFormat="1" applyFont="1" applyBorder="1" applyAlignment="1">
      <alignment horizontal="center" vertical="center"/>
    </xf>
    <xf numFmtId="3" fontId="70" fillId="60" borderId="0" xfId="380" applyNumberFormat="1" applyFont="1" applyFill="1" applyAlignment="1">
      <alignment horizontal="center" vertical="center" wrapText="1"/>
    </xf>
    <xf numFmtId="0" fontId="70" fillId="0" borderId="0" xfId="0" applyFont="1" applyAlignment="1">
      <alignment horizontal="center" vertical="center"/>
    </xf>
    <xf numFmtId="184" fontId="70" fillId="60" borderId="47" xfId="380" applyNumberFormat="1" applyFont="1" applyFill="1" applyBorder="1" applyAlignment="1">
      <alignment horizontal="center" vertical="center" wrapText="1"/>
    </xf>
    <xf numFmtId="0" fontId="73" fillId="60" borderId="48" xfId="380" applyFont="1" applyFill="1" applyBorder="1" applyAlignment="1">
      <alignment vertical="center" wrapText="1"/>
    </xf>
    <xf numFmtId="0" fontId="73" fillId="60" borderId="49" xfId="380" applyFont="1" applyFill="1" applyBorder="1" applyAlignment="1">
      <alignment vertical="center" wrapText="1"/>
    </xf>
    <xf numFmtId="9" fontId="70" fillId="0" borderId="47" xfId="271" applyFont="1" applyBorder="1" applyAlignment="1">
      <alignment horizontal="center" vertical="center" wrapText="1"/>
    </xf>
    <xf numFmtId="0" fontId="70" fillId="0" borderId="47" xfId="380" quotePrefix="1" applyFont="1" applyBorder="1" applyAlignment="1">
      <alignment horizontal="center" vertical="center" wrapText="1"/>
    </xf>
    <xf numFmtId="0" fontId="70" fillId="60" borderId="0" xfId="380" applyFont="1" applyFill="1" applyAlignment="1">
      <alignment vertical="center"/>
    </xf>
    <xf numFmtId="0" fontId="70" fillId="60" borderId="0" xfId="380" applyFont="1" applyFill="1" applyAlignment="1">
      <alignment horizontal="center" vertical="center"/>
    </xf>
    <xf numFmtId="185" fontId="71" fillId="60" borderId="0" xfId="380" applyNumberFormat="1" applyFont="1" applyFill="1"/>
    <xf numFmtId="186" fontId="71" fillId="60" borderId="0" xfId="380" applyNumberFormat="1" applyFont="1" applyFill="1"/>
    <xf numFmtId="0" fontId="70" fillId="0" borderId="47" xfId="380" applyFont="1" applyBorder="1" applyAlignment="1">
      <alignment vertical="center" wrapText="1"/>
    </xf>
    <xf numFmtId="169" fontId="70" fillId="0" borderId="50" xfId="380" applyNumberFormat="1" applyFont="1" applyBorder="1" applyAlignment="1">
      <alignment horizontal="center" vertical="center"/>
    </xf>
    <xf numFmtId="0" fontId="70" fillId="0" borderId="47" xfId="380" applyFont="1" applyBorder="1" applyAlignment="1">
      <alignment horizontal="center" vertical="center" wrapText="1"/>
    </xf>
    <xf numFmtId="0" fontId="70" fillId="0" borderId="30" xfId="380" applyFont="1" applyBorder="1" applyAlignment="1">
      <alignment vertical="center" wrapText="1"/>
    </xf>
    <xf numFmtId="0" fontId="70" fillId="0" borderId="31" xfId="380" applyFont="1" applyBorder="1" applyAlignment="1">
      <alignment horizontal="center" vertical="center" wrapText="1"/>
    </xf>
    <xf numFmtId="0" fontId="70" fillId="0" borderId="31" xfId="380" applyFont="1" applyBorder="1" applyAlignment="1">
      <alignment vertical="center" wrapText="1"/>
    </xf>
    <xf numFmtId="0" fontId="70" fillId="0" borderId="51" xfId="380" applyFont="1" applyBorder="1" applyAlignment="1">
      <alignment vertical="center" wrapText="1"/>
    </xf>
    <xf numFmtId="0" fontId="70" fillId="60" borderId="0" xfId="380" applyFont="1" applyFill="1" applyAlignment="1">
      <alignment horizontal="center" vertical="center" wrapText="1"/>
    </xf>
    <xf numFmtId="0" fontId="73" fillId="60" borderId="48" xfId="380" applyFont="1" applyFill="1" applyBorder="1" applyAlignment="1">
      <alignment vertical="top" wrapText="1"/>
    </xf>
    <xf numFmtId="0" fontId="73" fillId="60" borderId="49" xfId="380" applyFont="1" applyFill="1" applyBorder="1" applyAlignment="1">
      <alignment vertical="top" wrapText="1"/>
    </xf>
    <xf numFmtId="0" fontId="70" fillId="0" borderId="50" xfId="380" applyFont="1" applyBorder="1" applyAlignment="1">
      <alignment horizontal="center" vertical="center"/>
    </xf>
    <xf numFmtId="17" fontId="73" fillId="60" borderId="0" xfId="380" quotePrefix="1" applyNumberFormat="1" applyFont="1" applyFill="1" applyAlignment="1">
      <alignment vertical="top"/>
    </xf>
    <xf numFmtId="17" fontId="73" fillId="60" borderId="0" xfId="380" quotePrefix="1" applyNumberFormat="1" applyFont="1" applyFill="1" applyAlignment="1">
      <alignment horizontal="center" vertical="top"/>
    </xf>
    <xf numFmtId="0" fontId="70" fillId="60" borderId="0" xfId="380" applyFont="1" applyFill="1" applyAlignment="1">
      <alignment horizontal="center" vertical="top"/>
    </xf>
    <xf numFmtId="9" fontId="70" fillId="0" borderId="50" xfId="271" applyFont="1" applyFill="1" applyBorder="1" applyAlignment="1">
      <alignment horizontal="center" vertical="center"/>
    </xf>
    <xf numFmtId="9" fontId="70" fillId="0" borderId="50" xfId="271" applyFont="1" applyBorder="1" applyAlignment="1">
      <alignment horizontal="center" vertical="center"/>
    </xf>
    <xf numFmtId="0" fontId="70" fillId="60" borderId="0" xfId="380" quotePrefix="1" applyFont="1" applyFill="1" applyAlignment="1">
      <alignment horizontal="center" vertical="top"/>
    </xf>
    <xf numFmtId="0" fontId="77" fillId="60" borderId="48" xfId="380" quotePrefix="1" applyFont="1" applyFill="1" applyBorder="1" applyAlignment="1">
      <alignment vertical="center" wrapText="1"/>
    </xf>
    <xf numFmtId="0" fontId="77" fillId="60" borderId="48" xfId="380" quotePrefix="1" applyFont="1" applyFill="1" applyBorder="1" applyAlignment="1">
      <alignment horizontal="center" vertical="center" wrapText="1"/>
    </xf>
    <xf numFmtId="0" fontId="77" fillId="60" borderId="49" xfId="380" quotePrefix="1" applyFont="1" applyFill="1" applyBorder="1" applyAlignment="1">
      <alignment horizontal="center" vertical="center" wrapText="1"/>
    </xf>
    <xf numFmtId="0" fontId="73" fillId="60" borderId="48" xfId="380" quotePrefix="1" applyFont="1" applyFill="1" applyBorder="1" applyAlignment="1">
      <alignment vertical="center" wrapText="1"/>
    </xf>
    <xf numFmtId="0" fontId="73" fillId="60" borderId="48" xfId="380" quotePrefix="1" applyFont="1" applyFill="1" applyBorder="1" applyAlignment="1">
      <alignment horizontal="center" vertical="center" wrapText="1"/>
    </xf>
    <xf numFmtId="0" fontId="73" fillId="60" borderId="49" xfId="380" quotePrefix="1" applyFont="1" applyFill="1" applyBorder="1" applyAlignment="1">
      <alignment horizontal="center" vertical="center" wrapText="1"/>
    </xf>
    <xf numFmtId="1" fontId="73" fillId="60" borderId="48" xfId="380" applyNumberFormat="1" applyFont="1" applyFill="1" applyBorder="1" applyAlignment="1">
      <alignment horizontal="left" vertical="center" wrapText="1"/>
    </xf>
    <xf numFmtId="0" fontId="73" fillId="60" borderId="48" xfId="380" applyFont="1" applyFill="1" applyBorder="1" applyAlignment="1">
      <alignment horizontal="left" vertical="center" wrapText="1"/>
    </xf>
    <xf numFmtId="0" fontId="73" fillId="60" borderId="49" xfId="380" applyFont="1" applyFill="1" applyBorder="1" applyAlignment="1">
      <alignment horizontal="left" vertical="center" wrapText="1"/>
    </xf>
    <xf numFmtId="0" fontId="72" fillId="60" borderId="0" xfId="380" applyFont="1" applyFill="1" applyAlignment="1">
      <alignment vertical="top"/>
    </xf>
    <xf numFmtId="169" fontId="70" fillId="60" borderId="0" xfId="380" applyNumberFormat="1" applyFont="1" applyFill="1" applyAlignment="1">
      <alignment horizontal="center" vertical="top"/>
    </xf>
    <xf numFmtId="169" fontId="70" fillId="0" borderId="47" xfId="380" applyNumberFormat="1" applyFont="1" applyBorder="1" applyAlignment="1">
      <alignment horizontal="center" vertical="center" wrapText="1"/>
    </xf>
    <xf numFmtId="2" fontId="70" fillId="60" borderId="0" xfId="380" applyNumberFormat="1" applyFont="1" applyFill="1" applyAlignment="1">
      <alignment horizontal="center" vertical="top"/>
    </xf>
    <xf numFmtId="0" fontId="70" fillId="0" borderId="50" xfId="380" quotePrefix="1" applyFont="1" applyBorder="1" applyAlignment="1">
      <alignment horizontal="center" vertical="center"/>
    </xf>
    <xf numFmtId="170" fontId="70" fillId="60" borderId="0" xfId="380" applyNumberFormat="1" applyFont="1" applyFill="1" applyAlignment="1">
      <alignment horizontal="center" vertical="top" wrapText="1"/>
    </xf>
    <xf numFmtId="0" fontId="70" fillId="60" borderId="0" xfId="381" applyFont="1" applyFill="1" applyAlignment="1">
      <alignment vertical="top"/>
    </xf>
    <xf numFmtId="0" fontId="70" fillId="0" borderId="0" xfId="381" applyFont="1" applyAlignment="1">
      <alignment vertical="center"/>
    </xf>
    <xf numFmtId="0" fontId="80" fillId="60" borderId="0" xfId="380" applyFont="1" applyFill="1" applyAlignment="1">
      <alignment horizontal="center" vertical="center"/>
    </xf>
    <xf numFmtId="0" fontId="80" fillId="60" borderId="0" xfId="380" applyFont="1" applyFill="1"/>
    <xf numFmtId="0" fontId="81" fillId="60" borderId="0" xfId="380" applyFont="1" applyFill="1"/>
    <xf numFmtId="0" fontId="70" fillId="60" borderId="0" xfId="380" applyFont="1" applyFill="1" applyAlignment="1">
      <alignment horizontal="left" vertical="center"/>
    </xf>
    <xf numFmtId="1" fontId="70" fillId="60" borderId="0" xfId="380" applyNumberFormat="1" applyFont="1" applyFill="1"/>
    <xf numFmtId="3" fontId="70" fillId="60" borderId="31" xfId="271" applyNumberFormat="1" applyFont="1" applyFill="1" applyBorder="1" applyAlignment="1">
      <alignment horizontal="center" vertical="center" wrapText="1"/>
    </xf>
    <xf numFmtId="3" fontId="70" fillId="60" borderId="47" xfId="271" applyNumberFormat="1" applyFont="1" applyFill="1" applyBorder="1" applyAlignment="1">
      <alignment horizontal="center"/>
    </xf>
    <xf numFmtId="169" fontId="82" fillId="72" borderId="47" xfId="380" applyNumberFormat="1" applyFont="1" applyFill="1" applyBorder="1" applyAlignment="1">
      <alignment horizontal="center" vertical="center" wrapText="1"/>
    </xf>
    <xf numFmtId="3" fontId="82" fillId="72" borderId="47" xfId="380" applyNumberFormat="1" applyFont="1" applyFill="1" applyBorder="1" applyAlignment="1">
      <alignment horizontal="center" vertical="center" wrapText="1"/>
    </xf>
    <xf numFmtId="4" fontId="70" fillId="60" borderId="31" xfId="271" applyNumberFormat="1" applyFont="1" applyFill="1" applyBorder="1" applyAlignment="1">
      <alignment horizontal="center" vertical="center" wrapText="1"/>
    </xf>
    <xf numFmtId="184" fontId="70" fillId="60" borderId="31" xfId="271" applyNumberFormat="1" applyFont="1" applyFill="1" applyBorder="1" applyAlignment="1">
      <alignment horizontal="center" vertical="center" wrapText="1"/>
    </xf>
    <xf numFmtId="3" fontId="70" fillId="60" borderId="50" xfId="380" applyNumberFormat="1" applyFont="1" applyFill="1" applyBorder="1" applyAlignment="1">
      <alignment horizontal="center" vertical="center"/>
    </xf>
    <xf numFmtId="0" fontId="70" fillId="60" borderId="0" xfId="380" applyFont="1" applyFill="1" applyAlignment="1">
      <alignment vertical="center" wrapText="1"/>
    </xf>
    <xf numFmtId="2" fontId="70" fillId="60" borderId="0" xfId="380" applyNumberFormat="1" applyFont="1" applyFill="1" applyAlignment="1">
      <alignment horizontal="center" vertical="center"/>
    </xf>
    <xf numFmtId="0" fontId="70" fillId="60" borderId="0" xfId="380" quotePrefix="1" applyFont="1" applyFill="1" applyAlignment="1">
      <alignment horizontal="center" vertical="center" wrapText="1"/>
    </xf>
    <xf numFmtId="0" fontId="71" fillId="0" borderId="0" xfId="0" applyFont="1" applyAlignment="1">
      <alignment wrapText="1"/>
    </xf>
    <xf numFmtId="0" fontId="71" fillId="0" borderId="0" xfId="0" applyFont="1" applyAlignment="1">
      <alignment horizontal="center" wrapText="1"/>
    </xf>
    <xf numFmtId="168" fontId="0" fillId="0" borderId="0" xfId="7" applyNumberFormat="1" applyFont="1" applyBorder="1"/>
    <xf numFmtId="9" fontId="0" fillId="66" borderId="0" xfId="2" applyFont="1" applyFill="1" applyBorder="1"/>
    <xf numFmtId="1" fontId="0" fillId="0" borderId="0" xfId="7" applyNumberFormat="1" applyFont="1" applyBorder="1" applyAlignment="1">
      <alignment horizontal="center"/>
    </xf>
    <xf numFmtId="167" fontId="0" fillId="66" borderId="0" xfId="2" applyNumberFormat="1" applyFont="1" applyFill="1" applyBorder="1"/>
    <xf numFmtId="1" fontId="0" fillId="66" borderId="0" xfId="2" applyNumberFormat="1" applyFont="1" applyFill="1" applyBorder="1"/>
    <xf numFmtId="166" fontId="4" fillId="0" borderId="0" xfId="7" applyFont="1" applyAlignment="1">
      <alignment horizontal="center"/>
    </xf>
    <xf numFmtId="9" fontId="0" fillId="0" borderId="0" xfId="2" applyFont="1" applyBorder="1"/>
    <xf numFmtId="9" fontId="0" fillId="0" borderId="33" xfId="2" applyFont="1" applyBorder="1"/>
    <xf numFmtId="166" fontId="0" fillId="0" borderId="0" xfId="7" applyFont="1" applyFill="1" applyBorder="1" applyAlignment="1">
      <alignment horizontal="center"/>
    </xf>
    <xf numFmtId="168" fontId="4" fillId="0" borderId="0" xfId="7" applyNumberFormat="1" applyFont="1" applyAlignment="1">
      <alignment horizontal="center"/>
    </xf>
    <xf numFmtId="168" fontId="0" fillId="66" borderId="0" xfId="7" applyNumberFormat="1" applyFont="1" applyFill="1" applyBorder="1"/>
    <xf numFmtId="168" fontId="0" fillId="66" borderId="33" xfId="7" applyNumberFormat="1" applyFont="1" applyFill="1" applyBorder="1"/>
    <xf numFmtId="0" fontId="0" fillId="66" borderId="33" xfId="0" applyFill="1" applyBorder="1"/>
    <xf numFmtId="168" fontId="4" fillId="0" borderId="0" xfId="7" applyNumberFormat="1" applyFont="1" applyAlignment="1">
      <alignment horizontal="right"/>
    </xf>
    <xf numFmtId="168" fontId="0" fillId="0" borderId="0" xfId="7" applyNumberFormat="1" applyFont="1" applyBorder="1" applyAlignment="1">
      <alignment horizontal="right"/>
    </xf>
    <xf numFmtId="168" fontId="0" fillId="0" borderId="33" xfId="7" applyNumberFormat="1" applyFont="1" applyBorder="1" applyAlignment="1">
      <alignment horizontal="right"/>
    </xf>
    <xf numFmtId="168" fontId="6" fillId="0" borderId="0" xfId="7" applyNumberFormat="1" applyFont="1" applyAlignment="1">
      <alignment horizontal="right"/>
    </xf>
    <xf numFmtId="168" fontId="6" fillId="0" borderId="0" xfId="7" applyNumberFormat="1" applyFont="1"/>
    <xf numFmtId="9" fontId="0" fillId="0" borderId="0" xfId="2" applyFont="1" applyBorder="1" applyAlignment="1">
      <alignment horizontal="right"/>
    </xf>
    <xf numFmtId="9" fontId="0" fillId="0" borderId="33" xfId="2" applyFont="1" applyBorder="1" applyAlignment="1">
      <alignment horizontal="right"/>
    </xf>
    <xf numFmtId="9" fontId="0" fillId="0" borderId="0" xfId="2" applyFont="1" applyFill="1" applyBorder="1"/>
    <xf numFmtId="9" fontId="0" fillId="0" borderId="33" xfId="2" applyFont="1" applyFill="1" applyBorder="1"/>
    <xf numFmtId="9" fontId="0" fillId="0" borderId="0" xfId="2" applyFont="1" applyFill="1" applyBorder="1" applyAlignment="1">
      <alignment horizontal="right"/>
    </xf>
    <xf numFmtId="9" fontId="0" fillId="0" borderId="33" xfId="2" applyFont="1" applyFill="1" applyBorder="1" applyAlignment="1">
      <alignment horizontal="right"/>
    </xf>
    <xf numFmtId="9" fontId="6" fillId="0" borderId="0" xfId="2" applyFont="1" applyAlignment="1">
      <alignment horizontal="right"/>
    </xf>
    <xf numFmtId="0" fontId="0" fillId="0" borderId="37" xfId="0" applyBorder="1" applyAlignment="1">
      <alignment horizontal="left"/>
    </xf>
    <xf numFmtId="0" fontId="0" fillId="0" borderId="34" xfId="0" applyBorder="1" applyAlignment="1">
      <alignment horizontal="left"/>
    </xf>
    <xf numFmtId="0" fontId="0" fillId="0" borderId="35" xfId="0" applyBorder="1" applyAlignment="1">
      <alignment horizontal="left"/>
    </xf>
    <xf numFmtId="168" fontId="0" fillId="70" borderId="0" xfId="7" applyNumberFormat="1" applyFont="1" applyFill="1" applyAlignment="1">
      <alignment horizontal="right"/>
    </xf>
    <xf numFmtId="0" fontId="0" fillId="70" borderId="0" xfId="0" applyFill="1" applyAlignment="1">
      <alignment horizontal="center"/>
    </xf>
    <xf numFmtId="9" fontId="0" fillId="70" borderId="0" xfId="2" applyFont="1" applyFill="1"/>
    <xf numFmtId="168" fontId="0" fillId="70" borderId="0" xfId="7" applyNumberFormat="1" applyFont="1" applyFill="1"/>
    <xf numFmtId="0" fontId="0" fillId="73" borderId="0" xfId="0" applyFill="1"/>
    <xf numFmtId="0" fontId="0" fillId="0" borderId="28" xfId="0" applyBorder="1" applyAlignment="1">
      <alignment horizontal="right"/>
    </xf>
    <xf numFmtId="168" fontId="0" fillId="0" borderId="28" xfId="7" applyNumberFormat="1" applyFont="1" applyBorder="1" applyAlignment="1">
      <alignment horizontal="right"/>
    </xf>
    <xf numFmtId="9" fontId="0" fillId="0" borderId="28" xfId="2" applyFont="1" applyBorder="1" applyAlignment="1">
      <alignment horizontal="right"/>
    </xf>
    <xf numFmtId="166" fontId="0" fillId="0" borderId="28" xfId="7" applyFont="1" applyBorder="1" applyAlignment="1">
      <alignment horizontal="right"/>
    </xf>
    <xf numFmtId="166" fontId="0" fillId="0" borderId="0" xfId="7" applyFont="1" applyBorder="1"/>
    <xf numFmtId="0" fontId="4" fillId="0" borderId="28" xfId="0" applyFont="1" applyBorder="1" applyAlignment="1">
      <alignment horizontal="right"/>
    </xf>
    <xf numFmtId="0" fontId="92" fillId="0" borderId="0" xfId="0" applyFont="1"/>
    <xf numFmtId="0" fontId="4" fillId="0" borderId="30" xfId="0" applyFont="1" applyBorder="1"/>
    <xf numFmtId="0" fontId="61" fillId="0" borderId="31" xfId="0" applyFont="1" applyBorder="1"/>
    <xf numFmtId="0" fontId="0" fillId="0" borderId="0" xfId="0" applyAlignment="1">
      <alignment horizontal="left"/>
    </xf>
    <xf numFmtId="0" fontId="0" fillId="0" borderId="36" xfId="0" applyBorder="1" applyAlignment="1">
      <alignment horizontal="left"/>
    </xf>
    <xf numFmtId="0" fontId="0" fillId="68" borderId="0" xfId="0" applyFill="1" applyAlignment="1">
      <alignment horizontal="right"/>
    </xf>
    <xf numFmtId="9" fontId="0" fillId="70" borderId="0" xfId="0" applyNumberFormat="1" applyFill="1"/>
    <xf numFmtId="0" fontId="0" fillId="0" borderId="30" xfId="0" applyBorder="1"/>
    <xf numFmtId="0" fontId="0" fillId="0" borderId="31" xfId="0" applyBorder="1"/>
    <xf numFmtId="0" fontId="60" fillId="0" borderId="30" xfId="0" applyFont="1" applyBorder="1" applyAlignment="1">
      <alignment wrapText="1"/>
    </xf>
    <xf numFmtId="0" fontId="60" fillId="0" borderId="30" xfId="0" applyFont="1" applyBorder="1"/>
    <xf numFmtId="0" fontId="0" fillId="0" borderId="52" xfId="0" applyBorder="1"/>
    <xf numFmtId="0" fontId="22" fillId="0" borderId="0" xfId="0" applyFont="1" applyAlignment="1">
      <alignment horizontal="right"/>
    </xf>
    <xf numFmtId="0" fontId="0" fillId="0" borderId="54" xfId="0" applyBorder="1" applyAlignment="1">
      <alignment horizontal="left"/>
    </xf>
    <xf numFmtId="0" fontId="4" fillId="0" borderId="47" xfId="0" applyFont="1" applyBorder="1"/>
    <xf numFmtId="0" fontId="92" fillId="0" borderId="27" xfId="0" applyFont="1" applyBorder="1"/>
    <xf numFmtId="166" fontId="0" fillId="0" borderId="36" xfId="7" applyFont="1" applyBorder="1" applyAlignment="1">
      <alignment horizontal="right"/>
    </xf>
    <xf numFmtId="0" fontId="24" fillId="61" borderId="0" xfId="0" applyFont="1" applyFill="1" applyAlignment="1">
      <alignment horizontal="center"/>
    </xf>
    <xf numFmtId="174" fontId="93" fillId="64" borderId="0" xfId="350" applyNumberFormat="1" applyFont="1" applyFill="1" applyProtection="1">
      <protection locked="0"/>
    </xf>
    <xf numFmtId="0" fontId="61" fillId="0" borderId="51" xfId="0" applyFont="1" applyBorder="1"/>
    <xf numFmtId="9" fontId="4" fillId="0" borderId="0" xfId="273" applyFont="1" applyAlignment="1">
      <alignment horizontal="center"/>
    </xf>
    <xf numFmtId="166" fontId="0" fillId="0" borderId="33" xfId="7" applyFont="1" applyBorder="1"/>
    <xf numFmtId="169" fontId="0" fillId="0" borderId="0" xfId="0" applyNumberFormat="1" applyAlignment="1">
      <alignment horizontal="right"/>
    </xf>
    <xf numFmtId="0" fontId="0" fillId="0" borderId="56" xfId="0" applyBorder="1" applyAlignment="1">
      <alignment horizontal="left"/>
    </xf>
    <xf numFmtId="9" fontId="0" fillId="0" borderId="0" xfId="2" applyFont="1" applyAlignment="1"/>
    <xf numFmtId="9" fontId="0" fillId="0" borderId="36" xfId="2" applyFont="1" applyBorder="1"/>
    <xf numFmtId="9" fontId="0" fillId="68" borderId="0" xfId="2" applyFont="1" applyFill="1"/>
    <xf numFmtId="9" fontId="0" fillId="60" borderId="0" xfId="2" applyFont="1" applyFill="1"/>
    <xf numFmtId="0" fontId="94" fillId="74" borderId="0" xfId="0" applyFont="1" applyFill="1"/>
    <xf numFmtId="0" fontId="95" fillId="74" borderId="0" xfId="0" applyFont="1" applyFill="1"/>
    <xf numFmtId="0" fontId="0" fillId="75" borderId="0" xfId="0" applyFill="1"/>
    <xf numFmtId="0" fontId="25" fillId="0" borderId="0" xfId="381"/>
    <xf numFmtId="0" fontId="96" fillId="76" borderId="47" xfId="0" applyFont="1" applyFill="1" applyBorder="1" applyAlignment="1">
      <alignment horizontal="left" vertical="center"/>
    </xf>
    <xf numFmtId="0" fontId="1" fillId="71" borderId="30" xfId="0" applyFont="1" applyFill="1" applyBorder="1"/>
    <xf numFmtId="49" fontId="1" fillId="71" borderId="30" xfId="0" applyNumberFormat="1" applyFont="1" applyFill="1" applyBorder="1"/>
    <xf numFmtId="0" fontId="1" fillId="71" borderId="52" xfId="0" applyFont="1" applyFill="1" applyBorder="1"/>
    <xf numFmtId="0" fontId="97" fillId="71" borderId="30" xfId="0" applyFont="1" applyFill="1" applyBorder="1"/>
    <xf numFmtId="49" fontId="97" fillId="71" borderId="30" xfId="0" applyNumberFormat="1" applyFont="1" applyFill="1" applyBorder="1" applyAlignment="1">
      <alignment horizontal="center"/>
    </xf>
    <xf numFmtId="49" fontId="97" fillId="71" borderId="30" xfId="0" applyNumberFormat="1" applyFont="1" applyFill="1" applyBorder="1"/>
    <xf numFmtId="0" fontId="98" fillId="71" borderId="30" xfId="0" applyFont="1" applyFill="1" applyBorder="1"/>
    <xf numFmtId="21" fontId="97" fillId="71" borderId="30" xfId="0" applyNumberFormat="1" applyFont="1" applyFill="1" applyBorder="1" applyAlignment="1">
      <alignment horizontal="center"/>
    </xf>
    <xf numFmtId="46" fontId="97" fillId="71" borderId="30" xfId="0" applyNumberFormat="1" applyFont="1" applyFill="1" applyBorder="1" applyAlignment="1">
      <alignment horizontal="center"/>
    </xf>
    <xf numFmtId="0" fontId="97" fillId="71" borderId="31" xfId="0" applyFont="1" applyFill="1" applyBorder="1"/>
    <xf numFmtId="0" fontId="98" fillId="71" borderId="31" xfId="0" applyFont="1" applyFill="1" applyBorder="1"/>
    <xf numFmtId="0" fontId="60" fillId="70" borderId="0" xfId="0" applyFont="1" applyFill="1"/>
    <xf numFmtId="0" fontId="71" fillId="60" borderId="0" xfId="380" applyFont="1" applyFill="1" applyAlignment="1">
      <alignment wrapText="1"/>
    </xf>
    <xf numFmtId="0" fontId="70" fillId="72" borderId="0" xfId="0" applyFont="1" applyFill="1"/>
    <xf numFmtId="0" fontId="69" fillId="72" borderId="0" xfId="0" applyFont="1" applyFill="1"/>
    <xf numFmtId="0" fontId="99" fillId="72" borderId="0" xfId="0" applyFont="1" applyFill="1"/>
    <xf numFmtId="0" fontId="72" fillId="72" borderId="47" xfId="0" applyFont="1" applyFill="1" applyBorder="1" applyAlignment="1">
      <alignment wrapText="1"/>
    </xf>
    <xf numFmtId="0" fontId="72" fillId="72" borderId="0" xfId="0" applyFont="1" applyFill="1" applyAlignment="1">
      <alignment wrapText="1"/>
    </xf>
    <xf numFmtId="0" fontId="62" fillId="72" borderId="0" xfId="0" applyFont="1" applyFill="1" applyAlignment="1">
      <alignment wrapText="1"/>
    </xf>
    <xf numFmtId="0" fontId="70" fillId="72" borderId="31" xfId="0" applyFont="1" applyFill="1" applyBorder="1" applyAlignment="1">
      <alignment wrapText="1"/>
    </xf>
    <xf numFmtId="0" fontId="72" fillId="72" borderId="29" xfId="0" applyFont="1" applyFill="1" applyBorder="1" applyAlignment="1">
      <alignment horizontal="center" wrapText="1"/>
    </xf>
    <xf numFmtId="0" fontId="72" fillId="72" borderId="51" xfId="0" applyFont="1" applyFill="1" applyBorder="1" applyAlignment="1">
      <alignment wrapText="1"/>
    </xf>
    <xf numFmtId="0" fontId="72" fillId="72" borderId="27" xfId="0" applyFont="1" applyFill="1" applyBorder="1" applyAlignment="1">
      <alignment horizontal="center" wrapText="1"/>
    </xf>
    <xf numFmtId="0" fontId="70" fillId="72" borderId="27" xfId="0" applyFont="1" applyFill="1" applyBorder="1" applyAlignment="1">
      <alignment horizontal="center"/>
    </xf>
    <xf numFmtId="0" fontId="70" fillId="72" borderId="51" xfId="0" applyFont="1" applyFill="1" applyBorder="1" applyAlignment="1">
      <alignment horizontal="center"/>
    </xf>
    <xf numFmtId="0" fontId="70" fillId="72" borderId="31" xfId="0" applyFont="1" applyFill="1" applyBorder="1" applyAlignment="1">
      <alignment horizontal="center" wrapText="1"/>
    </xf>
    <xf numFmtId="0" fontId="70" fillId="72" borderId="29" xfId="0" applyFont="1" applyFill="1" applyBorder="1" applyAlignment="1">
      <alignment horizontal="center" wrapText="1"/>
    </xf>
    <xf numFmtId="0" fontId="70" fillId="72" borderId="0" xfId="0" applyFont="1" applyFill="1" applyAlignment="1">
      <alignment wrapText="1"/>
    </xf>
    <xf numFmtId="0" fontId="73" fillId="72" borderId="0" xfId="0" applyFont="1" applyFill="1" applyAlignment="1">
      <alignment wrapText="1"/>
    </xf>
    <xf numFmtId="0" fontId="99" fillId="72" borderId="0" xfId="0" applyFont="1" applyFill="1" applyAlignment="1">
      <alignment wrapText="1"/>
    </xf>
    <xf numFmtId="0" fontId="70" fillId="72" borderId="30" xfId="0" applyFont="1" applyFill="1" applyBorder="1" applyAlignment="1">
      <alignment wrapText="1"/>
    </xf>
    <xf numFmtId="0" fontId="70" fillId="72" borderId="47" xfId="0" applyFont="1" applyFill="1" applyBorder="1" applyAlignment="1">
      <alignment wrapText="1"/>
    </xf>
    <xf numFmtId="0" fontId="70" fillId="72" borderId="51" xfId="0" applyFont="1" applyFill="1" applyBorder="1" applyAlignment="1">
      <alignment wrapText="1"/>
    </xf>
    <xf numFmtId="0" fontId="75" fillId="72" borderId="51" xfId="0" applyFont="1" applyFill="1" applyBorder="1" applyAlignment="1">
      <alignment wrapText="1"/>
    </xf>
    <xf numFmtId="0" fontId="75" fillId="72" borderId="27" xfId="0" applyFont="1" applyFill="1" applyBorder="1" applyAlignment="1">
      <alignment horizontal="center" wrapText="1"/>
    </xf>
    <xf numFmtId="0" fontId="75" fillId="72" borderId="29" xfId="0" applyFont="1" applyFill="1" applyBorder="1" applyAlignment="1">
      <alignment horizontal="center" wrapText="1"/>
    </xf>
    <xf numFmtId="0" fontId="73" fillId="72" borderId="0" xfId="0" applyFont="1" applyFill="1"/>
    <xf numFmtId="9" fontId="70" fillId="72" borderId="29" xfId="0" applyNumberFormat="1" applyFont="1" applyFill="1" applyBorder="1" applyAlignment="1">
      <alignment horizontal="center" wrapText="1"/>
    </xf>
    <xf numFmtId="3" fontId="70" fillId="72" borderId="29" xfId="0" applyNumberFormat="1" applyFont="1" applyFill="1" applyBorder="1" applyAlignment="1">
      <alignment horizontal="center" wrapText="1"/>
    </xf>
    <xf numFmtId="0" fontId="70" fillId="72" borderId="31" xfId="0" quotePrefix="1" applyFont="1" applyFill="1" applyBorder="1" applyAlignment="1">
      <alignment horizontal="center" wrapText="1"/>
    </xf>
    <xf numFmtId="0" fontId="70" fillId="72" borderId="0" xfId="0" applyFont="1" applyFill="1" applyAlignment="1">
      <alignment horizontal="center"/>
    </xf>
    <xf numFmtId="0" fontId="70" fillId="72" borderId="29" xfId="0" quotePrefix="1" applyFont="1" applyFill="1" applyBorder="1" applyAlignment="1">
      <alignment horizontal="center" wrapText="1"/>
    </xf>
    <xf numFmtId="0" fontId="81" fillId="0" borderId="0" xfId="0" applyFont="1"/>
    <xf numFmtId="0" fontId="85" fillId="71" borderId="0" xfId="0" applyFont="1" applyFill="1" applyAlignment="1">
      <alignment horizontal="center" vertical="center"/>
    </xf>
    <xf numFmtId="0" fontId="85" fillId="0" borderId="0" xfId="0" applyFont="1" applyAlignment="1">
      <alignment horizontal="center" vertical="center"/>
    </xf>
    <xf numFmtId="0" fontId="104" fillId="60" borderId="0" xfId="380" applyFont="1" applyFill="1" applyAlignment="1">
      <alignment vertical="top" wrapText="1"/>
    </xf>
    <xf numFmtId="0" fontId="104" fillId="60" borderId="0" xfId="380" applyFont="1" applyFill="1" applyAlignment="1">
      <alignment horizontal="center" vertical="top" wrapText="1"/>
    </xf>
    <xf numFmtId="0" fontId="81" fillId="60" borderId="0" xfId="380" applyFont="1" applyFill="1" applyAlignment="1">
      <alignment vertical="top" wrapText="1"/>
    </xf>
    <xf numFmtId="0" fontId="80" fillId="60" borderId="0" xfId="380" applyFont="1" applyFill="1" applyAlignment="1">
      <alignment vertical="top" wrapText="1"/>
    </xf>
    <xf numFmtId="17" fontId="105" fillId="60" borderId="0" xfId="380" quotePrefix="1" applyNumberFormat="1" applyFont="1" applyFill="1" applyAlignment="1">
      <alignment horizontal="center" vertical="top" wrapText="1"/>
    </xf>
    <xf numFmtId="0" fontId="80" fillId="60" borderId="0" xfId="380" applyFont="1" applyFill="1" applyAlignment="1">
      <alignment horizontal="center" vertical="top" wrapText="1"/>
    </xf>
    <xf numFmtId="0" fontId="80" fillId="60" borderId="0" xfId="380" quotePrefix="1" applyFont="1" applyFill="1" applyAlignment="1">
      <alignment horizontal="center" vertical="top" wrapText="1"/>
    </xf>
    <xf numFmtId="169" fontId="80" fillId="60" borderId="0" xfId="380" applyNumberFormat="1" applyFont="1" applyFill="1" applyAlignment="1">
      <alignment horizontal="center" vertical="top" wrapText="1"/>
    </xf>
    <xf numFmtId="2" fontId="80" fillId="60" borderId="0" xfId="380" applyNumberFormat="1" applyFont="1" applyFill="1" applyAlignment="1">
      <alignment horizontal="center" vertical="top" wrapText="1"/>
    </xf>
    <xf numFmtId="0" fontId="70" fillId="72" borderId="0" xfId="0" applyFont="1" applyFill="1" applyAlignment="1">
      <alignment vertical="top"/>
    </xf>
    <xf numFmtId="0" fontId="69" fillId="72" borderId="0" xfId="0" applyFont="1" applyFill="1" applyAlignment="1">
      <alignment vertical="top"/>
    </xf>
    <xf numFmtId="0" fontId="70" fillId="72" borderId="0" xfId="0" applyFont="1" applyFill="1" applyAlignment="1">
      <alignment horizontal="center" vertical="top"/>
    </xf>
    <xf numFmtId="0" fontId="72" fillId="72" borderId="47" xfId="0" applyFont="1" applyFill="1" applyBorder="1" applyAlignment="1">
      <alignment vertical="top" wrapText="1"/>
    </xf>
    <xf numFmtId="0" fontId="70" fillId="72" borderId="31" xfId="0" applyFont="1" applyFill="1" applyBorder="1" applyAlignment="1">
      <alignment vertical="top" wrapText="1"/>
    </xf>
    <xf numFmtId="0" fontId="72" fillId="72" borderId="29" xfId="0" applyFont="1" applyFill="1" applyBorder="1" applyAlignment="1">
      <alignment horizontal="center" vertical="top" wrapText="1"/>
    </xf>
    <xf numFmtId="0" fontId="72" fillId="72" borderId="51" xfId="0" applyFont="1" applyFill="1" applyBorder="1" applyAlignment="1">
      <alignment vertical="top" wrapText="1"/>
    </xf>
    <xf numFmtId="0" fontId="72" fillId="72" borderId="27" xfId="0" applyFont="1" applyFill="1" applyBorder="1" applyAlignment="1">
      <alignment horizontal="center" vertical="top" wrapText="1"/>
    </xf>
    <xf numFmtId="0" fontId="70" fillId="72" borderId="27" xfId="0" applyFont="1" applyFill="1" applyBorder="1" applyAlignment="1">
      <alignment horizontal="center" vertical="top"/>
    </xf>
    <xf numFmtId="0" fontId="70" fillId="72" borderId="51" xfId="0" applyFont="1" applyFill="1" applyBorder="1" applyAlignment="1">
      <alignment horizontal="center" vertical="top"/>
    </xf>
    <xf numFmtId="0" fontId="70" fillId="72" borderId="31" xfId="0" applyFont="1" applyFill="1" applyBorder="1" applyAlignment="1">
      <alignment horizontal="center" vertical="top" wrapText="1"/>
    </xf>
    <xf numFmtId="0" fontId="70" fillId="72" borderId="29" xfId="0" applyFont="1" applyFill="1" applyBorder="1" applyAlignment="1">
      <alignment horizontal="center" vertical="top" wrapText="1"/>
    </xf>
    <xf numFmtId="0" fontId="70" fillId="72" borderId="30" xfId="0" applyFont="1" applyFill="1" applyBorder="1" applyAlignment="1">
      <alignment vertical="top" wrapText="1"/>
    </xf>
    <xf numFmtId="0" fontId="70" fillId="72" borderId="47" xfId="0" applyFont="1" applyFill="1" applyBorder="1" applyAlignment="1">
      <alignment vertical="top" wrapText="1"/>
    </xf>
    <xf numFmtId="0" fontId="70" fillId="72" borderId="51" xfId="0" applyFont="1" applyFill="1" applyBorder="1" applyAlignment="1">
      <alignment vertical="top" wrapText="1"/>
    </xf>
    <xf numFmtId="0" fontId="75" fillId="72" borderId="51" xfId="0" applyFont="1" applyFill="1" applyBorder="1" applyAlignment="1">
      <alignment vertical="top" wrapText="1"/>
    </xf>
    <xf numFmtId="0" fontId="75" fillId="72" borderId="27" xfId="0" applyFont="1" applyFill="1" applyBorder="1" applyAlignment="1">
      <alignment horizontal="center" vertical="top" wrapText="1"/>
    </xf>
    <xf numFmtId="0" fontId="75" fillId="72" borderId="29" xfId="0" applyFont="1" applyFill="1" applyBorder="1" applyAlignment="1">
      <alignment horizontal="center" vertical="top" wrapText="1"/>
    </xf>
    <xf numFmtId="0" fontId="70" fillId="72" borderId="31" xfId="0" quotePrefix="1" applyFont="1" applyFill="1" applyBorder="1" applyAlignment="1">
      <alignment horizontal="center" vertical="top" wrapText="1"/>
    </xf>
    <xf numFmtId="0" fontId="70" fillId="72" borderId="29" xfId="0" quotePrefix="1" applyFont="1" applyFill="1" applyBorder="1" applyAlignment="1">
      <alignment horizontal="center" vertical="top" wrapText="1"/>
    </xf>
    <xf numFmtId="3" fontId="70" fillId="72" borderId="29" xfId="0" applyNumberFormat="1" applyFont="1" applyFill="1" applyBorder="1" applyAlignment="1">
      <alignment horizontal="center" vertical="top" wrapText="1"/>
    </xf>
    <xf numFmtId="0" fontId="70" fillId="72" borderId="27" xfId="0" quotePrefix="1" applyFont="1" applyFill="1" applyBorder="1" applyAlignment="1">
      <alignment horizontal="center" vertical="top"/>
    </xf>
    <xf numFmtId="0" fontId="70" fillId="72" borderId="51" xfId="0" quotePrefix="1" applyFont="1" applyFill="1" applyBorder="1" applyAlignment="1">
      <alignment horizontal="center" vertical="top"/>
    </xf>
    <xf numFmtId="0" fontId="73" fillId="72" borderId="0" xfId="0" applyFont="1" applyFill="1" applyAlignment="1">
      <alignment vertical="top"/>
    </xf>
    <xf numFmtId="0" fontId="87" fillId="0" borderId="0" xfId="0" applyFont="1" applyAlignment="1">
      <alignment vertical="center"/>
    </xf>
    <xf numFmtId="0" fontId="106" fillId="60" borderId="0" xfId="380" applyFont="1" applyFill="1"/>
    <xf numFmtId="0" fontId="106" fillId="60" borderId="0" xfId="380" applyFont="1" applyFill="1" applyAlignment="1">
      <alignment vertical="top" wrapText="1"/>
    </xf>
    <xf numFmtId="166" fontId="0" fillId="67" borderId="0" xfId="7" applyFont="1" applyFill="1" applyBorder="1" applyAlignment="1">
      <alignment horizontal="center"/>
    </xf>
    <xf numFmtId="166" fontId="0" fillId="67" borderId="33" xfId="7" applyFont="1" applyFill="1" applyBorder="1" applyAlignment="1">
      <alignment horizontal="center"/>
    </xf>
    <xf numFmtId="166" fontId="60" fillId="67" borderId="0" xfId="7" applyFont="1" applyFill="1" applyBorder="1" applyAlignment="1">
      <alignment horizontal="center"/>
    </xf>
    <xf numFmtId="166" fontId="60" fillId="67" borderId="33" xfId="7" applyFont="1" applyFill="1" applyBorder="1" applyAlignment="1">
      <alignment horizontal="center"/>
    </xf>
    <xf numFmtId="0" fontId="0" fillId="70" borderId="33" xfId="0" applyFill="1" applyBorder="1"/>
    <xf numFmtId="0" fontId="22" fillId="70" borderId="0" xfId="0" applyFont="1" applyFill="1"/>
    <xf numFmtId="0" fontId="60" fillId="70" borderId="33" xfId="0" applyFont="1" applyFill="1" applyBorder="1"/>
    <xf numFmtId="0" fontId="0" fillId="77" borderId="0" xfId="0" applyFill="1"/>
    <xf numFmtId="0" fontId="107" fillId="60" borderId="0" xfId="380" applyFont="1" applyFill="1"/>
    <xf numFmtId="2" fontId="71" fillId="60" borderId="0" xfId="380" applyNumberFormat="1" applyFont="1" applyFill="1"/>
    <xf numFmtId="167" fontId="70" fillId="60" borderId="50" xfId="271" applyNumberFormat="1" applyFont="1" applyFill="1" applyBorder="1" applyAlignment="1">
      <alignment horizontal="center" vertical="center"/>
    </xf>
    <xf numFmtId="2" fontId="70" fillId="0" borderId="47" xfId="380" applyNumberFormat="1" applyFont="1" applyBorder="1" applyAlignment="1">
      <alignment horizontal="center" vertical="center" wrapText="1"/>
    </xf>
    <xf numFmtId="0" fontId="4" fillId="0" borderId="61" xfId="0" applyFont="1" applyBorder="1" applyAlignment="1">
      <alignment horizontal="left"/>
    </xf>
    <xf numFmtId="0" fontId="0" fillId="70" borderId="59" xfId="0" applyFill="1" applyBorder="1"/>
    <xf numFmtId="9" fontId="0" fillId="70" borderId="60" xfId="0" applyNumberFormat="1" applyFill="1" applyBorder="1"/>
    <xf numFmtId="0" fontId="4" fillId="0" borderId="62" xfId="0" applyFont="1" applyBorder="1" applyAlignment="1">
      <alignment horizontal="left"/>
    </xf>
    <xf numFmtId="0" fontId="61" fillId="0" borderId="30" xfId="0" applyFont="1" applyBorder="1"/>
    <xf numFmtId="2" fontId="0" fillId="0" borderId="0" xfId="0" applyNumberFormat="1" applyAlignment="1">
      <alignment horizontal="right"/>
    </xf>
    <xf numFmtId="2" fontId="0" fillId="0" borderId="36" xfId="0" applyNumberFormat="1" applyBorder="1" applyAlignment="1">
      <alignment horizontal="right"/>
    </xf>
    <xf numFmtId="1" fontId="0" fillId="0" borderId="36" xfId="0" applyNumberFormat="1" applyBorder="1" applyAlignment="1">
      <alignment horizontal="right"/>
    </xf>
    <xf numFmtId="0" fontId="4" fillId="0" borderId="58" xfId="0" applyFont="1" applyBorder="1"/>
    <xf numFmtId="0" fontId="0" fillId="70" borderId="33" xfId="0" applyFill="1" applyBorder="1" applyAlignment="1">
      <alignment horizontal="center"/>
    </xf>
    <xf numFmtId="168" fontId="0" fillId="0" borderId="0" xfId="7" applyNumberFormat="1" applyFont="1" applyFill="1" applyBorder="1" applyAlignment="1">
      <alignment horizontal="right"/>
    </xf>
    <xf numFmtId="168" fontId="4" fillId="0" borderId="0" xfId="7" applyNumberFormat="1" applyFont="1"/>
    <xf numFmtId="165" fontId="0" fillId="0" borderId="0" xfId="0" applyNumberFormat="1"/>
    <xf numFmtId="0" fontId="71" fillId="60" borderId="0" xfId="380" applyFont="1" applyFill="1" applyAlignment="1">
      <alignment horizontal="center" vertical="top" wrapText="1"/>
    </xf>
    <xf numFmtId="0" fontId="71" fillId="0" borderId="0" xfId="380" applyFont="1"/>
    <xf numFmtId="0" fontId="90" fillId="60" borderId="0" xfId="380" applyFont="1" applyFill="1" applyAlignment="1">
      <alignment vertical="top"/>
    </xf>
    <xf numFmtId="0" fontId="72" fillId="60" borderId="0" xfId="380" applyFont="1" applyFill="1" applyAlignment="1">
      <alignment horizontal="left" vertical="top"/>
    </xf>
    <xf numFmtId="169" fontId="71" fillId="60" borderId="0" xfId="380" applyNumberFormat="1" applyFont="1" applyFill="1"/>
    <xf numFmtId="0" fontId="90" fillId="60" borderId="0" xfId="380" applyFont="1" applyFill="1"/>
    <xf numFmtId="0" fontId="70" fillId="0" borderId="0" xfId="380" applyFont="1"/>
    <xf numFmtId="9" fontId="70" fillId="60" borderId="0" xfId="271" applyFont="1" applyFill="1" applyAlignment="1">
      <alignment vertical="top" wrapText="1"/>
    </xf>
    <xf numFmtId="0" fontId="9" fillId="60" borderId="0" xfId="380" applyFont="1" applyFill="1" applyAlignment="1">
      <alignment vertical="top" wrapText="1"/>
    </xf>
    <xf numFmtId="9" fontId="70" fillId="60" borderId="0" xfId="271" applyFont="1" applyFill="1" applyBorder="1" applyAlignment="1">
      <alignment vertical="top" wrapText="1"/>
    </xf>
    <xf numFmtId="0" fontId="73" fillId="0" borderId="0" xfId="380" applyFont="1"/>
    <xf numFmtId="0" fontId="72" fillId="60" borderId="48" xfId="380" applyFont="1" applyFill="1" applyBorder="1" applyAlignment="1">
      <alignment horizontal="center" wrapText="1"/>
    </xf>
    <xf numFmtId="181" fontId="70" fillId="72" borderId="27" xfId="0" applyNumberFormat="1" applyFont="1" applyFill="1" applyBorder="1" applyAlignment="1">
      <alignment horizontal="center"/>
    </xf>
    <xf numFmtId="181" fontId="70" fillId="72" borderId="29" xfId="0" applyNumberFormat="1" applyFont="1" applyFill="1" applyBorder="1" applyAlignment="1">
      <alignment horizontal="center" wrapText="1"/>
    </xf>
    <xf numFmtId="181" fontId="70" fillId="72" borderId="51" xfId="0" applyNumberFormat="1" applyFont="1" applyFill="1" applyBorder="1" applyAlignment="1">
      <alignment horizontal="center"/>
    </xf>
    <xf numFmtId="0" fontId="72" fillId="60" borderId="29" xfId="380" applyFont="1" applyFill="1" applyBorder="1" applyAlignment="1">
      <alignment horizontal="center" vertical="center" wrapText="1"/>
    </xf>
    <xf numFmtId="0" fontId="72" fillId="72" borderId="27" xfId="0" applyFont="1" applyFill="1" applyBorder="1" applyAlignment="1">
      <alignment horizontal="center" vertical="center" wrapText="1"/>
    </xf>
    <xf numFmtId="0" fontId="72" fillId="72" borderId="29" xfId="0" applyFont="1" applyFill="1" applyBorder="1" applyAlignment="1">
      <alignment horizontal="center" vertical="center" wrapText="1"/>
    </xf>
    <xf numFmtId="0" fontId="70" fillId="72" borderId="0" xfId="0" applyFont="1" applyFill="1" applyAlignment="1">
      <alignment horizontal="right"/>
    </xf>
    <xf numFmtId="0" fontId="82" fillId="72" borderId="29" xfId="0" applyFont="1" applyFill="1" applyBorder="1" applyAlignment="1">
      <alignment horizontal="center" wrapText="1"/>
    </xf>
    <xf numFmtId="0" fontId="70" fillId="72" borderId="47" xfId="0" applyFont="1" applyFill="1" applyBorder="1" applyAlignment="1">
      <alignment horizontal="center" wrapText="1"/>
    </xf>
    <xf numFmtId="0" fontId="70" fillId="72" borderId="47" xfId="0" applyFont="1" applyFill="1" applyBorder="1" applyAlignment="1">
      <alignment horizontal="center"/>
    </xf>
    <xf numFmtId="0" fontId="82" fillId="72" borderId="47" xfId="0" applyFont="1" applyFill="1" applyBorder="1" applyAlignment="1">
      <alignment horizontal="center" wrapText="1"/>
    </xf>
    <xf numFmtId="0" fontId="70" fillId="72" borderId="27" xfId="0" quotePrefix="1" applyFont="1" applyFill="1" applyBorder="1" applyAlignment="1">
      <alignment horizontal="center" wrapText="1"/>
    </xf>
    <xf numFmtId="0" fontId="70" fillId="72" borderId="27" xfId="0" applyFont="1" applyFill="1" applyBorder="1" applyAlignment="1">
      <alignment horizontal="center" wrapText="1"/>
    </xf>
    <xf numFmtId="0" fontId="62" fillId="72" borderId="47" xfId="0" applyFont="1" applyFill="1" applyBorder="1" applyAlignment="1">
      <alignment horizontal="center" wrapText="1"/>
    </xf>
    <xf numFmtId="0" fontId="109" fillId="72" borderId="47" xfId="0" applyFont="1" applyFill="1" applyBorder="1" applyAlignment="1">
      <alignment horizontal="center" wrapText="1"/>
    </xf>
    <xf numFmtId="0" fontId="62" fillId="72" borderId="27" xfId="0" applyFont="1" applyFill="1" applyBorder="1" applyAlignment="1">
      <alignment horizontal="center" wrapText="1"/>
    </xf>
    <xf numFmtId="0" fontId="109" fillId="72" borderId="29" xfId="0" applyFont="1" applyFill="1" applyBorder="1" applyAlignment="1">
      <alignment horizontal="center" wrapText="1"/>
    </xf>
    <xf numFmtId="189" fontId="82" fillId="71" borderId="47" xfId="0" applyNumberFormat="1" applyFont="1" applyFill="1" applyBorder="1" applyAlignment="1">
      <alignment horizontal="center" vertical="center"/>
    </xf>
    <xf numFmtId="9" fontId="70" fillId="72" borderId="27" xfId="0" applyNumberFormat="1" applyFont="1" applyFill="1" applyBorder="1" applyAlignment="1">
      <alignment horizontal="center"/>
    </xf>
    <xf numFmtId="9" fontId="70" fillId="72" borderId="51" xfId="0" applyNumberFormat="1" applyFont="1" applyFill="1" applyBorder="1" applyAlignment="1">
      <alignment horizontal="center"/>
    </xf>
    <xf numFmtId="9" fontId="70" fillId="72" borderId="31" xfId="0" applyNumberFormat="1" applyFont="1" applyFill="1" applyBorder="1" applyAlignment="1">
      <alignment horizontal="center" wrapText="1"/>
    </xf>
    <xf numFmtId="0" fontId="70" fillId="72" borderId="0" xfId="0" applyFont="1" applyFill="1" applyAlignment="1">
      <alignment vertical="center"/>
    </xf>
    <xf numFmtId="0" fontId="70" fillId="72" borderId="0" xfId="0" applyFont="1" applyFill="1" applyAlignment="1">
      <alignment horizontal="right" vertical="center"/>
    </xf>
    <xf numFmtId="0" fontId="110" fillId="71" borderId="47" xfId="0" applyFont="1" applyFill="1" applyBorder="1" applyAlignment="1">
      <alignment horizontal="left" vertical="center"/>
    </xf>
    <xf numFmtId="0" fontId="110" fillId="71" borderId="47" xfId="0" applyFont="1" applyFill="1" applyBorder="1" applyAlignment="1">
      <alignment horizontal="center" vertical="center"/>
    </xf>
    <xf numFmtId="0" fontId="82" fillId="71" borderId="52" xfId="0" applyFont="1" applyFill="1" applyBorder="1" applyAlignment="1">
      <alignment horizontal="left" vertical="center"/>
    </xf>
    <xf numFmtId="0" fontId="109" fillId="71" borderId="47" xfId="0" applyFont="1" applyFill="1" applyBorder="1" applyAlignment="1">
      <alignment horizontal="left" vertical="center"/>
    </xf>
    <xf numFmtId="0" fontId="110" fillId="71" borderId="50" xfId="0" applyFont="1" applyFill="1" applyBorder="1" applyAlignment="1">
      <alignment horizontal="left" vertical="center"/>
    </xf>
    <xf numFmtId="0" fontId="110" fillId="71" borderId="48" xfId="0" applyFont="1" applyFill="1" applyBorder="1" applyAlignment="1">
      <alignment horizontal="center" vertical="center"/>
    </xf>
    <xf numFmtId="0" fontId="82" fillId="71" borderId="31" xfId="0" applyFont="1" applyFill="1" applyBorder="1" applyAlignment="1">
      <alignment horizontal="left" vertical="center" wrapText="1"/>
    </xf>
    <xf numFmtId="0" fontId="82" fillId="71" borderId="31" xfId="0" applyFont="1" applyFill="1" applyBorder="1" applyAlignment="1">
      <alignment horizontal="center" vertical="center"/>
    </xf>
    <xf numFmtId="0" fontId="82" fillId="71" borderId="47" xfId="0" applyFont="1" applyFill="1" applyBorder="1" applyAlignment="1">
      <alignment horizontal="left" vertical="center" wrapText="1"/>
    </xf>
    <xf numFmtId="0" fontId="82" fillId="71" borderId="47" xfId="0" applyFont="1" applyFill="1" applyBorder="1" applyAlignment="1">
      <alignment horizontal="center" vertical="center"/>
    </xf>
    <xf numFmtId="0" fontId="82" fillId="71" borderId="52" xfId="0" applyFont="1" applyFill="1" applyBorder="1" applyAlignment="1">
      <alignment horizontal="left" vertical="center" wrapText="1"/>
    </xf>
    <xf numFmtId="0" fontId="82" fillId="71" borderId="52" xfId="0" applyFont="1" applyFill="1" applyBorder="1" applyAlignment="1">
      <alignment horizontal="center" vertical="center"/>
    </xf>
    <xf numFmtId="0" fontId="110" fillId="71" borderId="50" xfId="0" applyFont="1" applyFill="1" applyBorder="1" applyAlignment="1">
      <alignment horizontal="left" vertical="center" wrapText="1"/>
    </xf>
    <xf numFmtId="9" fontId="82" fillId="71" borderId="31" xfId="0" applyNumberFormat="1" applyFont="1" applyFill="1" applyBorder="1" applyAlignment="1">
      <alignment horizontal="center" vertical="center"/>
    </xf>
    <xf numFmtId="9" fontId="82" fillId="71" borderId="47" xfId="0" applyNumberFormat="1" applyFont="1" applyFill="1" applyBorder="1" applyAlignment="1">
      <alignment horizontal="center" vertical="center"/>
    </xf>
    <xf numFmtId="9" fontId="82" fillId="71" borderId="52" xfId="0" applyNumberFormat="1" applyFont="1" applyFill="1" applyBorder="1" applyAlignment="1">
      <alignment horizontal="center" vertical="center"/>
    </xf>
    <xf numFmtId="0" fontId="82" fillId="71" borderId="0" xfId="0" applyFont="1" applyFill="1" applyAlignment="1">
      <alignment horizontal="center" vertical="center"/>
    </xf>
    <xf numFmtId="189" fontId="82" fillId="71" borderId="31" xfId="0" applyNumberFormat="1" applyFont="1" applyFill="1" applyBorder="1" applyAlignment="1">
      <alignment horizontal="center" vertical="center"/>
    </xf>
    <xf numFmtId="0" fontId="82" fillId="0" borderId="31" xfId="0" applyFont="1" applyBorder="1" applyAlignment="1">
      <alignment horizontal="center" vertical="center"/>
    </xf>
    <xf numFmtId="0" fontId="113" fillId="0" borderId="47" xfId="0" applyFont="1" applyBorder="1" applyAlignment="1">
      <alignment horizontal="left" vertical="center"/>
    </xf>
    <xf numFmtId="0" fontId="82" fillId="0" borderId="47" xfId="0" applyFont="1" applyBorder="1" applyAlignment="1">
      <alignment horizontal="center" vertical="center"/>
    </xf>
    <xf numFmtId="0" fontId="85" fillId="71" borderId="0" xfId="0" applyFont="1" applyFill="1" applyAlignment="1">
      <alignment horizontal="left" vertical="center"/>
    </xf>
    <xf numFmtId="9" fontId="85" fillId="71" borderId="0" xfId="0" applyNumberFormat="1" applyFont="1" applyFill="1" applyAlignment="1">
      <alignment horizontal="center" vertical="center"/>
    </xf>
    <xf numFmtId="0" fontId="111" fillId="72" borderId="0" xfId="0" applyFont="1" applyFill="1"/>
    <xf numFmtId="0" fontId="82" fillId="71" borderId="0" xfId="0" applyFont="1" applyFill="1" applyAlignment="1">
      <alignment vertical="center" wrapText="1"/>
    </xf>
    <xf numFmtId="0" fontId="82" fillId="71" borderId="0" xfId="0" applyFont="1" applyFill="1" applyAlignment="1">
      <alignment horizontal="left" vertical="center"/>
    </xf>
    <xf numFmtId="0" fontId="110" fillId="71" borderId="48" xfId="0" applyFont="1" applyFill="1" applyBorder="1" applyAlignment="1">
      <alignment horizontal="left" vertical="center"/>
    </xf>
    <xf numFmtId="0" fontId="110" fillId="71" borderId="49" xfId="0" applyFont="1" applyFill="1" applyBorder="1" applyAlignment="1">
      <alignment horizontal="left" vertical="center"/>
    </xf>
    <xf numFmtId="0" fontId="82" fillId="71" borderId="31" xfId="0" applyFont="1" applyFill="1" applyBorder="1" applyAlignment="1">
      <alignment horizontal="left" vertical="center"/>
    </xf>
    <xf numFmtId="0" fontId="82" fillId="71" borderId="47" xfId="0" applyFont="1" applyFill="1" applyBorder="1" applyAlignment="1">
      <alignment horizontal="left" vertical="center"/>
    </xf>
    <xf numFmtId="0" fontId="110" fillId="71" borderId="49" xfId="0" applyFont="1" applyFill="1" applyBorder="1" applyAlignment="1">
      <alignment horizontal="center" vertical="center"/>
    </xf>
    <xf numFmtId="0" fontId="109" fillId="71" borderId="48" xfId="0" applyFont="1" applyFill="1" applyBorder="1" applyAlignment="1">
      <alignment horizontal="center" vertical="center"/>
    </xf>
    <xf numFmtId="0" fontId="109" fillId="71" borderId="49" xfId="0" applyFont="1" applyFill="1" applyBorder="1" applyAlignment="1">
      <alignment horizontal="center" vertical="center"/>
    </xf>
    <xf numFmtId="0" fontId="82" fillId="71" borderId="31" xfId="0" quotePrefix="1" applyFont="1" applyFill="1" applyBorder="1" applyAlignment="1">
      <alignment horizontal="center" vertical="center"/>
    </xf>
    <xf numFmtId="0" fontId="105" fillId="0" borderId="0" xfId="0" applyFont="1"/>
    <xf numFmtId="0" fontId="102" fillId="0" borderId="0" xfId="0" applyFont="1" applyAlignment="1">
      <alignment vertical="center"/>
    </xf>
    <xf numFmtId="17" fontId="73" fillId="60" borderId="0" xfId="380" quotePrefix="1" applyNumberFormat="1" applyFont="1" applyFill="1" applyAlignment="1">
      <alignment vertical="top" wrapText="1"/>
    </xf>
    <xf numFmtId="0" fontId="111" fillId="71" borderId="52" xfId="0" applyFont="1" applyFill="1" applyBorder="1" applyAlignment="1">
      <alignment horizontal="center" vertical="center"/>
    </xf>
    <xf numFmtId="0" fontId="84" fillId="71" borderId="48" xfId="0" applyFont="1" applyFill="1" applyBorder="1" applyAlignment="1">
      <alignment horizontal="left" vertical="center"/>
    </xf>
    <xf numFmtId="0" fontId="84" fillId="71" borderId="49" xfId="0" applyFont="1" applyFill="1" applyBorder="1" applyAlignment="1">
      <alignment horizontal="left" vertical="center"/>
    </xf>
    <xf numFmtId="0" fontId="103" fillId="71" borderId="48" xfId="0" applyFont="1" applyFill="1" applyBorder="1" applyAlignment="1">
      <alignment horizontal="center" vertical="center"/>
    </xf>
    <xf numFmtId="0" fontId="84" fillId="71" borderId="48" xfId="0" applyFont="1" applyFill="1" applyBorder="1" applyAlignment="1">
      <alignment horizontal="center" vertical="center"/>
    </xf>
    <xf numFmtId="0" fontId="72" fillId="72" borderId="50" xfId="0" applyFont="1" applyFill="1" applyBorder="1" applyAlignment="1">
      <alignment wrapText="1"/>
    </xf>
    <xf numFmtId="0" fontId="84" fillId="71" borderId="49" xfId="0" applyFont="1" applyFill="1" applyBorder="1" applyAlignment="1">
      <alignment horizontal="center" vertical="center"/>
    </xf>
    <xf numFmtId="0" fontId="85" fillId="71" borderId="48" xfId="0" applyFont="1" applyFill="1" applyBorder="1" applyAlignment="1">
      <alignment horizontal="center" vertical="center"/>
    </xf>
    <xf numFmtId="0" fontId="85" fillId="71" borderId="49" xfId="0" applyFont="1" applyFill="1" applyBorder="1" applyAlignment="1">
      <alignment horizontal="center" vertical="center"/>
    </xf>
    <xf numFmtId="189" fontId="82" fillId="71" borderId="31" xfId="0" quotePrefix="1" applyNumberFormat="1" applyFont="1" applyFill="1" applyBorder="1" applyAlignment="1">
      <alignment horizontal="center" vertical="center"/>
    </xf>
    <xf numFmtId="9" fontId="82" fillId="71" borderId="0" xfId="0" applyNumberFormat="1" applyFont="1" applyFill="1" applyAlignment="1">
      <alignment horizontal="center" vertical="center"/>
    </xf>
    <xf numFmtId="0" fontId="82" fillId="0" borderId="0" xfId="0" applyFont="1" applyAlignment="1">
      <alignment horizontal="center" vertical="center"/>
    </xf>
    <xf numFmtId="0" fontId="82" fillId="0" borderId="0" xfId="0" applyFont="1" applyAlignment="1">
      <alignment vertical="center"/>
    </xf>
    <xf numFmtId="0" fontId="85" fillId="0" borderId="0" xfId="0" applyFont="1" applyAlignment="1">
      <alignment vertical="center"/>
    </xf>
    <xf numFmtId="0" fontId="104" fillId="0" borderId="0" xfId="0" applyFont="1"/>
    <xf numFmtId="0" fontId="107" fillId="0" borderId="0" xfId="0" applyFont="1" applyAlignment="1">
      <alignment wrapText="1"/>
    </xf>
    <xf numFmtId="0" fontId="84" fillId="71" borderId="0" xfId="0" applyFont="1" applyFill="1" applyAlignment="1">
      <alignment horizontal="center" vertical="center"/>
    </xf>
    <xf numFmtId="9" fontId="71" fillId="60" borderId="0" xfId="271" applyFont="1" applyFill="1"/>
    <xf numFmtId="0" fontId="70" fillId="0" borderId="0" xfId="380" quotePrefix="1" applyFont="1" applyAlignment="1">
      <alignment horizontal="center" vertical="center" wrapText="1"/>
    </xf>
    <xf numFmtId="49" fontId="70" fillId="72" borderId="0" xfId="0" applyNumberFormat="1" applyFont="1" applyFill="1" applyAlignment="1">
      <alignment vertical="top"/>
    </xf>
    <xf numFmtId="0" fontId="70" fillId="72" borderId="0" xfId="0" applyFont="1" applyFill="1" applyAlignment="1">
      <alignment horizontal="right" vertical="top"/>
    </xf>
    <xf numFmtId="168" fontId="60" fillId="0" borderId="0" xfId="7" applyNumberFormat="1" applyFont="1" applyAlignment="1">
      <alignment horizontal="right"/>
    </xf>
    <xf numFmtId="168" fontId="60" fillId="0" borderId="33" xfId="7" applyNumberFormat="1" applyFont="1" applyBorder="1" applyAlignment="1">
      <alignment horizontal="right"/>
    </xf>
    <xf numFmtId="9" fontId="0" fillId="0" borderId="0" xfId="273" applyFont="1" applyFill="1" applyBorder="1" applyAlignment="1">
      <alignment horizontal="right"/>
    </xf>
    <xf numFmtId="9" fontId="0" fillId="66" borderId="0" xfId="273" applyFont="1" applyFill="1" applyBorder="1"/>
    <xf numFmtId="165" fontId="0" fillId="62" borderId="0" xfId="0" applyNumberFormat="1" applyFill="1"/>
    <xf numFmtId="0" fontId="22" fillId="0" borderId="0" xfId="0" applyFont="1" applyAlignment="1">
      <alignment horizontal="left"/>
    </xf>
    <xf numFmtId="0" fontId="0" fillId="61" borderId="0" xfId="0" applyFill="1"/>
    <xf numFmtId="1" fontId="0" fillId="62" borderId="0" xfId="0" applyNumberFormat="1" applyFill="1"/>
    <xf numFmtId="0" fontId="60" fillId="60" borderId="0" xfId="0" applyFont="1" applyFill="1"/>
    <xf numFmtId="0" fontId="70" fillId="72" borderId="0" xfId="0" applyFont="1" applyFill="1" applyAlignment="1">
      <alignment vertical="center" wrapText="1"/>
    </xf>
    <xf numFmtId="0" fontId="70" fillId="72" borderId="0" xfId="0" applyFont="1" applyFill="1" applyAlignment="1">
      <alignment horizontal="left" vertical="top"/>
    </xf>
    <xf numFmtId="0" fontId="70" fillId="72" borderId="31" xfId="0" applyFont="1" applyFill="1" applyBorder="1" applyAlignment="1">
      <alignment horizontal="center"/>
    </xf>
    <xf numFmtId="0" fontId="70" fillId="72" borderId="0" xfId="0" applyFont="1" applyFill="1" applyAlignment="1">
      <alignment horizontal="center" vertical="center"/>
    </xf>
    <xf numFmtId="0" fontId="82" fillId="71" borderId="0" xfId="0" applyFont="1" applyFill="1" applyAlignment="1">
      <alignment horizontal="left" vertical="top" wrapText="1"/>
    </xf>
    <xf numFmtId="0" fontId="71" fillId="60" borderId="0" xfId="380" applyFont="1" applyFill="1" applyAlignment="1">
      <alignment vertical="center"/>
    </xf>
    <xf numFmtId="191" fontId="71" fillId="60" borderId="0" xfId="380" applyNumberFormat="1" applyFont="1" applyFill="1"/>
    <xf numFmtId="192" fontId="71" fillId="60" borderId="0" xfId="380" applyNumberFormat="1" applyFont="1" applyFill="1"/>
    <xf numFmtId="191" fontId="106" fillId="60" borderId="0" xfId="380" applyNumberFormat="1" applyFont="1" applyFill="1"/>
    <xf numFmtId="190" fontId="0" fillId="0" borderId="0" xfId="7" applyNumberFormat="1" applyFont="1" applyAlignment="1">
      <alignment horizontal="right"/>
    </xf>
    <xf numFmtId="190" fontId="4" fillId="0" borderId="0" xfId="7" applyNumberFormat="1" applyFont="1" applyAlignment="1">
      <alignment horizontal="right"/>
    </xf>
    <xf numFmtId="190" fontId="0" fillId="0" borderId="0" xfId="7" applyNumberFormat="1" applyFont="1" applyBorder="1" applyAlignment="1">
      <alignment horizontal="right"/>
    </xf>
    <xf numFmtId="190" fontId="0" fillId="0" borderId="33" xfId="7" applyNumberFormat="1" applyFont="1" applyBorder="1" applyAlignment="1">
      <alignment horizontal="right"/>
    </xf>
    <xf numFmtId="190" fontId="6" fillId="0" borderId="0" xfId="7" applyNumberFormat="1" applyFont="1" applyAlignment="1">
      <alignment horizontal="right"/>
    </xf>
    <xf numFmtId="190" fontId="60" fillId="0" borderId="0" xfId="7" applyNumberFormat="1" applyFont="1" applyAlignment="1">
      <alignment horizontal="right"/>
    </xf>
    <xf numFmtId="190" fontId="60" fillId="0" borderId="33" xfId="7" applyNumberFormat="1" applyFont="1" applyBorder="1" applyAlignment="1">
      <alignment horizontal="right"/>
    </xf>
    <xf numFmtId="190" fontId="0" fillId="0" borderId="0" xfId="7" applyNumberFormat="1" applyFont="1" applyFill="1" applyBorder="1" applyAlignment="1">
      <alignment horizontal="right"/>
    </xf>
    <xf numFmtId="190" fontId="0" fillId="70" borderId="0" xfId="7" applyNumberFormat="1" applyFont="1" applyFill="1" applyAlignment="1">
      <alignment horizontal="right"/>
    </xf>
    <xf numFmtId="0" fontId="86" fillId="0" borderId="47" xfId="0" applyFont="1" applyBorder="1" applyAlignment="1">
      <alignment horizontal="left" vertical="center" wrapText="1"/>
    </xf>
    <xf numFmtId="0" fontId="116" fillId="60" borderId="47" xfId="380" applyFont="1" applyFill="1" applyBorder="1" applyAlignment="1">
      <alignment vertical="center" wrapText="1"/>
    </xf>
    <xf numFmtId="0" fontId="116" fillId="60" borderId="48" xfId="380" applyFont="1" applyFill="1" applyBorder="1" applyAlignment="1">
      <alignment horizontal="center" vertical="center" wrapText="1"/>
    </xf>
    <xf numFmtId="0" fontId="89" fillId="60" borderId="31" xfId="380" applyFont="1" applyFill="1" applyBorder="1" applyAlignment="1">
      <alignment vertical="center" wrapText="1"/>
    </xf>
    <xf numFmtId="0" fontId="116" fillId="60" borderId="29" xfId="380" applyFont="1" applyFill="1" applyBorder="1" applyAlignment="1">
      <alignment horizontal="center" vertical="center" wrapText="1"/>
    </xf>
    <xf numFmtId="0" fontId="116" fillId="60" borderId="50" xfId="380" applyFont="1" applyFill="1" applyBorder="1" applyAlignment="1">
      <alignment vertical="center" wrapText="1"/>
    </xf>
    <xf numFmtId="0" fontId="116" fillId="60" borderId="48" xfId="380" applyFont="1" applyFill="1" applyBorder="1" applyAlignment="1">
      <alignment vertical="center" wrapText="1"/>
    </xf>
    <xf numFmtId="0" fontId="116" fillId="60" borderId="49" xfId="380" applyFont="1" applyFill="1" applyBorder="1" applyAlignment="1">
      <alignment vertical="center" wrapText="1"/>
    </xf>
    <xf numFmtId="0" fontId="89" fillId="60" borderId="47" xfId="380" applyFont="1" applyFill="1" applyBorder="1" applyAlignment="1">
      <alignment vertical="center" wrapText="1"/>
    </xf>
    <xf numFmtId="0" fontId="89" fillId="60" borderId="30" xfId="380" applyFont="1" applyFill="1" applyBorder="1" applyAlignment="1">
      <alignment vertical="center" wrapText="1"/>
    </xf>
    <xf numFmtId="0" fontId="89" fillId="60" borderId="51" xfId="380" applyFont="1" applyFill="1" applyBorder="1" applyAlignment="1">
      <alignment vertical="center" wrapText="1"/>
    </xf>
    <xf numFmtId="0" fontId="118" fillId="60" borderId="50" xfId="380" applyFont="1" applyFill="1" applyBorder="1" applyAlignment="1">
      <alignment horizontal="left" vertical="center" wrapText="1"/>
    </xf>
    <xf numFmtId="0" fontId="116" fillId="60" borderId="50" xfId="380" applyFont="1" applyFill="1" applyBorder="1" applyAlignment="1">
      <alignment horizontal="left" vertical="center" wrapText="1"/>
    </xf>
    <xf numFmtId="9" fontId="86" fillId="0" borderId="47" xfId="271" applyFont="1" applyFill="1" applyBorder="1" applyAlignment="1">
      <alignment horizontal="center" vertical="center" wrapText="1"/>
    </xf>
    <xf numFmtId="3" fontId="86" fillId="0" borderId="47" xfId="271" applyNumberFormat="1" applyFont="1" applyFill="1" applyBorder="1" applyAlignment="1">
      <alignment horizontal="center" vertical="center" wrapText="1"/>
    </xf>
    <xf numFmtId="0" fontId="89" fillId="0" borderId="47" xfId="0" applyFont="1" applyBorder="1" applyAlignment="1">
      <alignment vertical="center" wrapText="1"/>
    </xf>
    <xf numFmtId="167" fontId="86" fillId="0" borderId="47" xfId="271" applyNumberFormat="1" applyFont="1" applyFill="1" applyBorder="1" applyAlignment="1">
      <alignment horizontal="center" vertical="center" wrapText="1"/>
    </xf>
    <xf numFmtId="0" fontId="89" fillId="0" borderId="52" xfId="0" applyFont="1" applyBorder="1" applyAlignment="1">
      <alignment vertical="center" wrapText="1"/>
    </xf>
    <xf numFmtId="0" fontId="116" fillId="0" borderId="50" xfId="0" applyFont="1" applyBorder="1" applyAlignment="1">
      <alignment vertical="center" wrapText="1"/>
    </xf>
    <xf numFmtId="0" fontId="89" fillId="0" borderId="31" xfId="0" applyFont="1" applyBorder="1" applyAlignment="1">
      <alignment vertical="center" wrapText="1"/>
    </xf>
    <xf numFmtId="0" fontId="89" fillId="0" borderId="47" xfId="0" applyFont="1" applyBorder="1" applyAlignment="1">
      <alignment horizontal="left" vertical="center" wrapText="1"/>
    </xf>
    <xf numFmtId="43" fontId="70" fillId="60" borderId="0" xfId="271" applyNumberFormat="1" applyFont="1" applyFill="1" applyAlignment="1">
      <alignment horizontal="center"/>
    </xf>
    <xf numFmtId="0" fontId="70" fillId="0" borderId="0" xfId="380" applyFont="1" applyAlignment="1">
      <alignment horizontal="right" vertical="top"/>
    </xf>
    <xf numFmtId="1" fontId="86" fillId="60" borderId="50" xfId="380" applyNumberFormat="1" applyFont="1" applyFill="1" applyBorder="1" applyAlignment="1">
      <alignment horizontal="center" vertical="center"/>
    </xf>
    <xf numFmtId="1" fontId="86" fillId="60" borderId="47" xfId="380" applyNumberFormat="1" applyFont="1" applyFill="1" applyBorder="1" applyAlignment="1">
      <alignment horizontal="center" vertical="center"/>
    </xf>
    <xf numFmtId="1" fontId="86" fillId="60" borderId="48" xfId="380" applyNumberFormat="1" applyFont="1" applyFill="1" applyBorder="1" applyAlignment="1">
      <alignment horizontal="center" vertical="center"/>
    </xf>
    <xf numFmtId="0" fontId="86" fillId="60" borderId="47" xfId="380" applyFont="1" applyFill="1" applyBorder="1" applyAlignment="1">
      <alignment horizontal="center" vertical="center" wrapText="1"/>
    </xf>
    <xf numFmtId="0" fontId="86" fillId="60" borderId="29" xfId="380" applyFont="1" applyFill="1" applyBorder="1" applyAlignment="1">
      <alignment horizontal="center" vertical="center" wrapText="1"/>
    </xf>
    <xf numFmtId="0" fontId="86" fillId="60" borderId="47" xfId="380" quotePrefix="1" applyFont="1" applyFill="1" applyBorder="1" applyAlignment="1">
      <alignment horizontal="center" vertical="center" wrapText="1"/>
    </xf>
    <xf numFmtId="0" fontId="86" fillId="60" borderId="31" xfId="380" applyFont="1" applyFill="1" applyBorder="1" applyAlignment="1">
      <alignment horizontal="center" vertical="center" wrapText="1"/>
    </xf>
    <xf numFmtId="0" fontId="86" fillId="60" borderId="31" xfId="380" quotePrefix="1" applyFont="1" applyFill="1" applyBorder="1" applyAlignment="1">
      <alignment horizontal="center" vertical="center" wrapText="1"/>
    </xf>
    <xf numFmtId="0" fontId="86" fillId="60" borderId="29" xfId="380" quotePrefix="1" applyFont="1" applyFill="1" applyBorder="1" applyAlignment="1">
      <alignment horizontal="center" vertical="center" wrapText="1"/>
    </xf>
    <xf numFmtId="169" fontId="86" fillId="60" borderId="50" xfId="380" applyNumberFormat="1" applyFont="1" applyFill="1" applyBorder="1" applyAlignment="1">
      <alignment horizontal="center" vertical="center"/>
    </xf>
    <xf numFmtId="169" fontId="86" fillId="60" borderId="47" xfId="380" applyNumberFormat="1" applyFont="1" applyFill="1" applyBorder="1" applyAlignment="1">
      <alignment horizontal="center" vertical="center"/>
    </xf>
    <xf numFmtId="0" fontId="119" fillId="60" borderId="48" xfId="380" quotePrefix="1" applyFont="1" applyFill="1" applyBorder="1" applyAlignment="1">
      <alignment vertical="center" wrapText="1"/>
    </xf>
    <xf numFmtId="0" fontId="119" fillId="60" borderId="49" xfId="380" quotePrefix="1" applyFont="1" applyFill="1" applyBorder="1" applyAlignment="1">
      <alignment vertical="center" wrapText="1"/>
    </xf>
    <xf numFmtId="0" fontId="119" fillId="60" borderId="48" xfId="380" quotePrefix="1" applyFont="1" applyFill="1" applyBorder="1" applyAlignment="1">
      <alignment horizontal="center" vertical="center" wrapText="1"/>
    </xf>
    <xf numFmtId="0" fontId="119" fillId="60" borderId="49" xfId="380" quotePrefix="1" applyFont="1" applyFill="1" applyBorder="1" applyAlignment="1">
      <alignment horizontal="center" vertical="center" wrapText="1"/>
    </xf>
    <xf numFmtId="169" fontId="86" fillId="60" borderId="47" xfId="380" quotePrefix="1" applyNumberFormat="1" applyFont="1" applyFill="1" applyBorder="1" applyAlignment="1">
      <alignment horizontal="center" vertical="center" wrapText="1"/>
    </xf>
    <xf numFmtId="0" fontId="120" fillId="60" borderId="48" xfId="380" quotePrefix="1" applyFont="1" applyFill="1" applyBorder="1" applyAlignment="1">
      <alignment vertical="center" wrapText="1"/>
    </xf>
    <xf numFmtId="0" fontId="120" fillId="60" borderId="49" xfId="380" quotePrefix="1" applyFont="1" applyFill="1" applyBorder="1" applyAlignment="1">
      <alignment vertical="center" wrapText="1"/>
    </xf>
    <xf numFmtId="0" fontId="120" fillId="60" borderId="48" xfId="380" quotePrefix="1" applyFont="1" applyFill="1" applyBorder="1" applyAlignment="1">
      <alignment horizontal="center" vertical="center" wrapText="1"/>
    </xf>
    <xf numFmtId="0" fontId="120" fillId="60" borderId="49" xfId="380" quotePrefix="1" applyFont="1" applyFill="1" applyBorder="1" applyAlignment="1">
      <alignment horizontal="center" vertical="center" wrapText="1"/>
    </xf>
    <xf numFmtId="0" fontId="101" fillId="60" borderId="0" xfId="0" applyFont="1" applyFill="1"/>
    <xf numFmtId="1" fontId="120" fillId="60" borderId="48" xfId="380" applyNumberFormat="1" applyFont="1" applyFill="1" applyBorder="1" applyAlignment="1">
      <alignment horizontal="left" vertical="center" wrapText="1"/>
    </xf>
    <xf numFmtId="0" fontId="120" fillId="60" borderId="48" xfId="380" applyFont="1" applyFill="1" applyBorder="1" applyAlignment="1">
      <alignment horizontal="left" vertical="center" wrapText="1"/>
    </xf>
    <xf numFmtId="0" fontId="120" fillId="60" borderId="49" xfId="380" applyFont="1" applyFill="1" applyBorder="1" applyAlignment="1">
      <alignment horizontal="left" vertical="center" wrapText="1"/>
    </xf>
    <xf numFmtId="1" fontId="86" fillId="60" borderId="47" xfId="380" applyNumberFormat="1" applyFont="1" applyFill="1" applyBorder="1" applyAlignment="1">
      <alignment horizontal="center" vertical="center" wrapText="1"/>
    </xf>
    <xf numFmtId="169" fontId="86" fillId="60" borderId="29" xfId="380" applyNumberFormat="1" applyFont="1" applyFill="1" applyBorder="1" applyAlignment="1">
      <alignment horizontal="center" vertical="center" wrapText="1"/>
    </xf>
    <xf numFmtId="181" fontId="86" fillId="60" borderId="29" xfId="380" applyNumberFormat="1" applyFont="1" applyFill="1" applyBorder="1" applyAlignment="1">
      <alignment horizontal="center" vertical="center" wrapText="1"/>
    </xf>
    <xf numFmtId="2" fontId="86" fillId="60" borderId="50" xfId="380" applyNumberFormat="1" applyFont="1" applyFill="1" applyBorder="1" applyAlignment="1">
      <alignment horizontal="center" vertical="center"/>
    </xf>
    <xf numFmtId="2" fontId="86" fillId="60" borderId="47" xfId="380" applyNumberFormat="1" applyFont="1" applyFill="1" applyBorder="1" applyAlignment="1">
      <alignment horizontal="center" vertical="center"/>
    </xf>
    <xf numFmtId="0" fontId="86" fillId="60" borderId="47" xfId="0" applyFont="1" applyFill="1" applyBorder="1" applyAlignment="1">
      <alignment horizontal="center" vertical="center"/>
    </xf>
    <xf numFmtId="9" fontId="86" fillId="60" borderId="47" xfId="271" applyFont="1" applyFill="1" applyBorder="1" applyAlignment="1">
      <alignment horizontal="center" vertical="center" wrapText="1"/>
    </xf>
    <xf numFmtId="184" fontId="86" fillId="60" borderId="49" xfId="380" applyNumberFormat="1" applyFont="1" applyFill="1" applyBorder="1" applyAlignment="1">
      <alignment horizontal="center" vertical="center" wrapText="1"/>
    </xf>
    <xf numFmtId="184" fontId="86" fillId="60" borderId="47" xfId="380" applyNumberFormat="1" applyFont="1" applyFill="1" applyBorder="1" applyAlignment="1">
      <alignment horizontal="center" vertical="center" wrapText="1"/>
    </xf>
    <xf numFmtId="3" fontId="86" fillId="60" borderId="29" xfId="380" applyNumberFormat="1" applyFont="1" applyFill="1" applyBorder="1" applyAlignment="1">
      <alignment horizontal="center" vertical="center" wrapText="1"/>
    </xf>
    <xf numFmtId="3" fontId="86" fillId="60" borderId="47" xfId="271" applyNumberFormat="1" applyFont="1" applyFill="1" applyBorder="1" applyAlignment="1">
      <alignment horizontal="center" vertical="center" wrapText="1"/>
    </xf>
    <xf numFmtId="0" fontId="83" fillId="60" borderId="47" xfId="0" applyFont="1" applyFill="1" applyBorder="1" applyAlignment="1">
      <alignment horizontal="center" vertical="center"/>
    </xf>
    <xf numFmtId="3" fontId="86" fillId="60" borderId="47" xfId="380" applyNumberFormat="1" applyFont="1" applyFill="1" applyBorder="1" applyAlignment="1">
      <alignment horizontal="center" vertical="center" wrapText="1"/>
    </xf>
    <xf numFmtId="0" fontId="120" fillId="60" borderId="48" xfId="380" applyFont="1" applyFill="1" applyBorder="1" applyAlignment="1">
      <alignment vertical="center" wrapText="1"/>
    </xf>
    <xf numFmtId="0" fontId="120" fillId="60" borderId="49" xfId="380" applyFont="1" applyFill="1" applyBorder="1" applyAlignment="1">
      <alignment vertical="center" wrapText="1"/>
    </xf>
    <xf numFmtId="0" fontId="89" fillId="60" borderId="47" xfId="0" applyFont="1" applyFill="1" applyBorder="1" applyAlignment="1">
      <alignment vertical="center" wrapText="1"/>
    </xf>
    <xf numFmtId="3" fontId="86" fillId="60" borderId="47" xfId="0" applyNumberFormat="1" applyFont="1" applyFill="1" applyBorder="1" applyAlignment="1">
      <alignment horizontal="center" vertical="center" wrapText="1"/>
    </xf>
    <xf numFmtId="4" fontId="86" fillId="60" borderId="47" xfId="0" applyNumberFormat="1" applyFont="1" applyFill="1" applyBorder="1" applyAlignment="1">
      <alignment horizontal="center" vertical="center" wrapText="1"/>
    </xf>
    <xf numFmtId="0" fontId="86" fillId="60" borderId="49" xfId="0" applyFont="1" applyFill="1" applyBorder="1" applyAlignment="1">
      <alignment horizontal="center" vertical="center"/>
    </xf>
    <xf numFmtId="167" fontId="86" fillId="60" borderId="47" xfId="271" applyNumberFormat="1" applyFont="1" applyFill="1" applyBorder="1" applyAlignment="1">
      <alignment horizontal="center" vertical="center" wrapText="1"/>
    </xf>
    <xf numFmtId="9" fontId="86" fillId="60" borderId="49" xfId="0" applyNumberFormat="1" applyFont="1" applyFill="1" applyBorder="1" applyAlignment="1">
      <alignment horizontal="center" vertical="center"/>
    </xf>
    <xf numFmtId="9" fontId="86" fillId="60" borderId="47" xfId="0" applyNumberFormat="1" applyFont="1" applyFill="1" applyBorder="1" applyAlignment="1">
      <alignment horizontal="center" vertical="center"/>
    </xf>
    <xf numFmtId="0" fontId="89" fillId="60" borderId="52" xfId="0" applyFont="1" applyFill="1" applyBorder="1" applyAlignment="1">
      <alignment vertical="center" wrapText="1"/>
    </xf>
    <xf numFmtId="184" fontId="86" fillId="60" borderId="47" xfId="0" applyNumberFormat="1" applyFont="1" applyFill="1" applyBorder="1" applyAlignment="1">
      <alignment horizontal="center" vertical="center" wrapText="1"/>
    </xf>
    <xf numFmtId="0" fontId="86" fillId="60" borderId="32" xfId="0" applyFont="1" applyFill="1" applyBorder="1" applyAlignment="1">
      <alignment horizontal="center" vertical="center"/>
    </xf>
    <xf numFmtId="0" fontId="86" fillId="60" borderId="52" xfId="0" applyFont="1" applyFill="1" applyBorder="1" applyAlignment="1">
      <alignment horizontal="center" vertical="center"/>
    </xf>
    <xf numFmtId="3" fontId="86" fillId="60" borderId="52" xfId="380" applyNumberFormat="1" applyFont="1" applyFill="1" applyBorder="1" applyAlignment="1">
      <alignment horizontal="center" vertical="center" wrapText="1"/>
    </xf>
    <xf numFmtId="0" fontId="116" fillId="60" borderId="50" xfId="0" applyFont="1" applyFill="1" applyBorder="1" applyAlignment="1">
      <alignment vertical="center" wrapText="1"/>
    </xf>
    <xf numFmtId="0" fontId="120" fillId="60" borderId="48" xfId="0" applyFont="1" applyFill="1" applyBorder="1" applyAlignment="1">
      <alignment vertical="center" wrapText="1"/>
    </xf>
    <xf numFmtId="3" fontId="86" fillId="60" borderId="48" xfId="380" applyNumberFormat="1" applyFont="1" applyFill="1" applyBorder="1" applyAlignment="1">
      <alignment horizontal="center" vertical="center" wrapText="1"/>
    </xf>
    <xf numFmtId="0" fontId="89" fillId="60" borderId="31" xfId="0" applyFont="1" applyFill="1" applyBorder="1" applyAlignment="1">
      <alignment vertical="center" wrapText="1"/>
    </xf>
    <xf numFmtId="3" fontId="86" fillId="60" borderId="31" xfId="0" applyNumberFormat="1" applyFont="1" applyFill="1" applyBorder="1" applyAlignment="1">
      <alignment horizontal="center" vertical="center" wrapText="1"/>
    </xf>
    <xf numFmtId="0" fontId="86" fillId="60" borderId="31" xfId="0" applyFont="1" applyFill="1" applyBorder="1" applyAlignment="1">
      <alignment horizontal="center" vertical="center"/>
    </xf>
    <xf numFmtId="3" fontId="86" fillId="60" borderId="31" xfId="380" applyNumberFormat="1" applyFont="1" applyFill="1" applyBorder="1" applyAlignment="1">
      <alignment horizontal="center" vertical="center" wrapText="1"/>
    </xf>
    <xf numFmtId="0" fontId="89" fillId="60" borderId="47" xfId="0" applyFont="1" applyFill="1" applyBorder="1" applyAlignment="1">
      <alignment horizontal="left" vertical="center" wrapText="1"/>
    </xf>
    <xf numFmtId="2" fontId="86" fillId="60" borderId="47" xfId="0" applyNumberFormat="1" applyFont="1" applyFill="1" applyBorder="1" applyAlignment="1">
      <alignment horizontal="center" vertical="center" wrapText="1"/>
    </xf>
    <xf numFmtId="0" fontId="86" fillId="60" borderId="47" xfId="0" applyFont="1" applyFill="1" applyBorder="1" applyAlignment="1">
      <alignment horizontal="left" vertical="center" wrapText="1"/>
    </xf>
    <xf numFmtId="0" fontId="70" fillId="60" borderId="0" xfId="0" applyFont="1" applyFill="1" applyAlignment="1">
      <alignment horizontal="center" vertical="center"/>
    </xf>
    <xf numFmtId="9" fontId="70" fillId="60" borderId="0" xfId="271" applyFont="1" applyFill="1"/>
    <xf numFmtId="0" fontId="116" fillId="72" borderId="47" xfId="0" applyFont="1" applyFill="1" applyBorder="1" applyAlignment="1">
      <alignment vertical="center" wrapText="1"/>
    </xf>
    <xf numFmtId="0" fontId="89" fillId="72" borderId="31" xfId="0" applyFont="1" applyFill="1" applyBorder="1" applyAlignment="1">
      <alignment vertical="center" wrapText="1"/>
    </xf>
    <xf numFmtId="0" fontId="116" fillId="72" borderId="29" xfId="0" applyFont="1" applyFill="1" applyBorder="1" applyAlignment="1">
      <alignment horizontal="center" vertical="center" wrapText="1"/>
    </xf>
    <xf numFmtId="0" fontId="116" fillId="72" borderId="51" xfId="0" applyFont="1" applyFill="1" applyBorder="1" applyAlignment="1">
      <alignment vertical="center" wrapText="1"/>
    </xf>
    <xf numFmtId="0" fontId="116" fillId="72" borderId="27" xfId="0" applyFont="1" applyFill="1" applyBorder="1" applyAlignment="1">
      <alignment horizontal="center" vertical="center" wrapText="1"/>
    </xf>
    <xf numFmtId="0" fontId="89" fillId="72" borderId="27" xfId="0" applyFont="1" applyFill="1" applyBorder="1" applyAlignment="1">
      <alignment horizontal="center" vertical="center"/>
    </xf>
    <xf numFmtId="0" fontId="89" fillId="72" borderId="51" xfId="0" applyFont="1" applyFill="1" applyBorder="1" applyAlignment="1">
      <alignment horizontal="center" vertical="center"/>
    </xf>
    <xf numFmtId="0" fontId="89" fillId="72" borderId="31" xfId="0" applyFont="1" applyFill="1" applyBorder="1" applyAlignment="1">
      <alignment horizontal="center" vertical="center" wrapText="1"/>
    </xf>
    <xf numFmtId="0" fontId="89" fillId="72" borderId="29" xfId="0" applyFont="1" applyFill="1" applyBorder="1" applyAlignment="1">
      <alignment horizontal="center" vertical="center" wrapText="1"/>
    </xf>
    <xf numFmtId="0" fontId="89" fillId="72" borderId="30" xfId="0" applyFont="1" applyFill="1" applyBorder="1" applyAlignment="1">
      <alignment vertical="center" wrapText="1"/>
    </xf>
    <xf numFmtId="0" fontId="89" fillId="72" borderId="47" xfId="0" applyFont="1" applyFill="1" applyBorder="1" applyAlignment="1">
      <alignment vertical="center" wrapText="1"/>
    </xf>
    <xf numFmtId="0" fontId="89" fillId="72" borderId="51" xfId="0" applyFont="1" applyFill="1" applyBorder="1" applyAlignment="1">
      <alignment vertical="center" wrapText="1"/>
    </xf>
    <xf numFmtId="0" fontId="118" fillId="72" borderId="51" xfId="0" applyFont="1" applyFill="1" applyBorder="1" applyAlignment="1">
      <alignment vertical="center" wrapText="1"/>
    </xf>
    <xf numFmtId="0" fontId="118" fillId="72" borderId="27" xfId="0" applyFont="1" applyFill="1" applyBorder="1" applyAlignment="1">
      <alignment horizontal="center" vertical="center" wrapText="1"/>
    </xf>
    <xf numFmtId="0" fontId="118" fillId="72" borderId="29" xfId="0" applyFont="1" applyFill="1" applyBorder="1" applyAlignment="1">
      <alignment horizontal="center" vertical="center" wrapText="1"/>
    </xf>
    <xf numFmtId="0" fontId="89" fillId="72" borderId="51" xfId="0" quotePrefix="1" applyFont="1" applyFill="1" applyBorder="1" applyAlignment="1">
      <alignment horizontal="center" vertical="center"/>
    </xf>
    <xf numFmtId="0" fontId="89" fillId="72" borderId="29" xfId="0" quotePrefix="1" applyFont="1" applyFill="1" applyBorder="1" applyAlignment="1">
      <alignment horizontal="center" vertical="center" wrapText="1"/>
    </xf>
    <xf numFmtId="2" fontId="89" fillId="72" borderId="47" xfId="0" applyNumberFormat="1" applyFont="1" applyFill="1" applyBorder="1" applyAlignment="1">
      <alignment horizontal="center" vertical="center"/>
    </xf>
    <xf numFmtId="2" fontId="89" fillId="72" borderId="49" xfId="0" applyNumberFormat="1" applyFont="1" applyFill="1" applyBorder="1" applyAlignment="1">
      <alignment horizontal="center" vertical="center"/>
    </xf>
    <xf numFmtId="3" fontId="89" fillId="72" borderId="29" xfId="0" applyNumberFormat="1" applyFont="1" applyFill="1" applyBorder="1" applyAlignment="1">
      <alignment horizontal="center" vertical="center" wrapText="1"/>
    </xf>
    <xf numFmtId="1" fontId="89" fillId="72" borderId="27" xfId="0" applyNumberFormat="1" applyFont="1" applyFill="1" applyBorder="1" applyAlignment="1">
      <alignment horizontal="center" vertical="center"/>
    </xf>
    <xf numFmtId="1" fontId="89" fillId="72" borderId="51" xfId="0" applyNumberFormat="1" applyFont="1" applyFill="1" applyBorder="1" applyAlignment="1">
      <alignment horizontal="center" vertical="center"/>
    </xf>
    <xf numFmtId="1" fontId="89" fillId="72" borderId="31" xfId="0" applyNumberFormat="1" applyFont="1" applyFill="1" applyBorder="1" applyAlignment="1">
      <alignment horizontal="center" vertical="center" wrapText="1"/>
    </xf>
    <xf numFmtId="1" fontId="89" fillId="72" borderId="29" xfId="0" applyNumberFormat="1" applyFont="1" applyFill="1" applyBorder="1" applyAlignment="1">
      <alignment horizontal="center" vertical="center" wrapText="1"/>
    </xf>
    <xf numFmtId="2" fontId="70" fillId="72" borderId="0" xfId="0" applyNumberFormat="1" applyFont="1" applyFill="1" applyAlignment="1">
      <alignment horizontal="center"/>
    </xf>
    <xf numFmtId="0" fontId="89" fillId="72" borderId="50" xfId="0" applyFont="1" applyFill="1" applyBorder="1" applyAlignment="1">
      <alignment horizontal="center" vertical="center"/>
    </xf>
    <xf numFmtId="0" fontId="89" fillId="0" borderId="51" xfId="0" applyFont="1" applyBorder="1" applyAlignment="1">
      <alignment horizontal="center" vertical="center"/>
    </xf>
    <xf numFmtId="0" fontId="89" fillId="0" borderId="49" xfId="0" applyFont="1" applyBorder="1" applyAlignment="1">
      <alignment horizontal="center" vertical="center" wrapText="1"/>
    </xf>
    <xf numFmtId="0" fontId="89" fillId="0" borderId="29" xfId="0" applyFont="1" applyBorder="1" applyAlignment="1">
      <alignment horizontal="center" vertical="center" wrapText="1"/>
    </xf>
    <xf numFmtId="3" fontId="89" fillId="72" borderId="28" xfId="0" applyNumberFormat="1" applyFont="1" applyFill="1" applyBorder="1" applyAlignment="1">
      <alignment horizontal="center" vertical="center" wrapText="1"/>
    </xf>
    <xf numFmtId="3" fontId="89" fillId="0" borderId="29" xfId="0" applyNumberFormat="1" applyFont="1" applyBorder="1" applyAlignment="1">
      <alignment horizontal="center" vertical="center" wrapText="1"/>
    </xf>
    <xf numFmtId="43" fontId="89" fillId="72" borderId="66" xfId="0" applyNumberFormat="1" applyFont="1" applyFill="1" applyBorder="1" applyAlignment="1">
      <alignment horizontal="center" vertical="center"/>
    </xf>
    <xf numFmtId="184" fontId="89" fillId="72" borderId="29" xfId="0" applyNumberFormat="1" applyFont="1" applyFill="1" applyBorder="1" applyAlignment="1">
      <alignment horizontal="center" vertical="center" wrapText="1"/>
    </xf>
    <xf numFmtId="181" fontId="70" fillId="72" borderId="0" xfId="0" applyNumberFormat="1" applyFont="1" applyFill="1" applyAlignment="1">
      <alignment horizontal="center"/>
    </xf>
    <xf numFmtId="0" fontId="116" fillId="60" borderId="29" xfId="380" applyFont="1" applyFill="1" applyBorder="1" applyAlignment="1">
      <alignment horizontal="center" vertical="top" wrapText="1"/>
    </xf>
    <xf numFmtId="0" fontId="116" fillId="60" borderId="28" xfId="380" applyFont="1" applyFill="1" applyBorder="1" applyAlignment="1">
      <alignment horizontal="center" vertical="top" wrapText="1"/>
    </xf>
    <xf numFmtId="0" fontId="73" fillId="72" borderId="0" xfId="0" applyFont="1" applyFill="1" applyAlignment="1">
      <alignment vertical="center"/>
    </xf>
    <xf numFmtId="0" fontId="70" fillId="72" borderId="27" xfId="0" applyFont="1" applyFill="1" applyBorder="1" applyAlignment="1">
      <alignment horizontal="center" vertical="center"/>
    </xf>
    <xf numFmtId="0" fontId="70" fillId="72" borderId="51" xfId="0" applyFont="1" applyFill="1" applyBorder="1" applyAlignment="1">
      <alignment horizontal="center" vertical="center"/>
    </xf>
    <xf numFmtId="0" fontId="70" fillId="72" borderId="31" xfId="0" applyFont="1" applyFill="1" applyBorder="1" applyAlignment="1">
      <alignment horizontal="center" vertical="center" wrapText="1"/>
    </xf>
    <xf numFmtId="0" fontId="70" fillId="72" borderId="29" xfId="0" applyFont="1" applyFill="1" applyBorder="1" applyAlignment="1">
      <alignment horizontal="center" vertical="center" wrapText="1"/>
    </xf>
    <xf numFmtId="0" fontId="70" fillId="72" borderId="31" xfId="0" quotePrefix="1" applyFont="1" applyFill="1" applyBorder="1" applyAlignment="1">
      <alignment horizontal="center" vertical="center" wrapText="1"/>
    </xf>
    <xf numFmtId="0" fontId="70" fillId="72" borderId="29" xfId="0" quotePrefix="1" applyFont="1" applyFill="1" applyBorder="1" applyAlignment="1">
      <alignment horizontal="center" vertical="center" wrapText="1"/>
    </xf>
    <xf numFmtId="0" fontId="75" fillId="72" borderId="27" xfId="0" applyFont="1" applyFill="1" applyBorder="1" applyAlignment="1">
      <alignment horizontal="center" vertical="center" wrapText="1"/>
    </xf>
    <xf numFmtId="0" fontId="75" fillId="72" borderId="29" xfId="0" applyFont="1" applyFill="1" applyBorder="1" applyAlignment="1">
      <alignment horizontal="center" vertical="center" wrapText="1"/>
    </xf>
    <xf numFmtId="2" fontId="70" fillId="72" borderId="27" xfId="0" applyNumberFormat="1" applyFont="1" applyFill="1" applyBorder="1" applyAlignment="1">
      <alignment horizontal="center" vertical="center"/>
    </xf>
    <xf numFmtId="2" fontId="70" fillId="72" borderId="31" xfId="0" applyNumberFormat="1" applyFont="1" applyFill="1" applyBorder="1" applyAlignment="1">
      <alignment horizontal="center" vertical="center" wrapText="1"/>
    </xf>
    <xf numFmtId="2" fontId="70" fillId="72" borderId="29" xfId="0" applyNumberFormat="1" applyFont="1" applyFill="1" applyBorder="1" applyAlignment="1">
      <alignment horizontal="center" vertical="center" wrapText="1"/>
    </xf>
    <xf numFmtId="2" fontId="70" fillId="72" borderId="51" xfId="0" applyNumberFormat="1" applyFont="1" applyFill="1" applyBorder="1" applyAlignment="1">
      <alignment horizontal="center" vertical="center"/>
    </xf>
    <xf numFmtId="3" fontId="70" fillId="72" borderId="27" xfId="0" applyNumberFormat="1" applyFont="1" applyFill="1" applyBorder="1" applyAlignment="1">
      <alignment horizontal="center" vertical="center"/>
    </xf>
    <xf numFmtId="3" fontId="70" fillId="72" borderId="31" xfId="0" applyNumberFormat="1" applyFont="1" applyFill="1" applyBorder="1" applyAlignment="1">
      <alignment horizontal="center" vertical="center" wrapText="1"/>
    </xf>
    <xf numFmtId="3" fontId="70" fillId="72" borderId="29" xfId="0" applyNumberFormat="1" applyFont="1" applyFill="1" applyBorder="1" applyAlignment="1">
      <alignment horizontal="center" vertical="center" wrapText="1"/>
    </xf>
    <xf numFmtId="181" fontId="70" fillId="72" borderId="27" xfId="0" applyNumberFormat="1" applyFont="1" applyFill="1" applyBorder="1" applyAlignment="1">
      <alignment horizontal="center" vertical="center"/>
    </xf>
    <xf numFmtId="181" fontId="70" fillId="72" borderId="31" xfId="0" applyNumberFormat="1" applyFont="1" applyFill="1" applyBorder="1" applyAlignment="1">
      <alignment horizontal="center" vertical="center" wrapText="1"/>
    </xf>
    <xf numFmtId="181" fontId="70" fillId="72" borderId="29" xfId="0" applyNumberFormat="1" applyFont="1" applyFill="1" applyBorder="1" applyAlignment="1">
      <alignment horizontal="center" vertical="center" wrapText="1"/>
    </xf>
    <xf numFmtId="0" fontId="116" fillId="60" borderId="49" xfId="380" applyFont="1" applyFill="1" applyBorder="1" applyAlignment="1">
      <alignment horizontal="center" vertical="center" wrapText="1"/>
    </xf>
    <xf numFmtId="0" fontId="116" fillId="60" borderId="48" xfId="380" applyFont="1" applyFill="1" applyBorder="1" applyAlignment="1">
      <alignment vertical="top" wrapText="1"/>
    </xf>
    <xf numFmtId="0" fontId="89" fillId="60" borderId="50" xfId="380" applyFont="1" applyFill="1" applyBorder="1" applyAlignment="1">
      <alignment horizontal="center" vertical="center"/>
    </xf>
    <xf numFmtId="0" fontId="89" fillId="60" borderId="47" xfId="380" applyFont="1" applyFill="1" applyBorder="1" applyAlignment="1">
      <alignment horizontal="center" vertical="center" wrapText="1"/>
    </xf>
    <xf numFmtId="0" fontId="89" fillId="60" borderId="29" xfId="380" quotePrefix="1" applyFont="1" applyFill="1" applyBorder="1" applyAlignment="1">
      <alignment horizontal="center" vertical="center" wrapText="1"/>
    </xf>
    <xf numFmtId="0" fontId="89" fillId="60" borderId="31" xfId="380" applyFont="1" applyFill="1" applyBorder="1" applyAlignment="1">
      <alignment horizontal="center" vertical="center" wrapText="1"/>
    </xf>
    <xf numFmtId="181" fontId="89" fillId="60" borderId="50" xfId="380" applyNumberFormat="1" applyFont="1" applyFill="1" applyBorder="1" applyAlignment="1">
      <alignment horizontal="center" vertical="center"/>
    </xf>
    <xf numFmtId="0" fontId="89" fillId="60" borderId="47" xfId="380" quotePrefix="1" applyFont="1" applyFill="1" applyBorder="1" applyAlignment="1">
      <alignment horizontal="center" vertical="center" wrapText="1"/>
    </xf>
    <xf numFmtId="2" fontId="89" fillId="60" borderId="50" xfId="380" applyNumberFormat="1" applyFont="1" applyFill="1" applyBorder="1" applyAlignment="1">
      <alignment horizontal="center" vertical="center"/>
    </xf>
    <xf numFmtId="181" fontId="116" fillId="60" borderId="48" xfId="380" quotePrefix="1" applyNumberFormat="1" applyFont="1" applyFill="1" applyBorder="1" applyAlignment="1">
      <alignment horizontal="center" vertical="center" wrapText="1"/>
    </xf>
    <xf numFmtId="0" fontId="116" fillId="60" borderId="48" xfId="380" quotePrefix="1" applyFont="1" applyFill="1" applyBorder="1" applyAlignment="1">
      <alignment horizontal="center" vertical="center" wrapText="1"/>
    </xf>
    <xf numFmtId="0" fontId="116" fillId="60" borderId="49" xfId="380" quotePrefix="1" applyFont="1" applyFill="1" applyBorder="1" applyAlignment="1">
      <alignment horizontal="center" vertical="center" wrapText="1"/>
    </xf>
    <xf numFmtId="181" fontId="89" fillId="60" borderId="47" xfId="380" applyNumberFormat="1" applyFont="1" applyFill="1" applyBorder="1" applyAlignment="1">
      <alignment horizontal="center" vertical="center" wrapText="1"/>
    </xf>
    <xf numFmtId="181" fontId="116" fillId="60" borderId="48" xfId="380" applyNumberFormat="1" applyFont="1" applyFill="1" applyBorder="1" applyAlignment="1">
      <alignment horizontal="center" vertical="center" wrapText="1"/>
    </xf>
    <xf numFmtId="0" fontId="89" fillId="60" borderId="31" xfId="380" quotePrefix="1" applyFont="1" applyFill="1" applyBorder="1" applyAlignment="1">
      <alignment vertical="center" wrapText="1"/>
    </xf>
    <xf numFmtId="181" fontId="89" fillId="60" borderId="50" xfId="348" applyNumberFormat="1" applyFont="1" applyFill="1" applyBorder="1" applyAlignment="1">
      <alignment horizontal="center" vertical="center"/>
    </xf>
    <xf numFmtId="173" fontId="89" fillId="60" borderId="50" xfId="348" applyNumberFormat="1" applyFont="1" applyFill="1" applyBorder="1" applyAlignment="1">
      <alignment horizontal="center" vertical="center"/>
    </xf>
    <xf numFmtId="181" fontId="126" fillId="60" borderId="48" xfId="380" applyNumberFormat="1" applyFont="1" applyFill="1" applyBorder="1" applyAlignment="1">
      <alignment horizontal="center" vertical="center" wrapText="1"/>
    </xf>
    <xf numFmtId="0" fontId="126" fillId="60" borderId="48" xfId="380" applyFont="1" applyFill="1" applyBorder="1" applyAlignment="1">
      <alignment horizontal="center" vertical="center" wrapText="1"/>
    </xf>
    <xf numFmtId="0" fontId="126" fillId="60" borderId="49" xfId="380" applyFont="1" applyFill="1" applyBorder="1" applyAlignment="1">
      <alignment horizontal="center" vertical="center" wrapText="1"/>
    </xf>
    <xf numFmtId="181" fontId="127" fillId="60" borderId="47" xfId="380" applyNumberFormat="1" applyFont="1" applyFill="1" applyBorder="1" applyAlignment="1">
      <alignment horizontal="center" vertical="center" wrapText="1"/>
    </xf>
    <xf numFmtId="0" fontId="127" fillId="60" borderId="29" xfId="380" quotePrefix="1" applyFont="1" applyFill="1" applyBorder="1" applyAlignment="1">
      <alignment horizontal="center" vertical="center" wrapText="1"/>
    </xf>
    <xf numFmtId="181" fontId="127" fillId="60" borderId="50" xfId="380" applyNumberFormat="1" applyFont="1" applyFill="1" applyBorder="1" applyAlignment="1">
      <alignment horizontal="center" vertical="center"/>
    </xf>
    <xf numFmtId="0" fontId="127" fillId="60" borderId="47" xfId="380" applyFont="1" applyFill="1" applyBorder="1" applyAlignment="1">
      <alignment horizontal="center" vertical="center" wrapText="1"/>
    </xf>
    <xf numFmtId="0" fontId="127" fillId="60" borderId="29" xfId="380" applyFont="1" applyFill="1" applyBorder="1" applyAlignment="1">
      <alignment horizontal="center" vertical="center" wrapText="1"/>
    </xf>
    <xf numFmtId="2" fontId="89" fillId="60" borderId="47" xfId="380" applyNumberFormat="1" applyFont="1" applyFill="1" applyBorder="1" applyAlignment="1">
      <alignment horizontal="center" vertical="center"/>
    </xf>
    <xf numFmtId="0" fontId="70" fillId="60" borderId="0" xfId="380" applyFont="1" applyFill="1" applyAlignment="1">
      <alignment wrapText="1"/>
    </xf>
    <xf numFmtId="0" fontId="70" fillId="60" borderId="0" xfId="380" applyFont="1" applyFill="1" applyAlignment="1">
      <alignment horizontal="right" vertical="top" wrapText="1"/>
    </xf>
    <xf numFmtId="0" fontId="116" fillId="60" borderId="47" xfId="380" applyFont="1" applyFill="1" applyBorder="1" applyAlignment="1">
      <alignment vertical="top" wrapText="1"/>
    </xf>
    <xf numFmtId="0" fontId="116" fillId="60" borderId="48" xfId="380" applyFont="1" applyFill="1" applyBorder="1" applyAlignment="1">
      <alignment horizontal="center" vertical="top" wrapText="1"/>
    </xf>
    <xf numFmtId="0" fontId="89" fillId="60" borderId="31" xfId="380" applyFont="1" applyFill="1" applyBorder="1" applyAlignment="1">
      <alignment vertical="top" wrapText="1"/>
    </xf>
    <xf numFmtId="0" fontId="116" fillId="60" borderId="50" xfId="380" applyFont="1" applyFill="1" applyBorder="1" applyAlignment="1">
      <alignment vertical="top" wrapText="1"/>
    </xf>
    <xf numFmtId="0" fontId="116" fillId="60" borderId="49" xfId="380" applyFont="1" applyFill="1" applyBorder="1" applyAlignment="1">
      <alignment vertical="top" wrapText="1"/>
    </xf>
    <xf numFmtId="1" fontId="89" fillId="60" borderId="50" xfId="380" applyNumberFormat="1" applyFont="1" applyFill="1" applyBorder="1" applyAlignment="1">
      <alignment horizontal="center" vertical="center"/>
    </xf>
    <xf numFmtId="49" fontId="89" fillId="60" borderId="29" xfId="380" quotePrefix="1" applyNumberFormat="1" applyFont="1" applyFill="1" applyBorder="1" applyAlignment="1">
      <alignment horizontal="center" vertical="center" wrapText="1"/>
    </xf>
    <xf numFmtId="169" fontId="89" fillId="60" borderId="50" xfId="380" applyNumberFormat="1" applyFont="1" applyFill="1" applyBorder="1" applyAlignment="1">
      <alignment horizontal="center" vertical="center"/>
    </xf>
    <xf numFmtId="169" fontId="89" fillId="60" borderId="47" xfId="380" applyNumberFormat="1" applyFont="1" applyFill="1" applyBorder="1" applyAlignment="1">
      <alignment horizontal="center" vertical="center" wrapText="1"/>
    </xf>
    <xf numFmtId="1" fontId="89" fillId="60" borderId="47" xfId="380" applyNumberFormat="1" applyFont="1" applyFill="1" applyBorder="1" applyAlignment="1">
      <alignment horizontal="center" vertical="center" wrapText="1"/>
    </xf>
    <xf numFmtId="0" fontId="89" fillId="60" borderId="29" xfId="380" applyFont="1" applyFill="1" applyBorder="1" applyAlignment="1">
      <alignment horizontal="center" vertical="center" wrapText="1"/>
    </xf>
    <xf numFmtId="49" fontId="89" fillId="60" borderId="47" xfId="380" applyNumberFormat="1" applyFont="1" applyFill="1" applyBorder="1" applyAlignment="1">
      <alignment horizontal="center" vertical="center" wrapText="1"/>
    </xf>
    <xf numFmtId="0" fontId="118" fillId="60" borderId="48" xfId="380" quotePrefix="1" applyFont="1" applyFill="1" applyBorder="1" applyAlignment="1">
      <alignment vertical="center" wrapText="1"/>
    </xf>
    <xf numFmtId="0" fontId="118" fillId="60" borderId="48" xfId="380" quotePrefix="1" applyFont="1" applyFill="1" applyBorder="1" applyAlignment="1">
      <alignment horizontal="center" vertical="center" wrapText="1"/>
    </xf>
    <xf numFmtId="49" fontId="118" fillId="60" borderId="49" xfId="380" quotePrefix="1" applyNumberFormat="1" applyFont="1" applyFill="1" applyBorder="1" applyAlignment="1">
      <alignment horizontal="center" vertical="center" wrapText="1"/>
    </xf>
    <xf numFmtId="49" fontId="89" fillId="60" borderId="47" xfId="380" quotePrefix="1" applyNumberFormat="1" applyFont="1" applyFill="1" applyBorder="1" applyAlignment="1">
      <alignment horizontal="center" vertical="center" wrapText="1"/>
    </xf>
    <xf numFmtId="0" fontId="116" fillId="60" borderId="48" xfId="380" quotePrefix="1" applyFont="1" applyFill="1" applyBorder="1" applyAlignment="1">
      <alignment vertical="center" wrapText="1"/>
    </xf>
    <xf numFmtId="49" fontId="116" fillId="60" borderId="49" xfId="380" quotePrefix="1" applyNumberFormat="1" applyFont="1" applyFill="1" applyBorder="1" applyAlignment="1">
      <alignment horizontal="center" vertical="center" wrapText="1"/>
    </xf>
    <xf numFmtId="1" fontId="89" fillId="60" borderId="47" xfId="380" applyNumberFormat="1" applyFont="1" applyFill="1" applyBorder="1" applyAlignment="1">
      <alignment horizontal="center" vertical="center"/>
    </xf>
    <xf numFmtId="169" fontId="89" fillId="60" borderId="47" xfId="380" applyNumberFormat="1" applyFont="1" applyFill="1" applyBorder="1" applyAlignment="1">
      <alignment horizontal="center" vertical="center"/>
    </xf>
    <xf numFmtId="1" fontId="116" fillId="60" borderId="48" xfId="380" applyNumberFormat="1" applyFont="1" applyFill="1" applyBorder="1" applyAlignment="1">
      <alignment horizontal="left" vertical="center" wrapText="1"/>
    </xf>
    <xf numFmtId="0" fontId="116" fillId="60" borderId="48" xfId="380" applyFont="1" applyFill="1" applyBorder="1" applyAlignment="1">
      <alignment horizontal="left" vertical="center" wrapText="1"/>
    </xf>
    <xf numFmtId="49" fontId="116" fillId="60" borderId="49" xfId="380" applyNumberFormat="1" applyFont="1" applyFill="1" applyBorder="1" applyAlignment="1">
      <alignment horizontal="left" vertical="center" wrapText="1"/>
    </xf>
    <xf numFmtId="169" fontId="89" fillId="60" borderId="29" xfId="380" applyNumberFormat="1" applyFont="1" applyFill="1" applyBorder="1" applyAlignment="1">
      <alignment horizontal="center" vertical="center" wrapText="1"/>
    </xf>
    <xf numFmtId="181" fontId="89" fillId="60" borderId="29" xfId="380" applyNumberFormat="1" applyFont="1" applyFill="1" applyBorder="1" applyAlignment="1">
      <alignment horizontal="center" vertical="center" wrapText="1"/>
    </xf>
    <xf numFmtId="49" fontId="89" fillId="60" borderId="29" xfId="380" applyNumberFormat="1" applyFont="1" applyFill="1" applyBorder="1" applyAlignment="1">
      <alignment horizontal="center" vertical="center" wrapText="1"/>
    </xf>
    <xf numFmtId="9" fontId="89" fillId="60" borderId="47" xfId="271" applyFont="1" applyFill="1" applyBorder="1" applyAlignment="1">
      <alignment horizontal="center" vertical="center" wrapText="1"/>
    </xf>
    <xf numFmtId="169" fontId="89" fillId="60" borderId="47" xfId="380" quotePrefix="1" applyNumberFormat="1" applyFont="1" applyFill="1" applyBorder="1" applyAlignment="1">
      <alignment horizontal="center" vertical="center" wrapText="1"/>
    </xf>
    <xf numFmtId="49" fontId="116" fillId="60" borderId="49" xfId="380" applyNumberFormat="1" applyFont="1" applyFill="1" applyBorder="1" applyAlignment="1">
      <alignment vertical="center" wrapText="1"/>
    </xf>
    <xf numFmtId="0" fontId="89" fillId="60" borderId="51" xfId="380" applyFont="1" applyFill="1" applyBorder="1" applyAlignment="1">
      <alignment horizontal="left" vertical="center" wrapText="1"/>
    </xf>
    <xf numFmtId="3" fontId="89" fillId="60" borderId="47" xfId="380" applyNumberFormat="1" applyFont="1" applyFill="1" applyBorder="1" applyAlignment="1">
      <alignment horizontal="center" vertical="center" wrapText="1"/>
    </xf>
    <xf numFmtId="3" fontId="89" fillId="60" borderId="29" xfId="380" applyNumberFormat="1" applyFont="1" applyFill="1" applyBorder="1" applyAlignment="1">
      <alignment horizontal="center" vertical="center" wrapText="1"/>
    </xf>
    <xf numFmtId="0" fontId="116" fillId="0" borderId="48" xfId="380" applyFont="1" applyBorder="1" applyAlignment="1">
      <alignment horizontal="center" vertical="center" wrapText="1"/>
    </xf>
    <xf numFmtId="0" fontId="116" fillId="0" borderId="48" xfId="380" applyFont="1" applyBorder="1" applyAlignment="1">
      <alignment vertical="center" wrapText="1"/>
    </xf>
    <xf numFmtId="0" fontId="116" fillId="0" borderId="49" xfId="380" applyFont="1" applyBorder="1" applyAlignment="1">
      <alignment vertical="center" wrapText="1"/>
    </xf>
    <xf numFmtId="0" fontId="89" fillId="0" borderId="31" xfId="380" applyFont="1" applyBorder="1" applyAlignment="1">
      <alignment vertical="center" wrapText="1"/>
    </xf>
    <xf numFmtId="9" fontId="89" fillId="60" borderId="50" xfId="271" applyFont="1" applyFill="1" applyBorder="1" applyAlignment="1">
      <alignment horizontal="center" vertical="center"/>
    </xf>
    <xf numFmtId="9" fontId="89" fillId="60" borderId="47" xfId="380" applyNumberFormat="1" applyFont="1" applyFill="1" applyBorder="1" applyAlignment="1">
      <alignment horizontal="center" vertical="center" wrapText="1"/>
    </xf>
    <xf numFmtId="9" fontId="89" fillId="60" borderId="50" xfId="271" quotePrefix="1" applyFont="1" applyFill="1" applyBorder="1" applyAlignment="1">
      <alignment horizontal="center" vertical="center" wrapText="1"/>
    </xf>
    <xf numFmtId="0" fontId="89" fillId="60" borderId="36" xfId="380" applyFont="1" applyFill="1" applyBorder="1" applyAlignment="1">
      <alignment vertical="center" wrapText="1"/>
    </xf>
    <xf numFmtId="169" fontId="89" fillId="60" borderId="49" xfId="380" applyNumberFormat="1" applyFont="1" applyFill="1" applyBorder="1" applyAlignment="1">
      <alignment horizontal="center" vertical="center" wrapText="1"/>
    </xf>
    <xf numFmtId="2" fontId="89" fillId="60" borderId="49" xfId="380" applyNumberFormat="1" applyFont="1" applyFill="1" applyBorder="1" applyAlignment="1">
      <alignment horizontal="center" vertical="center" wrapText="1"/>
    </xf>
    <xf numFmtId="2" fontId="89" fillId="60" borderId="47" xfId="380" applyNumberFormat="1" applyFont="1" applyFill="1" applyBorder="1" applyAlignment="1">
      <alignment horizontal="center" vertical="center" wrapText="1"/>
    </xf>
    <xf numFmtId="0" fontId="89" fillId="60" borderId="47" xfId="271" applyNumberFormat="1" applyFont="1" applyFill="1" applyBorder="1" applyAlignment="1">
      <alignment horizontal="center" vertical="center" wrapText="1"/>
    </xf>
    <xf numFmtId="1" fontId="89" fillId="60" borderId="47" xfId="271" applyNumberFormat="1" applyFont="1" applyFill="1" applyBorder="1" applyAlignment="1">
      <alignment horizontal="center" vertical="center" wrapText="1"/>
    </xf>
    <xf numFmtId="3" fontId="89" fillId="60" borderId="49" xfId="271" applyNumberFormat="1" applyFont="1" applyFill="1" applyBorder="1" applyAlignment="1">
      <alignment horizontal="center" vertical="center" wrapText="1"/>
    </xf>
    <xf numFmtId="3" fontId="89" fillId="60" borderId="47" xfId="271" applyNumberFormat="1" applyFont="1" applyFill="1" applyBorder="1" applyAlignment="1">
      <alignment horizontal="center" vertical="center" wrapText="1"/>
    </xf>
    <xf numFmtId="187" fontId="89" fillId="60" borderId="50" xfId="380" applyNumberFormat="1" applyFont="1" applyFill="1" applyBorder="1" applyAlignment="1">
      <alignment horizontal="center" vertical="center"/>
    </xf>
    <xf numFmtId="3" fontId="89" fillId="60" borderId="50" xfId="271" applyNumberFormat="1" applyFont="1" applyFill="1" applyBorder="1" applyAlignment="1">
      <alignment horizontal="center" vertical="center" wrapText="1"/>
    </xf>
    <xf numFmtId="0" fontId="89" fillId="60" borderId="0" xfId="380" applyFont="1" applyFill="1" applyAlignment="1">
      <alignment horizontal="center" vertical="center"/>
    </xf>
    <xf numFmtId="187" fontId="89" fillId="60" borderId="47" xfId="380" quotePrefix="1" applyNumberFormat="1" applyFont="1" applyFill="1" applyBorder="1" applyAlignment="1">
      <alignment horizontal="center" vertical="center" wrapText="1"/>
    </xf>
    <xf numFmtId="187" fontId="118" fillId="60" borderId="48" xfId="380" quotePrefix="1" applyNumberFormat="1" applyFont="1" applyFill="1" applyBorder="1" applyAlignment="1">
      <alignment horizontal="center" vertical="center" wrapText="1"/>
    </xf>
    <xf numFmtId="0" fontId="118" fillId="60" borderId="49" xfId="380" quotePrefix="1" applyFont="1" applyFill="1" applyBorder="1" applyAlignment="1">
      <alignment horizontal="center" vertical="center" wrapText="1"/>
    </xf>
    <xf numFmtId="187" fontId="116" fillId="60" borderId="48" xfId="380" quotePrefix="1" applyNumberFormat="1" applyFont="1" applyFill="1" applyBorder="1" applyAlignment="1">
      <alignment horizontal="center" vertical="center" wrapText="1"/>
    </xf>
    <xf numFmtId="187" fontId="116" fillId="60" borderId="48" xfId="380" applyNumberFormat="1" applyFont="1" applyFill="1" applyBorder="1" applyAlignment="1">
      <alignment horizontal="center" vertical="center" wrapText="1"/>
    </xf>
    <xf numFmtId="0" fontId="89" fillId="60" borderId="0" xfId="380" applyFont="1" applyFill="1"/>
    <xf numFmtId="187" fontId="118" fillId="60" borderId="48" xfId="380" quotePrefix="1" applyNumberFormat="1" applyFont="1" applyFill="1" applyBorder="1" applyAlignment="1">
      <alignment vertical="center" wrapText="1"/>
    </xf>
    <xf numFmtId="187" fontId="116" fillId="60" borderId="48" xfId="380" quotePrefix="1" applyNumberFormat="1" applyFont="1" applyFill="1" applyBorder="1" applyAlignment="1">
      <alignment vertical="center" wrapText="1"/>
    </xf>
    <xf numFmtId="187" fontId="116" fillId="60" borderId="48" xfId="380" applyNumberFormat="1" applyFont="1" applyFill="1" applyBorder="1" applyAlignment="1">
      <alignment horizontal="left" vertical="center" wrapText="1"/>
    </xf>
    <xf numFmtId="0" fontId="116" fillId="60" borderId="49" xfId="380" applyFont="1" applyFill="1" applyBorder="1" applyAlignment="1">
      <alignment horizontal="left" vertical="center" wrapText="1"/>
    </xf>
    <xf numFmtId="184" fontId="89" fillId="60" borderId="47" xfId="380" applyNumberFormat="1" applyFont="1" applyFill="1" applyBorder="1" applyAlignment="1">
      <alignment horizontal="center" vertical="center" wrapText="1"/>
    </xf>
    <xf numFmtId="1" fontId="71" fillId="60" borderId="0" xfId="380" applyNumberFormat="1" applyFont="1" applyFill="1"/>
    <xf numFmtId="174" fontId="63" fillId="70" borderId="0" xfId="350" applyNumberFormat="1" applyFont="1" applyFill="1" applyProtection="1">
      <protection locked="0"/>
    </xf>
    <xf numFmtId="174" fontId="61" fillId="70" borderId="0" xfId="350" applyNumberFormat="1" applyFont="1" applyFill="1" applyProtection="1">
      <protection locked="0"/>
    </xf>
    <xf numFmtId="174" fontId="0" fillId="70" borderId="0" xfId="350" applyNumberFormat="1" applyFont="1" applyFill="1"/>
    <xf numFmtId="174" fontId="0" fillId="70" borderId="0" xfId="352" applyNumberFormat="1" applyFont="1" applyFill="1"/>
    <xf numFmtId="174" fontId="22" fillId="70" borderId="0" xfId="352" applyNumberFormat="1" applyFont="1" applyFill="1"/>
    <xf numFmtId="174" fontId="6" fillId="70" borderId="0" xfId="352" applyNumberFormat="1" applyFont="1" applyFill="1"/>
    <xf numFmtId="174" fontId="93" fillId="70" borderId="0" xfId="350" applyNumberFormat="1" applyFont="1" applyFill="1" applyProtection="1">
      <protection locked="0"/>
    </xf>
    <xf numFmtId="174" fontId="22" fillId="62" borderId="0" xfId="352" applyNumberFormat="1" applyFont="1" applyFill="1"/>
    <xf numFmtId="174" fontId="63" fillId="62" borderId="0" xfId="350" applyNumberFormat="1" applyFont="1" applyFill="1" applyProtection="1">
      <protection locked="0"/>
    </xf>
    <xf numFmtId="174" fontId="93" fillId="62" borderId="0" xfId="350" applyNumberFormat="1" applyFont="1" applyFill="1" applyProtection="1">
      <protection locked="0"/>
    </xf>
    <xf numFmtId="174" fontId="63" fillId="62" borderId="0" xfId="350" applyNumberFormat="1" applyFont="1" applyFill="1" applyBorder="1"/>
    <xf numFmtId="174" fontId="0" fillId="62" borderId="0" xfId="352" applyNumberFormat="1" applyFont="1" applyFill="1"/>
    <xf numFmtId="190" fontId="0" fillId="70" borderId="0" xfId="7" applyNumberFormat="1" applyFont="1" applyFill="1" applyBorder="1" applyAlignment="1">
      <alignment horizontal="right"/>
    </xf>
    <xf numFmtId="168" fontId="0" fillId="70" borderId="0" xfId="7" applyNumberFormat="1" applyFont="1" applyFill="1" applyBorder="1" applyAlignment="1">
      <alignment horizontal="right"/>
    </xf>
    <xf numFmtId="168" fontId="0" fillId="70" borderId="0" xfId="7" applyNumberFormat="1" applyFont="1" applyFill="1" applyBorder="1"/>
    <xf numFmtId="9" fontId="0" fillId="70" borderId="0" xfId="2" applyFont="1" applyFill="1" applyBorder="1"/>
    <xf numFmtId="0" fontId="70" fillId="72" borderId="0" xfId="0" applyFont="1" applyFill="1" applyAlignment="1">
      <alignment horizontal="left" vertical="center"/>
    </xf>
    <xf numFmtId="0" fontId="72" fillId="60" borderId="47" xfId="380" applyFont="1" applyFill="1" applyBorder="1" applyAlignment="1">
      <alignment vertical="center" wrapText="1"/>
    </xf>
    <xf numFmtId="2" fontId="70" fillId="60" borderId="0" xfId="380" applyNumberFormat="1" applyFont="1" applyFill="1" applyAlignment="1">
      <alignment vertical="top" wrapText="1"/>
    </xf>
    <xf numFmtId="3" fontId="70" fillId="60" borderId="52" xfId="380" applyNumberFormat="1" applyFont="1" applyFill="1" applyBorder="1" applyAlignment="1">
      <alignment horizontal="center" vertical="center" wrapText="1"/>
    </xf>
    <xf numFmtId="3" fontId="70" fillId="60" borderId="28" xfId="380" applyNumberFormat="1" applyFont="1" applyFill="1" applyBorder="1" applyAlignment="1">
      <alignment horizontal="center" vertical="center" wrapText="1"/>
    </xf>
    <xf numFmtId="0" fontId="70" fillId="60" borderId="50" xfId="380" applyFont="1" applyFill="1" applyBorder="1" applyAlignment="1">
      <alignment vertical="center" wrapText="1"/>
    </xf>
    <xf numFmtId="0" fontId="70" fillId="60" borderId="66" xfId="380" applyFont="1" applyFill="1" applyBorder="1" applyAlignment="1">
      <alignment horizontal="center"/>
    </xf>
    <xf numFmtId="9" fontId="70" fillId="60" borderId="0" xfId="271" applyFont="1" applyFill="1" applyAlignment="1">
      <alignment horizontal="center" vertical="top" wrapText="1"/>
    </xf>
    <xf numFmtId="1" fontId="86" fillId="0" borderId="50" xfId="380" applyNumberFormat="1" applyFont="1" applyBorder="1" applyAlignment="1">
      <alignment horizontal="center" vertical="center"/>
    </xf>
    <xf numFmtId="1" fontId="86" fillId="0" borderId="47" xfId="380" applyNumberFormat="1" applyFont="1" applyBorder="1" applyAlignment="1">
      <alignment horizontal="center" vertical="center"/>
    </xf>
    <xf numFmtId="1" fontId="86" fillId="0" borderId="48" xfId="380" applyNumberFormat="1" applyFont="1" applyBorder="1" applyAlignment="1">
      <alignment horizontal="center" vertical="center"/>
    </xf>
    <xf numFmtId="0" fontId="86" fillId="0" borderId="47" xfId="380" applyFont="1" applyBorder="1" applyAlignment="1">
      <alignment horizontal="center" vertical="center" wrapText="1"/>
    </xf>
    <xf numFmtId="0" fontId="86" fillId="0" borderId="29" xfId="380" applyFont="1" applyBorder="1" applyAlignment="1">
      <alignment horizontal="center" vertical="center" wrapText="1"/>
    </xf>
    <xf numFmtId="0" fontId="86" fillId="0" borderId="47" xfId="380" quotePrefix="1" applyFont="1" applyBorder="1" applyAlignment="1">
      <alignment horizontal="center" vertical="center" wrapText="1"/>
    </xf>
    <xf numFmtId="0" fontId="86" fillId="0" borderId="31" xfId="380" applyFont="1" applyBorder="1" applyAlignment="1">
      <alignment horizontal="center" vertical="center" wrapText="1"/>
    </xf>
    <xf numFmtId="0" fontId="86" fillId="0" borderId="31" xfId="380" quotePrefix="1" applyFont="1" applyBorder="1" applyAlignment="1">
      <alignment horizontal="center" vertical="center" wrapText="1"/>
    </xf>
    <xf numFmtId="0" fontId="86" fillId="0" borderId="29" xfId="380" quotePrefix="1" applyFont="1" applyBorder="1" applyAlignment="1">
      <alignment horizontal="center" vertical="center" wrapText="1"/>
    </xf>
    <xf numFmtId="169" fontId="86" fillId="0" borderId="50" xfId="380" applyNumberFormat="1" applyFont="1" applyBorder="1" applyAlignment="1">
      <alignment horizontal="center" vertical="center"/>
    </xf>
    <xf numFmtId="169" fontId="86" fillId="0" borderId="47" xfId="380" applyNumberFormat="1" applyFont="1" applyBorder="1" applyAlignment="1">
      <alignment horizontal="center" vertical="center"/>
    </xf>
    <xf numFmtId="0" fontId="119" fillId="0" borderId="48" xfId="380" quotePrefix="1" applyFont="1" applyBorder="1" applyAlignment="1">
      <alignment vertical="center" wrapText="1"/>
    </xf>
    <xf numFmtId="0" fontId="119" fillId="0" borderId="49" xfId="380" quotePrefix="1" applyFont="1" applyBorder="1" applyAlignment="1">
      <alignment vertical="center" wrapText="1"/>
    </xf>
    <xf numFmtId="0" fontId="119" fillId="0" borderId="48" xfId="380" quotePrefix="1" applyFont="1" applyBorder="1" applyAlignment="1">
      <alignment horizontal="center" vertical="center" wrapText="1"/>
    </xf>
    <xf numFmtId="0" fontId="119" fillId="0" borderId="49" xfId="380" quotePrefix="1" applyFont="1" applyBorder="1" applyAlignment="1">
      <alignment horizontal="center" vertical="center" wrapText="1"/>
    </xf>
    <xf numFmtId="169" fontId="86" fillId="0" borderId="47" xfId="380" quotePrefix="1" applyNumberFormat="1" applyFont="1" applyBorder="1" applyAlignment="1">
      <alignment horizontal="center" vertical="center" wrapText="1"/>
    </xf>
    <xf numFmtId="0" fontId="120" fillId="0" borderId="48" xfId="380" quotePrefix="1" applyFont="1" applyBorder="1" applyAlignment="1">
      <alignment vertical="center" wrapText="1"/>
    </xf>
    <xf numFmtId="0" fontId="120" fillId="0" borderId="49" xfId="380" quotePrefix="1" applyFont="1" applyBorder="1" applyAlignment="1">
      <alignment vertical="center" wrapText="1"/>
    </xf>
    <xf numFmtId="0" fontId="120" fillId="0" borderId="48" xfId="380" quotePrefix="1" applyFont="1" applyBorder="1" applyAlignment="1">
      <alignment horizontal="center" vertical="center" wrapText="1"/>
    </xf>
    <xf numFmtId="0" fontId="120" fillId="0" borderId="49" xfId="380" quotePrefix="1" applyFont="1" applyBorder="1" applyAlignment="1">
      <alignment horizontal="center" vertical="center" wrapText="1"/>
    </xf>
    <xf numFmtId="1" fontId="120" fillId="0" borderId="48" xfId="380" applyNumberFormat="1" applyFont="1" applyBorder="1" applyAlignment="1">
      <alignment horizontal="left" vertical="center" wrapText="1"/>
    </xf>
    <xf numFmtId="0" fontId="120" fillId="0" borderId="48" xfId="380" applyFont="1" applyBorder="1" applyAlignment="1">
      <alignment horizontal="left" vertical="center" wrapText="1"/>
    </xf>
    <xf numFmtId="0" fontId="120" fillId="0" borderId="49" xfId="380" applyFont="1" applyBorder="1" applyAlignment="1">
      <alignment horizontal="left" vertical="center" wrapText="1"/>
    </xf>
    <xf numFmtId="1" fontId="86" fillId="0" borderId="47" xfId="380" applyNumberFormat="1" applyFont="1" applyBorder="1" applyAlignment="1">
      <alignment horizontal="center" vertical="center" wrapText="1"/>
    </xf>
    <xf numFmtId="169" fontId="86" fillId="0" borderId="29" xfId="380" applyNumberFormat="1" applyFont="1" applyBorder="1" applyAlignment="1">
      <alignment horizontal="center" vertical="center" wrapText="1"/>
    </xf>
    <xf numFmtId="181" fontId="86" fillId="0" borderId="29" xfId="380" applyNumberFormat="1" applyFont="1" applyBorder="1" applyAlignment="1">
      <alignment horizontal="center" vertical="center" wrapText="1"/>
    </xf>
    <xf numFmtId="2" fontId="86" fillId="0" borderId="50" xfId="380" applyNumberFormat="1" applyFont="1" applyBorder="1" applyAlignment="1">
      <alignment horizontal="center" vertical="center"/>
    </xf>
    <xf numFmtId="2" fontId="86" fillId="0" borderId="47" xfId="380" applyNumberFormat="1" applyFont="1" applyBorder="1" applyAlignment="1">
      <alignment horizontal="center" vertical="center"/>
    </xf>
    <xf numFmtId="0" fontId="86" fillId="0" borderId="49" xfId="380" quotePrefix="1" applyFont="1" applyBorder="1" applyAlignment="1">
      <alignment horizontal="center" vertical="center" wrapText="1"/>
    </xf>
    <xf numFmtId="184" fontId="86" fillId="0" borderId="49" xfId="380" applyNumberFormat="1" applyFont="1" applyBorder="1" applyAlignment="1">
      <alignment horizontal="center" vertical="center" wrapText="1"/>
    </xf>
    <xf numFmtId="184" fontId="86" fillId="0" borderId="47" xfId="380" applyNumberFormat="1" applyFont="1" applyBorder="1" applyAlignment="1">
      <alignment horizontal="center" vertical="center" wrapText="1"/>
    </xf>
    <xf numFmtId="0" fontId="83" fillId="0" borderId="47" xfId="0" applyFont="1" applyBorder="1" applyAlignment="1">
      <alignment horizontal="center" vertical="center"/>
    </xf>
    <xf numFmtId="3" fontId="86" fillId="0" borderId="47" xfId="380" applyNumberFormat="1" applyFont="1" applyBorder="1" applyAlignment="1">
      <alignment horizontal="center" vertical="center" wrapText="1"/>
    </xf>
    <xf numFmtId="0" fontId="120" fillId="0" borderId="48" xfId="380" applyFont="1" applyBorder="1" applyAlignment="1">
      <alignment vertical="center" wrapText="1"/>
    </xf>
    <xf numFmtId="0" fontId="120" fillId="0" borderId="49" xfId="380" applyFont="1" applyBorder="1" applyAlignment="1">
      <alignment vertical="center" wrapText="1"/>
    </xf>
    <xf numFmtId="3" fontId="86" fillId="0" borderId="47" xfId="0" applyNumberFormat="1" applyFont="1" applyBorder="1" applyAlignment="1">
      <alignment horizontal="center" vertical="center" wrapText="1"/>
    </xf>
    <xf numFmtId="3" fontId="86" fillId="0" borderId="29" xfId="380" applyNumberFormat="1" applyFont="1" applyBorder="1" applyAlignment="1">
      <alignment horizontal="center" vertical="center" wrapText="1"/>
    </xf>
    <xf numFmtId="4" fontId="86" fillId="0" borderId="47" xfId="0" applyNumberFormat="1" applyFont="1" applyBorder="1" applyAlignment="1">
      <alignment horizontal="center" vertical="center" wrapText="1"/>
    </xf>
    <xf numFmtId="0" fontId="86" fillId="0" borderId="49" xfId="0" applyFont="1" applyBorder="1" applyAlignment="1">
      <alignment horizontal="center" vertical="center"/>
    </xf>
    <xf numFmtId="0" fontId="86" fillId="0" borderId="47" xfId="0" applyFont="1" applyBorder="1" applyAlignment="1">
      <alignment horizontal="center" vertical="center"/>
    </xf>
    <xf numFmtId="9" fontId="86" fillId="0" borderId="49" xfId="0" applyNumberFormat="1" applyFont="1" applyBorder="1" applyAlignment="1">
      <alignment horizontal="center" vertical="center"/>
    </xf>
    <xf numFmtId="9" fontId="86" fillId="0" borderId="47" xfId="0" applyNumberFormat="1" applyFont="1" applyBorder="1" applyAlignment="1">
      <alignment horizontal="center" vertical="center"/>
    </xf>
    <xf numFmtId="184" fontId="86" fillId="0" borderId="47" xfId="0" applyNumberFormat="1" applyFont="1" applyBorder="1" applyAlignment="1">
      <alignment horizontal="center" vertical="center" wrapText="1"/>
    </xf>
    <xf numFmtId="0" fontId="86" fillId="0" borderId="32" xfId="0" applyFont="1" applyBorder="1" applyAlignment="1">
      <alignment horizontal="center" vertical="center"/>
    </xf>
    <xf numFmtId="0" fontId="86" fillId="0" borderId="52" xfId="0" applyFont="1" applyBorder="1" applyAlignment="1">
      <alignment horizontal="center" vertical="center"/>
    </xf>
    <xf numFmtId="3" fontId="86" fillId="0" borderId="52" xfId="380" applyNumberFormat="1" applyFont="1" applyBorder="1" applyAlignment="1">
      <alignment horizontal="center" vertical="center" wrapText="1"/>
    </xf>
    <xf numFmtId="0" fontId="120" fillId="0" borderId="48" xfId="0" applyFont="1" applyBorder="1" applyAlignment="1">
      <alignment vertical="center" wrapText="1"/>
    </xf>
    <xf numFmtId="3" fontId="86" fillId="0" borderId="48" xfId="380" applyNumberFormat="1" applyFont="1" applyBorder="1" applyAlignment="1">
      <alignment horizontal="center" vertical="center" wrapText="1"/>
    </xf>
    <xf numFmtId="3" fontId="86" fillId="0" borderId="31" xfId="0" applyNumberFormat="1" applyFont="1" applyBorder="1" applyAlignment="1">
      <alignment horizontal="center" vertical="center" wrapText="1"/>
    </xf>
    <xf numFmtId="1" fontId="86" fillId="0" borderId="31" xfId="0" applyNumberFormat="1" applyFont="1" applyBorder="1" applyAlignment="1">
      <alignment horizontal="center" vertical="center"/>
    </xf>
    <xf numFmtId="2" fontId="86" fillId="0" borderId="47" xfId="0" applyNumberFormat="1" applyFont="1" applyBorder="1" applyAlignment="1">
      <alignment horizontal="center" vertical="center" wrapText="1"/>
    </xf>
    <xf numFmtId="3" fontId="80" fillId="60" borderId="47" xfId="271" applyNumberFormat="1" applyFont="1" applyFill="1" applyBorder="1" applyAlignment="1">
      <alignment horizontal="center" vertical="center" wrapText="1"/>
    </xf>
    <xf numFmtId="0" fontId="120" fillId="60" borderId="47" xfId="380" applyFont="1" applyFill="1" applyBorder="1" applyAlignment="1">
      <alignment vertical="center" wrapText="1"/>
    </xf>
    <xf numFmtId="0" fontId="120" fillId="60" borderId="48" xfId="380" applyFont="1" applyFill="1" applyBorder="1" applyAlignment="1">
      <alignment horizontal="center" vertical="center" wrapText="1"/>
    </xf>
    <xf numFmtId="0" fontId="86" fillId="60" borderId="31" xfId="380" applyFont="1" applyFill="1" applyBorder="1" applyAlignment="1">
      <alignment vertical="center" wrapText="1"/>
    </xf>
    <xf numFmtId="0" fontId="120" fillId="60" borderId="50" xfId="380" applyFont="1" applyFill="1" applyBorder="1" applyAlignment="1">
      <alignment vertical="center" wrapText="1"/>
    </xf>
    <xf numFmtId="0" fontId="86" fillId="60" borderId="47" xfId="380" applyFont="1" applyFill="1" applyBorder="1" applyAlignment="1">
      <alignment vertical="center" wrapText="1"/>
    </xf>
    <xf numFmtId="0" fontId="86" fillId="60" borderId="30" xfId="380" applyFont="1" applyFill="1" applyBorder="1" applyAlignment="1">
      <alignment vertical="center" wrapText="1"/>
    </xf>
    <xf numFmtId="0" fontId="86" fillId="60" borderId="51" xfId="380" applyFont="1" applyFill="1" applyBorder="1" applyAlignment="1">
      <alignment vertical="center" wrapText="1"/>
    </xf>
    <xf numFmtId="0" fontId="119" fillId="60" borderId="50" xfId="380" applyFont="1" applyFill="1" applyBorder="1" applyAlignment="1">
      <alignment horizontal="left" vertical="center" wrapText="1"/>
    </xf>
    <xf numFmtId="0" fontId="120" fillId="60" borderId="50" xfId="380" applyFont="1" applyFill="1" applyBorder="1" applyAlignment="1">
      <alignment horizontal="left" vertical="center" wrapText="1"/>
    </xf>
    <xf numFmtId="0" fontId="120" fillId="60" borderId="55" xfId="380" applyFont="1" applyFill="1" applyBorder="1" applyAlignment="1">
      <alignment horizontal="left" vertical="center" wrapText="1"/>
    </xf>
    <xf numFmtId="2" fontId="86" fillId="60" borderId="66" xfId="380" applyNumberFormat="1" applyFont="1" applyFill="1" applyBorder="1" applyAlignment="1">
      <alignment horizontal="center" vertical="center"/>
    </xf>
    <xf numFmtId="184" fontId="86" fillId="60" borderId="31" xfId="380" applyNumberFormat="1" applyFont="1" applyFill="1" applyBorder="1" applyAlignment="1">
      <alignment horizontal="center" vertical="center" wrapText="1"/>
    </xf>
    <xf numFmtId="0" fontId="86" fillId="60" borderId="47" xfId="0" applyFont="1" applyFill="1" applyBorder="1" applyAlignment="1">
      <alignment vertical="center" wrapText="1"/>
    </xf>
    <xf numFmtId="0" fontId="86" fillId="60" borderId="52" xfId="0" applyFont="1" applyFill="1" applyBorder="1" applyAlignment="1">
      <alignment vertical="center" wrapText="1"/>
    </xf>
    <xf numFmtId="0" fontId="120" fillId="60" borderId="50" xfId="0" applyFont="1" applyFill="1" applyBorder="1" applyAlignment="1">
      <alignment vertical="center" wrapText="1"/>
    </xf>
    <xf numFmtId="0" fontId="86" fillId="60" borderId="31" xfId="0" applyFont="1" applyFill="1" applyBorder="1" applyAlignment="1">
      <alignment vertical="center" wrapText="1"/>
    </xf>
    <xf numFmtId="181" fontId="86" fillId="60" borderId="50" xfId="380" applyNumberFormat="1" applyFont="1" applyFill="1" applyBorder="1" applyAlignment="1">
      <alignment horizontal="center" vertical="center"/>
    </xf>
    <xf numFmtId="3" fontId="86" fillId="60" borderId="29" xfId="380" quotePrefix="1" applyNumberFormat="1" applyFont="1" applyFill="1" applyBorder="1" applyAlignment="1">
      <alignment horizontal="center" vertical="center" wrapText="1"/>
    </xf>
    <xf numFmtId="0" fontId="89" fillId="60" borderId="31" xfId="380" quotePrefix="1" applyFont="1" applyFill="1" applyBorder="1" applyAlignment="1">
      <alignment horizontal="center" vertical="center" wrapText="1"/>
    </xf>
    <xf numFmtId="0" fontId="118" fillId="60" borderId="55" xfId="380" quotePrefix="1" applyFont="1" applyFill="1" applyBorder="1" applyAlignment="1">
      <alignment horizontal="center" vertical="center" wrapText="1"/>
    </xf>
    <xf numFmtId="0" fontId="116" fillId="60" borderId="55" xfId="380" applyFont="1" applyFill="1" applyBorder="1" applyAlignment="1">
      <alignment horizontal="left" vertical="center" wrapText="1"/>
    </xf>
    <xf numFmtId="184" fontId="89" fillId="60" borderId="31" xfId="380" applyNumberFormat="1" applyFont="1" applyFill="1" applyBorder="1" applyAlignment="1">
      <alignment horizontal="center" vertical="center" wrapText="1"/>
    </xf>
    <xf numFmtId="167" fontId="89" fillId="60" borderId="50" xfId="271" applyNumberFormat="1" applyFont="1" applyFill="1" applyBorder="1" applyAlignment="1">
      <alignment horizontal="center" vertical="center"/>
    </xf>
    <xf numFmtId="1" fontId="89" fillId="60" borderId="66" xfId="380" applyNumberFormat="1" applyFont="1" applyFill="1" applyBorder="1" applyAlignment="1">
      <alignment horizontal="center" vertical="center"/>
    </xf>
    <xf numFmtId="4" fontId="89" fillId="60" borderId="47" xfId="380" applyNumberFormat="1" applyFont="1" applyFill="1" applyBorder="1" applyAlignment="1">
      <alignment horizontal="center" vertical="center" wrapText="1"/>
    </xf>
    <xf numFmtId="169" fontId="89" fillId="60" borderId="66" xfId="380" applyNumberFormat="1" applyFont="1" applyFill="1" applyBorder="1" applyAlignment="1">
      <alignment horizontal="center" vertical="center"/>
    </xf>
    <xf numFmtId="9" fontId="89" fillId="60" borderId="47" xfId="271" quotePrefix="1" applyFont="1" applyFill="1" applyBorder="1" applyAlignment="1">
      <alignment horizontal="center" vertical="center" wrapText="1"/>
    </xf>
    <xf numFmtId="184" fontId="89" fillId="60" borderId="50" xfId="380" applyNumberFormat="1" applyFont="1" applyFill="1" applyBorder="1" applyAlignment="1">
      <alignment horizontal="center" vertical="center"/>
    </xf>
    <xf numFmtId="0" fontId="73" fillId="60" borderId="0" xfId="380" applyFont="1" applyFill="1" applyAlignment="1">
      <alignment horizontal="left" vertical="top"/>
    </xf>
    <xf numFmtId="0" fontId="116" fillId="60" borderId="47" xfId="380" applyFont="1" applyFill="1" applyBorder="1" applyAlignment="1">
      <alignment horizontal="left" vertical="center" wrapText="1"/>
    </xf>
    <xf numFmtId="0" fontId="127" fillId="60" borderId="31" xfId="380" applyFont="1" applyFill="1" applyBorder="1" applyAlignment="1">
      <alignment horizontal="left" vertical="center" wrapText="1"/>
    </xf>
    <xf numFmtId="0" fontId="72" fillId="60" borderId="0" xfId="380" applyFont="1" applyFill="1" applyAlignment="1">
      <alignment horizontal="center" vertical="center" wrapText="1"/>
    </xf>
    <xf numFmtId="0" fontId="106" fillId="60" borderId="0" xfId="380" applyFont="1" applyFill="1" applyAlignment="1">
      <alignment vertical="center"/>
    </xf>
    <xf numFmtId="171" fontId="89" fillId="60" borderId="47" xfId="348" applyNumberFormat="1" applyFont="1" applyFill="1" applyBorder="1" applyAlignment="1">
      <alignment horizontal="center" vertical="center" wrapText="1"/>
    </xf>
    <xf numFmtId="0" fontId="89" fillId="60" borderId="31" xfId="380" applyFont="1" applyFill="1" applyBorder="1" applyAlignment="1">
      <alignment horizontal="left" vertical="center" wrapText="1"/>
    </xf>
    <xf numFmtId="1" fontId="116" fillId="60" borderId="48" xfId="380" applyNumberFormat="1" applyFont="1" applyFill="1" applyBorder="1" applyAlignment="1">
      <alignment horizontal="center" vertical="center" wrapText="1"/>
    </xf>
    <xf numFmtId="173" fontId="89" fillId="60" borderId="47" xfId="348" quotePrefix="1" applyNumberFormat="1" applyFont="1" applyFill="1" applyBorder="1" applyAlignment="1">
      <alignment horizontal="center" vertical="center" wrapText="1"/>
    </xf>
    <xf numFmtId="0" fontId="89" fillId="60" borderId="47" xfId="380" applyFont="1" applyFill="1" applyBorder="1" applyAlignment="1">
      <alignment horizontal="left" vertical="center" wrapText="1"/>
    </xf>
    <xf numFmtId="173" fontId="89" fillId="60" borderId="47" xfId="348" applyNumberFormat="1" applyFont="1" applyFill="1" applyBorder="1" applyAlignment="1">
      <alignment horizontal="center" vertical="center" wrapText="1"/>
    </xf>
    <xf numFmtId="192" fontId="106" fillId="60" borderId="0" xfId="380" applyNumberFormat="1" applyFont="1" applyFill="1"/>
    <xf numFmtId="0" fontId="89" fillId="60" borderId="30" xfId="380" applyFont="1" applyFill="1" applyBorder="1" applyAlignment="1">
      <alignment horizontal="left" vertical="center" wrapText="1"/>
    </xf>
    <xf numFmtId="169" fontId="89" fillId="60" borderId="50" xfId="348" applyNumberFormat="1" applyFont="1" applyFill="1" applyBorder="1" applyAlignment="1">
      <alignment horizontal="center" vertical="center"/>
    </xf>
    <xf numFmtId="9" fontId="89" fillId="60" borderId="47" xfId="380" quotePrefix="1" applyNumberFormat="1" applyFont="1" applyFill="1" applyBorder="1" applyAlignment="1">
      <alignment horizontal="center" vertical="center" wrapText="1"/>
    </xf>
    <xf numFmtId="173" fontId="89" fillId="60" borderId="47" xfId="348" applyNumberFormat="1" applyFont="1" applyFill="1" applyBorder="1" applyAlignment="1">
      <alignment vertical="center" wrapText="1"/>
    </xf>
    <xf numFmtId="184" fontId="89" fillId="60" borderId="50" xfId="380" quotePrefix="1" applyNumberFormat="1" applyFont="1" applyFill="1" applyBorder="1" applyAlignment="1">
      <alignment horizontal="center" vertical="center"/>
    </xf>
    <xf numFmtId="0" fontId="89" fillId="60" borderId="47" xfId="383" applyFont="1" applyFill="1" applyBorder="1" applyAlignment="1">
      <alignment horizontal="center" vertical="center" wrapText="1"/>
    </xf>
    <xf numFmtId="1" fontId="89" fillId="60" borderId="47" xfId="383" applyNumberFormat="1" applyFont="1" applyFill="1" applyBorder="1" applyAlignment="1">
      <alignment horizontal="center" vertical="center" wrapText="1"/>
    </xf>
    <xf numFmtId="184" fontId="89" fillId="60" borderId="47" xfId="271" applyNumberFormat="1" applyFont="1" applyFill="1" applyBorder="1" applyAlignment="1">
      <alignment horizontal="center" vertical="center" wrapText="1"/>
    </xf>
    <xf numFmtId="4" fontId="89" fillId="60" borderId="47" xfId="271" applyNumberFormat="1" applyFont="1" applyFill="1" applyBorder="1" applyAlignment="1">
      <alignment horizontal="center" vertical="center" wrapText="1"/>
    </xf>
    <xf numFmtId="0" fontId="89" fillId="60" borderId="28" xfId="380" applyFont="1" applyFill="1" applyBorder="1" applyAlignment="1">
      <alignment horizontal="center" vertical="center" wrapText="1"/>
    </xf>
    <xf numFmtId="175" fontId="89" fillId="60" borderId="50" xfId="348" applyNumberFormat="1" applyFont="1" applyFill="1" applyBorder="1" applyAlignment="1">
      <alignment horizontal="center" vertical="center"/>
    </xf>
    <xf numFmtId="175" fontId="89" fillId="60" borderId="0" xfId="380" applyNumberFormat="1" applyFont="1" applyFill="1" applyAlignment="1">
      <alignment horizontal="center" vertical="center"/>
    </xf>
    <xf numFmtId="0" fontId="89" fillId="60" borderId="66" xfId="380" applyFont="1" applyFill="1" applyBorder="1" applyAlignment="1">
      <alignment horizontal="center" vertical="center" wrapText="1"/>
    </xf>
    <xf numFmtId="169" fontId="89" fillId="60" borderId="47" xfId="271" applyNumberFormat="1" applyFont="1" applyFill="1" applyBorder="1" applyAlignment="1">
      <alignment horizontal="center" vertical="center" wrapText="1"/>
    </xf>
    <xf numFmtId="0" fontId="87" fillId="71" borderId="47" xfId="0" applyFont="1" applyFill="1" applyBorder="1" applyAlignment="1">
      <alignment horizontal="left" vertical="center"/>
    </xf>
    <xf numFmtId="0" fontId="87" fillId="71" borderId="47" xfId="0" applyFont="1" applyFill="1" applyBorder="1" applyAlignment="1">
      <alignment horizontal="center" vertical="center"/>
    </xf>
    <xf numFmtId="0" fontId="88" fillId="71" borderId="52" xfId="0" applyFont="1" applyFill="1" applyBorder="1" applyAlignment="1">
      <alignment horizontal="left" vertical="center"/>
    </xf>
    <xf numFmtId="0" fontId="87" fillId="71" borderId="52" xfId="0" applyFont="1" applyFill="1" applyBorder="1" applyAlignment="1">
      <alignment horizontal="center" vertical="center"/>
    </xf>
    <xf numFmtId="0" fontId="88" fillId="71" borderId="47" xfId="0" applyFont="1" applyFill="1" applyBorder="1" applyAlignment="1">
      <alignment horizontal="left" vertical="center"/>
    </xf>
    <xf numFmtId="0" fontId="87" fillId="71" borderId="50" xfId="0" applyFont="1" applyFill="1" applyBorder="1" applyAlignment="1">
      <alignment horizontal="left" vertical="center"/>
    </xf>
    <xf numFmtId="0" fontId="87" fillId="71" borderId="48" xfId="0" applyFont="1" applyFill="1" applyBorder="1" applyAlignment="1">
      <alignment horizontal="left" vertical="center"/>
    </xf>
    <xf numFmtId="0" fontId="87" fillId="71" borderId="48" xfId="0" applyFont="1" applyFill="1" applyBorder="1" applyAlignment="1">
      <alignment horizontal="center" vertical="center"/>
    </xf>
    <xf numFmtId="0" fontId="87" fillId="71" borderId="49" xfId="0" applyFont="1" applyFill="1" applyBorder="1" applyAlignment="1">
      <alignment horizontal="left" vertical="center"/>
    </xf>
    <xf numFmtId="0" fontId="87" fillId="71" borderId="0" xfId="0" applyFont="1" applyFill="1" applyAlignment="1">
      <alignment horizontal="left" vertical="center"/>
    </xf>
    <xf numFmtId="0" fontId="88" fillId="71" borderId="31" xfId="0" applyFont="1" applyFill="1" applyBorder="1" applyAlignment="1">
      <alignment horizontal="left" vertical="center" wrapText="1"/>
    </xf>
    <xf numFmtId="0" fontId="88" fillId="71" borderId="31" xfId="0" applyFont="1" applyFill="1" applyBorder="1" applyAlignment="1">
      <alignment horizontal="center" vertical="center"/>
    </xf>
    <xf numFmtId="0" fontId="88" fillId="71" borderId="47" xfId="0" applyFont="1" applyFill="1" applyBorder="1" applyAlignment="1">
      <alignment horizontal="left" vertical="center" wrapText="1"/>
    </xf>
    <xf numFmtId="0" fontId="88" fillId="71" borderId="47" xfId="0" applyFont="1" applyFill="1" applyBorder="1" applyAlignment="1">
      <alignment horizontal="center" vertical="center"/>
    </xf>
    <xf numFmtId="0" fontId="88" fillId="71" borderId="47" xfId="0" quotePrefix="1" applyFont="1" applyFill="1" applyBorder="1" applyAlignment="1">
      <alignment horizontal="center" vertical="center"/>
    </xf>
    <xf numFmtId="0" fontId="88" fillId="71" borderId="52" xfId="0" applyFont="1" applyFill="1" applyBorder="1" applyAlignment="1">
      <alignment horizontal="left" vertical="center" wrapText="1"/>
    </xf>
    <xf numFmtId="0" fontId="88" fillId="71" borderId="52" xfId="0" applyFont="1" applyFill="1" applyBorder="1" applyAlignment="1">
      <alignment horizontal="center" vertical="center"/>
    </xf>
    <xf numFmtId="0" fontId="87" fillId="71" borderId="50" xfId="0" applyFont="1" applyFill="1" applyBorder="1" applyAlignment="1">
      <alignment horizontal="left" vertical="center" wrapText="1"/>
    </xf>
    <xf numFmtId="0" fontId="87" fillId="71" borderId="49" xfId="0" applyFont="1" applyFill="1" applyBorder="1" applyAlignment="1">
      <alignment horizontal="center" vertical="center"/>
    </xf>
    <xf numFmtId="9" fontId="88" fillId="71" borderId="31" xfId="0" applyNumberFormat="1" applyFont="1" applyFill="1" applyBorder="1" applyAlignment="1">
      <alignment horizontal="center" vertical="center"/>
    </xf>
    <xf numFmtId="9" fontId="88" fillId="71" borderId="47" xfId="0" applyNumberFormat="1" applyFont="1" applyFill="1" applyBorder="1" applyAlignment="1">
      <alignment horizontal="center" vertical="center"/>
    </xf>
    <xf numFmtId="9" fontId="88" fillId="71" borderId="52" xfId="0" quotePrefix="1" applyNumberFormat="1" applyFont="1" applyFill="1" applyBorder="1" applyAlignment="1">
      <alignment horizontal="center" vertical="center"/>
    </xf>
    <xf numFmtId="9" fontId="88" fillId="71" borderId="52" xfId="0" applyNumberFormat="1" applyFont="1" applyFill="1" applyBorder="1" applyAlignment="1">
      <alignment horizontal="center" vertical="center"/>
    </xf>
    <xf numFmtId="0" fontId="88" fillId="71" borderId="48" xfId="0" applyFont="1" applyFill="1" applyBorder="1" applyAlignment="1">
      <alignment horizontal="center" vertical="center"/>
    </xf>
    <xf numFmtId="0" fontId="88" fillId="71" borderId="49" xfId="0" applyFont="1" applyFill="1" applyBorder="1" applyAlignment="1">
      <alignment horizontal="center" vertical="center"/>
    </xf>
    <xf numFmtId="0" fontId="87" fillId="71" borderId="63" xfId="0" applyFont="1" applyFill="1" applyBorder="1" applyAlignment="1">
      <alignment horizontal="left" vertical="center" wrapText="1"/>
    </xf>
    <xf numFmtId="0" fontId="88" fillId="71" borderId="64" xfId="0" applyFont="1" applyFill="1" applyBorder="1" applyAlignment="1">
      <alignment horizontal="center" vertical="center"/>
    </xf>
    <xf numFmtId="0" fontId="88" fillId="71" borderId="65" xfId="0" applyFont="1" applyFill="1" applyBorder="1" applyAlignment="1">
      <alignment horizontal="center" vertical="center"/>
    </xf>
    <xf numFmtId="189" fontId="88" fillId="71" borderId="31" xfId="0" applyNumberFormat="1" applyFont="1" applyFill="1" applyBorder="1" applyAlignment="1">
      <alignment horizontal="center" vertical="center"/>
    </xf>
    <xf numFmtId="0" fontId="88" fillId="0" borderId="31" xfId="0" applyFont="1" applyBorder="1" applyAlignment="1">
      <alignment horizontal="center" vertical="center"/>
    </xf>
    <xf numFmtId="0" fontId="134" fillId="0" borderId="47" xfId="0" applyFont="1" applyBorder="1" applyAlignment="1">
      <alignment horizontal="left" vertical="center"/>
    </xf>
    <xf numFmtId="9" fontId="88" fillId="71" borderId="47" xfId="0" quotePrefix="1" applyNumberFormat="1" applyFont="1" applyFill="1" applyBorder="1" applyAlignment="1">
      <alignment horizontal="center" vertical="center"/>
    </xf>
    <xf numFmtId="0" fontId="88" fillId="0" borderId="47" xfId="0" applyFont="1" applyBorder="1" applyAlignment="1">
      <alignment horizontal="center" vertical="center"/>
    </xf>
    <xf numFmtId="0" fontId="0" fillId="0" borderId="0" xfId="0" applyAlignment="1">
      <alignment horizontal="right" vertical="top" wrapText="1"/>
    </xf>
    <xf numFmtId="0" fontId="89" fillId="78" borderId="27" xfId="0" applyFont="1" applyFill="1" applyBorder="1" applyAlignment="1">
      <alignment horizontal="center" vertical="center"/>
    </xf>
    <xf numFmtId="0" fontId="89" fillId="78" borderId="51" xfId="0" applyFont="1" applyFill="1" applyBorder="1" applyAlignment="1">
      <alignment horizontal="center" vertical="center"/>
    </xf>
    <xf numFmtId="0" fontId="89" fillId="78" borderId="31" xfId="0" applyFont="1" applyFill="1" applyBorder="1" applyAlignment="1">
      <alignment horizontal="center" vertical="center" wrapText="1"/>
    </xf>
    <xf numFmtId="0" fontId="89" fillId="78" borderId="29" xfId="0" applyFont="1" applyFill="1" applyBorder="1" applyAlignment="1">
      <alignment horizontal="center" vertical="center" wrapText="1"/>
    </xf>
    <xf numFmtId="0" fontId="118" fillId="78" borderId="27" xfId="0" applyFont="1" applyFill="1" applyBorder="1" applyAlignment="1">
      <alignment horizontal="center" vertical="center" wrapText="1"/>
    </xf>
    <xf numFmtId="0" fontId="118" fillId="78" borderId="29" xfId="0" applyFont="1" applyFill="1" applyBorder="1" applyAlignment="1">
      <alignment horizontal="center" vertical="center" wrapText="1"/>
    </xf>
    <xf numFmtId="0" fontId="89" fillId="78" borderId="51" xfId="0" quotePrefix="1" applyFont="1" applyFill="1" applyBorder="1" applyAlignment="1">
      <alignment horizontal="center" vertical="center"/>
    </xf>
    <xf numFmtId="0" fontId="116" fillId="78" borderId="27" xfId="0" applyFont="1" applyFill="1" applyBorder="1" applyAlignment="1">
      <alignment horizontal="center" vertical="center" wrapText="1"/>
    </xf>
    <xf numFmtId="0" fontId="116" fillId="78" borderId="29" xfId="0" applyFont="1" applyFill="1" applyBorder="1" applyAlignment="1">
      <alignment horizontal="center" vertical="center" wrapText="1"/>
    </xf>
    <xf numFmtId="0" fontId="89" fillId="78" borderId="29" xfId="0" quotePrefix="1" applyFont="1" applyFill="1" applyBorder="1" applyAlignment="1">
      <alignment horizontal="center" vertical="center" wrapText="1"/>
    </xf>
    <xf numFmtId="2" fontId="89" fillId="78" borderId="47" xfId="0" applyNumberFormat="1" applyFont="1" applyFill="1" applyBorder="1" applyAlignment="1">
      <alignment horizontal="center" vertical="center"/>
    </xf>
    <xf numFmtId="2" fontId="89" fillId="78" borderId="49" xfId="0" applyNumberFormat="1" applyFont="1" applyFill="1" applyBorder="1" applyAlignment="1">
      <alignment horizontal="center" vertical="center"/>
    </xf>
    <xf numFmtId="2" fontId="89" fillId="78" borderId="27" xfId="0" applyNumberFormat="1" applyFont="1" applyFill="1" applyBorder="1" applyAlignment="1">
      <alignment horizontal="center" vertical="center"/>
    </xf>
    <xf numFmtId="2" fontId="89" fillId="78" borderId="51" xfId="0" applyNumberFormat="1" applyFont="1" applyFill="1" applyBorder="1" applyAlignment="1">
      <alignment horizontal="center" vertical="center"/>
    </xf>
    <xf numFmtId="49" fontId="89" fillId="78" borderId="29" xfId="0" applyNumberFormat="1" applyFont="1" applyFill="1" applyBorder="1" applyAlignment="1">
      <alignment horizontal="center" vertical="center" wrapText="1"/>
    </xf>
    <xf numFmtId="3" fontId="89" fillId="78" borderId="29" xfId="0" applyNumberFormat="1" applyFont="1" applyFill="1" applyBorder="1" applyAlignment="1">
      <alignment horizontal="center" vertical="center" wrapText="1"/>
    </xf>
    <xf numFmtId="3" fontId="89" fillId="78" borderId="28" xfId="0" applyNumberFormat="1" applyFont="1" applyFill="1" applyBorder="1" applyAlignment="1">
      <alignment horizontal="center" vertical="center" wrapText="1"/>
    </xf>
    <xf numFmtId="2" fontId="89" fillId="60" borderId="27" xfId="0" applyNumberFormat="1" applyFont="1" applyFill="1" applyBorder="1" applyAlignment="1">
      <alignment horizontal="center" vertical="center"/>
    </xf>
    <xf numFmtId="2" fontId="89" fillId="60" borderId="66" xfId="0" applyNumberFormat="1" applyFont="1" applyFill="1" applyBorder="1" applyAlignment="1">
      <alignment horizontal="center" vertical="center"/>
    </xf>
    <xf numFmtId="2" fontId="89" fillId="60" borderId="65" xfId="0" applyNumberFormat="1" applyFont="1" applyFill="1" applyBorder="1" applyAlignment="1">
      <alignment horizontal="center" vertical="center"/>
    </xf>
    <xf numFmtId="0" fontId="89" fillId="60" borderId="27" xfId="0" applyFont="1" applyFill="1" applyBorder="1" applyAlignment="1">
      <alignment horizontal="center" vertical="center" wrapText="1"/>
    </xf>
    <xf numFmtId="0" fontId="70" fillId="60" borderId="66" xfId="380" applyFont="1" applyFill="1" applyBorder="1" applyAlignment="1">
      <alignment horizontal="center" vertical="center"/>
    </xf>
    <xf numFmtId="1" fontId="89" fillId="78" borderId="27" xfId="0" applyNumberFormat="1" applyFont="1" applyFill="1" applyBorder="1" applyAlignment="1">
      <alignment horizontal="center" vertical="center"/>
    </xf>
    <xf numFmtId="1" fontId="89" fillId="78" borderId="51" xfId="0" applyNumberFormat="1" applyFont="1" applyFill="1" applyBorder="1" applyAlignment="1">
      <alignment horizontal="center" vertical="center"/>
    </xf>
    <xf numFmtId="1" fontId="89" fillId="78" borderId="31" xfId="0" applyNumberFormat="1" applyFont="1" applyFill="1" applyBorder="1" applyAlignment="1">
      <alignment horizontal="center" vertical="center" wrapText="1"/>
    </xf>
    <xf numFmtId="1" fontId="89" fillId="78" borderId="29" xfId="0" applyNumberFormat="1" applyFont="1" applyFill="1" applyBorder="1" applyAlignment="1">
      <alignment horizontal="center" vertical="center" wrapText="1"/>
    </xf>
    <xf numFmtId="9" fontId="89" fillId="60" borderId="51" xfId="271" applyFont="1" applyFill="1" applyBorder="1" applyAlignment="1">
      <alignment horizontal="center" vertical="center"/>
    </xf>
    <xf numFmtId="1" fontId="89" fillId="60" borderId="48" xfId="380" applyNumberFormat="1" applyFont="1" applyFill="1" applyBorder="1" applyAlignment="1">
      <alignment horizontal="center" vertical="center"/>
    </xf>
    <xf numFmtId="187" fontId="89" fillId="60" borderId="47" xfId="271" applyNumberFormat="1" applyFont="1" applyFill="1" applyBorder="1" applyAlignment="1">
      <alignment horizontal="center" vertical="center" wrapText="1"/>
    </xf>
    <xf numFmtId="0" fontId="89" fillId="60" borderId="49" xfId="380" applyFont="1" applyFill="1" applyBorder="1" applyAlignment="1">
      <alignment horizontal="center" vertical="center" wrapText="1"/>
    </xf>
    <xf numFmtId="187" fontId="89" fillId="60" borderId="52" xfId="380" quotePrefix="1" applyNumberFormat="1" applyFont="1" applyFill="1" applyBorder="1" applyAlignment="1">
      <alignment horizontal="center" vertical="center" wrapText="1"/>
    </xf>
    <xf numFmtId="0" fontId="89" fillId="60" borderId="52" xfId="380" quotePrefix="1" applyFont="1" applyFill="1" applyBorder="1" applyAlignment="1">
      <alignment horizontal="center" vertical="center" wrapText="1"/>
    </xf>
    <xf numFmtId="0" fontId="89" fillId="60" borderId="32" xfId="380" quotePrefix="1" applyFont="1" applyFill="1" applyBorder="1" applyAlignment="1">
      <alignment horizontal="center" vertical="center" wrapText="1"/>
    </xf>
    <xf numFmtId="0" fontId="89" fillId="60" borderId="52" xfId="380" applyFont="1" applyFill="1" applyBorder="1" applyAlignment="1">
      <alignment horizontal="center" vertical="center" wrapText="1"/>
    </xf>
    <xf numFmtId="187" fontId="89" fillId="60" borderId="31" xfId="380" quotePrefix="1" applyNumberFormat="1" applyFont="1" applyFill="1" applyBorder="1" applyAlignment="1">
      <alignment horizontal="center" vertical="center" wrapText="1"/>
    </xf>
    <xf numFmtId="0" fontId="89" fillId="60" borderId="49" xfId="380" quotePrefix="1" applyFont="1" applyFill="1" applyBorder="1" applyAlignment="1">
      <alignment horizontal="center" vertical="center" wrapText="1"/>
    </xf>
    <xf numFmtId="1" fontId="89" fillId="60" borderId="50" xfId="271" applyNumberFormat="1" applyFont="1" applyFill="1" applyBorder="1" applyAlignment="1">
      <alignment horizontal="center" vertical="center" wrapText="1"/>
    </xf>
    <xf numFmtId="1" fontId="89" fillId="60" borderId="49" xfId="380" applyNumberFormat="1" applyFont="1" applyFill="1" applyBorder="1" applyAlignment="1">
      <alignment horizontal="center" vertical="center" wrapText="1"/>
    </xf>
    <xf numFmtId="9" fontId="89" fillId="60" borderId="47" xfId="271" applyFont="1" applyFill="1" applyBorder="1" applyAlignment="1">
      <alignment horizontal="center" vertical="center"/>
    </xf>
    <xf numFmtId="187" fontId="89" fillId="60" borderId="47" xfId="380" applyNumberFormat="1" applyFont="1" applyFill="1" applyBorder="1" applyAlignment="1">
      <alignment horizontal="center" vertical="center" wrapText="1"/>
    </xf>
    <xf numFmtId="187" fontId="89" fillId="60" borderId="52" xfId="380" applyNumberFormat="1" applyFont="1" applyFill="1" applyBorder="1" applyAlignment="1">
      <alignment horizontal="center" vertical="center" wrapText="1"/>
    </xf>
    <xf numFmtId="1" fontId="89" fillId="60" borderId="52" xfId="380" applyNumberFormat="1" applyFont="1" applyFill="1" applyBorder="1" applyAlignment="1">
      <alignment horizontal="center" vertical="center" wrapText="1"/>
    </xf>
    <xf numFmtId="1" fontId="89" fillId="60" borderId="32" xfId="380" applyNumberFormat="1" applyFont="1" applyFill="1" applyBorder="1" applyAlignment="1">
      <alignment horizontal="center" vertical="center" wrapText="1"/>
    </xf>
    <xf numFmtId="0" fontId="116" fillId="60" borderId="55" xfId="380" applyFont="1" applyFill="1" applyBorder="1" applyAlignment="1">
      <alignment horizontal="center" vertical="center" wrapText="1"/>
    </xf>
    <xf numFmtId="2" fontId="89" fillId="60" borderId="47" xfId="271" applyNumberFormat="1" applyFont="1" applyFill="1" applyBorder="1" applyAlignment="1">
      <alignment horizontal="center" vertical="center" wrapText="1"/>
    </xf>
    <xf numFmtId="2" fontId="89" fillId="60" borderId="66" xfId="380" applyNumberFormat="1" applyFont="1" applyFill="1" applyBorder="1" applyAlignment="1">
      <alignment horizontal="center" vertical="center"/>
    </xf>
    <xf numFmtId="3" fontId="89" fillId="60" borderId="47" xfId="348" applyNumberFormat="1" applyFont="1" applyFill="1" applyBorder="1" applyAlignment="1">
      <alignment horizontal="center" vertical="center" wrapText="1"/>
    </xf>
    <xf numFmtId="9" fontId="89" fillId="60" borderId="31" xfId="380" applyNumberFormat="1" applyFont="1" applyFill="1" applyBorder="1" applyAlignment="1">
      <alignment horizontal="center" vertical="center" wrapText="1"/>
    </xf>
    <xf numFmtId="0" fontId="89" fillId="60" borderId="50" xfId="271" applyNumberFormat="1" applyFont="1" applyFill="1" applyBorder="1" applyAlignment="1">
      <alignment horizontal="center" vertical="center"/>
    </xf>
    <xf numFmtId="2" fontId="89" fillId="60" borderId="47" xfId="271" quotePrefix="1" applyNumberFormat="1" applyFont="1" applyFill="1" applyBorder="1" applyAlignment="1">
      <alignment horizontal="center" vertical="center" wrapText="1"/>
    </xf>
    <xf numFmtId="173" fontId="70" fillId="60" borderId="0" xfId="380" applyNumberFormat="1" applyFont="1" applyFill="1"/>
    <xf numFmtId="0" fontId="135" fillId="60" borderId="0" xfId="380" applyFont="1" applyFill="1"/>
    <xf numFmtId="2" fontId="135" fillId="60" borderId="0" xfId="380" applyNumberFormat="1" applyFont="1" applyFill="1" applyAlignment="1">
      <alignment horizontal="center" vertical="top"/>
    </xf>
    <xf numFmtId="2" fontId="135" fillId="60" borderId="0" xfId="380" applyNumberFormat="1" applyFont="1" applyFill="1" applyAlignment="1">
      <alignment horizontal="center" vertical="top" wrapText="1"/>
    </xf>
    <xf numFmtId="2" fontId="106" fillId="60" borderId="0" xfId="380" applyNumberFormat="1" applyFont="1" applyFill="1" applyAlignment="1">
      <alignment horizontal="center" vertical="top"/>
    </xf>
    <xf numFmtId="2" fontId="106" fillId="60" borderId="0" xfId="380" applyNumberFormat="1" applyFont="1" applyFill="1" applyAlignment="1">
      <alignment horizontal="center" vertical="top" wrapText="1"/>
    </xf>
    <xf numFmtId="1" fontId="89" fillId="60" borderId="50" xfId="271" applyNumberFormat="1" applyFont="1" applyFill="1" applyBorder="1" applyAlignment="1">
      <alignment horizontal="center" vertical="center"/>
    </xf>
    <xf numFmtId="2" fontId="89" fillId="60" borderId="47" xfId="380" quotePrefix="1" applyNumberFormat="1" applyFont="1" applyFill="1" applyBorder="1" applyAlignment="1">
      <alignment horizontal="center" vertical="center" wrapText="1"/>
    </xf>
    <xf numFmtId="169" fontId="89" fillId="60" borderId="66" xfId="380" applyNumberFormat="1" applyFont="1" applyFill="1" applyBorder="1" applyAlignment="1">
      <alignment horizontal="center" vertical="center" wrapText="1"/>
    </xf>
    <xf numFmtId="9" fontId="89" fillId="60" borderId="31" xfId="271" applyFont="1" applyFill="1" applyBorder="1" applyAlignment="1">
      <alignment horizontal="center" vertical="center" wrapText="1"/>
    </xf>
    <xf numFmtId="3" fontId="70" fillId="60" borderId="0" xfId="380" applyNumberFormat="1" applyFont="1" applyFill="1" applyAlignment="1">
      <alignment horizontal="center"/>
    </xf>
    <xf numFmtId="2" fontId="71" fillId="60" borderId="0" xfId="380" applyNumberFormat="1" applyFont="1" applyFill="1" applyAlignment="1">
      <alignment horizontal="center" vertical="center"/>
    </xf>
    <xf numFmtId="3" fontId="89" fillId="60" borderId="31" xfId="271" applyNumberFormat="1" applyFont="1" applyFill="1" applyBorder="1" applyAlignment="1">
      <alignment horizontal="center" vertical="center" wrapText="1"/>
    </xf>
    <xf numFmtId="3" fontId="89" fillId="60" borderId="47" xfId="271" applyNumberFormat="1" applyFont="1" applyFill="1" applyBorder="1" applyAlignment="1">
      <alignment horizontal="center" vertical="center"/>
    </xf>
    <xf numFmtId="169" fontId="88" fillId="72" borderId="47" xfId="380" applyNumberFormat="1" applyFont="1" applyFill="1" applyBorder="1" applyAlignment="1">
      <alignment horizontal="center" vertical="center" wrapText="1"/>
    </xf>
    <xf numFmtId="3" fontId="88" fillId="72" borderId="47" xfId="380" applyNumberFormat="1" applyFont="1" applyFill="1" applyBorder="1" applyAlignment="1">
      <alignment horizontal="center" vertical="center" wrapText="1"/>
    </xf>
    <xf numFmtId="4" fontId="89" fillId="60" borderId="31" xfId="271" applyNumberFormat="1" applyFont="1" applyFill="1" applyBorder="1" applyAlignment="1">
      <alignment horizontal="center" vertical="center" wrapText="1"/>
    </xf>
    <xf numFmtId="184" fontId="89" fillId="60" borderId="31" xfId="271" applyNumberFormat="1" applyFont="1" applyFill="1" applyBorder="1" applyAlignment="1">
      <alignment horizontal="center" vertical="center" wrapText="1"/>
    </xf>
    <xf numFmtId="169" fontId="88" fillId="78" borderId="47" xfId="380" applyNumberFormat="1" applyFont="1" applyFill="1" applyBorder="1" applyAlignment="1">
      <alignment horizontal="center" vertical="center" wrapText="1"/>
    </xf>
    <xf numFmtId="3" fontId="88" fillId="78" borderId="47" xfId="380" applyNumberFormat="1" applyFont="1" applyFill="1" applyBorder="1" applyAlignment="1">
      <alignment horizontal="center" vertical="center" wrapText="1"/>
    </xf>
    <xf numFmtId="9" fontId="89" fillId="60" borderId="47" xfId="271" applyFont="1" applyFill="1" applyBorder="1" applyAlignment="1">
      <alignment horizontal="center"/>
    </xf>
    <xf numFmtId="0" fontId="80" fillId="60" borderId="0" xfId="380" applyFont="1" applyFill="1" applyAlignment="1">
      <alignment horizontal="right" vertical="top"/>
    </xf>
    <xf numFmtId="0" fontId="70" fillId="78" borderId="0" xfId="0" applyFont="1" applyFill="1" applyAlignment="1">
      <alignment vertical="top"/>
    </xf>
    <xf numFmtId="0" fontId="69" fillId="78" borderId="0" xfId="0" applyFont="1" applyFill="1" applyAlignment="1">
      <alignment vertical="top"/>
    </xf>
    <xf numFmtId="0" fontId="70" fillId="78" borderId="0" xfId="0" applyFont="1" applyFill="1" applyAlignment="1">
      <alignment horizontal="center" vertical="top"/>
    </xf>
    <xf numFmtId="0" fontId="99" fillId="78" borderId="0" xfId="0" applyFont="1" applyFill="1"/>
    <xf numFmtId="0" fontId="87" fillId="60" borderId="47" xfId="0" applyFont="1" applyFill="1" applyBorder="1" applyAlignment="1">
      <alignment horizontal="left" vertical="center" wrapText="1"/>
    </xf>
    <xf numFmtId="0" fontId="87" fillId="60" borderId="47" xfId="0" applyFont="1" applyFill="1" applyBorder="1" applyAlignment="1">
      <alignment horizontal="center" vertical="center" wrapText="1"/>
    </xf>
    <xf numFmtId="0" fontId="116" fillId="78" borderId="51" xfId="0" applyFont="1" applyFill="1" applyBorder="1" applyAlignment="1">
      <alignment horizontal="left" vertical="center" wrapText="1"/>
    </xf>
    <xf numFmtId="0" fontId="116" fillId="78" borderId="27" xfId="0" applyFont="1" applyFill="1" applyBorder="1" applyAlignment="1">
      <alignment horizontal="center" vertical="top" wrapText="1"/>
    </xf>
    <xf numFmtId="0" fontId="116" fillId="78" borderId="29" xfId="0" applyFont="1" applyFill="1" applyBorder="1" applyAlignment="1">
      <alignment horizontal="center" vertical="top" wrapText="1"/>
    </xf>
    <xf numFmtId="0" fontId="88" fillId="60" borderId="47" xfId="0" applyFont="1" applyFill="1" applyBorder="1" applyAlignment="1">
      <alignment vertical="center" wrapText="1"/>
    </xf>
    <xf numFmtId="0" fontId="88" fillId="60" borderId="47" xfId="0" applyFont="1" applyFill="1" applyBorder="1" applyAlignment="1">
      <alignment horizontal="center" vertical="center" wrapText="1"/>
    </xf>
    <xf numFmtId="9" fontId="88" fillId="60" borderId="47" xfId="0" applyNumberFormat="1" applyFont="1" applyFill="1" applyBorder="1" applyAlignment="1">
      <alignment horizontal="center" vertical="center" wrapText="1"/>
    </xf>
    <xf numFmtId="2" fontId="89" fillId="60" borderId="47" xfId="0" applyNumberFormat="1" applyFont="1" applyFill="1" applyBorder="1" applyAlignment="1">
      <alignment horizontal="center" vertical="center" wrapText="1"/>
    </xf>
    <xf numFmtId="169" fontId="89" fillId="60" borderId="47" xfId="0" applyNumberFormat="1" applyFont="1" applyFill="1" applyBorder="1" applyAlignment="1">
      <alignment horizontal="center" vertical="center" wrapText="1"/>
    </xf>
    <xf numFmtId="0" fontId="89" fillId="60" borderId="47" xfId="0" applyFont="1" applyFill="1" applyBorder="1" applyAlignment="1">
      <alignment horizontal="center" vertical="center" wrapText="1"/>
    </xf>
    <xf numFmtId="0" fontId="87" fillId="60" borderId="47" xfId="0" applyFont="1" applyFill="1" applyBorder="1" applyAlignment="1">
      <alignment vertical="center" wrapText="1"/>
    </xf>
    <xf numFmtId="0" fontId="88" fillId="78" borderId="47" xfId="0" applyFont="1" applyFill="1" applyBorder="1" applyAlignment="1">
      <alignment horizontal="center" vertical="center" wrapText="1"/>
    </xf>
    <xf numFmtId="0" fontId="116" fillId="78" borderId="51" xfId="0" applyFont="1" applyFill="1" applyBorder="1" applyAlignment="1">
      <alignment vertical="top" wrapText="1"/>
    </xf>
    <xf numFmtId="2" fontId="88" fillId="60" borderId="47" xfId="0" applyNumberFormat="1" applyFont="1" applyFill="1" applyBorder="1" applyAlignment="1">
      <alignment horizontal="center" vertical="center" wrapText="1"/>
    </xf>
    <xf numFmtId="9" fontId="88" fillId="78" borderId="47" xfId="0" applyNumberFormat="1" applyFont="1" applyFill="1" applyBorder="1" applyAlignment="1">
      <alignment horizontal="center" vertical="center" wrapText="1"/>
    </xf>
    <xf numFmtId="3" fontId="88" fillId="78" borderId="47" xfId="0" applyNumberFormat="1" applyFont="1" applyFill="1" applyBorder="1" applyAlignment="1">
      <alignment horizontal="center" vertical="center" wrapText="1"/>
    </xf>
    <xf numFmtId="2" fontId="88" fillId="60" borderId="47" xfId="0" quotePrefix="1" applyNumberFormat="1" applyFont="1" applyFill="1" applyBorder="1" applyAlignment="1">
      <alignment horizontal="center" vertical="center" wrapText="1"/>
    </xf>
    <xf numFmtId="0" fontId="88" fillId="60" borderId="0" xfId="0" applyFont="1" applyFill="1" applyAlignment="1">
      <alignment vertical="center" wrapText="1"/>
    </xf>
    <xf numFmtId="0" fontId="88" fillId="60" borderId="0" xfId="0" applyFont="1" applyFill="1" applyAlignment="1">
      <alignment horizontal="center" vertical="center" wrapText="1"/>
    </xf>
    <xf numFmtId="0" fontId="73" fillId="78" borderId="0" xfId="0" applyFont="1" applyFill="1" applyAlignment="1">
      <alignment vertical="top"/>
    </xf>
    <xf numFmtId="0" fontId="70" fillId="78" borderId="0" xfId="0" applyFont="1" applyFill="1" applyAlignment="1">
      <alignment horizontal="right" vertical="top"/>
    </xf>
    <xf numFmtId="0" fontId="80" fillId="60" borderId="0" xfId="0" applyFont="1" applyFill="1"/>
    <xf numFmtId="0" fontId="80" fillId="60" borderId="0" xfId="0" applyFont="1" applyFill="1" applyAlignment="1">
      <alignment horizontal="center"/>
    </xf>
    <xf numFmtId="0" fontId="80" fillId="60" borderId="0" xfId="0" applyFont="1" applyFill="1" applyAlignment="1">
      <alignment vertical="center"/>
    </xf>
    <xf numFmtId="0" fontId="86" fillId="60" borderId="0" xfId="0" applyFont="1" applyFill="1" applyAlignment="1">
      <alignment horizontal="left" vertical="center" indent="4"/>
    </xf>
    <xf numFmtId="0" fontId="120" fillId="60" borderId="0" xfId="0" applyFont="1" applyFill="1" applyAlignment="1">
      <alignment vertical="center"/>
    </xf>
    <xf numFmtId="2" fontId="89" fillId="60" borderId="50" xfId="348" applyNumberFormat="1" applyFont="1" applyFill="1" applyBorder="1" applyAlignment="1">
      <alignment horizontal="center" vertical="center"/>
    </xf>
    <xf numFmtId="181" fontId="127" fillId="60" borderId="47" xfId="0" applyNumberFormat="1" applyFont="1" applyFill="1" applyBorder="1" applyAlignment="1">
      <alignment horizontal="center" vertical="center"/>
    </xf>
    <xf numFmtId="0" fontId="87" fillId="60" borderId="52" xfId="0" applyFont="1" applyFill="1" applyBorder="1" applyAlignment="1">
      <alignment horizontal="center" vertical="center" wrapText="1"/>
    </xf>
    <xf numFmtId="0" fontId="116" fillId="60" borderId="48" xfId="0" applyFont="1" applyFill="1" applyBorder="1" applyAlignment="1">
      <alignment vertical="center" wrapText="1"/>
    </xf>
    <xf numFmtId="0" fontId="116" fillId="60" borderId="49" xfId="0" applyFont="1" applyFill="1" applyBorder="1" applyAlignment="1">
      <alignment vertical="center" wrapText="1"/>
    </xf>
    <xf numFmtId="0" fontId="89" fillId="60" borderId="31" xfId="0" applyFont="1" applyFill="1" applyBorder="1" applyAlignment="1">
      <alignment horizontal="center" vertical="center" wrapText="1"/>
    </xf>
    <xf numFmtId="9" fontId="89" fillId="60" borderId="47" xfId="0" applyNumberFormat="1" applyFont="1" applyFill="1" applyBorder="1" applyAlignment="1">
      <alignment horizontal="center" vertical="center" wrapText="1"/>
    </xf>
    <xf numFmtId="2" fontId="89" fillId="60" borderId="52" xfId="0" applyNumberFormat="1" applyFont="1" applyFill="1" applyBorder="1" applyAlignment="1">
      <alignment horizontal="center" vertical="center" wrapText="1"/>
    </xf>
    <xf numFmtId="181" fontId="89" fillId="60" borderId="52" xfId="0" applyNumberFormat="1" applyFont="1" applyFill="1" applyBorder="1" applyAlignment="1">
      <alignment horizontal="center" vertical="center" wrapText="1"/>
    </xf>
    <xf numFmtId="0" fontId="89" fillId="60" borderId="52" xfId="0" applyFont="1" applyFill="1" applyBorder="1" applyAlignment="1">
      <alignment horizontal="center" vertical="center" wrapText="1"/>
    </xf>
    <xf numFmtId="0" fontId="116" fillId="60" borderId="48" xfId="0" applyFont="1" applyFill="1" applyBorder="1" applyAlignment="1">
      <alignment horizontal="center" vertical="center" wrapText="1"/>
    </xf>
    <xf numFmtId="0" fontId="116" fillId="60" borderId="49" xfId="0" applyFont="1" applyFill="1" applyBorder="1" applyAlignment="1">
      <alignment horizontal="center" vertical="center" wrapText="1"/>
    </xf>
    <xf numFmtId="0" fontId="89" fillId="60" borderId="53" xfId="0" applyFont="1" applyFill="1" applyBorder="1" applyAlignment="1">
      <alignment horizontal="center" vertical="center" wrapText="1"/>
    </xf>
    <xf numFmtId="0" fontId="89" fillId="60" borderId="32" xfId="0" applyFont="1" applyFill="1" applyBorder="1" applyAlignment="1">
      <alignment horizontal="center" vertical="center" wrapText="1"/>
    </xf>
    <xf numFmtId="0" fontId="87" fillId="60" borderId="50" xfId="0" applyFont="1" applyFill="1" applyBorder="1" applyAlignment="1">
      <alignment vertical="center" wrapText="1"/>
    </xf>
    <xf numFmtId="0" fontId="88" fillId="60" borderId="31" xfId="0" applyFont="1" applyFill="1" applyBorder="1" applyAlignment="1">
      <alignment vertical="center" wrapText="1"/>
    </xf>
    <xf numFmtId="2" fontId="89" fillId="60" borderId="31" xfId="0" applyNumberFormat="1" applyFont="1" applyFill="1" applyBorder="1" applyAlignment="1">
      <alignment horizontal="center" vertical="center" wrapText="1"/>
    </xf>
    <xf numFmtId="169" fontId="89" fillId="60" borderId="31" xfId="0" applyNumberFormat="1" applyFont="1" applyFill="1" applyBorder="1" applyAlignment="1">
      <alignment horizontal="center" vertical="center" wrapText="1"/>
    </xf>
    <xf numFmtId="1" fontId="89" fillId="60" borderId="31" xfId="0" applyNumberFormat="1" applyFont="1" applyFill="1" applyBorder="1" applyAlignment="1">
      <alignment horizontal="center" vertical="center" wrapText="1"/>
    </xf>
    <xf numFmtId="3" fontId="89" fillId="60" borderId="47" xfId="0" applyNumberFormat="1" applyFont="1" applyFill="1" applyBorder="1" applyAlignment="1">
      <alignment horizontal="center" vertical="center" wrapText="1"/>
    </xf>
    <xf numFmtId="0" fontId="73" fillId="78" borderId="0" xfId="0" applyFont="1" applyFill="1"/>
    <xf numFmtId="0" fontId="82" fillId="60" borderId="0" xfId="0" applyFont="1" applyFill="1"/>
    <xf numFmtId="0" fontId="82" fillId="60" borderId="0" xfId="0" applyFont="1" applyFill="1" applyAlignment="1">
      <alignment vertical="top"/>
    </xf>
    <xf numFmtId="1" fontId="70" fillId="60" borderId="0" xfId="380" applyNumberFormat="1" applyFont="1" applyFill="1" applyAlignment="1">
      <alignment vertical="top" wrapText="1"/>
    </xf>
    <xf numFmtId="188" fontId="116" fillId="60" borderId="48" xfId="380" applyNumberFormat="1" applyFont="1" applyFill="1" applyBorder="1" applyAlignment="1">
      <alignment horizontal="center" vertical="center" wrapText="1"/>
    </xf>
    <xf numFmtId="4" fontId="70" fillId="60" borderId="52" xfId="380" applyNumberFormat="1" applyFont="1" applyFill="1" applyBorder="1" applyAlignment="1">
      <alignment horizontal="center" vertical="center" wrapText="1"/>
    </xf>
    <xf numFmtId="0" fontId="22" fillId="70" borderId="0" xfId="0" applyFont="1" applyFill="1" applyAlignment="1">
      <alignment horizontal="right"/>
    </xf>
    <xf numFmtId="0" fontId="0" fillId="70" borderId="0" xfId="0" applyFill="1" applyAlignment="1">
      <alignment horizontal="right"/>
    </xf>
    <xf numFmtId="0" fontId="22" fillId="0" borderId="36" xfId="0" applyFont="1" applyBorder="1" applyAlignment="1">
      <alignment horizontal="right"/>
    </xf>
    <xf numFmtId="168" fontId="0" fillId="0" borderId="0" xfId="7" applyNumberFormat="1" applyFont="1" applyFill="1" applyAlignment="1">
      <alignment horizontal="right"/>
    </xf>
    <xf numFmtId="168" fontId="0" fillId="0" borderId="33" xfId="7" applyNumberFormat="1" applyFont="1" applyFill="1" applyBorder="1" applyAlignment="1">
      <alignment horizontal="right"/>
    </xf>
    <xf numFmtId="0" fontId="60" fillId="66" borderId="0" xfId="0" applyFont="1" applyFill="1" applyAlignment="1">
      <alignment horizontal="center"/>
    </xf>
    <xf numFmtId="1" fontId="60" fillId="0" borderId="0" xfId="0" applyNumberFormat="1" applyFont="1" applyAlignment="1">
      <alignment horizontal="center"/>
    </xf>
    <xf numFmtId="0" fontId="60" fillId="0" borderId="0" xfId="0" applyFont="1" applyAlignment="1">
      <alignment horizontal="center"/>
    </xf>
    <xf numFmtId="0" fontId="60" fillId="66" borderId="33" xfId="0" applyFont="1" applyFill="1" applyBorder="1" applyAlignment="1">
      <alignment horizontal="center"/>
    </xf>
    <xf numFmtId="0" fontId="60" fillId="0" borderId="33" xfId="0" applyFont="1" applyBorder="1" applyAlignment="1">
      <alignment horizontal="center"/>
    </xf>
    <xf numFmtId="3" fontId="60" fillId="0" borderId="0" xfId="0" applyNumberFormat="1" applyFont="1" applyAlignment="1">
      <alignment horizontal="center"/>
    </xf>
    <xf numFmtId="1" fontId="0" fillId="62" borderId="0" xfId="7" applyNumberFormat="1" applyFont="1" applyFill="1"/>
    <xf numFmtId="9" fontId="0" fillId="62" borderId="0" xfId="2" applyFont="1" applyFill="1"/>
    <xf numFmtId="1" fontId="0" fillId="0" borderId="0" xfId="7" applyNumberFormat="1" applyFont="1" applyFill="1" applyBorder="1" applyAlignment="1">
      <alignment horizontal="center"/>
    </xf>
    <xf numFmtId="1" fontId="0" fillId="0" borderId="33" xfId="7" applyNumberFormat="1" applyFont="1" applyFill="1" applyBorder="1" applyAlignment="1">
      <alignment horizontal="center"/>
    </xf>
    <xf numFmtId="169" fontId="60" fillId="0" borderId="0" xfId="0" applyNumberFormat="1" applyFont="1" applyAlignment="1">
      <alignment horizontal="center"/>
    </xf>
    <xf numFmtId="0" fontId="0" fillId="62" borderId="0" xfId="0" applyFill="1" applyAlignment="1">
      <alignment horizontal="left"/>
    </xf>
    <xf numFmtId="0" fontId="4" fillId="0" borderId="67" xfId="0" applyFont="1" applyBorder="1" applyAlignment="1">
      <alignment horizontal="right"/>
    </xf>
    <xf numFmtId="0" fontId="4" fillId="0" borderId="0" xfId="0" applyFont="1" applyAlignment="1">
      <alignment horizontal="left"/>
    </xf>
    <xf numFmtId="9" fontId="0" fillId="0" borderId="0" xfId="0" applyNumberFormat="1"/>
    <xf numFmtId="190" fontId="0" fillId="0" borderId="0" xfId="7" applyNumberFormat="1" applyFont="1"/>
    <xf numFmtId="168" fontId="0" fillId="61" borderId="0" xfId="7" applyNumberFormat="1" applyFont="1" applyFill="1"/>
    <xf numFmtId="168" fontId="0" fillId="0" borderId="0" xfId="0" applyNumberFormat="1" applyAlignment="1">
      <alignment horizontal="right"/>
    </xf>
    <xf numFmtId="190" fontId="0" fillId="0" borderId="36" xfId="7" applyNumberFormat="1" applyFont="1" applyBorder="1"/>
    <xf numFmtId="190" fontId="0" fillId="66" borderId="0" xfId="7" applyNumberFormat="1" applyFont="1" applyFill="1" applyAlignment="1">
      <alignment horizontal="center"/>
    </xf>
    <xf numFmtId="168" fontId="0" fillId="0" borderId="36" xfId="7" applyNumberFormat="1" applyFont="1" applyBorder="1"/>
    <xf numFmtId="168" fontId="0" fillId="66" borderId="0" xfId="7" applyNumberFormat="1" applyFont="1" applyFill="1" applyAlignment="1">
      <alignment horizontal="center"/>
    </xf>
    <xf numFmtId="168" fontId="0" fillId="0" borderId="36" xfId="7" applyNumberFormat="1" applyFont="1" applyBorder="1" applyAlignment="1">
      <alignment horizontal="center"/>
    </xf>
    <xf numFmtId="168" fontId="0" fillId="0" borderId="0" xfId="7" applyNumberFormat="1" applyFont="1" applyAlignment="1">
      <alignment horizontal="center"/>
    </xf>
    <xf numFmtId="168" fontId="4" fillId="66" borderId="0" xfId="7" applyNumberFormat="1" applyFont="1" applyFill="1"/>
    <xf numFmtId="168" fontId="4" fillId="0" borderId="36" xfId="7" applyNumberFormat="1" applyFont="1" applyBorder="1"/>
    <xf numFmtId="168" fontId="4" fillId="0" borderId="0" xfId="7" applyNumberFormat="1" applyFont="1" applyBorder="1"/>
    <xf numFmtId="168" fontId="4" fillId="0" borderId="0" xfId="7" applyNumberFormat="1" applyFont="1" applyBorder="1" applyAlignment="1">
      <alignment horizontal="right"/>
    </xf>
    <xf numFmtId="1" fontId="60" fillId="66" borderId="0" xfId="7" applyNumberFormat="1" applyFont="1" applyFill="1" applyAlignment="1">
      <alignment horizontal="center"/>
    </xf>
    <xf numFmtId="1" fontId="60" fillId="66" borderId="33" xfId="7" applyNumberFormat="1" applyFont="1" applyFill="1" applyBorder="1" applyAlignment="1">
      <alignment horizontal="center"/>
    </xf>
    <xf numFmtId="1" fontId="0" fillId="70" borderId="0" xfId="0" applyNumberFormat="1" applyFill="1" applyAlignment="1">
      <alignment horizontal="center"/>
    </xf>
    <xf numFmtId="1" fontId="60" fillId="66" borderId="0" xfId="7" applyNumberFormat="1" applyFont="1" applyFill="1" applyBorder="1" applyAlignment="1">
      <alignment horizontal="center"/>
    </xf>
    <xf numFmtId="1" fontId="0" fillId="0" borderId="0" xfId="7" applyNumberFormat="1" applyFont="1" applyAlignment="1">
      <alignment horizontal="center"/>
    </xf>
    <xf numFmtId="1" fontId="6" fillId="0" borderId="0" xfId="7" applyNumberFormat="1" applyFont="1" applyAlignment="1">
      <alignment horizontal="center"/>
    </xf>
    <xf numFmtId="1" fontId="60" fillId="0" borderId="0" xfId="7" applyNumberFormat="1" applyFont="1" applyAlignment="1">
      <alignment horizontal="center"/>
    </xf>
    <xf numFmtId="1" fontId="60" fillId="0" borderId="33" xfId="7" applyNumberFormat="1" applyFont="1" applyBorder="1" applyAlignment="1">
      <alignment horizontal="center"/>
    </xf>
    <xf numFmtId="1" fontId="60" fillId="0" borderId="0" xfId="7" applyNumberFormat="1" applyFont="1" applyBorder="1" applyAlignment="1">
      <alignment horizontal="center"/>
    </xf>
    <xf numFmtId="1" fontId="0" fillId="70" borderId="0" xfId="7" applyNumberFormat="1" applyFont="1" applyFill="1" applyAlignment="1">
      <alignment horizontal="center"/>
    </xf>
    <xf numFmtId="1" fontId="0" fillId="70" borderId="0" xfId="7" applyNumberFormat="1" applyFont="1" applyFill="1" applyBorder="1" applyAlignment="1">
      <alignment horizontal="center"/>
    </xf>
    <xf numFmtId="190" fontId="0" fillId="0" borderId="33" xfId="7" applyNumberFormat="1" applyFont="1" applyFill="1" applyBorder="1" applyAlignment="1">
      <alignment horizontal="right"/>
    </xf>
    <xf numFmtId="168" fontId="60" fillId="0" borderId="0" xfId="7" applyNumberFormat="1" applyFont="1" applyBorder="1" applyAlignment="1">
      <alignment horizontal="right"/>
    </xf>
    <xf numFmtId="190" fontId="0" fillId="66" borderId="0" xfId="7" applyNumberFormat="1" applyFont="1" applyFill="1" applyAlignment="1">
      <alignment horizontal="right"/>
    </xf>
    <xf numFmtId="190" fontId="0" fillId="66" borderId="33" xfId="7" applyNumberFormat="1" applyFont="1" applyFill="1" applyBorder="1" applyAlignment="1">
      <alignment horizontal="right"/>
    </xf>
    <xf numFmtId="190" fontId="0" fillId="0" borderId="0" xfId="2" applyNumberFormat="1" applyFont="1" applyAlignment="1">
      <alignment horizontal="right"/>
    </xf>
    <xf numFmtId="190" fontId="0" fillId="0" borderId="0" xfId="7" applyNumberFormat="1" applyFont="1" applyFill="1" applyBorder="1" applyAlignment="1">
      <alignment horizontal="center"/>
    </xf>
    <xf numFmtId="190" fontId="0" fillId="0" borderId="33" xfId="7" applyNumberFormat="1" applyFont="1" applyFill="1" applyBorder="1" applyAlignment="1">
      <alignment horizontal="center"/>
    </xf>
    <xf numFmtId="168" fontId="0" fillId="0" borderId="0" xfId="7" applyNumberFormat="1" applyFont="1" applyFill="1" applyBorder="1" applyAlignment="1">
      <alignment horizontal="center"/>
    </xf>
    <xf numFmtId="168" fontId="0" fillId="0" borderId="33" xfId="7" applyNumberFormat="1" applyFont="1" applyFill="1" applyBorder="1" applyAlignment="1">
      <alignment horizontal="center"/>
    </xf>
    <xf numFmtId="168" fontId="60" fillId="0" borderId="33" xfId="7" applyNumberFormat="1" applyFont="1" applyFill="1" applyBorder="1" applyAlignment="1">
      <alignment horizontal="center"/>
    </xf>
    <xf numFmtId="168" fontId="60" fillId="0" borderId="0" xfId="7" applyNumberFormat="1" applyFont="1" applyFill="1" applyBorder="1" applyAlignment="1">
      <alignment horizontal="center"/>
    </xf>
    <xf numFmtId="168" fontId="0" fillId="70" borderId="0" xfId="7" applyNumberFormat="1" applyFont="1" applyFill="1" applyBorder="1" applyAlignment="1">
      <alignment horizontal="center"/>
    </xf>
    <xf numFmtId="190" fontId="0" fillId="66" borderId="0" xfId="7" applyNumberFormat="1" applyFont="1" applyFill="1" applyBorder="1" applyAlignment="1">
      <alignment horizontal="center"/>
    </xf>
    <xf numFmtId="190" fontId="0" fillId="66" borderId="33" xfId="7" applyNumberFormat="1" applyFont="1" applyFill="1" applyBorder="1" applyAlignment="1">
      <alignment horizontal="center"/>
    </xf>
    <xf numFmtId="190" fontId="60" fillId="66" borderId="0" xfId="7" applyNumberFormat="1" applyFont="1" applyFill="1" applyAlignment="1">
      <alignment horizontal="center"/>
    </xf>
    <xf numFmtId="190" fontId="0" fillId="0" borderId="0" xfId="0" applyNumberFormat="1" applyAlignment="1">
      <alignment horizontal="center"/>
    </xf>
    <xf numFmtId="168" fontId="0" fillId="66" borderId="0" xfId="7" applyNumberFormat="1" applyFont="1" applyFill="1" applyBorder="1" applyAlignment="1">
      <alignment horizontal="center"/>
    </xf>
    <xf numFmtId="168" fontId="0" fillId="66" borderId="33" xfId="7" applyNumberFormat="1" applyFont="1" applyFill="1" applyBorder="1" applyAlignment="1">
      <alignment horizontal="center"/>
    </xf>
    <xf numFmtId="168" fontId="60" fillId="66" borderId="0" xfId="7" applyNumberFormat="1" applyFont="1" applyFill="1" applyAlignment="1">
      <alignment horizontal="center"/>
    </xf>
    <xf numFmtId="168" fontId="60" fillId="66" borderId="33" xfId="7" applyNumberFormat="1" applyFont="1" applyFill="1" applyBorder="1" applyAlignment="1">
      <alignment horizontal="center"/>
    </xf>
    <xf numFmtId="168" fontId="60" fillId="66" borderId="0" xfId="7" applyNumberFormat="1" applyFont="1" applyFill="1" applyBorder="1" applyAlignment="1">
      <alignment horizontal="center"/>
    </xf>
    <xf numFmtId="168" fontId="0" fillId="70" borderId="0" xfId="7" applyNumberFormat="1" applyFont="1" applyFill="1" applyAlignment="1">
      <alignment horizontal="center"/>
    </xf>
    <xf numFmtId="168" fontId="0" fillId="0" borderId="0" xfId="0" applyNumberFormat="1" applyAlignment="1">
      <alignment horizontal="center"/>
    </xf>
    <xf numFmtId="190" fontId="0" fillId="66" borderId="0" xfId="0" applyNumberFormat="1" applyFill="1" applyAlignment="1">
      <alignment horizontal="center"/>
    </xf>
    <xf numFmtId="190" fontId="0" fillId="66" borderId="33" xfId="0" applyNumberFormat="1" applyFill="1" applyBorder="1" applyAlignment="1">
      <alignment horizontal="center"/>
    </xf>
    <xf numFmtId="190" fontId="60" fillId="66" borderId="0" xfId="0" applyNumberFormat="1" applyFont="1" applyFill="1" applyAlignment="1">
      <alignment horizontal="center"/>
    </xf>
    <xf numFmtId="190" fontId="60" fillId="66" borderId="33" xfId="0" applyNumberFormat="1" applyFont="1" applyFill="1" applyBorder="1" applyAlignment="1">
      <alignment horizontal="center"/>
    </xf>
    <xf numFmtId="190" fontId="60" fillId="66" borderId="0" xfId="7" applyNumberFormat="1" applyFont="1" applyFill="1" applyBorder="1" applyAlignment="1">
      <alignment horizontal="right"/>
    </xf>
    <xf numFmtId="190" fontId="60" fillId="66" borderId="0" xfId="7" applyNumberFormat="1" applyFont="1" applyFill="1" applyAlignment="1">
      <alignment horizontal="right"/>
    </xf>
    <xf numFmtId="190" fontId="0" fillId="70" borderId="0" xfId="0" applyNumberFormat="1" applyFill="1" applyAlignment="1">
      <alignment horizontal="center"/>
    </xf>
    <xf numFmtId="193" fontId="6" fillId="70" borderId="0" xfId="7" applyNumberFormat="1" applyFont="1" applyFill="1" applyBorder="1" applyAlignment="1">
      <alignment horizontal="center"/>
    </xf>
    <xf numFmtId="193" fontId="6" fillId="70" borderId="33" xfId="7" applyNumberFormat="1" applyFont="1" applyFill="1" applyBorder="1" applyAlignment="1">
      <alignment horizontal="center"/>
    </xf>
    <xf numFmtId="168" fontId="6" fillId="70" borderId="0" xfId="7" applyNumberFormat="1" applyFont="1" applyFill="1" applyBorder="1" applyAlignment="1">
      <alignment horizontal="center"/>
    </xf>
    <xf numFmtId="168" fontId="6" fillId="70" borderId="33" xfId="7" applyNumberFormat="1" applyFont="1" applyFill="1" applyBorder="1" applyAlignment="1">
      <alignment horizontal="center"/>
    </xf>
    <xf numFmtId="0" fontId="60" fillId="65" borderId="0" xfId="0" applyFont="1" applyFill="1" applyAlignment="1">
      <alignment horizontal="left"/>
    </xf>
    <xf numFmtId="0" fontId="22" fillId="62" borderId="0" xfId="0" applyFont="1" applyFill="1"/>
    <xf numFmtId="0" fontId="4" fillId="0" borderId="68" xfId="0" applyFont="1" applyBorder="1" applyAlignment="1">
      <alignment horizontal="right"/>
    </xf>
    <xf numFmtId="0" fontId="0" fillId="0" borderId="33" xfId="0" applyBorder="1" applyAlignment="1">
      <alignment horizontal="left"/>
    </xf>
    <xf numFmtId="0" fontId="4" fillId="0" borderId="33" xfId="0" applyFont="1" applyBorder="1" applyAlignment="1">
      <alignment horizontal="right"/>
    </xf>
    <xf numFmtId="0" fontId="137" fillId="70" borderId="0" xfId="0" applyFont="1" applyFill="1" applyAlignment="1">
      <alignment horizontal="center" vertical="center" textRotation="90" wrapText="1"/>
    </xf>
    <xf numFmtId="0" fontId="137" fillId="70" borderId="0" xfId="0" applyFont="1" applyFill="1" applyAlignment="1">
      <alignment horizontal="center" vertical="center" textRotation="90"/>
    </xf>
    <xf numFmtId="17" fontId="73" fillId="60" borderId="0" xfId="380" quotePrefix="1" applyNumberFormat="1" applyFont="1" applyFill="1" applyAlignment="1">
      <alignment horizontal="center" vertical="top" wrapText="1"/>
    </xf>
    <xf numFmtId="0" fontId="71" fillId="60" borderId="0" xfId="380" applyFont="1" applyFill="1" applyAlignment="1">
      <alignment vertical="top" wrapText="1"/>
    </xf>
    <xf numFmtId="0" fontId="72" fillId="60" borderId="48" xfId="380" applyFont="1" applyFill="1" applyBorder="1" applyAlignment="1">
      <alignment horizontal="center" vertical="top" wrapText="1"/>
    </xf>
    <xf numFmtId="0" fontId="72" fillId="60" borderId="49" xfId="380" applyFont="1" applyFill="1" applyBorder="1" applyAlignment="1">
      <alignment horizontal="center" vertical="top" wrapText="1"/>
    </xf>
    <xf numFmtId="0" fontId="62" fillId="60" borderId="0" xfId="380" applyFont="1" applyFill="1" applyAlignment="1">
      <alignment horizontal="center" vertical="top" wrapText="1"/>
    </xf>
    <xf numFmtId="0" fontId="71" fillId="60" borderId="0" xfId="380" applyFont="1" applyFill="1" applyAlignment="1">
      <alignment horizontal="center" vertical="top" wrapText="1"/>
    </xf>
    <xf numFmtId="0" fontId="72" fillId="60" borderId="50" xfId="380" applyFont="1" applyFill="1" applyBorder="1" applyAlignment="1">
      <alignment horizontal="center" vertical="top" wrapText="1"/>
    </xf>
    <xf numFmtId="0" fontId="72" fillId="60" borderId="0" xfId="380" applyFont="1" applyFill="1" applyAlignment="1">
      <alignment vertical="top" wrapText="1"/>
    </xf>
    <xf numFmtId="0" fontId="70" fillId="0" borderId="0" xfId="380" applyFont="1" applyAlignment="1">
      <alignment horizontal="left" vertical="top" wrapText="1"/>
    </xf>
    <xf numFmtId="0" fontId="70" fillId="60" borderId="0" xfId="380" applyFont="1" applyFill="1" applyAlignment="1">
      <alignment horizontal="left" vertical="top" wrapText="1"/>
    </xf>
    <xf numFmtId="0" fontId="70" fillId="60" borderId="0" xfId="380" applyFont="1" applyFill="1" applyAlignment="1">
      <alignment vertical="top"/>
    </xf>
    <xf numFmtId="0" fontId="70" fillId="60" borderId="0" xfId="380" applyFont="1" applyFill="1" applyAlignment="1">
      <alignment horizontal="left" vertical="top"/>
    </xf>
    <xf numFmtId="0" fontId="73" fillId="72" borderId="0" xfId="0" applyFont="1" applyFill="1" applyAlignment="1">
      <alignment wrapText="1"/>
    </xf>
    <xf numFmtId="0" fontId="62" fillId="72" borderId="0" xfId="0" applyFont="1" applyFill="1" applyAlignment="1">
      <alignment wrapText="1"/>
    </xf>
    <xf numFmtId="0" fontId="72" fillId="72" borderId="0" xfId="0" applyFont="1" applyFill="1" applyAlignment="1">
      <alignment wrapText="1"/>
    </xf>
    <xf numFmtId="0" fontId="70" fillId="60" borderId="0" xfId="380" applyFont="1" applyFill="1" applyAlignment="1">
      <alignment horizontal="left" vertical="center"/>
    </xf>
    <xf numFmtId="0" fontId="70" fillId="60" borderId="0" xfId="380" applyFont="1" applyFill="1" applyAlignment="1">
      <alignment horizontal="left" vertical="center" wrapText="1"/>
    </xf>
    <xf numFmtId="0" fontId="70" fillId="60" borderId="0" xfId="380" applyFont="1" applyFill="1" applyAlignment="1">
      <alignment vertical="top" wrapText="1"/>
    </xf>
    <xf numFmtId="0" fontId="70" fillId="60" borderId="0" xfId="380" applyFont="1" applyFill="1" applyAlignment="1">
      <alignment vertical="center"/>
    </xf>
    <xf numFmtId="0" fontId="70" fillId="0" borderId="0" xfId="380" applyFont="1" applyAlignment="1">
      <alignment horizontal="left" vertical="center" wrapText="1"/>
    </xf>
    <xf numFmtId="0" fontId="70" fillId="72" borderId="0" xfId="0" applyFont="1" applyFill="1" applyAlignment="1">
      <alignment wrapText="1"/>
    </xf>
    <xf numFmtId="0" fontId="70" fillId="60" borderId="0" xfId="380" applyFont="1" applyFill="1" applyAlignment="1">
      <alignment vertical="center" wrapText="1"/>
    </xf>
    <xf numFmtId="0" fontId="116" fillId="60" borderId="50" xfId="380" applyFont="1" applyFill="1" applyBorder="1" applyAlignment="1">
      <alignment horizontal="center" vertical="center" wrapText="1"/>
    </xf>
    <xf numFmtId="0" fontId="116" fillId="60" borderId="48" xfId="380" applyFont="1" applyFill="1" applyBorder="1" applyAlignment="1">
      <alignment horizontal="center" vertical="center" wrapText="1"/>
    </xf>
    <xf numFmtId="0" fontId="116" fillId="60" borderId="49" xfId="380" applyFont="1" applyFill="1" applyBorder="1" applyAlignment="1">
      <alignment horizontal="center" vertical="center" wrapText="1"/>
    </xf>
    <xf numFmtId="0" fontId="120" fillId="60" borderId="48" xfId="380" applyFont="1" applyFill="1" applyBorder="1" applyAlignment="1">
      <alignment horizontal="center" vertical="center" wrapText="1"/>
    </xf>
    <xf numFmtId="0" fontId="120" fillId="60" borderId="49" xfId="380" applyFont="1" applyFill="1" applyBorder="1" applyAlignment="1">
      <alignment horizontal="center" vertical="center" wrapText="1"/>
    </xf>
    <xf numFmtId="0" fontId="129" fillId="60" borderId="0" xfId="380" applyFont="1" applyFill="1" applyAlignment="1">
      <alignment horizontal="left" vertical="top" wrapText="1"/>
    </xf>
    <xf numFmtId="0" fontId="72" fillId="60" borderId="48" xfId="380" applyFont="1" applyFill="1" applyBorder="1" applyAlignment="1">
      <alignment horizontal="center" vertical="center" wrapText="1"/>
    </xf>
    <xf numFmtId="0" fontId="72" fillId="60" borderId="49" xfId="380" applyFont="1" applyFill="1" applyBorder="1" applyAlignment="1">
      <alignment horizontal="center" vertical="center" wrapText="1"/>
    </xf>
    <xf numFmtId="0" fontId="116" fillId="60" borderId="48" xfId="380" applyFont="1" applyFill="1" applyBorder="1" applyAlignment="1">
      <alignment horizontal="center" vertical="top" wrapText="1"/>
    </xf>
    <xf numFmtId="0" fontId="116" fillId="60" borderId="49" xfId="380" applyFont="1" applyFill="1" applyBorder="1" applyAlignment="1">
      <alignment horizontal="center" vertical="top" wrapText="1"/>
    </xf>
    <xf numFmtId="0" fontId="116" fillId="60" borderId="50" xfId="380" applyFont="1" applyFill="1" applyBorder="1" applyAlignment="1">
      <alignment horizontal="center" vertical="top" wrapText="1"/>
    </xf>
    <xf numFmtId="0" fontId="106" fillId="60" borderId="0" xfId="380" applyFont="1" applyFill="1" applyAlignment="1">
      <alignment horizontal="center" vertical="top" wrapText="1"/>
    </xf>
    <xf numFmtId="0" fontId="106" fillId="60" borderId="0" xfId="380" applyFont="1" applyFill="1" applyAlignment="1">
      <alignment vertical="top" wrapText="1"/>
    </xf>
    <xf numFmtId="0" fontId="70" fillId="72" borderId="0" xfId="0" applyFont="1" applyFill="1" applyAlignment="1">
      <alignment horizontal="left" vertical="top" wrapText="1"/>
    </xf>
    <xf numFmtId="0" fontId="72" fillId="72" borderId="48" xfId="0" applyFont="1" applyFill="1" applyBorder="1" applyAlignment="1">
      <alignment horizontal="center" vertical="center" wrapText="1"/>
    </xf>
    <xf numFmtId="0" fontId="72" fillId="72" borderId="57" xfId="0" applyFont="1" applyFill="1" applyBorder="1" applyAlignment="1">
      <alignment horizontal="center" vertical="center" wrapText="1"/>
    </xf>
    <xf numFmtId="0" fontId="70" fillId="72" borderId="0" xfId="0" applyFont="1" applyFill="1" applyAlignment="1">
      <alignment horizontal="left" vertical="top"/>
    </xf>
    <xf numFmtId="0" fontId="70" fillId="72" borderId="0" xfId="0" applyFont="1" applyFill="1" applyAlignment="1">
      <alignment vertical="top"/>
    </xf>
    <xf numFmtId="0" fontId="72" fillId="72" borderId="48" xfId="0" applyFont="1" applyFill="1" applyBorder="1" applyAlignment="1">
      <alignment horizontal="center" wrapText="1"/>
    </xf>
    <xf numFmtId="0" fontId="72" fillId="72" borderId="57" xfId="0" applyFont="1" applyFill="1" applyBorder="1" applyAlignment="1">
      <alignment horizontal="center" wrapText="1"/>
    </xf>
    <xf numFmtId="0" fontId="70" fillId="72" borderId="0" xfId="0" applyFont="1" applyFill="1" applyAlignment="1">
      <alignment vertical="top" wrapText="1"/>
    </xf>
    <xf numFmtId="0" fontId="72" fillId="60" borderId="50" xfId="380" applyFont="1" applyFill="1" applyBorder="1" applyAlignment="1">
      <alignment horizontal="center" vertical="center" wrapText="1"/>
    </xf>
    <xf numFmtId="0" fontId="72" fillId="60" borderId="0" xfId="380" applyFont="1" applyFill="1" applyAlignment="1">
      <alignment horizontal="center" vertical="top" wrapText="1"/>
    </xf>
    <xf numFmtId="0" fontId="78" fillId="60" borderId="0" xfId="381" applyFont="1" applyFill="1" applyAlignment="1">
      <alignment horizontal="left" vertical="top" wrapText="1"/>
    </xf>
    <xf numFmtId="0" fontId="70" fillId="60" borderId="0" xfId="380" applyFont="1" applyFill="1" applyAlignment="1">
      <alignment horizontal="left" wrapText="1"/>
    </xf>
    <xf numFmtId="0" fontId="82" fillId="71" borderId="0" xfId="0" applyFont="1" applyFill="1" applyAlignment="1">
      <alignment vertical="center" wrapText="1"/>
    </xf>
    <xf numFmtId="0" fontId="0" fillId="0" borderId="0" xfId="0" applyAlignment="1">
      <alignment horizontal="center"/>
    </xf>
    <xf numFmtId="0" fontId="87" fillId="71" borderId="53" xfId="0" applyFont="1" applyFill="1" applyBorder="1" applyAlignment="1">
      <alignment horizontal="center" vertical="center"/>
    </xf>
    <xf numFmtId="0" fontId="87" fillId="71" borderId="32" xfId="0" applyFont="1" applyFill="1" applyBorder="1" applyAlignment="1">
      <alignment horizontal="center" vertical="center"/>
    </xf>
    <xf numFmtId="0" fontId="87" fillId="71" borderId="47" xfId="0" applyFont="1" applyFill="1" applyBorder="1" applyAlignment="1">
      <alignment horizontal="center" vertical="center"/>
    </xf>
    <xf numFmtId="0" fontId="87" fillId="71" borderId="52" xfId="0" applyFont="1" applyFill="1" applyBorder="1" applyAlignment="1">
      <alignment horizontal="center" vertical="center"/>
    </xf>
    <xf numFmtId="0" fontId="0" fillId="60" borderId="0" xfId="0" applyFill="1" applyAlignment="1">
      <alignment horizontal="center"/>
    </xf>
    <xf numFmtId="0" fontId="82" fillId="71" borderId="0" xfId="0" applyFont="1" applyFill="1" applyAlignment="1">
      <alignment horizontal="left" vertical="center" wrapText="1"/>
    </xf>
    <xf numFmtId="0" fontId="70" fillId="72" borderId="0" xfId="0" applyFont="1" applyFill="1" applyAlignment="1">
      <alignment horizontal="left" vertical="center" wrapText="1"/>
    </xf>
    <xf numFmtId="0" fontId="110" fillId="71" borderId="47" xfId="0" applyFont="1" applyFill="1" applyBorder="1" applyAlignment="1">
      <alignment horizontal="center" vertical="center" wrapText="1"/>
    </xf>
    <xf numFmtId="0" fontId="110" fillId="71" borderId="47" xfId="0" applyFont="1" applyFill="1" applyBorder="1" applyAlignment="1">
      <alignment horizontal="center" vertical="center"/>
    </xf>
    <xf numFmtId="0" fontId="110" fillId="71" borderId="50" xfId="0" applyFont="1" applyFill="1" applyBorder="1" applyAlignment="1">
      <alignment horizontal="center" vertical="center" wrapText="1"/>
    </xf>
    <xf numFmtId="0" fontId="110" fillId="71" borderId="48" xfId="0" applyFont="1" applyFill="1" applyBorder="1" applyAlignment="1">
      <alignment horizontal="center" vertical="center" wrapText="1"/>
    </xf>
    <xf numFmtId="0" fontId="110" fillId="71" borderId="49" xfId="0" applyFont="1" applyFill="1" applyBorder="1" applyAlignment="1">
      <alignment horizontal="center" vertical="center" wrapText="1"/>
    </xf>
    <xf numFmtId="0" fontId="70" fillId="72" borderId="0" xfId="0" applyFont="1" applyFill="1" applyAlignment="1">
      <alignment horizontal="left" wrapText="1"/>
    </xf>
    <xf numFmtId="0" fontId="82" fillId="0" borderId="0" xfId="0" applyFont="1" applyAlignment="1">
      <alignment horizontal="left" vertical="center" wrapText="1"/>
    </xf>
    <xf numFmtId="0" fontId="70" fillId="72" borderId="0" xfId="0" applyFont="1" applyFill="1" applyAlignment="1">
      <alignment vertical="center"/>
    </xf>
    <xf numFmtId="0" fontId="70" fillId="72" borderId="0" xfId="0" applyFont="1" applyFill="1" applyAlignment="1">
      <alignment horizontal="left" vertical="center"/>
    </xf>
    <xf numFmtId="0" fontId="116" fillId="72" borderId="48" xfId="0" applyFont="1" applyFill="1" applyBorder="1" applyAlignment="1">
      <alignment horizontal="center" vertical="center" wrapText="1"/>
    </xf>
    <xf numFmtId="0" fontId="116" fillId="72" borderId="57" xfId="0" applyFont="1" applyFill="1" applyBorder="1" applyAlignment="1">
      <alignment horizontal="center" vertical="center" wrapText="1"/>
    </xf>
    <xf numFmtId="0" fontId="70" fillId="72" borderId="0" xfId="0" applyFont="1" applyFill="1" applyAlignment="1">
      <alignment vertical="center" wrapText="1"/>
    </xf>
    <xf numFmtId="0" fontId="82" fillId="71" borderId="0" xfId="0" applyFont="1" applyFill="1" applyAlignment="1">
      <alignment horizontal="left" vertical="top" wrapText="1"/>
    </xf>
    <xf numFmtId="0" fontId="116" fillId="0" borderId="48" xfId="380" applyFont="1" applyBorder="1" applyAlignment="1">
      <alignment horizontal="center" vertical="center" wrapText="1"/>
    </xf>
    <xf numFmtId="0" fontId="116" fillId="0" borderId="49" xfId="380" applyFont="1" applyBorder="1" applyAlignment="1">
      <alignment horizontal="center" vertical="center" wrapText="1"/>
    </xf>
    <xf numFmtId="0" fontId="128" fillId="60" borderId="55" xfId="380" applyFont="1" applyFill="1" applyBorder="1"/>
    <xf numFmtId="0" fontId="104" fillId="60" borderId="0" xfId="380" applyFont="1" applyFill="1" applyAlignment="1">
      <alignment horizontal="center" vertical="top" wrapText="1"/>
    </xf>
    <xf numFmtId="0" fontId="104" fillId="60" borderId="0" xfId="380" applyFont="1" applyFill="1" applyAlignment="1">
      <alignment vertical="top" wrapText="1"/>
    </xf>
    <xf numFmtId="17" fontId="105" fillId="60" borderId="0" xfId="380" quotePrefix="1" applyNumberFormat="1" applyFont="1" applyFill="1" applyAlignment="1">
      <alignment horizontal="center" vertical="top" wrapText="1"/>
    </xf>
    <xf numFmtId="0" fontId="70" fillId="60" borderId="0" xfId="380" applyFont="1" applyFill="1"/>
    <xf numFmtId="0" fontId="72" fillId="72" borderId="48" xfId="0" applyFont="1" applyFill="1" applyBorder="1" applyAlignment="1">
      <alignment horizontal="center" vertical="top" wrapText="1"/>
    </xf>
    <xf numFmtId="0" fontId="72" fillId="72" borderId="57" xfId="0" applyFont="1" applyFill="1" applyBorder="1" applyAlignment="1">
      <alignment horizontal="center" vertical="top" wrapText="1"/>
    </xf>
    <xf numFmtId="0" fontId="87" fillId="60" borderId="47" xfId="0" applyFont="1" applyFill="1" applyBorder="1" applyAlignment="1">
      <alignment horizontal="center" vertical="center" wrapText="1"/>
    </xf>
    <xf numFmtId="0" fontId="88" fillId="78" borderId="47" xfId="0" applyFont="1" applyFill="1" applyBorder="1" applyAlignment="1">
      <alignment horizontal="center" vertical="center" wrapText="1"/>
    </xf>
    <xf numFmtId="0" fontId="136" fillId="60" borderId="0" xfId="0" applyFont="1" applyFill="1" applyAlignment="1">
      <alignment vertical="center"/>
    </xf>
    <xf numFmtId="0" fontId="70" fillId="60" borderId="0" xfId="380" quotePrefix="1" applyFont="1" applyFill="1" applyAlignment="1">
      <alignment horizontal="left" vertical="top" wrapText="1"/>
    </xf>
    <xf numFmtId="0" fontId="116" fillId="60" borderId="53" xfId="380" applyFont="1" applyFill="1" applyBorder="1" applyAlignment="1">
      <alignment horizontal="center" vertical="top" wrapText="1"/>
    </xf>
    <xf numFmtId="0" fontId="116" fillId="60" borderId="32" xfId="380" applyFont="1" applyFill="1" applyBorder="1" applyAlignment="1">
      <alignment horizontal="center" vertical="top" wrapText="1"/>
    </xf>
    <xf numFmtId="0" fontId="80" fillId="60" borderId="0" xfId="0" quotePrefix="1" applyFont="1" applyFill="1" applyAlignment="1">
      <alignment horizontal="left" vertical="top" wrapText="1"/>
    </xf>
    <xf numFmtId="0" fontId="80" fillId="0" borderId="0" xfId="0" applyFont="1" applyAlignment="1">
      <alignment horizontal="left" vertical="top" wrapText="1"/>
    </xf>
    <xf numFmtId="0" fontId="24" fillId="61" borderId="0" xfId="0" applyFont="1" applyFill="1" applyAlignment="1">
      <alignment horizontal="center"/>
    </xf>
  </cellXfs>
  <cellStyles count="384">
    <cellStyle name="_0806月报 (2)" xfId="9" xr:uid="{00000000-0005-0000-0000-000000000000}"/>
    <cellStyle name="_08年全国分省新增装机容量" xfId="10" xr:uid="{00000000-0005-0000-0000-000001000000}"/>
    <cellStyle name="_供售线损率" xfId="13" xr:uid="{00000000-0005-0000-0000-000002000000}"/>
    <cellStyle name="_公变容量" xfId="12" xr:uid="{00000000-0005-0000-0000-000003000000}"/>
    <cellStyle name="_分省全社会用电量" xfId="11" xr:uid="{00000000-0005-0000-0000-000004000000}"/>
    <cellStyle name="_月报模板" xfId="15" xr:uid="{00000000-0005-0000-0000-000005000000}"/>
    <cellStyle name="_煤耗" xfId="14" xr:uid="{00000000-0005-0000-0000-000006000000}"/>
    <cellStyle name="1000-sep (2 dec) 2" xfId="77" xr:uid="{00000000-0005-0000-0000-000007000000}"/>
    <cellStyle name="1000-sep (2 dec) 2 2" xfId="97" xr:uid="{00000000-0005-0000-0000-000008000000}"/>
    <cellStyle name="1000-sep (2 dec) 2 2 2" xfId="237" xr:uid="{00000000-0005-0000-0000-000009000000}"/>
    <cellStyle name="1000-sep (2 dec) 2 2 2 2" xfId="325" xr:uid="{00000000-0005-0000-0000-00000A000000}"/>
    <cellStyle name="1000-sep (2 dec) 2 2 3" xfId="289" xr:uid="{00000000-0005-0000-0000-00000B000000}"/>
    <cellStyle name="1000-sep (2 dec) 2 3" xfId="141" xr:uid="{00000000-0005-0000-0000-00000C000000}"/>
    <cellStyle name="1000-sep (2 dec) 2 3 2" xfId="302" xr:uid="{00000000-0005-0000-0000-00000D000000}"/>
    <cellStyle name="1000-sep (2 dec) 2 4" xfId="284" xr:uid="{00000000-0005-0000-0000-00000E000000}"/>
    <cellStyle name="1000-sep (2 dec) 3" xfId="83" xr:uid="{00000000-0005-0000-0000-00000F000000}"/>
    <cellStyle name="1000-sep (2 dec) 3 2" xfId="93" xr:uid="{00000000-0005-0000-0000-000010000000}"/>
    <cellStyle name="1000-sep (2 dec) 3 2 2" xfId="114" xr:uid="{00000000-0005-0000-0000-000011000000}"/>
    <cellStyle name="1000-sep (2 dec) 3 2 2 2" xfId="138" xr:uid="{00000000-0005-0000-0000-000012000000}"/>
    <cellStyle name="1000-sep (2 dec) 3 2 2 2 2" xfId="301" xr:uid="{00000000-0005-0000-0000-000013000000}"/>
    <cellStyle name="1000-sep (2 dec) 3 2 2 3" xfId="292" xr:uid="{00000000-0005-0000-0000-000014000000}"/>
    <cellStyle name="1000-sep (2 dec) 3 2 3" xfId="236" xr:uid="{00000000-0005-0000-0000-000015000000}"/>
    <cellStyle name="1000-sep (2 dec) 3 2 3 2" xfId="324" xr:uid="{00000000-0005-0000-0000-000016000000}"/>
    <cellStyle name="1000-sep (2 dec) 3 2 4" xfId="288" xr:uid="{00000000-0005-0000-0000-000017000000}"/>
    <cellStyle name="1000-sep (2 dec) 3 3" xfId="109" xr:uid="{00000000-0005-0000-0000-000018000000}"/>
    <cellStyle name="1000-sep (2 dec) 3 3 2" xfId="220" xr:uid="{00000000-0005-0000-0000-000019000000}"/>
    <cellStyle name="1000-sep (2 dec) 3 3 2 2" xfId="315" xr:uid="{00000000-0005-0000-0000-00001A000000}"/>
    <cellStyle name="1000-sep (2 dec) 3 3 3" xfId="291" xr:uid="{00000000-0005-0000-0000-00001B000000}"/>
    <cellStyle name="1000-sep (2 dec) 3 4" xfId="235" xr:uid="{00000000-0005-0000-0000-00001C000000}"/>
    <cellStyle name="1000-sep (2 dec) 3 4 2" xfId="323" xr:uid="{00000000-0005-0000-0000-00001D000000}"/>
    <cellStyle name="1000-sep (2 dec) 3 5" xfId="286" xr:uid="{00000000-0005-0000-0000-00001E000000}"/>
    <cellStyle name="1000-sep (2 dec) 4" xfId="89" xr:uid="{00000000-0005-0000-0000-00001F000000}"/>
    <cellStyle name="1000-sep (2 dec) 4 2" xfId="162" xr:uid="{00000000-0005-0000-0000-000020000000}"/>
    <cellStyle name="1000-sep (2 dec) 4 2 2" xfId="304" xr:uid="{00000000-0005-0000-0000-000021000000}"/>
    <cellStyle name="1000-sep (2 dec) 4 3" xfId="287" xr:uid="{00000000-0005-0000-0000-000022000000}"/>
    <cellStyle name="1000-sep (2 dec) 5" xfId="105" xr:uid="{00000000-0005-0000-0000-000023000000}"/>
    <cellStyle name="1000-sep (2 dec) 5 2" xfId="231" xr:uid="{00000000-0005-0000-0000-000024000000}"/>
    <cellStyle name="1000-sep (2 dec) 5 2 2" xfId="321" xr:uid="{00000000-0005-0000-0000-000025000000}"/>
    <cellStyle name="1000-sep (2 dec) 5 3" xfId="290" xr:uid="{00000000-0005-0000-0000-000026000000}"/>
    <cellStyle name="20% - Accent1" xfId="38" builtinId="30" customBuiltin="1"/>
    <cellStyle name="20% - Accent1 2" xfId="169" xr:uid="{00000000-0005-0000-0000-000028000000}"/>
    <cellStyle name="20% - Accent2" xfId="42" builtinId="34" customBuiltin="1"/>
    <cellStyle name="20% - Accent2 2" xfId="170" xr:uid="{00000000-0005-0000-0000-00002A000000}"/>
    <cellStyle name="20% - Accent3" xfId="46" builtinId="38" customBuiltin="1"/>
    <cellStyle name="20% - Accent3 2" xfId="171" xr:uid="{00000000-0005-0000-0000-00002C000000}"/>
    <cellStyle name="20% - Accent3 3" xfId="140" xr:uid="{00000000-0005-0000-0000-00002D000000}"/>
    <cellStyle name="20% - Accent4" xfId="50" builtinId="42" customBuiltin="1"/>
    <cellStyle name="20% - Accent4 2" xfId="172" xr:uid="{00000000-0005-0000-0000-00002F000000}"/>
    <cellStyle name="20% - Accent5" xfId="54" builtinId="46" customBuiltin="1"/>
    <cellStyle name="20% - Accent5 2" xfId="173" xr:uid="{00000000-0005-0000-0000-000031000000}"/>
    <cellStyle name="20% - Accent6" xfId="58" builtinId="50" customBuiltin="1"/>
    <cellStyle name="20% - Accent6 2" xfId="174" xr:uid="{00000000-0005-0000-0000-000033000000}"/>
    <cellStyle name="40% - Accent1" xfId="39" builtinId="31" customBuiltin="1"/>
    <cellStyle name="40% - Accent1 2" xfId="175" xr:uid="{00000000-0005-0000-0000-000035000000}"/>
    <cellStyle name="40% - Accent2" xfId="43" builtinId="35" customBuiltin="1"/>
    <cellStyle name="40% - Accent2 2" xfId="176" xr:uid="{00000000-0005-0000-0000-000037000000}"/>
    <cellStyle name="40% - Accent3" xfId="47" builtinId="39" customBuiltin="1"/>
    <cellStyle name="40% - Accent3 2" xfId="177" xr:uid="{00000000-0005-0000-0000-000039000000}"/>
    <cellStyle name="40% - Accent4" xfId="51" builtinId="43" customBuiltin="1"/>
    <cellStyle name="40% - Accent4 2" xfId="178" xr:uid="{00000000-0005-0000-0000-00003B000000}"/>
    <cellStyle name="40% - Accent5" xfId="55" builtinId="47" customBuiltin="1"/>
    <cellStyle name="40% - Accent5 2" xfId="179" xr:uid="{00000000-0005-0000-0000-00003D000000}"/>
    <cellStyle name="40% - Accent6" xfId="59" builtinId="51" customBuiltin="1"/>
    <cellStyle name="40% - Accent6 2" xfId="180" xr:uid="{00000000-0005-0000-0000-00003F000000}"/>
    <cellStyle name="60% - Accent1" xfId="40" builtinId="32" customBuiltin="1"/>
    <cellStyle name="60% - Accent1 2" xfId="181" xr:uid="{00000000-0005-0000-0000-000041000000}"/>
    <cellStyle name="60% - Accent1 3" xfId="372" xr:uid="{8F6D8847-BAFD-46D0-AA4F-B19037735DD3}"/>
    <cellStyle name="60% - Accent2" xfId="44" builtinId="36" customBuiltin="1"/>
    <cellStyle name="60% - Accent2 2" xfId="182" xr:uid="{00000000-0005-0000-0000-000043000000}"/>
    <cellStyle name="60% - Accent2 3" xfId="373" xr:uid="{9469C1CD-C7A2-47CD-B217-A9223EA08A2B}"/>
    <cellStyle name="60% - Accent3" xfId="48" builtinId="40" customBuiltin="1"/>
    <cellStyle name="60% - Accent3 2" xfId="183" xr:uid="{00000000-0005-0000-0000-000045000000}"/>
    <cellStyle name="60% - Accent3 3" xfId="374" xr:uid="{77687931-26DB-40C7-9241-23BFC1F98DFB}"/>
    <cellStyle name="60% - Accent4" xfId="52" builtinId="44" customBuiltin="1"/>
    <cellStyle name="60% - Accent4 2" xfId="184" xr:uid="{00000000-0005-0000-0000-000047000000}"/>
    <cellStyle name="60% - Accent4 3" xfId="375" xr:uid="{7AB92E10-8178-4F1D-B682-0204B57A86EC}"/>
    <cellStyle name="60% - Accent5" xfId="56" builtinId="48" customBuiltin="1"/>
    <cellStyle name="60% - Accent5 2" xfId="185" xr:uid="{00000000-0005-0000-0000-000049000000}"/>
    <cellStyle name="60% - Accent5 3" xfId="376" xr:uid="{8A9649BA-E0D9-4C06-B31B-A498F795050D}"/>
    <cellStyle name="60% - Accent6" xfId="60" builtinId="52" customBuiltin="1"/>
    <cellStyle name="60% - Accent6 2" xfId="186" xr:uid="{00000000-0005-0000-0000-00004B000000}"/>
    <cellStyle name="60% - Accent6 3" xfId="377" xr:uid="{B21177E1-7902-48A1-83B5-5BA7D2473EEA}"/>
    <cellStyle name="Accent1" xfId="37" builtinId="29" customBuiltin="1"/>
    <cellStyle name="Accent1 2" xfId="187" xr:uid="{00000000-0005-0000-0000-00004D000000}"/>
    <cellStyle name="Accent2" xfId="41" builtinId="33" customBuiltin="1"/>
    <cellStyle name="Accent2 2" xfId="188" xr:uid="{00000000-0005-0000-0000-00004F000000}"/>
    <cellStyle name="Accent3" xfId="45" builtinId="37" customBuiltin="1"/>
    <cellStyle name="Accent3 2" xfId="189" xr:uid="{00000000-0005-0000-0000-000051000000}"/>
    <cellStyle name="Accent4" xfId="49" builtinId="41" customBuiltin="1"/>
    <cellStyle name="Accent4 2" xfId="190" xr:uid="{00000000-0005-0000-0000-000053000000}"/>
    <cellStyle name="Accent5" xfId="53" builtinId="45" customBuiltin="1"/>
    <cellStyle name="Accent5 2" xfId="191" xr:uid="{00000000-0005-0000-0000-000055000000}"/>
    <cellStyle name="Accent6" xfId="57" builtinId="49" customBuiltin="1"/>
    <cellStyle name="Accent6 2" xfId="192" xr:uid="{00000000-0005-0000-0000-000057000000}"/>
    <cellStyle name="Advanced user input" xfId="94" xr:uid="{00000000-0005-0000-0000-000058000000}"/>
    <cellStyle name="Bad" xfId="26" builtinId="27" customBuiltin="1"/>
    <cellStyle name="Bad 2" xfId="193" xr:uid="{00000000-0005-0000-0000-00005A000000}"/>
    <cellStyle name="Basic User Data Input" xfId="95" xr:uid="{00000000-0005-0000-0000-00005B000000}"/>
    <cellStyle name="Basic User Selection" xfId="96" xr:uid="{00000000-0005-0000-0000-00005C000000}"/>
    <cellStyle name="C01_Main head" xfId="147" xr:uid="{00000000-0005-0000-0000-00005D000000}"/>
    <cellStyle name="C02_Column heads" xfId="148" xr:uid="{00000000-0005-0000-0000-00005E000000}"/>
    <cellStyle name="C03_Sub head bold" xfId="149" xr:uid="{00000000-0005-0000-0000-00005F000000}"/>
    <cellStyle name="C03a_Sub head" xfId="150" xr:uid="{00000000-0005-0000-0000-000060000000}"/>
    <cellStyle name="C04_Total text white bold" xfId="151" xr:uid="{00000000-0005-0000-0000-000061000000}"/>
    <cellStyle name="C04a_Total text black with rule" xfId="152" xr:uid="{00000000-0005-0000-0000-000062000000}"/>
    <cellStyle name="C05_Main text" xfId="153" xr:uid="{00000000-0005-0000-0000-000063000000}"/>
    <cellStyle name="C06_Figs" xfId="154" xr:uid="{00000000-0005-0000-0000-000064000000}"/>
    <cellStyle name="C07_Figs 1 dec percent" xfId="155" xr:uid="{00000000-0005-0000-0000-000065000000}"/>
    <cellStyle name="C08_Figs 1 decimal" xfId="156" xr:uid="{00000000-0005-0000-0000-000066000000}"/>
    <cellStyle name="C09_Notes" xfId="157" xr:uid="{00000000-0005-0000-0000-000067000000}"/>
    <cellStyle name="Calculation" xfId="30" builtinId="22" customBuiltin="1"/>
    <cellStyle name="Calculation 2" xfId="194" xr:uid="{00000000-0005-0000-0000-000069000000}"/>
    <cellStyle name="Check Cell" xfId="32" builtinId="23" customBuiltin="1"/>
    <cellStyle name="Check Cell 2" xfId="195" xr:uid="{00000000-0005-0000-0000-00006B000000}"/>
    <cellStyle name="Comma" xfId="7" builtinId="3"/>
    <cellStyle name="Comma [0]" xfId="350" builtinId="6"/>
    <cellStyle name="Comma [0] 2" xfId="351" xr:uid="{9A1CB7D3-191B-4348-9801-1C3108CA85ED}"/>
    <cellStyle name="Comma [0] 2 2" xfId="352" xr:uid="{F0F19169-B1CF-48C6-BED0-2AFEBCBECEA9}"/>
    <cellStyle name="Comma [0] 2 2 2" xfId="357" xr:uid="{F0F19169-B1CF-48C6-BED0-2AFEBCBECEA9}"/>
    <cellStyle name="Comma [0] 2 2 3" xfId="363" xr:uid="{0233AB4E-A37D-43C1-B628-FA2FA837F281}"/>
    <cellStyle name="Comma [0] 2 3" xfId="356" xr:uid="{9A1CB7D3-191B-4348-9801-1C3108CA85ED}"/>
    <cellStyle name="Comma [0] 2 4" xfId="359" xr:uid="{61858CFF-8E11-4329-9842-1AD713D364DF}"/>
    <cellStyle name="Comma 10" xfId="212" xr:uid="{00000000-0005-0000-0000-00006D000000}"/>
    <cellStyle name="Comma 10 2" xfId="313" xr:uid="{00000000-0005-0000-0000-00006E000000}"/>
    <cellStyle name="Comma 100" xfId="348" xr:uid="{00000000-0005-0000-0000-00006F000000}"/>
    <cellStyle name="Comma 100 2" xfId="355" xr:uid="{00000000-0005-0000-0000-00006F000000}"/>
    <cellStyle name="Comma 100 2 2" xfId="379" xr:uid="{ABA46893-2DA2-4C1A-B4FD-CBEE002AC110}"/>
    <cellStyle name="Comma 11" xfId="131" xr:uid="{00000000-0005-0000-0000-000070000000}"/>
    <cellStyle name="Comma 11 2" xfId="299" xr:uid="{00000000-0005-0000-0000-000071000000}"/>
    <cellStyle name="Comma 12" xfId="249" xr:uid="{00000000-0005-0000-0000-000072000000}"/>
    <cellStyle name="Comma 12 2" xfId="327" xr:uid="{00000000-0005-0000-0000-000073000000}"/>
    <cellStyle name="Comma 13" xfId="253" xr:uid="{00000000-0005-0000-0000-000074000000}"/>
    <cellStyle name="Comma 13 2" xfId="330" xr:uid="{00000000-0005-0000-0000-000075000000}"/>
    <cellStyle name="Comma 14" xfId="258" xr:uid="{00000000-0005-0000-0000-000076000000}"/>
    <cellStyle name="Comma 14 2" xfId="333" xr:uid="{00000000-0005-0000-0000-000077000000}"/>
    <cellStyle name="Comma 15" xfId="263" xr:uid="{00000000-0005-0000-0000-000078000000}"/>
    <cellStyle name="Comma 15 2" xfId="336" xr:uid="{00000000-0005-0000-0000-000079000000}"/>
    <cellStyle name="Comma 16" xfId="268" xr:uid="{00000000-0005-0000-0000-00007A000000}"/>
    <cellStyle name="Comma 16 2" xfId="339" xr:uid="{00000000-0005-0000-0000-00007B000000}"/>
    <cellStyle name="Comma 17" xfId="79" xr:uid="{00000000-0005-0000-0000-00007C000000}"/>
    <cellStyle name="Comma 17 2" xfId="285" xr:uid="{00000000-0005-0000-0000-00007D000000}"/>
    <cellStyle name="Comma 18" xfId="343" xr:uid="{00000000-0005-0000-0000-00007E000000}"/>
    <cellStyle name="Comma 19" xfId="369" xr:uid="{5AA0CB0F-3924-4E27-9FC4-EDE098921B12}"/>
    <cellStyle name="Comma 2" xfId="5" xr:uid="{00000000-0005-0000-0000-00007F000000}"/>
    <cellStyle name="Comma 2 10" xfId="98" xr:uid="{00000000-0005-0000-0000-000080000000}"/>
    <cellStyle name="Comma 2 11" xfId="68" xr:uid="{00000000-0005-0000-0000-000081000000}"/>
    <cellStyle name="Comma 2 11 2" xfId="283" xr:uid="{00000000-0005-0000-0000-000082000000}"/>
    <cellStyle name="Comma 2 12" xfId="275" xr:uid="{00000000-0005-0000-0000-000083000000}"/>
    <cellStyle name="Comma 2 13" xfId="65" xr:uid="{00000000-0005-0000-0000-000084000000}"/>
    <cellStyle name="Comma 2 14" xfId="281" xr:uid="{00000000-0005-0000-0000-000085000000}"/>
    <cellStyle name="Comma 2 15" xfId="353" xr:uid="{00000000-0005-0000-0000-00007F000000}"/>
    <cellStyle name="Comma 2 15 2" xfId="368" xr:uid="{AF9050C9-6F58-443E-8F44-3F69F234783D}"/>
    <cellStyle name="Comma 2 16" xfId="382" xr:uid="{1A6AFC35-9D98-4CA2-AC4A-A28E5D6C98C7}"/>
    <cellStyle name="Comma 2 2" xfId="62" xr:uid="{00000000-0005-0000-0000-000086000000}"/>
    <cellStyle name="Comma 2 2 2" xfId="232" xr:uid="{00000000-0005-0000-0000-000087000000}"/>
    <cellStyle name="Comma 2 2 2 2" xfId="322" xr:uid="{00000000-0005-0000-0000-000088000000}"/>
    <cellStyle name="Comma 2 2 3" xfId="278" xr:uid="{00000000-0005-0000-0000-000089000000}"/>
    <cellStyle name="Comma 2 2 3 2" xfId="342" xr:uid="{00000000-0005-0000-0000-00008A000000}"/>
    <cellStyle name="Comma 2 2 4" xfId="128" xr:uid="{00000000-0005-0000-0000-00008B000000}"/>
    <cellStyle name="Comma 2 2 5" xfId="297" xr:uid="{00000000-0005-0000-0000-00008C000000}"/>
    <cellStyle name="Comma 2 3" xfId="124" xr:uid="{00000000-0005-0000-0000-00008D000000}"/>
    <cellStyle name="Comma 2 3 2" xfId="227" xr:uid="{00000000-0005-0000-0000-00008E000000}"/>
    <cellStyle name="Comma 2 3 2 2" xfId="317" xr:uid="{00000000-0005-0000-0000-00008F000000}"/>
    <cellStyle name="Comma 2 3 3" xfId="294" xr:uid="{00000000-0005-0000-0000-000090000000}"/>
    <cellStyle name="Comma 2 4" xfId="158" xr:uid="{00000000-0005-0000-0000-000091000000}"/>
    <cellStyle name="Comma 2 4 2" xfId="303" xr:uid="{00000000-0005-0000-0000-000092000000}"/>
    <cellStyle name="Comma 2 5" xfId="251" xr:uid="{00000000-0005-0000-0000-000093000000}"/>
    <cellStyle name="Comma 2 5 2" xfId="329" xr:uid="{00000000-0005-0000-0000-000094000000}"/>
    <cellStyle name="Comma 2 6" xfId="255" xr:uid="{00000000-0005-0000-0000-000095000000}"/>
    <cellStyle name="Comma 2 6 2" xfId="332" xr:uid="{00000000-0005-0000-0000-000096000000}"/>
    <cellStyle name="Comma 2 7" xfId="260" xr:uid="{00000000-0005-0000-0000-000097000000}"/>
    <cellStyle name="Comma 2 7 2" xfId="335" xr:uid="{00000000-0005-0000-0000-000098000000}"/>
    <cellStyle name="Comma 2 8" xfId="265" xr:uid="{00000000-0005-0000-0000-000099000000}"/>
    <cellStyle name="Comma 2 8 2" xfId="338" xr:uid="{00000000-0005-0000-0000-00009A000000}"/>
    <cellStyle name="Comma 2 9" xfId="270" xr:uid="{00000000-0005-0000-0000-00009B000000}"/>
    <cellStyle name="Comma 2 9 2" xfId="341" xr:uid="{00000000-0005-0000-0000-00009C000000}"/>
    <cellStyle name="Comma 20" xfId="371" xr:uid="{09D48D03-F872-469B-8932-8D7DD398A6C5}"/>
    <cellStyle name="Comma 21" xfId="365" xr:uid="{4BD7FD9D-6FC1-4EAE-8DC2-3902B33FB806}"/>
    <cellStyle name="Comma 3" xfId="67" xr:uid="{00000000-0005-0000-0000-00009D000000}"/>
    <cellStyle name="Comma 3 10" xfId="119" xr:uid="{00000000-0005-0000-0000-00009E000000}"/>
    <cellStyle name="Comma 3 10 2" xfId="293" xr:uid="{00000000-0005-0000-0000-00009F000000}"/>
    <cellStyle name="Comma 3 11" xfId="282" xr:uid="{00000000-0005-0000-0000-0000A0000000}"/>
    <cellStyle name="Comma 3 2" xfId="125" xr:uid="{00000000-0005-0000-0000-0000A1000000}"/>
    <cellStyle name="Comma 3 2 2" xfId="230" xr:uid="{00000000-0005-0000-0000-0000A2000000}"/>
    <cellStyle name="Comma 3 2 2 2" xfId="320" xr:uid="{00000000-0005-0000-0000-0000A3000000}"/>
    <cellStyle name="Comma 3 2 3" xfId="295" xr:uid="{00000000-0005-0000-0000-0000A4000000}"/>
    <cellStyle name="Comma 3 3" xfId="166" xr:uid="{00000000-0005-0000-0000-0000A5000000}"/>
    <cellStyle name="Comma 3 3 2" xfId="308" xr:uid="{00000000-0005-0000-0000-0000A6000000}"/>
    <cellStyle name="Comma 3 4" xfId="136" xr:uid="{00000000-0005-0000-0000-0000A7000000}"/>
    <cellStyle name="Comma 3 4 2" xfId="300" xr:uid="{00000000-0005-0000-0000-0000A8000000}"/>
    <cellStyle name="Comma 3 5" xfId="250" xr:uid="{00000000-0005-0000-0000-0000A9000000}"/>
    <cellStyle name="Comma 3 5 2" xfId="328" xr:uid="{00000000-0005-0000-0000-0000AA000000}"/>
    <cellStyle name="Comma 3 6" xfId="254" xr:uid="{00000000-0005-0000-0000-0000AB000000}"/>
    <cellStyle name="Comma 3 6 2" xfId="331" xr:uid="{00000000-0005-0000-0000-0000AC000000}"/>
    <cellStyle name="Comma 3 7" xfId="259" xr:uid="{00000000-0005-0000-0000-0000AD000000}"/>
    <cellStyle name="Comma 3 7 2" xfId="334" xr:uid="{00000000-0005-0000-0000-0000AE000000}"/>
    <cellStyle name="Comma 3 8" xfId="264" xr:uid="{00000000-0005-0000-0000-0000AF000000}"/>
    <cellStyle name="Comma 3 8 2" xfId="337" xr:uid="{00000000-0005-0000-0000-0000B0000000}"/>
    <cellStyle name="Comma 3 9" xfId="269" xr:uid="{00000000-0005-0000-0000-0000B1000000}"/>
    <cellStyle name="Comma 3 9 2" xfId="340" xr:uid="{00000000-0005-0000-0000-0000B2000000}"/>
    <cellStyle name="Comma 4" xfId="126" xr:uid="{00000000-0005-0000-0000-0000B3000000}"/>
    <cellStyle name="Comma 4 2" xfId="164" xr:uid="{00000000-0005-0000-0000-0000B4000000}"/>
    <cellStyle name="Comma 4 2 2" xfId="306" xr:uid="{00000000-0005-0000-0000-0000B5000000}"/>
    <cellStyle name="Comma 4 3" xfId="229" xr:uid="{00000000-0005-0000-0000-0000B6000000}"/>
    <cellStyle name="Comma 4 3 2" xfId="319" xr:uid="{00000000-0005-0000-0000-0000B7000000}"/>
    <cellStyle name="Comma 4 4" xfId="296" xr:uid="{00000000-0005-0000-0000-0000B8000000}"/>
    <cellStyle name="Comma 5" xfId="129" xr:uid="{00000000-0005-0000-0000-0000B9000000}"/>
    <cellStyle name="Comma 5 2" xfId="161" xr:uid="{00000000-0005-0000-0000-0000BA000000}"/>
    <cellStyle name="Comma 5 2 2" xfId="354" xr:uid="{00000000-0005-0000-0000-0000BA000000}"/>
    <cellStyle name="Comma 5 2 3" xfId="358" xr:uid="{771AB590-2E7D-4D24-A792-7BF1800139CB}"/>
    <cellStyle name="Comma 5 3" xfId="228" xr:uid="{00000000-0005-0000-0000-0000BB000000}"/>
    <cellStyle name="Comma 5 3 2" xfId="318" xr:uid="{00000000-0005-0000-0000-0000BC000000}"/>
    <cellStyle name="Comma 5 4" xfId="298" xr:uid="{00000000-0005-0000-0000-0000BD000000}"/>
    <cellStyle name="Comma 6" xfId="168" xr:uid="{00000000-0005-0000-0000-0000BE000000}"/>
    <cellStyle name="Comma 6 2" xfId="244" xr:uid="{00000000-0005-0000-0000-0000BF000000}"/>
    <cellStyle name="Comma 6 2 2" xfId="326" xr:uid="{00000000-0005-0000-0000-0000C0000000}"/>
    <cellStyle name="Comma 6 3" xfId="309" xr:uid="{00000000-0005-0000-0000-0000C1000000}"/>
    <cellStyle name="Comma 7" xfId="163" xr:uid="{00000000-0005-0000-0000-0000C2000000}"/>
    <cellStyle name="Comma 7 2" xfId="225" xr:uid="{00000000-0005-0000-0000-0000C3000000}"/>
    <cellStyle name="Comma 7 2 2" xfId="316" xr:uid="{00000000-0005-0000-0000-0000C4000000}"/>
    <cellStyle name="Comma 7 3" xfId="305" xr:uid="{00000000-0005-0000-0000-0000C5000000}"/>
    <cellStyle name="Comma 8" xfId="165" xr:uid="{00000000-0005-0000-0000-0000C6000000}"/>
    <cellStyle name="Comma 8 2" xfId="307" xr:uid="{00000000-0005-0000-0000-0000C7000000}"/>
    <cellStyle name="Comma 9" xfId="211" xr:uid="{00000000-0005-0000-0000-0000C8000000}"/>
    <cellStyle name="Comma 9 2" xfId="312" xr:uid="{00000000-0005-0000-0000-0000C9000000}"/>
    <cellStyle name="Explanatory Text" xfId="35" builtinId="53" customBuiltin="1"/>
    <cellStyle name="Explanatory Text 2" xfId="196" xr:uid="{00000000-0005-0000-0000-0000CB000000}"/>
    <cellStyle name="Followed Hyperlink 2" xfId="219" xr:uid="{00000000-0005-0000-0000-0000CC000000}"/>
    <cellStyle name="Good" xfId="25" builtinId="26" customBuiltin="1"/>
    <cellStyle name="Good 2" xfId="197" xr:uid="{00000000-0005-0000-0000-0000CE000000}"/>
    <cellStyle name="Heading 1" xfId="21" builtinId="16" customBuiltin="1"/>
    <cellStyle name="Heading 1 2" xfId="198" xr:uid="{00000000-0005-0000-0000-0000D0000000}"/>
    <cellStyle name="Heading 1 3" xfId="361" xr:uid="{59297BEF-C525-4FB7-B23D-28CAD3E739C1}"/>
    <cellStyle name="Heading 2" xfId="22" builtinId="17" customBuiltin="1"/>
    <cellStyle name="Heading 2 2" xfId="199" xr:uid="{00000000-0005-0000-0000-0000D2000000}"/>
    <cellStyle name="Heading 3" xfId="23" builtinId="18" customBuiltin="1"/>
    <cellStyle name="Heading 3 2" xfId="200" xr:uid="{00000000-0005-0000-0000-0000D4000000}"/>
    <cellStyle name="Heading 3 2 2" xfId="311" xr:uid="{00000000-0005-0000-0000-0000D5000000}"/>
    <cellStyle name="Heading 3 2 2 2" xfId="347" xr:uid="{00000000-0005-0000-0000-0000D6000000}"/>
    <cellStyle name="Heading 3 2 3" xfId="310" xr:uid="{00000000-0005-0000-0000-0000D7000000}"/>
    <cellStyle name="Heading 3 2 3 2" xfId="346" xr:uid="{00000000-0005-0000-0000-0000D8000000}"/>
    <cellStyle name="Heading 3 2 4" xfId="280" xr:uid="{00000000-0005-0000-0000-0000D9000000}"/>
    <cellStyle name="Heading 4" xfId="24" builtinId="19" customBuiltin="1"/>
    <cellStyle name="Heading 4 2" xfId="201" xr:uid="{00000000-0005-0000-0000-0000DB000000}"/>
    <cellStyle name="Hyperlink" xfId="381" builtinId="8"/>
    <cellStyle name="Hyperlink 2" xfId="159" xr:uid="{00000000-0005-0000-0000-0000DC000000}"/>
    <cellStyle name="Hyperlink 3" xfId="202" xr:uid="{00000000-0005-0000-0000-0000DD000000}"/>
    <cellStyle name="Hyperlink 4" xfId="146" xr:uid="{00000000-0005-0000-0000-0000DE000000}"/>
    <cellStyle name="Input" xfId="28" builtinId="20" customBuiltin="1"/>
    <cellStyle name="Input 2" xfId="203" xr:uid="{00000000-0005-0000-0000-0000E0000000}"/>
    <cellStyle name="Interm selection" xfId="99" xr:uid="{00000000-0005-0000-0000-0000E1000000}"/>
    <cellStyle name="Intermediate/scenario user input" xfId="100" xr:uid="{00000000-0005-0000-0000-0000E2000000}"/>
    <cellStyle name="Komma 2" xfId="63" xr:uid="{00000000-0005-0000-0000-0000E3000000}"/>
    <cellStyle name="Komma 2 2" xfId="314" xr:uid="{00000000-0005-0000-0000-0000E4000000}"/>
    <cellStyle name="Komma 3" xfId="279" xr:uid="{00000000-0005-0000-0000-0000E5000000}"/>
    <cellStyle name="Linked Cell" xfId="31" builtinId="24" customBuiltin="1"/>
    <cellStyle name="Linked Cell 2" xfId="204" xr:uid="{00000000-0005-0000-0000-0000E7000000}"/>
    <cellStyle name="Neutral" xfId="27" builtinId="28" customBuiltin="1"/>
    <cellStyle name="Neutral 2" xfId="205" xr:uid="{00000000-0005-0000-0000-0000E9000000}"/>
    <cellStyle name="Neutral 3" xfId="370" xr:uid="{47720600-9422-45BA-B668-141157E88209}"/>
    <cellStyle name="Normal" xfId="0" builtinId="0"/>
    <cellStyle name="Normal 10" xfId="76" xr:uid="{00000000-0005-0000-0000-0000EB000000}"/>
    <cellStyle name="Normal 11" xfId="87" xr:uid="{00000000-0005-0000-0000-0000EC000000}"/>
    <cellStyle name="Normal 12" xfId="86" xr:uid="{00000000-0005-0000-0000-0000ED000000}"/>
    <cellStyle name="Normal 12 2" xfId="110" xr:uid="{00000000-0005-0000-0000-0000EE000000}"/>
    <cellStyle name="Normal 12 2 2" xfId="226" xr:uid="{00000000-0005-0000-0000-0000EF000000}"/>
    <cellStyle name="Normal 12 3" xfId="241" xr:uid="{00000000-0005-0000-0000-0000F0000000}"/>
    <cellStyle name="Normal 13" xfId="103" xr:uid="{00000000-0005-0000-0000-0000F1000000}"/>
    <cellStyle name="Normal 14" xfId="102" xr:uid="{00000000-0005-0000-0000-0000F2000000}"/>
    <cellStyle name="Normal 14 2" xfId="247" xr:uid="{00000000-0005-0000-0000-0000F3000000}"/>
    <cellStyle name="Normal 15" xfId="115" xr:uid="{00000000-0005-0000-0000-0000F4000000}"/>
    <cellStyle name="Normal 15 2" xfId="245" xr:uid="{00000000-0005-0000-0000-0000F5000000}"/>
    <cellStyle name="Normal 16" xfId="117" xr:uid="{00000000-0005-0000-0000-0000F6000000}"/>
    <cellStyle name="Normal 16 2" xfId="143" xr:uid="{00000000-0005-0000-0000-0000F7000000}"/>
    <cellStyle name="Normal 17" xfId="84" xr:uid="{00000000-0005-0000-0000-0000F8000000}"/>
    <cellStyle name="Normal 18" xfId="118" xr:uid="{00000000-0005-0000-0000-0000F9000000}"/>
    <cellStyle name="Normal 18 2" xfId="137" xr:uid="{00000000-0005-0000-0000-0000FA000000}"/>
    <cellStyle name="Normal 19" xfId="121" xr:uid="{00000000-0005-0000-0000-0000FB000000}"/>
    <cellStyle name="Normal 19 2" xfId="240" xr:uid="{00000000-0005-0000-0000-0000FC000000}"/>
    <cellStyle name="Normal 2" xfId="1" xr:uid="{00000000-0005-0000-0000-0000FD000000}"/>
    <cellStyle name="Normal 2 2" xfId="127" xr:uid="{00000000-0005-0000-0000-0000FE000000}"/>
    <cellStyle name="Normal 2 2 2" xfId="216" xr:uid="{00000000-0005-0000-0000-0000FF000000}"/>
    <cellStyle name="Normal 2 2 3" xfId="366" xr:uid="{81666CFC-6745-428E-8600-6504D4E033E1}"/>
    <cellStyle name="Normal 2 3" xfId="123" xr:uid="{00000000-0005-0000-0000-000000010000}"/>
    <cellStyle name="Normal 2 4" xfId="272" xr:uid="{00000000-0005-0000-0000-000001010000}"/>
    <cellStyle name="Normal 2 5" xfId="66" xr:uid="{00000000-0005-0000-0000-000002010000}"/>
    <cellStyle name="Normal 2 6" xfId="344" xr:uid="{00000000-0005-0000-0000-000003010000}"/>
    <cellStyle name="Normal 2 6 2" xfId="378" xr:uid="{DB6A2B4C-C59D-488F-B411-86134114099D}"/>
    <cellStyle name="Normal 2 6 3" xfId="364" xr:uid="{8AE0C6A5-9449-4C52-8D93-FC56F31D132B}"/>
    <cellStyle name="Normal 2 7" xfId="360" xr:uid="{45471752-193D-4A83-9A6D-8D501A4F97E9}"/>
    <cellStyle name="Normal 20" xfId="130" xr:uid="{00000000-0005-0000-0000-000004010000}"/>
    <cellStyle name="Normal 21" xfId="233" xr:uid="{00000000-0005-0000-0000-000005010000}"/>
    <cellStyle name="Normal 22" xfId="248" xr:uid="{00000000-0005-0000-0000-000006010000}"/>
    <cellStyle name="Normal 23" xfId="18" xr:uid="{00000000-0005-0000-0000-000007010000}"/>
    <cellStyle name="Normal 24" xfId="257" xr:uid="{00000000-0005-0000-0000-000008010000}"/>
    <cellStyle name="Normal 25" xfId="262" xr:uid="{00000000-0005-0000-0000-000009010000}"/>
    <cellStyle name="Normal 26" xfId="267" xr:uid="{00000000-0005-0000-0000-00000A010000}"/>
    <cellStyle name="Normal 27" xfId="69" xr:uid="{00000000-0005-0000-0000-00000B010000}"/>
    <cellStyle name="Normal 3" xfId="8" xr:uid="{00000000-0005-0000-0000-00000C010000}"/>
    <cellStyle name="Normal 3 2" xfId="120" xr:uid="{00000000-0005-0000-0000-00000D010000}"/>
    <cellStyle name="Normal 3 3" xfId="139" xr:uid="{00000000-0005-0000-0000-00000E010000}"/>
    <cellStyle name="Normal 3 4" xfId="74" xr:uid="{00000000-0005-0000-0000-00000F010000}"/>
    <cellStyle name="Normal 3 5" xfId="276" xr:uid="{00000000-0005-0000-0000-000010010000}"/>
    <cellStyle name="Normal 3 6" xfId="61" xr:uid="{00000000-0005-0000-0000-000011010000}"/>
    <cellStyle name="Normal 3 7" xfId="362" xr:uid="{5BAE5AB6-1A78-4DC7-BA3A-C612DFCF67C4}"/>
    <cellStyle name="Normal 3 8" xfId="380" xr:uid="{CB01A5E1-35A2-4C46-9597-194DF4256DE0}"/>
    <cellStyle name="Normal 38" xfId="349" xr:uid="{03FAD7E2-8303-4C3D-8DED-529B2ED154F4}"/>
    <cellStyle name="Normal 4" xfId="78" xr:uid="{00000000-0005-0000-0000-000012010000}"/>
    <cellStyle name="Normal 4 2" xfId="167" xr:uid="{00000000-0005-0000-0000-000013010000}"/>
    <cellStyle name="Normal 5" xfId="82" xr:uid="{00000000-0005-0000-0000-000014010000}"/>
    <cellStyle name="Normal 5 2" xfId="92" xr:uid="{00000000-0005-0000-0000-000015010000}"/>
    <cellStyle name="Normal 5 2 2" xfId="113" xr:uid="{00000000-0005-0000-0000-000016010000}"/>
    <cellStyle name="Normal 5 2 2 2" xfId="239" xr:uid="{00000000-0005-0000-0000-000017010000}"/>
    <cellStyle name="Normal 5 2 3" xfId="142" xr:uid="{00000000-0005-0000-0000-000018010000}"/>
    <cellStyle name="Normal 5 3" xfId="108" xr:uid="{00000000-0005-0000-0000-000019010000}"/>
    <cellStyle name="Normal 5 3 2" xfId="224" xr:uid="{00000000-0005-0000-0000-00001A010000}"/>
    <cellStyle name="Normal 5 4" xfId="218" xr:uid="{00000000-0005-0000-0000-00001B010000}"/>
    <cellStyle name="Normal 5 5" xfId="246" xr:uid="{00000000-0005-0000-0000-00001C010000}"/>
    <cellStyle name="Normal 6" xfId="80" xr:uid="{00000000-0005-0000-0000-00001D010000}"/>
    <cellStyle name="Normal 6 2" xfId="90" xr:uid="{00000000-0005-0000-0000-00001E010000}"/>
    <cellStyle name="Normal 6 2 2" xfId="111" xr:uid="{00000000-0005-0000-0000-00001F010000}"/>
    <cellStyle name="Normal 6 2 2 2" xfId="223" xr:uid="{00000000-0005-0000-0000-000020010000}"/>
    <cellStyle name="Normal 6 2 3" xfId="145" xr:uid="{00000000-0005-0000-0000-000021010000}"/>
    <cellStyle name="Normal 6 3" xfId="106" xr:uid="{00000000-0005-0000-0000-000022010000}"/>
    <cellStyle name="Normal 6 3 2" xfId="234" xr:uid="{00000000-0005-0000-0000-000023010000}"/>
    <cellStyle name="Normal 6 4" xfId="144" xr:uid="{00000000-0005-0000-0000-000024010000}"/>
    <cellStyle name="Normal 7" xfId="75" xr:uid="{00000000-0005-0000-0000-000025010000}"/>
    <cellStyle name="Normal 8" xfId="73" xr:uid="{00000000-0005-0000-0000-000026010000}"/>
    <cellStyle name="Normal 9" xfId="81" xr:uid="{00000000-0005-0000-0000-000027010000}"/>
    <cellStyle name="Normal 9 2" xfId="91" xr:uid="{00000000-0005-0000-0000-000028010000}"/>
    <cellStyle name="Normal 9 2 2" xfId="112" xr:uid="{00000000-0005-0000-0000-000029010000}"/>
    <cellStyle name="Normal 9 2 2 2" xfId="221" xr:uid="{00000000-0005-0000-0000-00002A010000}"/>
    <cellStyle name="Normal 9 2 3" xfId="134" xr:uid="{00000000-0005-0000-0000-00002B010000}"/>
    <cellStyle name="Normal 9 3" xfId="107" xr:uid="{00000000-0005-0000-0000-00002C010000}"/>
    <cellStyle name="Normal 9 3 2" xfId="222" xr:uid="{00000000-0005-0000-0000-00002D010000}"/>
    <cellStyle name="Normal 9 4" xfId="243" xr:uid="{00000000-0005-0000-0000-00002E010000}"/>
    <cellStyle name="Normal afrundet" xfId="70" xr:uid="{00000000-0005-0000-0000-00002F010000}"/>
    <cellStyle name="Normal afrundetl" xfId="71" xr:uid="{00000000-0005-0000-0000-000030010000}"/>
    <cellStyle name="Normal_Sheet2" xfId="383" xr:uid="{7370C5E8-37DF-4A53-80AA-BFAB0D1A0F0B}"/>
    <cellStyle name="Note" xfId="34" builtinId="10" customBuiltin="1"/>
    <cellStyle name="Note 2" xfId="206" xr:uid="{00000000-0005-0000-0000-000032010000}"/>
    <cellStyle name="Note 3" xfId="135" xr:uid="{00000000-0005-0000-0000-000033010000}"/>
    <cellStyle name="Output" xfId="29" builtinId="21" customBuiltin="1"/>
    <cellStyle name="Output 2" xfId="207" xr:uid="{00000000-0005-0000-0000-000035010000}"/>
    <cellStyle name="Percent" xfId="2" builtinId="5"/>
    <cellStyle name="Percent 10" xfId="271" xr:uid="{00000000-0005-0000-0000-000037010000}"/>
    <cellStyle name="Percent 11" xfId="72" xr:uid="{00000000-0005-0000-0000-000038010000}"/>
    <cellStyle name="Percent 12" xfId="273" xr:uid="{00000000-0005-0000-0000-000039010000}"/>
    <cellStyle name="Percent 13" xfId="367" xr:uid="{6464BBDB-FD5C-4EFD-8548-AA3E4F7EA50F}"/>
    <cellStyle name="Percent 2" xfId="3" xr:uid="{00000000-0005-0000-0000-00003A010000}"/>
    <cellStyle name="Percent 2 2" xfId="160" xr:uid="{00000000-0005-0000-0000-00003B010000}"/>
    <cellStyle name="Percent 2 3" xfId="274" xr:uid="{00000000-0005-0000-0000-00003C010000}"/>
    <cellStyle name="Percent 2 4" xfId="101" xr:uid="{00000000-0005-0000-0000-00003D010000}"/>
    <cellStyle name="Percent 3" xfId="122" xr:uid="{00000000-0005-0000-0000-00003E010000}"/>
    <cellStyle name="Percent 3 2" xfId="213" xr:uid="{00000000-0005-0000-0000-00003F010000}"/>
    <cellStyle name="Percent 3 3" xfId="133" xr:uid="{00000000-0005-0000-0000-000040010000}"/>
    <cellStyle name="Percent 4" xfId="132" xr:uid="{00000000-0005-0000-0000-000041010000}"/>
    <cellStyle name="Percent 5" xfId="242" xr:uid="{00000000-0005-0000-0000-000042010000}"/>
    <cellStyle name="Percent 6" xfId="252" xr:uid="{00000000-0005-0000-0000-000043010000}"/>
    <cellStyle name="Percent 7" xfId="256" xr:uid="{00000000-0005-0000-0000-000044010000}"/>
    <cellStyle name="Percent 8" xfId="261" xr:uid="{00000000-0005-0000-0000-000045010000}"/>
    <cellStyle name="Percent 9" xfId="266" xr:uid="{00000000-0005-0000-0000-000046010000}"/>
    <cellStyle name="Procent 2" xfId="19" xr:uid="{00000000-0005-0000-0000-000047010000}"/>
    <cellStyle name="Procent 2 2" xfId="217" xr:uid="{00000000-0005-0000-0000-000048010000}"/>
    <cellStyle name="Procent 2 3" xfId="277" xr:uid="{00000000-0005-0000-0000-000049010000}"/>
    <cellStyle name="Procent 2 4" xfId="85" xr:uid="{00000000-0005-0000-0000-00004A010000}"/>
    <cellStyle name="Procent 3" xfId="88" xr:uid="{00000000-0005-0000-0000-00004B010000}"/>
    <cellStyle name="Procent 4" xfId="104" xr:uid="{00000000-0005-0000-0000-00004C010000}"/>
    <cellStyle name="Procent 5" xfId="116" xr:uid="{00000000-0005-0000-0000-00004D010000}"/>
    <cellStyle name="Procent 5 2" xfId="238" xr:uid="{00000000-0005-0000-0000-00004E010000}"/>
    <cellStyle name="Procent 6" xfId="64" xr:uid="{00000000-0005-0000-0000-00004F010000}"/>
    <cellStyle name="Standard_WEO 2008 - RE Technology Cost (status 27-03-2008)-ext" xfId="4" xr:uid="{00000000-0005-0000-0000-000050010000}"/>
    <cellStyle name="Title" xfId="20" builtinId="15" customBuiltin="1"/>
    <cellStyle name="Title 2" xfId="208" xr:uid="{00000000-0005-0000-0000-000052010000}"/>
    <cellStyle name="Total" xfId="36" builtinId="25" customBuiltin="1"/>
    <cellStyle name="Total 2" xfId="209" xr:uid="{00000000-0005-0000-0000-000054010000}"/>
    <cellStyle name="Warning Text" xfId="33" builtinId="11" customBuiltin="1"/>
    <cellStyle name="Warning Text 2" xfId="210" xr:uid="{00000000-0005-0000-0000-000056010000}"/>
    <cellStyle name="X08_Total Oil" xfId="214" xr:uid="{00000000-0005-0000-0000-000057010000}"/>
    <cellStyle name="X12_Total Figs 1 dec" xfId="215" xr:uid="{00000000-0005-0000-0000-000058010000}"/>
    <cellStyle name="常规 2" xfId="6" xr:uid="{00000000-0005-0000-0000-000059010000}"/>
    <cellStyle name="常规 2 2" xfId="345" xr:uid="{00000000-0005-0000-0000-00005A010000}"/>
    <cellStyle name="常规_08年全国分省新增装机容量" xfId="16" xr:uid="{00000000-0005-0000-0000-00005B010000}"/>
    <cellStyle name="样式 1" xfId="17" xr:uid="{00000000-0005-0000-0000-00005C010000}"/>
  </cellStyles>
  <dxfs count="435">
    <dxf>
      <fill>
        <patternFill>
          <bgColor theme="1"/>
        </patternFill>
      </fill>
    </dxf>
    <dxf>
      <fill>
        <patternFill>
          <bgColor theme="1"/>
        </patternFill>
      </fill>
    </dxf>
    <dxf>
      <fill>
        <patternFill>
          <bgColor theme="1"/>
        </patternFill>
      </fill>
    </dxf>
    <dxf>
      <fill>
        <patternFill>
          <bgColor theme="1"/>
        </patternFill>
      </fill>
    </dxf>
    <dxf>
      <fill>
        <patternFill>
          <bgColor theme="6" tint="0.79998168889431442"/>
        </patternFill>
      </fill>
    </dxf>
    <dxf>
      <font>
        <color theme="0" tint="-0.24994659260841701"/>
      </font>
      <fill>
        <patternFill>
          <bgColor theme="0" tint="-0.24994659260841701"/>
        </patternFill>
      </fill>
    </dxf>
    <dxf>
      <fill>
        <patternFill>
          <bgColor theme="5" tint="0.79998168889431442"/>
        </patternFill>
      </fill>
    </dxf>
    <dxf>
      <font>
        <color theme="0"/>
      </font>
      <fill>
        <patternFill>
          <bgColor theme="0"/>
        </patternFill>
      </fill>
    </dxf>
    <dxf>
      <font>
        <color auto="1"/>
      </font>
      <fill>
        <patternFill>
          <bgColor theme="6" tint="0.79998168889431442"/>
        </patternFill>
      </fill>
    </dxf>
    <dxf>
      <fill>
        <patternFill>
          <bgColor theme="6" tint="0.79998168889431442"/>
        </patternFill>
      </fill>
    </dxf>
    <dxf>
      <font>
        <color theme="0" tint="-0.24994659260841701"/>
      </font>
      <fill>
        <patternFill>
          <bgColor theme="0" tint="-0.24994659260841701"/>
        </patternFill>
      </fill>
    </dxf>
    <dxf>
      <fill>
        <patternFill>
          <bgColor theme="6" tint="0.79998168889431442"/>
        </patternFill>
      </fill>
    </dxf>
    <dxf>
      <fill>
        <patternFill>
          <bgColor theme="5" tint="0.79998168889431442"/>
        </patternFill>
      </fill>
    </dxf>
    <dxf>
      <font>
        <color auto="1"/>
      </font>
      <fill>
        <patternFill>
          <bgColor theme="6" tint="0.79998168889431442"/>
        </patternFill>
      </fill>
    </dxf>
    <dxf>
      <font>
        <color auto="1"/>
      </font>
      <fill>
        <patternFill>
          <bgColor theme="6" tint="0.79998168889431442"/>
        </patternFill>
      </fill>
    </dxf>
    <dxf>
      <font>
        <color theme="0" tint="-0.24994659260841701"/>
      </font>
      <fill>
        <patternFill>
          <bgColor theme="0" tint="-0.24994659260841701"/>
        </patternFill>
      </fill>
    </dxf>
    <dxf>
      <font>
        <color theme="0"/>
      </font>
      <fill>
        <patternFill>
          <bgColor theme="0"/>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ill>
        <patternFill>
          <bgColor theme="0" tint="-0.24994659260841701"/>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auto="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theme="0" tint="-0.24994659260841701"/>
      </font>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ill>
        <patternFill>
          <bgColor theme="6" tint="0.59996337778862885"/>
        </patternFill>
      </fill>
    </dxf>
    <dxf>
      <font>
        <color auto="1"/>
      </font>
      <fill>
        <patternFill>
          <bgColor theme="6" tint="0.59996337778862885"/>
        </patternFill>
      </fill>
    </dxf>
    <dxf>
      <font>
        <color theme="0"/>
      </font>
      <fill>
        <patternFill>
          <bgColor theme="0"/>
        </patternFill>
      </fill>
    </dxf>
    <dxf>
      <fill>
        <patternFill>
          <bgColor theme="9" tint="0.79998168889431442"/>
        </patternFill>
      </fill>
    </dxf>
    <dxf>
      <font>
        <color rgb="FFFFFF00"/>
      </font>
      <fill>
        <patternFill>
          <bgColor rgb="FFFF66FF"/>
        </patternFill>
      </fill>
    </dxf>
    <dxf>
      <font>
        <color auto="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ill>
        <patternFill>
          <bgColor theme="6" tint="0.59996337778862885"/>
        </patternFill>
      </fill>
    </dxf>
    <dxf>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ill>
        <patternFill>
          <bgColor theme="0" tint="-0.24994659260841701"/>
        </patternFill>
      </fill>
    </dxf>
    <dxf>
      <fill>
        <patternFill>
          <bgColor theme="0" tint="-0.24994659260841701"/>
        </patternFill>
      </fill>
    </dxf>
    <dxf>
      <fill>
        <patternFill>
          <bgColor theme="5" tint="0.79998168889431442"/>
        </patternFill>
      </fill>
    </dxf>
    <dxf>
      <font>
        <color auto="1"/>
      </font>
      <fill>
        <patternFill>
          <bgColor theme="6" tint="0.79998168889431442"/>
        </patternFill>
      </fill>
    </dxf>
    <dxf>
      <fill>
        <patternFill>
          <bgColor theme="6" tint="0.79998168889431442"/>
        </patternFill>
      </fill>
    </dxf>
    <dxf>
      <font>
        <color theme="0"/>
      </font>
      <fill>
        <patternFill>
          <bgColor theme="0"/>
        </patternFill>
      </fill>
    </dxf>
    <dxf>
      <fill>
        <patternFill>
          <bgColor theme="6" tint="0.79998168889431442"/>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9" tint="0.79998168889431442"/>
        </patternFill>
      </fill>
    </dxf>
    <dxf>
      <font>
        <color theme="0" tint="-0.24994659260841701"/>
      </font>
      <fill>
        <patternFill>
          <bgColor theme="0" tint="-0.24994659260841701"/>
        </patternFill>
      </fill>
    </dxf>
    <dxf>
      <font>
        <color auto="1"/>
      </font>
      <fill>
        <patternFill>
          <bgColor theme="6" tint="0.79998168889431442"/>
        </patternFill>
      </fill>
    </dxf>
    <dxf>
      <font>
        <color theme="0" tint="-0.24994659260841701"/>
      </font>
      <fill>
        <patternFill>
          <bgColor theme="0" tint="-0.24994659260841701"/>
        </patternFill>
      </fill>
    </dxf>
    <dxf>
      <font>
        <color theme="0"/>
      </font>
      <fill>
        <patternFill>
          <bgColor theme="0"/>
        </patternFill>
      </fill>
    </dxf>
    <dxf>
      <fill>
        <patternFill>
          <bgColor theme="6" tint="0.79998168889431442"/>
        </patternFill>
      </fill>
    </dxf>
    <dxf>
      <font>
        <color auto="1"/>
      </font>
      <fill>
        <patternFill>
          <bgColor theme="6" tint="0.79998168889431442"/>
        </patternFill>
      </fill>
    </dxf>
    <dxf>
      <fill>
        <patternFill>
          <bgColor theme="5" tint="0.79998168889431442"/>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theme="0" tint="-0.24994659260841701"/>
      </font>
      <fill>
        <patternFill>
          <bgColor theme="0" tint="-0.24994659260841701"/>
        </patternFill>
      </fill>
    </dxf>
    <dxf>
      <font>
        <color auto="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rgb="FF9C0006"/>
      </font>
      <fill>
        <patternFill>
          <bgColor rgb="FFFFC7CE"/>
        </patternFill>
      </fill>
    </dxf>
    <dxf>
      <font>
        <color theme="0" tint="-0.24994659260841701"/>
      </font>
      <fill>
        <patternFill>
          <bgColor theme="0" tint="-0.24994659260841701"/>
        </patternFill>
      </fill>
    </dxf>
    <dxf>
      <font>
        <color auto="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theme="0" tint="-0.24994659260841701"/>
      </font>
      <fill>
        <patternFill>
          <bgColor theme="0" tint="-0.24994659260841701"/>
        </patternFill>
      </fill>
    </dxf>
    <dxf>
      <font>
        <color auto="1"/>
      </font>
      <fill>
        <patternFill>
          <bgColor theme="0" tint="-0.24994659260841701"/>
        </patternFill>
      </fill>
    </dxf>
    <dxf>
      <font>
        <color theme="0"/>
      </font>
      <fill>
        <patternFill>
          <bgColor theme="0"/>
        </patternFill>
      </fill>
    </dxf>
    <dxf>
      <font>
        <color auto="1"/>
      </font>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79998168889431442"/>
        </patternFill>
      </fill>
    </dxf>
    <dxf>
      <fill>
        <patternFill>
          <bgColor theme="0" tint="-0.24994659260841701"/>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theme="0"/>
      </font>
      <fill>
        <patternFill>
          <bgColor theme="0"/>
        </patternFill>
      </fill>
    </dxf>
    <dxf>
      <fill>
        <patternFill>
          <bgColor theme="5"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6" tint="0.79998168889431442"/>
        </patternFill>
      </fill>
    </dxf>
    <dxf>
      <font>
        <color theme="0"/>
      </font>
      <fill>
        <patternFill>
          <bgColor theme="0"/>
        </patternFill>
      </fill>
    </dxf>
    <dxf>
      <fill>
        <patternFill>
          <bgColor theme="5" tint="0.79998168889431442"/>
        </patternFill>
      </fill>
    </dxf>
    <dxf>
      <fill>
        <patternFill>
          <bgColor theme="6" tint="0.79998168889431442"/>
        </patternFill>
      </fill>
    </dxf>
    <dxf>
      <font>
        <color auto="1"/>
      </font>
      <fill>
        <patternFill>
          <bgColor theme="6" tint="0.79998168889431442"/>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theme="0" tint="-0.24994659260841701"/>
      </font>
      <fill>
        <patternFill>
          <bgColor theme="0" tint="-0.24994659260841701"/>
        </patternFill>
      </fill>
    </dxf>
    <dxf>
      <font>
        <color auto="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rgb="FF9C0006"/>
      </font>
      <fill>
        <patternFill>
          <bgColor rgb="FFFFC7CE"/>
        </patternFill>
      </fill>
    </dxf>
    <dxf>
      <font>
        <color theme="0" tint="-0.24994659260841701"/>
      </font>
      <fill>
        <patternFill>
          <bgColor theme="0" tint="-0.24994659260841701"/>
        </patternFill>
      </fill>
    </dxf>
    <dxf>
      <font>
        <color auto="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ont>
        <color auto="1"/>
      </font>
      <fill>
        <patternFill>
          <bgColor theme="0" tint="-0.24994659260841701"/>
        </patternFill>
      </fill>
    </dxf>
    <dxf>
      <font>
        <color auto="1"/>
      </font>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79998168889431442"/>
        </patternFill>
      </fill>
    </dxf>
    <dxf>
      <fill>
        <patternFill>
          <bgColor theme="0" tint="-0.24994659260841701"/>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theme="0"/>
      </font>
      <fill>
        <patternFill>
          <bgColor theme="0"/>
        </patternFill>
      </fill>
    </dxf>
    <dxf>
      <fill>
        <patternFill>
          <bgColor theme="5"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6" tint="0.79998168889431442"/>
        </patternFill>
      </fill>
    </dxf>
    <dxf>
      <font>
        <color theme="0"/>
      </font>
      <fill>
        <patternFill>
          <bgColor theme="0"/>
        </patternFill>
      </fill>
    </dxf>
    <dxf>
      <fill>
        <patternFill>
          <bgColor theme="5" tint="0.79998168889431442"/>
        </patternFill>
      </fill>
    </dxf>
    <dxf>
      <fill>
        <patternFill>
          <bgColor theme="6" tint="0.79998168889431442"/>
        </patternFill>
      </fill>
    </dxf>
    <dxf>
      <font>
        <color auto="1"/>
      </font>
      <fill>
        <patternFill>
          <bgColor theme="6" tint="0.79998168889431442"/>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theme="0" tint="-0.24994659260841701"/>
      </font>
      <fill>
        <patternFill>
          <bgColor theme="0" tint="-0.24994659260841701"/>
        </patternFill>
      </fill>
    </dxf>
    <dxf>
      <font>
        <color auto="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rgb="FF9C0006"/>
      </font>
      <fill>
        <patternFill>
          <bgColor rgb="FFFFC7CE"/>
        </patternFill>
      </fill>
    </dxf>
    <dxf>
      <font>
        <color theme="0" tint="-0.24994659260841701"/>
      </font>
      <fill>
        <patternFill>
          <bgColor theme="0" tint="-0.24994659260841701"/>
        </patternFill>
      </fill>
    </dxf>
    <dxf>
      <font>
        <color auto="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ont>
        <color auto="1"/>
      </font>
      <fill>
        <patternFill>
          <bgColor theme="0" tint="-0.24994659260841701"/>
        </patternFill>
      </fill>
    </dxf>
    <dxf>
      <font>
        <color auto="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6" tint="0.79998168889431442"/>
        </patternFill>
      </fill>
    </dxf>
    <dxf>
      <font>
        <color theme="0" tint="-0.24994659260841701"/>
      </font>
      <fill>
        <patternFill>
          <bgColor theme="0" tint="-0.24994659260841701"/>
        </patternFill>
      </fill>
    </dxf>
    <dxf>
      <fill>
        <patternFill>
          <bgColor theme="5" tint="0.79998168889431442"/>
        </patternFill>
      </fill>
    </dxf>
    <dxf>
      <font>
        <color theme="0"/>
      </font>
      <fill>
        <patternFill>
          <bgColor theme="0"/>
        </patternFill>
      </fill>
    </dxf>
    <dxf>
      <font>
        <color auto="1"/>
      </font>
      <fill>
        <patternFill>
          <bgColor theme="6" tint="0.79998168889431442"/>
        </patternFill>
      </fill>
    </dxf>
    <dxf>
      <fill>
        <patternFill>
          <bgColor theme="6" tint="0.79998168889431442"/>
        </patternFill>
      </fill>
    </dxf>
    <dxf>
      <font>
        <color theme="0" tint="-0.24994659260841701"/>
      </font>
      <fill>
        <patternFill>
          <bgColor theme="0" tint="-0.24994659260841701"/>
        </patternFill>
      </fill>
    </dxf>
    <dxf>
      <fill>
        <patternFill>
          <bgColor theme="6" tint="0.79998168889431442"/>
        </patternFill>
      </fill>
    </dxf>
    <dxf>
      <fill>
        <patternFill>
          <bgColor theme="5" tint="0.79998168889431442"/>
        </patternFill>
      </fill>
    </dxf>
    <dxf>
      <font>
        <color auto="1"/>
      </font>
      <fill>
        <patternFill>
          <bgColor theme="6" tint="0.79998168889431442"/>
        </patternFill>
      </fill>
    </dxf>
    <dxf>
      <font>
        <color auto="1"/>
      </font>
      <fill>
        <patternFill>
          <bgColor theme="6" tint="0.79998168889431442"/>
        </patternFill>
      </fill>
    </dxf>
    <dxf>
      <font>
        <color theme="0" tint="-0.24994659260841701"/>
      </font>
      <fill>
        <patternFill>
          <bgColor theme="0" tint="-0.24994659260841701"/>
        </patternFill>
      </fill>
    </dxf>
    <dxf>
      <font>
        <color theme="0"/>
      </font>
      <fill>
        <patternFill>
          <bgColor theme="0"/>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ill>
        <patternFill>
          <bgColor theme="0" tint="-0.24994659260841701"/>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auto="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theme="0" tint="-0.24994659260841701"/>
      </font>
      <fill>
        <patternFill>
          <bgColor theme="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59996337778862885"/>
        </patternFill>
      </fill>
    </dxf>
    <dxf>
      <fill>
        <patternFill>
          <bgColor theme="6" tint="0.59996337778862885"/>
        </patternFill>
      </fill>
    </dxf>
    <dxf>
      <font>
        <color auto="1"/>
      </font>
      <fill>
        <patternFill>
          <bgColor theme="6" tint="0.59996337778862885"/>
        </patternFill>
      </fill>
    </dxf>
    <dxf>
      <font>
        <color theme="0"/>
      </font>
      <fill>
        <patternFill>
          <bgColor theme="0"/>
        </patternFill>
      </fill>
    </dxf>
    <dxf>
      <fill>
        <patternFill>
          <bgColor theme="9" tint="0.79998168889431442"/>
        </patternFill>
      </fill>
    </dxf>
    <dxf>
      <font>
        <color rgb="FFFFFF00"/>
      </font>
      <fill>
        <patternFill>
          <bgColor rgb="FFFF66FF"/>
        </patternFill>
      </fill>
    </dxf>
    <dxf>
      <font>
        <color auto="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auto="1"/>
      </font>
      <fill>
        <patternFill>
          <bgColor theme="0" tint="-0.24994659260841701"/>
        </patternFill>
      </fill>
    </dxf>
    <dxf>
      <font>
        <color auto="1"/>
      </font>
      <fill>
        <patternFill>
          <bgColor theme="0" tint="-0.24994659260841701"/>
        </patternFill>
      </fill>
    </dxf>
    <dxf>
      <font>
        <color auto="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ill>
        <patternFill>
          <bgColor theme="6" tint="0.59996337778862885"/>
        </patternFill>
      </fill>
    </dxf>
    <dxf>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auto="1"/>
      </font>
      <fill>
        <patternFill>
          <bgColor theme="6" tint="0.79998168889431442"/>
        </patternFill>
      </fill>
    </dxf>
    <dxf>
      <fill>
        <patternFill>
          <bgColor theme="6" tint="0.79998168889431442"/>
        </patternFill>
      </fill>
    </dxf>
    <dxf>
      <fill>
        <patternFill>
          <bgColor theme="5" tint="0.79998168889431442"/>
        </patternFill>
      </fill>
    </dxf>
    <dxf>
      <font>
        <color theme="0"/>
      </font>
      <fill>
        <patternFill>
          <bgColor theme="0"/>
        </patternFill>
      </fill>
    </dxf>
    <dxf>
      <fill>
        <patternFill>
          <bgColor theme="6"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6" tint="0.79998168889431442"/>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6" tint="0.79998168889431442"/>
        </patternFill>
      </fill>
    </dxf>
    <dxf>
      <font>
        <color theme="0"/>
      </font>
      <fill>
        <patternFill>
          <bgColor theme="0"/>
        </patternFill>
      </fill>
    </dxf>
    <dxf>
      <fill>
        <patternFill>
          <bgColor theme="5" tint="0.79998168889431442"/>
        </patternFill>
      </fill>
    </dxf>
    <dxf>
      <fill>
        <patternFill>
          <bgColor theme="6" tint="0.79998168889431442"/>
        </patternFill>
      </fill>
    </dxf>
    <dxf>
      <font>
        <color auto="1"/>
      </font>
      <fill>
        <patternFill>
          <bgColor theme="6" tint="0.79998168889431442"/>
        </patternFill>
      </fill>
    </dxf>
    <dxf>
      <font>
        <color theme="0"/>
      </font>
      <fill>
        <patternFill>
          <bgColor theme="0"/>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ont>
        <color theme="0" tint="-0.24994659260841701"/>
      </font>
      <fill>
        <patternFill>
          <bgColor theme="0" tint="-0.24994659260841701"/>
        </patternFill>
      </fill>
    </dxf>
    <dxf>
      <font>
        <color auto="1"/>
      </font>
      <fill>
        <patternFill>
          <bgColor theme="0" tint="-0.24994659260841701"/>
        </patternFill>
      </fill>
    </dxf>
    <dxf>
      <font>
        <color theme="0"/>
      </font>
      <fill>
        <patternFill>
          <bgColor theme="0"/>
        </patternFill>
      </fill>
    </dxf>
    <dxf>
      <fill>
        <patternFill>
          <bgColor theme="6" tint="0.59996337778862885"/>
        </patternFill>
      </fill>
    </dxf>
    <dxf>
      <font>
        <color theme="0" tint="-0.24994659260841701"/>
      </font>
      <fill>
        <patternFill>
          <bgColor theme="0" tint="-0.24994659260841701"/>
        </patternFill>
      </fill>
    </dxf>
    <dxf>
      <fill>
        <patternFill>
          <bgColor theme="9" tint="0.79998168889431442"/>
        </patternFill>
      </fill>
    </dxf>
    <dxf>
      <font>
        <color rgb="FF9C0006"/>
      </font>
      <fill>
        <patternFill>
          <bgColor rgb="FFFFC7CE"/>
        </patternFill>
      </fill>
    </dxf>
    <dxf>
      <font>
        <color auto="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auto="1"/>
      </font>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ont>
        <color auto="1"/>
      </font>
      <fill>
        <patternFill>
          <bgColor theme="0" tint="-0.24994659260841701"/>
        </patternFill>
      </fill>
    </dxf>
    <dxf>
      <font>
        <color auto="1"/>
      </font>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ont>
        <color theme="0" tint="-0.24994659260841701"/>
      </font>
      <fill>
        <patternFill>
          <bgColor theme="0" tint="-0.24994659260841701"/>
        </patternFill>
      </fill>
    </dxf>
    <dxf>
      <font>
        <color auto="1"/>
      </font>
      <fill>
        <patternFill>
          <bgColor theme="9" tint="0.79998168889431442"/>
        </patternFill>
      </fill>
    </dxf>
    <dxf>
      <font>
        <color rgb="FFFFFF00"/>
      </font>
      <fill>
        <patternFill>
          <bgColor rgb="FFFF66FF"/>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0" tint="-0.24994659260841701"/>
        </patternFill>
      </fill>
    </dxf>
    <dxf>
      <font>
        <color theme="0"/>
      </font>
      <fill>
        <patternFill>
          <bgColor theme="0"/>
        </patternFill>
      </fill>
    </dxf>
    <dxf>
      <fill>
        <patternFill>
          <bgColor theme="6" tint="0.59996337778862885"/>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0" tint="-0.24994659260841701"/>
        </patternFill>
      </fill>
    </dxf>
    <dxf>
      <font>
        <color rgb="FFFFFF00"/>
      </font>
      <fill>
        <patternFill>
          <bgColor rgb="FFFF66FF"/>
        </patternFill>
      </fill>
    </dxf>
    <dxf>
      <font>
        <color rgb="FFFFFF00"/>
      </font>
      <fill>
        <patternFill>
          <bgColor rgb="FFFF66FF"/>
        </patternFill>
      </fill>
    </dxf>
    <dxf>
      <fill>
        <patternFill>
          <bgColor theme="0" tint="-0.24994659260841701"/>
        </patternFill>
      </fill>
    </dxf>
    <dxf>
      <fill>
        <patternFill>
          <bgColor theme="6" tint="0.59996337778862885"/>
        </patternFill>
      </fill>
    </dxf>
    <dxf>
      <font>
        <color theme="0" tint="-0.24994659260841701"/>
      </font>
      <fill>
        <patternFill>
          <bgColor theme="0" tint="-0.24994659260841701"/>
        </patternFill>
      </fill>
    </dxf>
    <dxf>
      <font>
        <color theme="0"/>
      </font>
      <fill>
        <patternFill>
          <bgColor theme="0"/>
        </patternFill>
      </fill>
    </dxf>
    <dxf>
      <fill>
        <patternFill>
          <bgColor theme="9" tint="0.79998168889431442"/>
        </patternFill>
      </fill>
    </dxf>
    <dxf>
      <font>
        <color rgb="FFFFFF00"/>
      </font>
      <fill>
        <patternFill>
          <bgColor rgb="FFFF66FF"/>
        </patternFill>
      </fill>
    </dxf>
    <dxf>
      <font>
        <color rgb="FF9C0006"/>
      </font>
      <fill>
        <patternFill>
          <bgColor rgb="FFFFC7CE"/>
        </patternFill>
      </fill>
    </dxf>
    <dxf>
      <fill>
        <patternFill>
          <b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7E4BC"/>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4F81BD"/>
      <rgbColor rgb="00DBE5F1"/>
      <rgbColor rgb="004F81BD"/>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9BBB59"/>
      <rgbColor rgb="00003300"/>
      <rgbColor rgb="00333300"/>
      <rgbColor rgb="00993300"/>
      <rgbColor rgb="00993366"/>
      <rgbColor rgb="004F81BD"/>
      <rgbColor rgb="00333333"/>
    </indexedColors>
    <mruColors>
      <color rgb="FFFF99FF"/>
      <color rgb="FFFFCC66"/>
      <color rgb="FF6C89BC"/>
      <color rgb="FFC88500"/>
      <color rgb="FFFF66FF"/>
      <color rgb="FF0000FF"/>
      <color rgb="FFF97BDB"/>
      <color rgb="FFFFFF99"/>
      <color rgb="FF00FF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8.xml"/><Relationship Id="rId68" Type="http://schemas.openxmlformats.org/officeDocument/2006/relationships/externalLink" Target="externalLinks/externalLink13.xml"/><Relationship Id="rId84" Type="http://schemas.openxmlformats.org/officeDocument/2006/relationships/pivotCacheDefinition" Target="pivotCache/pivotCacheDefinition13.xml"/><Relationship Id="rId89" Type="http://schemas.openxmlformats.org/officeDocument/2006/relationships/pivotCacheDefinition" Target="pivotCache/pivotCacheDefinition18.xml"/><Relationship Id="rId112"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3.xml"/><Relationship Id="rId74" Type="http://schemas.openxmlformats.org/officeDocument/2006/relationships/pivotCacheDefinition" Target="pivotCache/pivotCacheDefinition3.xml"/><Relationship Id="rId79" Type="http://schemas.openxmlformats.org/officeDocument/2006/relationships/pivotCacheDefinition" Target="pivotCache/pivotCacheDefinition8.xml"/><Relationship Id="rId102" Type="http://schemas.openxmlformats.org/officeDocument/2006/relationships/pivotCacheDefinition" Target="pivotCache/pivotCacheDefinition31.xml"/><Relationship Id="rId5" Type="http://schemas.openxmlformats.org/officeDocument/2006/relationships/worksheet" Target="worksheets/sheet5.xml"/><Relationship Id="rId90" Type="http://schemas.openxmlformats.org/officeDocument/2006/relationships/pivotCacheDefinition" Target="pivotCache/pivotCacheDefinition19.xml"/><Relationship Id="rId95" Type="http://schemas.openxmlformats.org/officeDocument/2006/relationships/pivotCacheDefinition" Target="pivotCache/pivotCacheDefinition2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9.xml"/><Relationship Id="rId69" Type="http://schemas.openxmlformats.org/officeDocument/2006/relationships/externalLink" Target="externalLinks/externalLink14.xml"/><Relationship Id="rId113" Type="http://schemas.openxmlformats.org/officeDocument/2006/relationships/customXml" Target="../customXml/item3.xml"/><Relationship Id="rId80" Type="http://schemas.openxmlformats.org/officeDocument/2006/relationships/pivotCacheDefinition" Target="pivotCache/pivotCacheDefinition9.xml"/><Relationship Id="rId85" Type="http://schemas.openxmlformats.org/officeDocument/2006/relationships/pivotCacheDefinition" Target="pivotCache/pivotCacheDefinition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4.xml"/><Relationship Id="rId103" Type="http://schemas.openxmlformats.org/officeDocument/2006/relationships/pivotCacheDefinition" Target="pivotCache/pivotCacheDefinition32.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externalLink" Target="externalLinks/externalLink15.xml"/><Relationship Id="rId75" Type="http://schemas.openxmlformats.org/officeDocument/2006/relationships/pivotCacheDefinition" Target="pivotCache/pivotCacheDefinition4.xml"/><Relationship Id="rId91" Type="http://schemas.openxmlformats.org/officeDocument/2006/relationships/pivotCacheDefinition" Target="pivotCache/pivotCacheDefinition20.xml"/><Relationship Id="rId96" Type="http://schemas.openxmlformats.org/officeDocument/2006/relationships/pivotCacheDefinition" Target="pivotCache/pivotCacheDefinition2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6" Type="http://schemas.openxmlformats.org/officeDocument/2006/relationships/connections" Target="connections.xml"/><Relationship Id="rId114"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externalLink" Target="externalLinks/externalLink10.xml"/><Relationship Id="rId73" Type="http://schemas.openxmlformats.org/officeDocument/2006/relationships/pivotCacheDefinition" Target="pivotCache/pivotCacheDefinition2.xml"/><Relationship Id="rId78" Type="http://schemas.openxmlformats.org/officeDocument/2006/relationships/pivotCacheDefinition" Target="pivotCache/pivotCacheDefinition7.xml"/><Relationship Id="rId81" Type="http://schemas.openxmlformats.org/officeDocument/2006/relationships/pivotCacheDefinition" Target="pivotCache/pivotCacheDefinition10.xml"/><Relationship Id="rId86" Type="http://schemas.openxmlformats.org/officeDocument/2006/relationships/pivotCacheDefinition" Target="pivotCache/pivotCacheDefinition15.xml"/><Relationship Id="rId94" Type="http://schemas.openxmlformats.org/officeDocument/2006/relationships/pivotCacheDefinition" Target="pivotCache/pivotCacheDefinition23.xml"/><Relationship Id="rId99" Type="http://schemas.openxmlformats.org/officeDocument/2006/relationships/pivotCacheDefinition" Target="pivotCache/pivotCacheDefinition28.xml"/><Relationship Id="rId101" Type="http://schemas.openxmlformats.org/officeDocument/2006/relationships/pivotCacheDefinition" Target="pivotCache/pivotCacheDefinition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eetMetadata" Target="metadata.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pivotCacheDefinition" Target="pivotCache/pivotCacheDefinition5.xml"/><Relationship Id="rId97" Type="http://schemas.openxmlformats.org/officeDocument/2006/relationships/pivotCacheDefinition" Target="pivotCache/pivotCacheDefinition26.xml"/><Relationship Id="rId104" Type="http://schemas.openxmlformats.org/officeDocument/2006/relationships/pivotCacheDefinition" Target="pivotCache/pivotCacheDefinition33.xml"/><Relationship Id="rId7" Type="http://schemas.openxmlformats.org/officeDocument/2006/relationships/worksheet" Target="worksheets/sheet7.xml"/><Relationship Id="rId71" Type="http://schemas.openxmlformats.org/officeDocument/2006/relationships/externalLink" Target="externalLinks/externalLink16.xml"/><Relationship Id="rId92" Type="http://schemas.openxmlformats.org/officeDocument/2006/relationships/pivotCacheDefinition" Target="pivotCache/pivotCacheDefinition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1.xml"/><Relationship Id="rId87" Type="http://schemas.openxmlformats.org/officeDocument/2006/relationships/pivotCacheDefinition" Target="pivotCache/pivotCacheDefinition16.xml"/><Relationship Id="rId110" Type="http://schemas.openxmlformats.org/officeDocument/2006/relationships/calcChain" Target="calcChain.xml"/><Relationship Id="rId61" Type="http://schemas.openxmlformats.org/officeDocument/2006/relationships/externalLink" Target="externalLinks/externalLink6.xml"/><Relationship Id="rId82" Type="http://schemas.openxmlformats.org/officeDocument/2006/relationships/pivotCacheDefinition" Target="pivotCache/pivotCacheDefinition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xml"/><Relationship Id="rId77" Type="http://schemas.openxmlformats.org/officeDocument/2006/relationships/pivotCacheDefinition" Target="pivotCache/pivotCacheDefinition6.xml"/><Relationship Id="rId100" Type="http://schemas.openxmlformats.org/officeDocument/2006/relationships/pivotCacheDefinition" Target="pivotCache/pivotCacheDefinition29.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pivotCacheDefinition" Target="pivotCache/pivotCacheDefinition1.xml"/><Relationship Id="rId93" Type="http://schemas.openxmlformats.org/officeDocument/2006/relationships/pivotCacheDefinition" Target="pivotCache/pivotCacheDefinition22.xml"/><Relationship Id="rId98" Type="http://schemas.openxmlformats.org/officeDocument/2006/relationships/pivotCacheDefinition" Target="pivotCache/pivotCacheDefinition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7.xml"/><Relationship Id="rId83" Type="http://schemas.openxmlformats.org/officeDocument/2006/relationships/pivotCacheDefinition" Target="pivotCache/pivotCacheDefinition12.xml"/><Relationship Id="rId88" Type="http://schemas.openxmlformats.org/officeDocument/2006/relationships/pivotCacheDefinition" Target="pivotCache/pivotCacheDefinition17.xml"/><Relationship Id="rId11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'LCOE-S Template'!$B$102</c:f>
          <c:strCache>
            <c:ptCount val="1"/>
            <c:pt idx="0">
              <c:v>LCOE Overview</c:v>
            </c:pt>
          </c:strCache>
        </c:strRef>
      </c:tx>
      <c:layout>
        <c:manualLayout>
          <c:xMode val="edge"/>
          <c:yMode val="edge"/>
          <c:x val="5.7273620266557416E-3"/>
          <c:y val="2.589142379089696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Corbel" panose="020B0503020204020204" pitchFamily="34" charset="0"/>
              <a:ea typeface="+mn-ea"/>
              <a:cs typeface="+mn-cs"/>
            </a:defRPr>
          </a:pPr>
          <a:endParaRPr lang="en-US"/>
        </a:p>
      </c:txPr>
    </c:title>
    <c:autoTitleDeleted val="0"/>
    <c:plotArea>
      <c:layout>
        <c:manualLayout>
          <c:layoutTarget val="inner"/>
          <c:xMode val="edge"/>
          <c:yMode val="edge"/>
          <c:x val="4.5688331139345818E-2"/>
          <c:y val="9.26570725204581E-2"/>
          <c:w val="0.79145306902660351"/>
          <c:h val="0.6231759935636928"/>
        </c:manualLayout>
      </c:layout>
      <c:barChart>
        <c:barDir val="col"/>
        <c:grouping val="stacked"/>
        <c:varyColors val="0"/>
        <c:ser>
          <c:idx val="0"/>
          <c:order val="0"/>
          <c:tx>
            <c:strRef>
              <c:f>'LCOE-S Template'!$B$84</c:f>
              <c:strCache>
                <c:ptCount val="1"/>
                <c:pt idx="0">
                  <c:v>Investment</c:v>
                </c:pt>
              </c:strCache>
            </c:strRef>
          </c:tx>
          <c:spPr>
            <a:solidFill>
              <a:schemeClr val="tx2">
                <a:lumMod val="75000"/>
              </a:schemeClr>
            </a:solidFill>
            <a:ln>
              <a:noFill/>
            </a:ln>
            <a:effectLst/>
          </c:spPr>
          <c:invertIfNegative val="0"/>
          <c:cat>
            <c:multiLvlStrRef>
              <c:f>'LCOE-S Template'!$C$11:$Z$14</c:f>
            </c:multiLvlStrRef>
          </c:cat>
          <c:val>
            <c:numRef>
              <c:f>'LCOE-S Template'!$C$84:$Z$84</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964-4FC2-8F0D-41CC7434F476}"/>
            </c:ext>
          </c:extLst>
        </c:ser>
        <c:ser>
          <c:idx val="1"/>
          <c:order val="1"/>
          <c:tx>
            <c:strRef>
              <c:f>'LCOE-S Template'!$B$85</c:f>
              <c:strCache>
                <c:ptCount val="1"/>
                <c:pt idx="0">
                  <c:v>Fixed O&amp;M</c:v>
                </c:pt>
              </c:strCache>
            </c:strRef>
          </c:tx>
          <c:spPr>
            <a:solidFill>
              <a:srgbClr val="FFC000"/>
            </a:solidFill>
            <a:ln>
              <a:noFill/>
            </a:ln>
            <a:effectLst/>
          </c:spPr>
          <c:invertIfNegative val="0"/>
          <c:cat>
            <c:multiLvlStrRef>
              <c:f>'LCOE-S Template'!$C$11:$Z$14</c:f>
            </c:multiLvlStrRef>
          </c:cat>
          <c:val>
            <c:numRef>
              <c:f>'LCOE-S Template'!$C$85:$Z$85</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3964-4FC2-8F0D-41CC7434F476}"/>
            </c:ext>
          </c:extLst>
        </c:ser>
        <c:ser>
          <c:idx val="2"/>
          <c:order val="2"/>
          <c:tx>
            <c:strRef>
              <c:f>'LCOE-S Template'!$B$86</c:f>
              <c:strCache>
                <c:ptCount val="1"/>
                <c:pt idx="0">
                  <c:v>Variable O&amp;M</c:v>
                </c:pt>
              </c:strCache>
            </c:strRef>
          </c:tx>
          <c:spPr>
            <a:solidFill>
              <a:srgbClr val="00B050"/>
            </a:solidFill>
            <a:ln>
              <a:noFill/>
            </a:ln>
            <a:effectLst/>
          </c:spPr>
          <c:invertIfNegative val="0"/>
          <c:cat>
            <c:multiLvlStrRef>
              <c:f>'LCOE-S Template'!$C$11:$Z$14</c:f>
            </c:multiLvlStrRef>
          </c:cat>
          <c:val>
            <c:numRef>
              <c:f>'LCOE-S Template'!$C$86:$Z$86</c:f>
              <c:numCache>
                <c:formatCode>_ * #,##0.0_ ;_ * \-#,##0.0_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3964-4FC2-8F0D-41CC7434F476}"/>
            </c:ext>
          </c:extLst>
        </c:ser>
        <c:ser>
          <c:idx val="3"/>
          <c:order val="3"/>
          <c:tx>
            <c:strRef>
              <c:f>'LCOE-S Template'!$B$87</c:f>
              <c:strCache>
                <c:ptCount val="1"/>
                <c:pt idx="0">
                  <c:v>Input fuel</c:v>
                </c:pt>
              </c:strCache>
            </c:strRef>
          </c:tx>
          <c:spPr>
            <a:solidFill>
              <a:schemeClr val="bg2">
                <a:lumMod val="50000"/>
              </a:schemeClr>
            </a:solidFill>
            <a:ln>
              <a:noFill/>
            </a:ln>
            <a:effectLst/>
          </c:spPr>
          <c:invertIfNegative val="0"/>
          <c:cat>
            <c:multiLvlStrRef>
              <c:f>'LCOE-S Template'!$C$11:$Z$14</c:f>
            </c:multiLvlStrRef>
          </c:cat>
          <c:val>
            <c:numRef>
              <c:f>'LCOE-S Template'!$C$87:$Z$87</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3-3964-4FC2-8F0D-41CC7434F476}"/>
            </c:ext>
          </c:extLst>
        </c:ser>
        <c:ser>
          <c:idx val="4"/>
          <c:order val="4"/>
          <c:tx>
            <c:strRef>
              <c:f>'LCOE-S Template'!$B$88</c:f>
              <c:strCache>
                <c:ptCount val="1"/>
                <c:pt idx="0">
                  <c:v>Additional start-ups</c:v>
                </c:pt>
              </c:strCache>
              <c:extLst xmlns:c15="http://schemas.microsoft.com/office/drawing/2012/chart"/>
            </c:strRef>
          </c:tx>
          <c:spPr>
            <a:solidFill>
              <a:srgbClr val="7030A0"/>
            </a:solidFill>
            <a:ln>
              <a:noFill/>
            </a:ln>
            <a:effectLst/>
          </c:spPr>
          <c:invertIfNegative val="0"/>
          <c:cat>
            <c:multiLvlStrRef>
              <c:f>'LCOE-S Template'!$C$11:$Z$14</c:f>
            </c:multiLvlStrRef>
          </c:cat>
          <c:val>
            <c:numRef>
              <c:f>'LCOE-S Template'!$C$88:$Z$88</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5="http://schemas.microsoft.com/office/drawing/2012/chart">
            <c:ext xmlns:c16="http://schemas.microsoft.com/office/drawing/2014/chart" uri="{C3380CC4-5D6E-409C-BE32-E72D297353CC}">
              <c16:uniqueId val="{0000001C-3964-4FC2-8F0D-41CC7434F476}"/>
            </c:ext>
          </c:extLst>
        </c:ser>
        <c:ser>
          <c:idx val="5"/>
          <c:order val="5"/>
          <c:tx>
            <c:strRef>
              <c:f>'LCOE-S Template'!$B$89</c:f>
              <c:strCache>
                <c:ptCount val="1"/>
                <c:pt idx="0">
                  <c:v>Other</c:v>
                </c:pt>
              </c:strCache>
            </c:strRef>
          </c:tx>
          <c:spPr>
            <a:solidFill>
              <a:schemeClr val="bg1">
                <a:lumMod val="50000"/>
              </a:schemeClr>
            </a:solidFill>
            <a:ln>
              <a:noFill/>
            </a:ln>
            <a:effectLst/>
          </c:spPr>
          <c:invertIfNegative val="0"/>
          <c:cat>
            <c:multiLvlStrRef>
              <c:f>'LCOE-S Template'!$C$11:$Z$14</c:f>
            </c:multiLvlStrRef>
          </c:cat>
          <c:val>
            <c:numRef>
              <c:f>'LCOE-S Template'!$C$89:$Z$89</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4-3964-4FC2-8F0D-41CC7434F476}"/>
            </c:ext>
          </c:extLst>
        </c:ser>
        <c:ser>
          <c:idx val="6"/>
          <c:order val="6"/>
          <c:tx>
            <c:strRef>
              <c:f>'LCOE-S Template'!$B$90</c:f>
              <c:strCache>
                <c:ptCount val="1"/>
                <c:pt idx="0">
                  <c:v>CO2 emissions</c:v>
                </c:pt>
              </c:strCache>
              <c:extLst xmlns:c15="http://schemas.microsoft.com/office/drawing/2012/chart"/>
            </c:strRef>
          </c:tx>
          <c:spPr>
            <a:solidFill>
              <a:srgbClr val="C00000"/>
            </a:solidFill>
            <a:ln>
              <a:noFill/>
            </a:ln>
            <a:effectLst/>
          </c:spPr>
          <c:invertIfNegative val="0"/>
          <c:cat>
            <c:multiLvlStrRef>
              <c:f>'LCOE-S Template'!$C$11:$Z$14</c:f>
            </c:multiLvlStrRef>
          </c:cat>
          <c:val>
            <c:numRef>
              <c:f>'LCOE-S Template'!$C$90:$Z$90</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xmlns:c15="http://schemas.microsoft.com/office/drawing/2012/chart">
            <c:ext xmlns:c16="http://schemas.microsoft.com/office/drawing/2014/chart" uri="{C3380CC4-5D6E-409C-BE32-E72D297353CC}">
              <c16:uniqueId val="{0000001D-3964-4FC2-8F0D-41CC7434F476}"/>
            </c:ext>
          </c:extLst>
        </c:ser>
        <c:dLbls>
          <c:showLegendKey val="0"/>
          <c:showVal val="0"/>
          <c:showCatName val="0"/>
          <c:showSerName val="0"/>
          <c:showPercent val="0"/>
          <c:showBubbleSize val="0"/>
        </c:dLbls>
        <c:gapWidth val="150"/>
        <c:overlap val="100"/>
        <c:axId val="233457232"/>
        <c:axId val="153367936"/>
        <c:extLst/>
      </c:barChart>
      <c:lineChart>
        <c:grouping val="standard"/>
        <c:varyColors val="0"/>
        <c:ser>
          <c:idx val="8"/>
          <c:order val="8"/>
          <c:tx>
            <c:strRef>
              <c:f>'LCOE-S Template'!$B$92</c:f>
              <c:strCache>
                <c:ptCount val="1"/>
                <c:pt idx="0">
                  <c:v>Total LCOE</c:v>
                </c:pt>
              </c:strCache>
            </c:strRef>
          </c:tx>
          <c:spPr>
            <a:ln w="25400" cap="rnd">
              <a:noFill/>
              <a:round/>
            </a:ln>
            <a:effectLst/>
          </c:spPr>
          <c:marker>
            <c:symbol val="dash"/>
            <c:size val="5"/>
            <c:spPr>
              <a:solidFill>
                <a:schemeClr val="tx1"/>
              </a:solidFill>
              <a:ln w="25400">
                <a:solidFill>
                  <a:schemeClr val="tx1"/>
                </a:solidFill>
              </a:ln>
              <a:effectLst/>
            </c:spPr>
          </c:marker>
          <c:dLbls>
            <c:dLbl>
              <c:idx val="0"/>
              <c:layout>
                <c:manualLayout>
                  <c:x val="-7.0839397140224039E-2"/>
                  <c:y val="-6.6707381143356642E-2"/>
                </c:manualLayout>
              </c:layout>
              <c:tx>
                <c:rich>
                  <a:bodyPr/>
                  <a:lstStyle/>
                  <a:p>
                    <a:fld id="{066584F5-6DCF-405E-9B7A-D7D693561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964-4FC2-8F0D-41CC7434F476}"/>
                </c:ext>
              </c:extLst>
            </c:dLbl>
            <c:dLbl>
              <c:idx val="1"/>
              <c:layout>
                <c:manualLayout>
                  <c:x val="-3.4166315863996384E-2"/>
                  <c:y val="-3.9162372809353294E-2"/>
                </c:manualLayout>
              </c:layout>
              <c:tx>
                <c:rich>
                  <a:bodyPr/>
                  <a:lstStyle/>
                  <a:p>
                    <a:fld id="{AC9D38A5-800D-4ED3-9294-D29C148CDD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964-4FC2-8F0D-41CC7434F476}"/>
                </c:ext>
              </c:extLst>
            </c:dLbl>
            <c:dLbl>
              <c:idx val="2"/>
              <c:layout>
                <c:manualLayout>
                  <c:x val="-3.2618266118488969E-2"/>
                  <c:y val="-4.1160899038931345E-2"/>
                </c:manualLayout>
              </c:layout>
              <c:tx>
                <c:rich>
                  <a:bodyPr/>
                  <a:lstStyle/>
                  <a:p>
                    <a:fld id="{96A57186-26F9-46C3-916F-4F90EEA4F0D4}"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0-2E97-4BBC-8704-11BC69BD84B3}"/>
                </c:ext>
              </c:extLst>
            </c:dLbl>
            <c:dLbl>
              <c:idx val="3"/>
              <c:layout>
                <c:manualLayout>
                  <c:x val="-3.2474304334947225E-2"/>
                  <c:y val="-5.3458001579556741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3783EBFE-6F04-4B30-860E-7C75DA15FD1B}"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0485"/>
                        <a:gd name="adj2" fmla="val 107657"/>
                      </a:avLst>
                    </a:prstGeom>
                    <a:noFill/>
                    <a:ln>
                      <a:noFill/>
                    </a:ln>
                  </c15:spPr>
                  <c15:dlblFieldTable/>
                  <c15:showDataLabelsRange val="1"/>
                </c:ext>
                <c:ext xmlns:c16="http://schemas.microsoft.com/office/drawing/2014/chart" uri="{C3380CC4-5D6E-409C-BE32-E72D297353CC}">
                  <c16:uniqueId val="{00000001-2E97-4BBC-8704-11BC69BD84B3}"/>
                </c:ext>
              </c:extLst>
            </c:dLbl>
            <c:dLbl>
              <c:idx val="4"/>
              <c:layout>
                <c:manualLayout>
                  <c:x val="-3.0007478380401045E-2"/>
                  <c:y val="-4.9877691530998032E-2"/>
                </c:manualLayout>
              </c:layout>
              <c:tx>
                <c:rich>
                  <a:bodyPr/>
                  <a:lstStyle/>
                  <a:p>
                    <a:fld id="{ED096D90-B940-46E3-9338-1507A0C9EA0E}"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2-2E97-4BBC-8704-11BC69BD84B3}"/>
                </c:ext>
              </c:extLst>
            </c:dLbl>
            <c:dLbl>
              <c:idx val="5"/>
              <c:layout>
                <c:manualLayout>
                  <c:x val="-3.1718175991043311E-2"/>
                  <c:y val="-4.0910630884537919E-2"/>
                </c:manualLayout>
              </c:layout>
              <c:tx>
                <c:rich>
                  <a:bodyPr/>
                  <a:lstStyle/>
                  <a:p>
                    <a:fld id="{F5899631-98D4-4CD2-B648-78520902A40C}"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3-2E97-4BBC-8704-11BC69BD84B3}"/>
                </c:ext>
              </c:extLst>
            </c:dLbl>
            <c:dLbl>
              <c:idx val="6"/>
              <c:layout>
                <c:manualLayout>
                  <c:x val="-3.0935071261740815E-2"/>
                  <c:y val="-4.1001941178910553E-2"/>
                </c:manualLayout>
              </c:layout>
              <c:tx>
                <c:rich>
                  <a:bodyPr/>
                  <a:lstStyle/>
                  <a:p>
                    <a:fld id="{0BD6F81D-7748-4F5E-A0FB-2B570D5467C8}"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4-2E97-4BBC-8704-11BC69BD84B3}"/>
                </c:ext>
              </c:extLst>
            </c:dLbl>
            <c:dLbl>
              <c:idx val="7"/>
              <c:layout>
                <c:manualLayout>
                  <c:x val="-2.8269218719115349E-2"/>
                  <c:y val="-2.659348361860402E-2"/>
                </c:manualLayout>
              </c:layout>
              <c:tx>
                <c:rich>
                  <a:bodyPr/>
                  <a:lstStyle/>
                  <a:p>
                    <a:fld id="{76D22B9D-00D9-453E-87B7-64CF9C1EDFC5}"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5-2E97-4BBC-8704-11BC69BD84B3}"/>
                </c:ext>
              </c:extLst>
            </c:dLbl>
            <c:dLbl>
              <c:idx val="8"/>
              <c:layout>
                <c:manualLayout>
                  <c:x val="-2.7483541127134758E-2"/>
                  <c:y val="-2.5070375562439299E-2"/>
                </c:manualLayout>
              </c:layout>
              <c:tx>
                <c:rich>
                  <a:bodyPr/>
                  <a:lstStyle/>
                  <a:p>
                    <a:fld id="{2305FDB4-F9FD-4FC4-A8C7-17F4B2E5E613}"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2E97-4BBC-8704-11BC69BD84B3}"/>
                </c:ext>
              </c:extLst>
            </c:dLbl>
            <c:dLbl>
              <c:idx val="9"/>
              <c:layout>
                <c:manualLayout>
                  <c:x val="-2.920154043041167E-2"/>
                  <c:y val="-3.5806181744183416E-2"/>
                </c:manualLayout>
              </c:layout>
              <c:tx>
                <c:rich>
                  <a:bodyPr/>
                  <a:lstStyle/>
                  <a:p>
                    <a:fld id="{D47C8D68-8EA2-4C63-BE6F-71F478F9D028}"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7-2E97-4BBC-8704-11BC69BD84B3}"/>
                </c:ext>
              </c:extLst>
            </c:dLbl>
            <c:dLbl>
              <c:idx val="10"/>
              <c:layout>
                <c:manualLayout>
                  <c:x val="-2.9144897340613537E-2"/>
                  <c:y val="-2.5087898794853854E-2"/>
                </c:manualLayout>
              </c:layout>
              <c:tx>
                <c:rich>
                  <a:bodyPr/>
                  <a:lstStyle/>
                  <a:p>
                    <a:fld id="{CBA8E4E0-42C0-448F-98EE-98C470DCCC8F}"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8-2E97-4BBC-8704-11BC69BD84B3}"/>
                </c:ext>
              </c:extLst>
            </c:dLbl>
            <c:dLbl>
              <c:idx val="11"/>
              <c:layout>
                <c:manualLayout>
                  <c:x val="-2.535496886133266E-2"/>
                  <c:y val="-6.3688154958396484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9BD4F962-CF5D-48C1-ADB8-C110475E193B}"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9031"/>
                        <a:gd name="adj2" fmla="val 197859"/>
                      </a:avLst>
                    </a:prstGeom>
                    <a:noFill/>
                    <a:ln>
                      <a:noFill/>
                    </a:ln>
                  </c15:spPr>
                  <c15:dlblFieldTable/>
                  <c15:showDataLabelsRange val="1"/>
                </c:ext>
                <c:ext xmlns:c16="http://schemas.microsoft.com/office/drawing/2014/chart" uri="{C3380CC4-5D6E-409C-BE32-E72D297353CC}">
                  <c16:uniqueId val="{00000009-2E97-4BBC-8704-11BC69BD84B3}"/>
                </c:ext>
              </c:extLst>
            </c:dLbl>
            <c:dLbl>
              <c:idx val="12"/>
              <c:layout>
                <c:manualLayout>
                  <c:x val="-2.5706805686861563E-2"/>
                  <c:y val="-6.4548522395821553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51048056-D2D5-4189-BCEA-73595BC1FF88}"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301"/>
                        <a:gd name="adj2" fmla="val 206901"/>
                      </a:avLst>
                    </a:prstGeom>
                    <a:noFill/>
                    <a:ln>
                      <a:noFill/>
                    </a:ln>
                  </c15:spPr>
                  <c15:dlblFieldTable/>
                  <c15:showDataLabelsRange val="1"/>
                </c:ext>
                <c:ext xmlns:c16="http://schemas.microsoft.com/office/drawing/2014/chart" uri="{C3380CC4-5D6E-409C-BE32-E72D297353CC}">
                  <c16:uniqueId val="{0000000A-2E97-4BBC-8704-11BC69BD84B3}"/>
                </c:ext>
              </c:extLst>
            </c:dLbl>
            <c:dLbl>
              <c:idx val="13"/>
              <c:layout>
                <c:manualLayout>
                  <c:x val="-2.0716801598842271E-2"/>
                  <c:y val="-5.2083621715564445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7B0FBEDC-BBA3-4A71-8888-7036143B45D2}"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4133"/>
                        <a:gd name="adj2" fmla="val 166215"/>
                      </a:avLst>
                    </a:prstGeom>
                    <a:noFill/>
                    <a:ln>
                      <a:noFill/>
                    </a:ln>
                  </c15:spPr>
                  <c15:dlblFieldTable/>
                  <c15:showDataLabelsRange val="1"/>
                </c:ext>
                <c:ext xmlns:c16="http://schemas.microsoft.com/office/drawing/2014/chart" uri="{C3380CC4-5D6E-409C-BE32-E72D297353CC}">
                  <c16:uniqueId val="{0000000B-2E97-4BBC-8704-11BC69BD84B3}"/>
                </c:ext>
              </c:extLst>
            </c:dLbl>
            <c:dLbl>
              <c:idx val="14"/>
              <c:layout>
                <c:manualLayout>
                  <c:x val="-2.5017800712342574E-2"/>
                  <c:y val="-2.5035329097610057E-2"/>
                </c:manualLayout>
              </c:layout>
              <c:tx>
                <c:rich>
                  <a:bodyPr/>
                  <a:lstStyle/>
                  <a:p>
                    <a:fld id="{0A1CF342-559F-4397-86FF-1C6390EF2F4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2E97-4BBC-8704-11BC69BD84B3}"/>
                </c:ext>
              </c:extLst>
            </c:dLbl>
            <c:dLbl>
              <c:idx val="15"/>
              <c:layout>
                <c:manualLayout>
                  <c:x val="-3.1567475797385947E-2"/>
                  <c:y val="-5.0847078548826072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2D13652A-2365-42AB-9D87-4E84A5CFF0ED}"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2578"/>
                        <a:gd name="adj2" fmla="val 145190"/>
                      </a:avLst>
                    </a:prstGeom>
                    <a:noFill/>
                    <a:ln>
                      <a:noFill/>
                    </a:ln>
                  </c15:spPr>
                  <c15:dlblFieldTable/>
                  <c15:showDataLabelsRange val="1"/>
                </c:ext>
                <c:ext xmlns:c16="http://schemas.microsoft.com/office/drawing/2014/chart" uri="{C3380CC4-5D6E-409C-BE32-E72D297353CC}">
                  <c16:uniqueId val="{0000000D-2E97-4BBC-8704-11BC69BD84B3}"/>
                </c:ext>
              </c:extLst>
            </c:dLbl>
            <c:dLbl>
              <c:idx val="16"/>
              <c:layout>
                <c:manualLayout>
                  <c:x val="-1.9369611975357234E-2"/>
                  <c:y val="-2.6737951196887298E-2"/>
                </c:manualLayout>
              </c:layout>
              <c:tx>
                <c:rich>
                  <a:bodyPr/>
                  <a:lstStyle/>
                  <a:p>
                    <a:fld id="{D14599DB-80DE-4C9A-A0F4-879B9EE8DEB8}"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E-2E97-4BBC-8704-11BC69BD84B3}"/>
                </c:ext>
              </c:extLst>
            </c:dLbl>
            <c:dLbl>
              <c:idx val="17"/>
              <c:layout>
                <c:manualLayout>
                  <c:x val="-2.322891903741868E-2"/>
                  <c:y val="-3.212968639012951E-2"/>
                </c:manualLayout>
              </c:layout>
              <c:tx>
                <c:rich>
                  <a:bodyPr/>
                  <a:lstStyle/>
                  <a:p>
                    <a:fld id="{9F8987CA-988A-48DF-A644-09E76916B3D9}"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F-2E97-4BBC-8704-11BC69BD84B3}"/>
                </c:ext>
              </c:extLst>
            </c:dLbl>
            <c:dLbl>
              <c:idx val="18"/>
              <c:tx>
                <c:rich>
                  <a:bodyPr/>
                  <a:lstStyle/>
                  <a:p>
                    <a:fld id="{C5412859-576C-4627-9B29-7F81F3F992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E97-4BBC-8704-11BC69BD84B3}"/>
                </c:ext>
              </c:extLst>
            </c:dLbl>
            <c:dLbl>
              <c:idx val="19"/>
              <c:tx>
                <c:rich>
                  <a:bodyPr/>
                  <a:lstStyle/>
                  <a:p>
                    <a:fld id="{8AA44B51-1676-4EF7-88B2-0E4660D24F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E97-4BBC-8704-11BC69BD84B3}"/>
                </c:ext>
              </c:extLst>
            </c:dLbl>
            <c:dLbl>
              <c:idx val="20"/>
              <c:tx>
                <c:rich>
                  <a:bodyPr/>
                  <a:lstStyle/>
                  <a:p>
                    <a:fld id="{B394813C-D0BD-404A-AA4B-0819A674C5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E97-4BBC-8704-11BC69BD84B3}"/>
                </c:ext>
              </c:extLst>
            </c:dLbl>
            <c:dLbl>
              <c:idx val="21"/>
              <c:tx>
                <c:rich>
                  <a:bodyPr/>
                  <a:lstStyle/>
                  <a:p>
                    <a:fld id="{31E3AF3F-9043-4452-824F-EC0194BF8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E97-4BBC-8704-11BC69BD84B3}"/>
                </c:ext>
              </c:extLst>
            </c:dLbl>
            <c:dLbl>
              <c:idx val="22"/>
              <c:tx>
                <c:rich>
                  <a:bodyPr/>
                  <a:lstStyle/>
                  <a:p>
                    <a:fld id="{BA51C241-0739-4415-B8BD-0C164321EF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E97-4BBC-8704-11BC69BD84B3}"/>
                </c:ext>
              </c:extLst>
            </c:dLbl>
            <c:dLbl>
              <c:idx val="23"/>
              <c:tx>
                <c:rich>
                  <a:bodyPr/>
                  <a:lstStyle/>
                  <a:p>
                    <a:fld id="{C8AD532C-514C-4952-AC92-25060B880A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2E97-4BBC-8704-11BC69BD84B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multiLvlStrRef>
              <c:f>'LCOE-S Template'!$C$15:$Z$17</c:f>
            </c:multiLvlStrRef>
          </c:cat>
          <c:val>
            <c:numRef>
              <c:f>'LCOE-S Template'!$C$92:$Z$92</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formatCode="_ * #,##0.00_ ;_ * \-#,##0.00_ ;_ * &quot;-&quot;??_ ;_ @_ ">
                  <c:v>0</c:v>
                </c:pt>
                <c:pt idx="18" formatCode="_ * #,##0.00_ ;_ * \-#,##0.00_ ;_ * &quot;-&quot;??_ ;_ @_ ">
                  <c:v>0</c:v>
                </c:pt>
                <c:pt idx="19" formatCode="_ * #,##0.00_ ;_ * \-#,##0.00_ ;_ * &quot;-&quot;??_ ;_ @_ ">
                  <c:v>0</c:v>
                </c:pt>
                <c:pt idx="20" formatCode="_ * #,##0.00_ ;_ * \-#,##0.00_ ;_ * &quot;-&quot;??_ ;_ @_ ">
                  <c:v>0</c:v>
                </c:pt>
                <c:pt idx="21" formatCode="_ * #,##0.00_ ;_ * \-#,##0.00_ ;_ * &quot;-&quot;??_ ;_ @_ ">
                  <c:v>0</c:v>
                </c:pt>
                <c:pt idx="22" formatCode="_ * #,##0.00_ ;_ * \-#,##0.00_ ;_ * &quot;-&quot;??_ ;_ @_ ">
                  <c:v>0</c:v>
                </c:pt>
                <c:pt idx="23" formatCode="_ * #,##0.00_ ;_ * \-#,##0.00_ ;_ * &quot;-&quot;??_ ;_ @_ ">
                  <c:v>0</c:v>
                </c:pt>
              </c:numCache>
            </c:numRef>
          </c:val>
          <c:smooth val="0"/>
          <c:extLst>
            <c:ext xmlns:c15="http://schemas.microsoft.com/office/drawing/2012/chart" uri="{02D57815-91ED-43cb-92C2-25804820EDAC}">
              <c15:datalabelsRange>
                <c15:f>'LCOE-S Template'!$C$94:$Z$94</c15:f>
                <c15:dlblRangeCache>
                  <c:ptCount val="24"/>
                </c15:dlblRangeCache>
              </c15:datalabelsRange>
            </c:ext>
            <c:ext xmlns:c16="http://schemas.microsoft.com/office/drawing/2014/chart" uri="{C3380CC4-5D6E-409C-BE32-E72D297353CC}">
              <c16:uniqueId val="{0000001A-3964-4FC2-8F0D-41CC7434F476}"/>
            </c:ext>
          </c:extLst>
        </c:ser>
        <c:dLbls>
          <c:showLegendKey val="0"/>
          <c:showVal val="0"/>
          <c:showCatName val="0"/>
          <c:showSerName val="0"/>
          <c:showPercent val="0"/>
          <c:showBubbleSize val="0"/>
        </c:dLbls>
        <c:marker val="1"/>
        <c:smooth val="0"/>
        <c:axId val="233457232"/>
        <c:axId val="153367936"/>
      </c:lineChart>
      <c:lineChart>
        <c:grouping val="standard"/>
        <c:varyColors val="0"/>
        <c:ser>
          <c:idx val="7"/>
          <c:order val="7"/>
          <c:tx>
            <c:strRef>
              <c:f>'LCOE-S Template'!$B$34</c:f>
              <c:strCache>
                <c:ptCount val="1"/>
                <c:pt idx="0">
                  <c:v>FLH [h/y]</c:v>
                </c:pt>
              </c:strCache>
            </c:strRef>
          </c:tx>
          <c:spPr>
            <a:ln w="28575" cap="rnd">
              <a:noFill/>
              <a:round/>
            </a:ln>
            <a:effectLst/>
          </c:spPr>
          <c:marker>
            <c:symbol val="circle"/>
            <c:size val="5"/>
            <c:spPr>
              <a:solidFill>
                <a:srgbClr val="FF0000"/>
              </a:solidFill>
              <a:ln w="9525">
                <a:solidFill>
                  <a:schemeClr val="bg1"/>
                </a:solidFill>
              </a:ln>
              <a:effectLst/>
            </c:spPr>
          </c:marker>
          <c:cat>
            <c:multiLvlStrRef>
              <c:f>'LCOE-S Template'!$C$15:$Z$17</c:f>
            </c:multiLvlStrRef>
          </c:cat>
          <c:val>
            <c:numRef>
              <c:f>'LCOE-S Template'!$C$34:$Z$34</c:f>
              <c:numCache>
                <c:formatCode>_ * #,##0_ ;_ * \-#,##0_ ;_ * "-"??_ ;_ @_ </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1B-3964-4FC2-8F0D-41CC7434F476}"/>
            </c:ext>
          </c:extLst>
        </c:ser>
        <c:dLbls>
          <c:showLegendKey val="0"/>
          <c:showVal val="0"/>
          <c:showCatName val="0"/>
          <c:showSerName val="0"/>
          <c:showPercent val="0"/>
          <c:showBubbleSize val="0"/>
        </c:dLbls>
        <c:marker val="1"/>
        <c:smooth val="0"/>
        <c:axId val="1306268576"/>
        <c:axId val="1661394592"/>
      </c:lineChart>
      <c:catAx>
        <c:axId val="233457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53367936"/>
        <c:crosses val="autoZero"/>
        <c:auto val="1"/>
        <c:lblAlgn val="ctr"/>
        <c:lblOffset val="100"/>
        <c:noMultiLvlLbl val="0"/>
      </c:catAx>
      <c:valAx>
        <c:axId val="153367936"/>
        <c:scaling>
          <c:orientation val="minMax"/>
          <c:max val="3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USD22/MWh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233457232"/>
        <c:crosses val="autoZero"/>
        <c:crossBetween val="between"/>
        <c:majorUnit val="50"/>
      </c:valAx>
      <c:valAx>
        <c:axId val="1661394592"/>
        <c:scaling>
          <c:orientation val="minMax"/>
          <c:max val="80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FLHs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306268576"/>
        <c:crosses val="max"/>
        <c:crossBetween val="between"/>
      </c:valAx>
      <c:catAx>
        <c:axId val="1306268576"/>
        <c:scaling>
          <c:orientation val="minMax"/>
        </c:scaling>
        <c:delete val="1"/>
        <c:axPos val="b"/>
        <c:numFmt formatCode="General" sourceLinked="1"/>
        <c:majorTickMark val="out"/>
        <c:minorTickMark val="none"/>
        <c:tickLblPos val="nextTo"/>
        <c:crossAx val="1661394592"/>
        <c:crosses val="autoZero"/>
        <c:auto val="1"/>
        <c:lblAlgn val="ctr"/>
        <c:lblOffset val="100"/>
        <c:noMultiLvlLbl val="0"/>
      </c:catAx>
      <c:spPr>
        <a:solidFill>
          <a:schemeClr val="bg1"/>
        </a:solidFill>
        <a:ln>
          <a:noFill/>
        </a:ln>
        <a:effectLst/>
      </c:spPr>
    </c:plotArea>
    <c:legend>
      <c:legendPos val="r"/>
      <c:layout>
        <c:manualLayout>
          <c:xMode val="edge"/>
          <c:yMode val="edge"/>
          <c:x val="0.93325076930649442"/>
          <c:y val="6.4603049498399359E-2"/>
          <c:w val="6.2456861917535578E-2"/>
          <c:h val="0.27408460415003516"/>
        </c:manualLayout>
      </c:layout>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Corbel" panose="020B05030202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Corbel" panose="020B0503020204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'2023 LCOEs'!$B$102</c:f>
          <c:strCache>
            <c:ptCount val="1"/>
            <c:pt idx="0">
              <c:v>LCOEs of Newly Invested Units: 2023</c:v>
            </c:pt>
          </c:strCache>
        </c:strRef>
      </c:tx>
      <c:layout>
        <c:manualLayout>
          <c:xMode val="edge"/>
          <c:yMode val="edge"/>
          <c:x val="5.7273620266557416E-3"/>
          <c:y val="2.5891423790896966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Corbel" panose="020B0503020204020204" pitchFamily="34" charset="0"/>
              <a:ea typeface="+mn-ea"/>
              <a:cs typeface="+mn-cs"/>
            </a:defRPr>
          </a:pPr>
          <a:endParaRPr lang="en-US"/>
        </a:p>
      </c:txPr>
    </c:title>
    <c:autoTitleDeleted val="0"/>
    <c:plotArea>
      <c:layout>
        <c:manualLayout>
          <c:layoutTarget val="inner"/>
          <c:xMode val="edge"/>
          <c:yMode val="edge"/>
          <c:x val="4.5688331139345818E-2"/>
          <c:y val="9.26570725204581E-2"/>
          <c:w val="0.79145306902660351"/>
          <c:h val="0.7217593091057074"/>
        </c:manualLayout>
      </c:layout>
      <c:barChart>
        <c:barDir val="col"/>
        <c:grouping val="stacked"/>
        <c:varyColors val="0"/>
        <c:ser>
          <c:idx val="0"/>
          <c:order val="0"/>
          <c:tx>
            <c:strRef>
              <c:f>'2023 LCOEs'!$B$84</c:f>
              <c:strCache>
                <c:ptCount val="1"/>
                <c:pt idx="0">
                  <c:v>Investment</c:v>
                </c:pt>
              </c:strCache>
            </c:strRef>
          </c:tx>
          <c:spPr>
            <a:solidFill>
              <a:schemeClr val="tx2">
                <a:lumMod val="75000"/>
              </a:schemeClr>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LCOEs'!$C$84:$Z$84</c15:sqref>
                  </c15:fullRef>
                </c:ext>
              </c:extLst>
              <c:f>'2023 LCOEs'!$C$84:$P$84</c:f>
              <c:numCache>
                <c:formatCode>_ * #,##0_ ;_ * \-#,##0_ ;_ * "-"??_ ;_ @_ </c:formatCode>
                <c:ptCount val="14"/>
                <c:pt idx="0">
                  <c:v>24.246685314887753</c:v>
                </c:pt>
                <c:pt idx="1">
                  <c:v>41.370906818527232</c:v>
                </c:pt>
                <c:pt idx="2">
                  <c:v>23.796303593044502</c:v>
                </c:pt>
                <c:pt idx="3">
                  <c:v>20.094656367459802</c:v>
                </c:pt>
                <c:pt idx="4">
                  <c:v>128.99508328993383</c:v>
                </c:pt>
                <c:pt idx="6">
                  <c:v>50.236640918649506</c:v>
                </c:pt>
                <c:pt idx="7">
                  <c:v>66.602267738525853</c:v>
                </c:pt>
                <c:pt idx="8">
                  <c:v>49.666528539140444</c:v>
                </c:pt>
                <c:pt idx="9">
                  <c:v>58.027546948705151</c:v>
                </c:pt>
                <c:pt idx="10">
                  <c:v>70.574043586263016</c:v>
                </c:pt>
                <c:pt idx="11">
                  <c:v>74.922818431615966</c:v>
                </c:pt>
                <c:pt idx="12">
                  <c:v>144.76723200663073</c:v>
                </c:pt>
                <c:pt idx="13">
                  <c:v>219.32988730360364</c:v>
                </c:pt>
              </c:numCache>
            </c:numRef>
          </c:val>
          <c:extLst>
            <c:ext xmlns:c16="http://schemas.microsoft.com/office/drawing/2014/chart" uri="{C3380CC4-5D6E-409C-BE32-E72D297353CC}">
              <c16:uniqueId val="{00000000-F980-4D4E-A215-2085F78F9239}"/>
            </c:ext>
          </c:extLst>
        </c:ser>
        <c:ser>
          <c:idx val="1"/>
          <c:order val="1"/>
          <c:tx>
            <c:strRef>
              <c:f>'2023 LCOEs'!$B$85</c:f>
              <c:strCache>
                <c:ptCount val="1"/>
                <c:pt idx="0">
                  <c:v>Fixed O&amp;M</c:v>
                </c:pt>
              </c:strCache>
            </c:strRef>
          </c:tx>
          <c:spPr>
            <a:solidFill>
              <a:srgbClr val="FFC000"/>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LCOEs'!$C$85:$Z$85</c15:sqref>
                  </c15:fullRef>
                </c:ext>
              </c:extLst>
              <c:f>'2023 LCOEs'!$C$85:$P$85</c:f>
              <c:numCache>
                <c:formatCode>_ * #,##0_ ;_ * \-#,##0_ ;_ * "-"??_ ;_ @_ </c:formatCode>
                <c:ptCount val="14"/>
                <c:pt idx="0">
                  <c:v>6.7142857142857144</c:v>
                </c:pt>
                <c:pt idx="1">
                  <c:v>9.7714285714285722</c:v>
                </c:pt>
                <c:pt idx="2">
                  <c:v>5.36</c:v>
                </c:pt>
                <c:pt idx="3">
                  <c:v>1.8240000000000001</c:v>
                </c:pt>
                <c:pt idx="4">
                  <c:v>18.142857142857142</c:v>
                </c:pt>
                <c:pt idx="6">
                  <c:v>10.8</c:v>
                </c:pt>
                <c:pt idx="7">
                  <c:v>15.696347031963469</c:v>
                </c:pt>
                <c:pt idx="8">
                  <c:v>9.6248545080132502</c:v>
                </c:pt>
                <c:pt idx="9">
                  <c:v>4.1876046901172534</c:v>
                </c:pt>
                <c:pt idx="10">
                  <c:v>4.8893114219747389</c:v>
                </c:pt>
                <c:pt idx="11">
                  <c:v>16.777667716277559</c:v>
                </c:pt>
                <c:pt idx="12">
                  <c:v>38.737080221870109</c:v>
                </c:pt>
                <c:pt idx="13">
                  <c:v>52.623316461279565</c:v>
                </c:pt>
              </c:numCache>
            </c:numRef>
          </c:val>
          <c:extLst>
            <c:ext xmlns:c16="http://schemas.microsoft.com/office/drawing/2014/chart" uri="{C3380CC4-5D6E-409C-BE32-E72D297353CC}">
              <c16:uniqueId val="{00000001-F980-4D4E-A215-2085F78F9239}"/>
            </c:ext>
          </c:extLst>
        </c:ser>
        <c:ser>
          <c:idx val="2"/>
          <c:order val="2"/>
          <c:tx>
            <c:strRef>
              <c:f>'2023 LCOEs'!$B$86</c:f>
              <c:strCache>
                <c:ptCount val="1"/>
                <c:pt idx="0">
                  <c:v>Variable O&amp;M</c:v>
                </c:pt>
              </c:strCache>
            </c:strRef>
          </c:tx>
          <c:spPr>
            <a:solidFill>
              <a:srgbClr val="00B050"/>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LCOEs'!$C$86:$Z$86</c15:sqref>
                  </c15:fullRef>
                </c:ext>
              </c:extLst>
              <c:f>'2023 LCOEs'!$C$86:$P$86</c:f>
              <c:numCache>
                <c:formatCode>_ * #,##0.0_ ;_ * \-#,##0.0_ ;_ * "-"??_ ;_ @_ </c:formatCode>
                <c:ptCount val="14"/>
                <c:pt idx="0">
                  <c:v>1.4</c:v>
                </c:pt>
                <c:pt idx="1">
                  <c:v>13.7</c:v>
                </c:pt>
                <c:pt idx="2">
                  <c:v>2.6</c:v>
                </c:pt>
                <c:pt idx="3">
                  <c:v>7.2960000000000003</c:v>
                </c:pt>
                <c:pt idx="4">
                  <c:v>2.4</c:v>
                </c:pt>
                <c:pt idx="6">
                  <c:v>3.4</c:v>
                </c:pt>
                <c:pt idx="7">
                  <c:v>0.27</c:v>
                </c:pt>
                <c:pt idx="8">
                  <c:v>0.74</c:v>
                </c:pt>
                <c:pt idx="9">
                  <c:v>0</c:v>
                </c:pt>
                <c:pt idx="10">
                  <c:v>0</c:v>
                </c:pt>
                <c:pt idx="11">
                  <c:v>0</c:v>
                </c:pt>
                <c:pt idx="12">
                  <c:v>5.5</c:v>
                </c:pt>
                <c:pt idx="13">
                  <c:v>0</c:v>
                </c:pt>
              </c:numCache>
            </c:numRef>
          </c:val>
          <c:extLst>
            <c:ext xmlns:c16="http://schemas.microsoft.com/office/drawing/2014/chart" uri="{C3380CC4-5D6E-409C-BE32-E72D297353CC}">
              <c16:uniqueId val="{00000002-F980-4D4E-A215-2085F78F9239}"/>
            </c:ext>
          </c:extLst>
        </c:ser>
        <c:ser>
          <c:idx val="3"/>
          <c:order val="3"/>
          <c:tx>
            <c:strRef>
              <c:f>'2023 LCOEs'!$B$87</c:f>
              <c:strCache>
                <c:ptCount val="1"/>
                <c:pt idx="0">
                  <c:v>Input fuel</c:v>
                </c:pt>
              </c:strCache>
            </c:strRef>
          </c:tx>
          <c:spPr>
            <a:solidFill>
              <a:schemeClr val="bg2">
                <a:lumMod val="50000"/>
              </a:schemeClr>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LCOEs'!$C$87:$Z$87</c15:sqref>
                  </c15:fullRef>
                </c:ext>
              </c:extLst>
              <c:f>'2023 LCOEs'!$C$87:$P$87</c:f>
              <c:numCache>
                <c:formatCode>_ * #,##0_ ;_ * \-#,##0_ ;_ * "-"??_ ;_ @_ </c:formatCode>
                <c:ptCount val="14"/>
                <c:pt idx="0">
                  <c:v>36.172972972972978</c:v>
                </c:pt>
                <c:pt idx="1">
                  <c:v>33.46</c:v>
                </c:pt>
                <c:pt idx="2">
                  <c:v>70.010357142857131</c:v>
                </c:pt>
                <c:pt idx="3">
                  <c:v>107.79765133829635</c:v>
                </c:pt>
                <c:pt idx="4">
                  <c:v>11.593350535077297</c:v>
                </c:pt>
                <c:pt idx="6">
                  <c:v>54.193548387096776</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F980-4D4E-A215-2085F78F9239}"/>
            </c:ext>
          </c:extLst>
        </c:ser>
        <c:ser>
          <c:idx val="4"/>
          <c:order val="4"/>
          <c:tx>
            <c:strRef>
              <c:f>'2023 LCOEs'!$B$88</c:f>
              <c:strCache>
                <c:ptCount val="1"/>
                <c:pt idx="0">
                  <c:v>Additional start-ups</c:v>
                </c:pt>
              </c:strCache>
              <c:extLst xmlns:c15="http://schemas.microsoft.com/office/drawing/2012/chart"/>
            </c:strRef>
          </c:tx>
          <c:spPr>
            <a:solidFill>
              <a:srgbClr val="7030A0"/>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LCOEs'!$C$88:$Z$88</c15:sqref>
                  </c15:fullRef>
                </c:ext>
              </c:extLst>
              <c:f>'2023 LCOEs'!$C$88:$P$88</c:f>
              <c:numCache>
                <c:formatCode>_ * #,##0_ ;_ * \-#,##0_ ;_ * "-"??_ ;_ @_ </c:formatCode>
                <c:ptCount val="14"/>
                <c:pt idx="0">
                  <c:v>0</c:v>
                </c:pt>
                <c:pt idx="1">
                  <c:v>0</c:v>
                </c:pt>
                <c:pt idx="2">
                  <c:v>0</c:v>
                </c:pt>
                <c:pt idx="3">
                  <c:v>0</c:v>
                </c:pt>
                <c:pt idx="4">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04-F980-4D4E-A215-2085F78F9239}"/>
            </c:ext>
          </c:extLst>
        </c:ser>
        <c:ser>
          <c:idx val="5"/>
          <c:order val="5"/>
          <c:tx>
            <c:strRef>
              <c:f>'2023 LCOEs'!$B$89</c:f>
              <c:strCache>
                <c:ptCount val="1"/>
                <c:pt idx="0">
                  <c:v>Other</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LCOEs'!$C$89:$Z$89</c15:sqref>
                  </c15:fullRef>
                </c:ext>
              </c:extLst>
              <c:f>'2023 LCOEs'!$C$89:$P$89</c:f>
              <c:numCache>
                <c:formatCode>_ * #,##0_ ;_ * \-#,##0_ ;_ * "-"??_ ;_ @_ </c:formatCode>
                <c:ptCount val="14"/>
                <c:pt idx="0">
                  <c:v>0</c:v>
                </c:pt>
                <c:pt idx="1">
                  <c:v>0</c:v>
                </c:pt>
                <c:pt idx="2">
                  <c:v>0</c:v>
                </c:pt>
                <c:pt idx="3">
                  <c:v>0</c:v>
                </c:pt>
                <c:pt idx="4">
                  <c:v>0</c:v>
                </c:pt>
                <c:pt idx="6">
                  <c:v>0</c:v>
                </c:pt>
                <c:pt idx="7">
                  <c:v>4.8438012900746079</c:v>
                </c:pt>
                <c:pt idx="8">
                  <c:v>0</c:v>
                </c:pt>
                <c:pt idx="9">
                  <c:v>0</c:v>
                </c:pt>
                <c:pt idx="10">
                  <c:v>0</c:v>
                </c:pt>
                <c:pt idx="11">
                  <c:v>0</c:v>
                </c:pt>
                <c:pt idx="12">
                  <c:v>0</c:v>
                </c:pt>
                <c:pt idx="13">
                  <c:v>0</c:v>
                </c:pt>
              </c:numCache>
            </c:numRef>
          </c:val>
          <c:extLst>
            <c:ext xmlns:c16="http://schemas.microsoft.com/office/drawing/2014/chart" uri="{C3380CC4-5D6E-409C-BE32-E72D297353CC}">
              <c16:uniqueId val="{00000005-F980-4D4E-A215-2085F78F9239}"/>
            </c:ext>
          </c:extLst>
        </c:ser>
        <c:ser>
          <c:idx val="6"/>
          <c:order val="6"/>
          <c:tx>
            <c:strRef>
              <c:f>'2023 LCOEs'!$B$90</c:f>
              <c:strCache>
                <c:ptCount val="1"/>
                <c:pt idx="0">
                  <c:v>CO2 emissions</c:v>
                </c:pt>
              </c:strCache>
              <c:extLst xmlns:c15="http://schemas.microsoft.com/office/drawing/2012/chart"/>
            </c:strRef>
          </c:tx>
          <c:spPr>
            <a:solidFill>
              <a:srgbClr val="C00000"/>
            </a:solidFill>
            <a:ln>
              <a:noFill/>
            </a:ln>
            <a:effectLst/>
          </c:spPr>
          <c:invertIfNegative val="0"/>
          <c:cat>
            <c:multiLvlStrRef>
              <c:extLst>
                <c:ext xmlns:c15="http://schemas.microsoft.com/office/drawing/2012/chart" uri="{02D57815-91ED-43cb-92C2-25804820EDAC}">
                  <c15:fullRef>
                    <c15:sqref>'2023 LCOEs'!$C$11:$Z$14</c15:sqref>
                  </c15:fullRef>
                </c:ext>
              </c:extLst>
              <c:f>'2023 LCOEs'!$C$11:$Z$14</c:f>
              <c:multiLvlStrCache>
                <c:ptCount val="14"/>
                <c:lvl>
                  <c:pt idx="0">
                    <c:v>Supercritical</c:v>
                  </c:pt>
                  <c:pt idx="1">
                    <c:v>IGCC</c:v>
                  </c:pt>
                  <c:pt idx="2">
                    <c:v>CCGT</c:v>
                  </c:pt>
                  <c:pt idx="3">
                    <c:v>Fuel oil</c:v>
                  </c:pt>
                  <c:pt idx="4">
                    <c:v>PWR</c:v>
                  </c:pt>
                  <c:pt idx="5">
                    <c:v>SMR (Unavailable)</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2023</c:v>
                  </c:pt>
                </c:lvl>
              </c:multiLvlStrCache>
            </c:multiLvlStrRef>
          </c:cat>
          <c:val>
            <c:numRef>
              <c:extLst>
                <c:ext xmlns:c15="http://schemas.microsoft.com/office/drawing/2012/chart" uri="{02D57815-91ED-43cb-92C2-25804820EDAC}">
                  <c15:fullRef>
                    <c15:sqref>'2023 LCOEs'!$C$90:$Z$90</c15:sqref>
                  </c15:fullRef>
                </c:ext>
              </c:extLst>
              <c:f>'2023 LCOEs'!$C$90:$P$90</c:f>
              <c:numCache>
                <c:formatCode>_ * #,##0_ ;_ * \-#,##0_ ;_ * "-"??_ ;_ @_ </c:formatCode>
                <c:ptCount val="14"/>
                <c:pt idx="0">
                  <c:v>0</c:v>
                </c:pt>
                <c:pt idx="1">
                  <c:v>0</c:v>
                </c:pt>
                <c:pt idx="2">
                  <c:v>0</c:v>
                </c:pt>
                <c:pt idx="3">
                  <c:v>0</c:v>
                </c:pt>
                <c:pt idx="4">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1A-F980-4D4E-A215-2085F78F9239}"/>
            </c:ext>
          </c:extLst>
        </c:ser>
        <c:dLbls>
          <c:showLegendKey val="0"/>
          <c:showVal val="0"/>
          <c:showCatName val="0"/>
          <c:showSerName val="0"/>
          <c:showPercent val="0"/>
          <c:showBubbleSize val="0"/>
        </c:dLbls>
        <c:gapWidth val="150"/>
        <c:overlap val="100"/>
        <c:axId val="233457232"/>
        <c:axId val="153367936"/>
        <c:extLst/>
      </c:barChart>
      <c:lineChart>
        <c:grouping val="standard"/>
        <c:varyColors val="0"/>
        <c:ser>
          <c:idx val="8"/>
          <c:order val="8"/>
          <c:tx>
            <c:strRef>
              <c:f>'2023 LCOEs'!$B$92</c:f>
              <c:strCache>
                <c:ptCount val="1"/>
                <c:pt idx="0">
                  <c:v>Total LCOE</c:v>
                </c:pt>
              </c:strCache>
            </c:strRef>
          </c:tx>
          <c:spPr>
            <a:ln w="25400" cap="rnd">
              <a:noFill/>
              <a:round/>
            </a:ln>
            <a:effectLst/>
          </c:spPr>
          <c:marker>
            <c:symbol val="dash"/>
            <c:size val="5"/>
            <c:spPr>
              <a:solidFill>
                <a:schemeClr val="tx1"/>
              </a:solidFill>
              <a:ln w="25400">
                <a:solidFill>
                  <a:schemeClr val="tx1"/>
                </a:solidFill>
              </a:ln>
              <a:effectLst/>
            </c:spPr>
          </c:marker>
          <c:dLbls>
            <c:dLbl>
              <c:idx val="0"/>
              <c:layout>
                <c:manualLayout>
                  <c:x val="-1.821404522835211E-2"/>
                  <c:y val="-3.4300375518936645E-2"/>
                </c:manualLayout>
              </c:layout>
              <c:tx>
                <c:rich>
                  <a:bodyPr/>
                  <a:lstStyle/>
                  <a:p>
                    <a:fld id="{FEF39879-8119-4859-AD97-9E6BAB1A47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980-4D4E-A215-2085F78F9239}"/>
                </c:ext>
              </c:extLst>
            </c:dLbl>
            <c:dLbl>
              <c:idx val="1"/>
              <c:layout>
                <c:manualLayout>
                  <c:x val="-2.7481448079936629E-2"/>
                  <c:y val="-2.5020349560223393E-2"/>
                </c:manualLayout>
              </c:layout>
              <c:tx>
                <c:rich>
                  <a:bodyPr/>
                  <a:lstStyle/>
                  <a:p>
                    <a:fld id="{4BF475C6-AC95-4B00-892C-71F29245E5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980-4D4E-A215-2085F78F9239}"/>
                </c:ext>
              </c:extLst>
            </c:dLbl>
            <c:dLbl>
              <c:idx val="2"/>
              <c:layout>
                <c:manualLayout>
                  <c:x val="-2.5933378046054101E-2"/>
                  <c:y val="-3.0554299409862821E-2"/>
                </c:manualLayout>
              </c:layout>
              <c:tx>
                <c:rich>
                  <a:bodyPr/>
                  <a:lstStyle/>
                  <a:p>
                    <a:fld id="{82B43308-F9A9-4BAF-9713-74313C9328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980-4D4E-A215-2085F78F9239}"/>
                </c:ext>
              </c:extLst>
            </c:dLbl>
            <c:dLbl>
              <c:idx val="3"/>
              <c:layout>
                <c:manualLayout>
                  <c:x val="-2.1342194758235608E-2"/>
                  <c:y val="-3.3995699401033239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76594527-6596-440A-AD75-8C7CFBCBDF15}"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85"/>
                        <a:gd name="adj2" fmla="val 107657"/>
                      </a:avLst>
                    </a:prstGeom>
                    <a:noFill/>
                    <a:ln>
                      <a:noFill/>
                    </a:ln>
                  </c15:spPr>
                  <c15:dlblFieldTable/>
                  <c15:showDataLabelsRange val="1"/>
                </c:ext>
                <c:ext xmlns:c16="http://schemas.microsoft.com/office/drawing/2014/chart" uri="{C3380CC4-5D6E-409C-BE32-E72D297353CC}">
                  <c16:uniqueId val="{00000009-F980-4D4E-A215-2085F78F9239}"/>
                </c:ext>
              </c:extLst>
            </c:dLbl>
            <c:dLbl>
              <c:idx val="4"/>
              <c:layout>
                <c:manualLayout>
                  <c:x val="-2.3141212363492248E-2"/>
                  <c:y val="-2.8664570004045951E-2"/>
                </c:manualLayout>
              </c:layout>
              <c:tx>
                <c:rich>
                  <a:bodyPr/>
                  <a:lstStyle/>
                  <a:p>
                    <a:fld id="{44F758B5-2090-4DC1-AE35-16F713300A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980-4D4E-A215-2085F78F9239}"/>
                </c:ext>
              </c:extLst>
            </c:dLbl>
            <c:dLbl>
              <c:idx val="5"/>
              <c:layout>
                <c:manualLayout>
                  <c:x val="-2.1690804027291271E-2"/>
                  <c:y val="-2.3233074779128195E-2"/>
                </c:manualLayout>
              </c:layout>
              <c:tx>
                <c:rich>
                  <a:bodyPr/>
                  <a:lstStyle/>
                  <a:p>
                    <a:fld id="{A62576EC-EDEC-45F9-AEDD-B98EB8E8FB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980-4D4E-A215-2085F78F9239}"/>
                </c:ext>
              </c:extLst>
            </c:dLbl>
            <c:dLbl>
              <c:idx val="6"/>
              <c:layout>
                <c:manualLayout>
                  <c:x val="-2.4624089994590613E-2"/>
                  <c:y val="-2.6859982351832682E-2"/>
                </c:manualLayout>
              </c:layout>
              <c:tx>
                <c:rich>
                  <a:bodyPr/>
                  <a:lstStyle/>
                  <a:p>
                    <a:fld id="{74AD2C18-2E10-472F-A1DB-B40451E9DC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980-4D4E-A215-2085F78F9239}"/>
                </c:ext>
              </c:extLst>
            </c:dLbl>
            <c:dLbl>
              <c:idx val="7"/>
              <c:layout>
                <c:manualLayout>
                  <c:x val="-2.3816384500539509E-2"/>
                  <c:y val="-2.659353128193186E-2"/>
                </c:manualLayout>
              </c:layout>
              <c:tx>
                <c:rich>
                  <a:bodyPr/>
                  <a:lstStyle/>
                  <a:p>
                    <a:fld id="{EF65370B-2740-4E04-8C18-E7AD24C014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980-4D4E-A215-2085F78F9239}"/>
                </c:ext>
              </c:extLst>
            </c:dLbl>
            <c:dLbl>
              <c:idx val="8"/>
              <c:layout>
                <c:manualLayout>
                  <c:x val="-2.3030709463097904E-2"/>
                  <c:y val="-3.2209521606497586E-2"/>
                </c:manualLayout>
              </c:layout>
              <c:tx>
                <c:rich>
                  <a:bodyPr/>
                  <a:lstStyle/>
                  <a:p>
                    <a:fld id="{2B0AB4EF-EDDE-4FB5-882F-DA6147E52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980-4D4E-A215-2085F78F9239}"/>
                </c:ext>
              </c:extLst>
            </c:dLbl>
            <c:dLbl>
              <c:idx val="9"/>
              <c:layout>
                <c:manualLayout>
                  <c:x val="-2.4748676025072178E-2"/>
                  <c:y val="-3.5806189450364567E-2"/>
                </c:manualLayout>
              </c:layout>
              <c:tx>
                <c:rich>
                  <a:bodyPr/>
                  <a:lstStyle/>
                  <a:p>
                    <a:fld id="{8358B396-13EC-4483-9BE0-57F24A26D8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980-4D4E-A215-2085F78F9239}"/>
                </c:ext>
              </c:extLst>
            </c:dLbl>
            <c:dLbl>
              <c:idx val="10"/>
              <c:layout>
                <c:manualLayout>
                  <c:x val="-2.0981351072389558E-2"/>
                  <c:y val="-2.5087857883768723E-2"/>
                </c:manualLayout>
              </c:layout>
              <c:tx>
                <c:rich>
                  <a:bodyPr/>
                  <a:lstStyle/>
                  <a:p>
                    <a:fld id="{72027D53-BB8F-4E2C-876F-A5C61AA37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980-4D4E-A215-2085F78F9239}"/>
                </c:ext>
              </c:extLst>
            </c:dLbl>
            <c:dLbl>
              <c:idx val="11"/>
              <c:layout>
                <c:manualLayout>
                  <c:x val="-2.1644251602306666E-2"/>
                  <c:y val="-3.5131770312994345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8C7746F8-8279-4711-9F98-A1184CABFAA0}"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49"/>
                        <a:gd name="adj2" fmla="val 124003"/>
                      </a:avLst>
                    </a:prstGeom>
                    <a:noFill/>
                    <a:ln>
                      <a:noFill/>
                    </a:ln>
                  </c15:spPr>
                  <c15:dlblFieldTable/>
                  <c15:showDataLabelsRange val="1"/>
                </c:ext>
                <c:ext xmlns:c16="http://schemas.microsoft.com/office/drawing/2014/chart" uri="{C3380CC4-5D6E-409C-BE32-E72D297353CC}">
                  <c16:uniqueId val="{00000011-F980-4D4E-A215-2085F78F9239}"/>
                </c:ext>
              </c:extLst>
            </c:dLbl>
            <c:dLbl>
              <c:idx val="12"/>
              <c:layout>
                <c:manualLayout>
                  <c:x val="-2.3480376210075423E-2"/>
                  <c:y val="-2.7068252650141171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E4AE95F5-E597-4907-B3F8-01D6907441B9}"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
                        <a:gd name="adj2" fmla="val 113350"/>
                      </a:avLst>
                    </a:prstGeom>
                    <a:noFill/>
                    <a:ln>
                      <a:noFill/>
                    </a:ln>
                  </c15:spPr>
                  <c15:dlblFieldTable/>
                  <c15:showDataLabelsRange val="1"/>
                </c:ext>
                <c:ext xmlns:c16="http://schemas.microsoft.com/office/drawing/2014/chart" uri="{C3380CC4-5D6E-409C-BE32-E72D297353CC}">
                  <c16:uniqueId val="{00000012-F980-4D4E-A215-2085F78F9239}"/>
                </c:ext>
              </c:extLst>
            </c:dLbl>
            <c:dLbl>
              <c:idx val="13"/>
              <c:layout>
                <c:manualLayout>
                  <c:x val="-1.9974670234159209E-2"/>
                  <c:y val="-3.4235870750432176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19B8F103-BE6D-4C5A-959B-9F1146D7783C}"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528"/>
                        <a:gd name="adj2" fmla="val 112054"/>
                      </a:avLst>
                    </a:prstGeom>
                    <a:noFill/>
                    <a:ln>
                      <a:noFill/>
                    </a:ln>
                  </c15:spPr>
                  <c15:dlblFieldTable/>
                  <c15:showDataLabelsRange val="1"/>
                </c:ext>
                <c:ext xmlns:c16="http://schemas.microsoft.com/office/drawing/2014/chart" uri="{C3380CC4-5D6E-409C-BE32-E72D297353CC}">
                  <c16:uniqueId val="{00000013-F980-4D4E-A215-2085F78F9239}"/>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multiLvlStrRef>
              <c:extLst>
                <c:ext xmlns:c15="http://schemas.microsoft.com/office/drawing/2012/chart" uri="{02D57815-91ED-43cb-92C2-25804820EDAC}">
                  <c15:fullRef>
                    <c15:sqref>'2023 LCOEs'!$C$15:$Z$17</c15:sqref>
                  </c15:fullRef>
                </c:ext>
              </c:extLst>
              <c:f>'2023 LCOEs'!$C$15:$Z$17</c:f>
              <c:multiLvlStrCache>
                <c:ptCount val="14"/>
                <c:lvl>
                  <c:pt idx="0">
                    <c:v>2023</c:v>
                  </c:pt>
                  <c:pt idx="1">
                    <c:v>2023</c:v>
                  </c:pt>
                  <c:pt idx="2">
                    <c:v>2023</c:v>
                  </c:pt>
                  <c:pt idx="3">
                    <c:v>2023</c:v>
                  </c:pt>
                  <c:pt idx="4">
                    <c:v>2023</c:v>
                  </c:pt>
                  <c:pt idx="5">
                    <c:v>2023</c:v>
                  </c:pt>
                  <c:pt idx="6">
                    <c:v>2023</c:v>
                  </c:pt>
                  <c:pt idx="7">
                    <c:v>2023</c:v>
                  </c:pt>
                  <c:pt idx="8">
                    <c:v>2023</c:v>
                  </c:pt>
                  <c:pt idx="9">
                    <c:v>2023</c:v>
                  </c:pt>
                  <c:pt idx="10">
                    <c:v>2023</c:v>
                  </c:pt>
                  <c:pt idx="11">
                    <c:v>2023</c:v>
                  </c:pt>
                  <c:pt idx="12">
                    <c:v>2023</c:v>
                  </c:pt>
                  <c:pt idx="13">
                    <c:v>2023</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'2023 LCOEs'!$C$92:$Z$92</c15:sqref>
                  </c15:fullRef>
                </c:ext>
              </c:extLst>
              <c:f>'2023 LCOEs'!$C$92:$P$92</c:f>
              <c:numCache>
                <c:formatCode>_ * #,##0_ ;_ * \-#,##0_ ;_ * "-"??_ ;_ @_ </c:formatCode>
                <c:ptCount val="14"/>
                <c:pt idx="0">
                  <c:v>68.533944002146455</c:v>
                </c:pt>
                <c:pt idx="1">
                  <c:v>98.3023353899558</c:v>
                </c:pt>
                <c:pt idx="2">
                  <c:v>101.76666073590164</c:v>
                </c:pt>
                <c:pt idx="3">
                  <c:v>137.01230770575614</c:v>
                </c:pt>
                <c:pt idx="4">
                  <c:v>161.13129096786827</c:v>
                </c:pt>
                <c:pt idx="6">
                  <c:v>118.63018930574628</c:v>
                </c:pt>
                <c:pt idx="7">
                  <c:v>87.412416060563928</c:v>
                </c:pt>
                <c:pt idx="8">
                  <c:v>60.031383047153696</c:v>
                </c:pt>
                <c:pt idx="9">
                  <c:v>62.215151638822405</c:v>
                </c:pt>
                <c:pt idx="10">
                  <c:v>75.463355008237755</c:v>
                </c:pt>
                <c:pt idx="11">
                  <c:v>91.700486147893528</c:v>
                </c:pt>
                <c:pt idx="12">
                  <c:v>189.00431222850085</c:v>
                </c:pt>
                <c:pt idx="13">
                  <c:v>271.9532037648832</c:v>
                </c:pt>
              </c:numCache>
            </c:numRef>
          </c:val>
          <c:smooth val="0"/>
          <c:extLst>
            <c:ext xmlns:c15="http://schemas.microsoft.com/office/drawing/2012/chart" uri="{02D57815-91ED-43cb-92C2-25804820EDAC}">
              <c15:datalabelsRange>
                <c15:f>'2023 LCOEs'!$C$94:$Z$94</c15:f>
                <c15:dlblRangeCache>
                  <c:ptCount val="24"/>
                  <c:pt idx="0">
                    <c:v>69 $/MWh</c:v>
                  </c:pt>
                  <c:pt idx="1">
                    <c:v>98 $/MWh</c:v>
                  </c:pt>
                  <c:pt idx="2">
                    <c:v>102 $/MWh</c:v>
                  </c:pt>
                  <c:pt idx="3">
                    <c:v>137 $/MWh</c:v>
                  </c:pt>
                  <c:pt idx="4">
                    <c:v>161 $/MWh</c:v>
                  </c:pt>
                  <c:pt idx="6">
                    <c:v>119 $/MWh</c:v>
                  </c:pt>
                  <c:pt idx="7">
                    <c:v>87 $/MWh</c:v>
                  </c:pt>
                  <c:pt idx="8">
                    <c:v>60 $/MWh</c:v>
                  </c:pt>
                  <c:pt idx="9">
                    <c:v>62 $/MWh</c:v>
                  </c:pt>
                  <c:pt idx="10">
                    <c:v>75 $/MWh</c:v>
                  </c:pt>
                  <c:pt idx="11">
                    <c:v>92 $/MWh</c:v>
                  </c:pt>
                  <c:pt idx="12">
                    <c:v>189 $/MWh</c:v>
                  </c:pt>
                  <c:pt idx="13">
                    <c:v>272 $/MWh</c:v>
                  </c:pt>
                </c15:dlblRangeCache>
              </c15:datalabelsRange>
            </c:ext>
            <c:ext xmlns:c15="http://schemas.microsoft.com/office/drawing/2012/chart" uri="{02D57815-91ED-43cb-92C2-25804820EDAC}">
              <c15:categoryFilterExceptions>
                <c15:categoryFilterException>
                  <c15:sqref>'2023 LCOEs'!$Q$92</c15:sqref>
                  <c15:dLbl>
                    <c:idx val="13"/>
                    <c:layout>
                      <c:manualLayout>
                        <c:x val="-2.5017800712342574E-2"/>
                        <c:y val="-2.5035329097610057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0-1255-433E-A43E-A7B198C58824}"/>
                      </c:ext>
                    </c:extLst>
                  </c15:dLbl>
                </c15:categoryFilterException>
                <c15:categoryFilterException>
                  <c15:sqref>'2023 LCOEs'!$R$92</c15:sqref>
                  <c15:dLbl>
                    <c:idx val="13"/>
                    <c:layout>
                      <c:manualLayout>
                        <c:x val="-3.1567475797385947E-2"/>
                        <c:y val="-5.0847078548826072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5="http://schemas.microsoft.com/office/drawing/2012/chart"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uri="{CE6537A1-D6FC-4f65-9D91-7224C49458BB}">
                        <c15:spPr xmlns:c15="http://schemas.microsoft.com/office/drawing/2012/chart">
                          <a:prstGeom prst="wedgeRectCallout">
                            <a:avLst>
                              <a:gd name="adj1" fmla="val 12578"/>
                              <a:gd name="adj2" fmla="val 145190"/>
                            </a:avLst>
                          </a:prstGeom>
                          <a:noFill/>
                          <a:ln>
                            <a:noFill/>
                          </a:ln>
                        </c15:spPr>
                        <c15:dlblFieldTable/>
                        <c15:showDataLabelsRange val="1"/>
                      </c:ext>
                      <c:ext xmlns:c16="http://schemas.microsoft.com/office/drawing/2014/chart" uri="{C3380CC4-5D6E-409C-BE32-E72D297353CC}">
                        <c16:uniqueId val="{00000001-1255-433E-A43E-A7B198C58824}"/>
                      </c:ext>
                    </c:extLst>
                  </c15:dLbl>
                </c15:categoryFilterException>
                <c15:categoryFilterException>
                  <c15:sqref>'2023 LCOEs'!$S$92</c15:sqref>
                  <c15:dLbl>
                    <c:idx val="13"/>
                    <c:layout>
                      <c:manualLayout>
                        <c:x val="-1.9369611975357234E-2"/>
                        <c:y val="-2.6737951196887298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1255-433E-A43E-A7B198C58824}"/>
                      </c:ext>
                    </c:extLst>
                  </c15:dLbl>
                </c15:categoryFilterException>
                <c15:categoryFilterException>
                  <c15:sqref>'2023 LCOEs'!$T$92</c15:sqref>
                  <c15:dLbl>
                    <c:idx val="13"/>
                    <c:layout>
                      <c:manualLayout>
                        <c:x val="-2.322891903741868E-2"/>
                        <c:y val="-3.212968639012951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1255-433E-A43E-A7B198C58824}"/>
                      </c:ext>
                    </c:extLst>
                  </c15:dLbl>
                </c15:categoryFilterException>
              </c15:categoryFilterExceptions>
            </c:ext>
            <c:ext xmlns:c16="http://schemas.microsoft.com/office/drawing/2014/chart" uri="{C3380CC4-5D6E-409C-BE32-E72D297353CC}">
              <c16:uniqueId val="{00000018-F980-4D4E-A215-2085F78F9239}"/>
            </c:ext>
          </c:extLst>
        </c:ser>
        <c:dLbls>
          <c:showLegendKey val="0"/>
          <c:showVal val="0"/>
          <c:showCatName val="0"/>
          <c:showSerName val="0"/>
          <c:showPercent val="0"/>
          <c:showBubbleSize val="0"/>
        </c:dLbls>
        <c:marker val="1"/>
        <c:smooth val="0"/>
        <c:axId val="233457232"/>
        <c:axId val="153367936"/>
      </c:lineChart>
      <c:lineChart>
        <c:grouping val="standard"/>
        <c:varyColors val="0"/>
        <c:ser>
          <c:idx val="7"/>
          <c:order val="7"/>
          <c:tx>
            <c:strRef>
              <c:f>'2023 LCOEs'!$B$34</c:f>
              <c:strCache>
                <c:ptCount val="1"/>
                <c:pt idx="0">
                  <c:v>FLH [h/y]</c:v>
                </c:pt>
              </c:strCache>
            </c:strRef>
          </c:tx>
          <c:spPr>
            <a:ln w="28575" cap="rnd">
              <a:noFill/>
              <a:round/>
            </a:ln>
            <a:effectLst/>
          </c:spPr>
          <c:marker>
            <c:symbol val="circle"/>
            <c:size val="5"/>
            <c:spPr>
              <a:solidFill>
                <a:srgbClr val="FF0000"/>
              </a:solidFill>
              <a:ln w="9525">
                <a:solidFill>
                  <a:schemeClr val="bg1"/>
                </a:solidFill>
              </a:ln>
              <a:effectLst/>
            </c:spPr>
          </c:marker>
          <c:cat>
            <c:multiLvlStrRef>
              <c:extLst>
                <c:ext xmlns:c15="http://schemas.microsoft.com/office/drawing/2012/chart" uri="{02D57815-91ED-43cb-92C2-25804820EDAC}">
                  <c15:fullRef>
                    <c15:sqref>'2023 LCOEs'!$C$15:$Z$17</c15:sqref>
                  </c15:fullRef>
                </c:ext>
              </c:extLst>
              <c:f>'2023 LCOEs'!$C$15:$Z$17</c:f>
              <c:multiLvlStrCache>
                <c:ptCount val="14"/>
                <c:lvl>
                  <c:pt idx="0">
                    <c:v>2023</c:v>
                  </c:pt>
                  <c:pt idx="1">
                    <c:v>2023</c:v>
                  </c:pt>
                  <c:pt idx="2">
                    <c:v>2023</c:v>
                  </c:pt>
                  <c:pt idx="3">
                    <c:v>2023</c:v>
                  </c:pt>
                  <c:pt idx="4">
                    <c:v>2023</c:v>
                  </c:pt>
                  <c:pt idx="5">
                    <c:v>2023</c:v>
                  </c:pt>
                  <c:pt idx="6">
                    <c:v>2023</c:v>
                  </c:pt>
                  <c:pt idx="7">
                    <c:v>2023</c:v>
                  </c:pt>
                  <c:pt idx="8">
                    <c:v>2023</c:v>
                  </c:pt>
                  <c:pt idx="9">
                    <c:v>2023</c:v>
                  </c:pt>
                  <c:pt idx="10">
                    <c:v>2023</c:v>
                  </c:pt>
                  <c:pt idx="11">
                    <c:v>2023</c:v>
                  </c:pt>
                  <c:pt idx="12">
                    <c:v>2023</c:v>
                  </c:pt>
                  <c:pt idx="13">
                    <c:v>2023</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'2023 LCOEs'!$C$34:$Z$34</c15:sqref>
                  </c15:fullRef>
                </c:ext>
              </c:extLst>
              <c:f>'2023 LCOEs'!$C$34:$P$34</c:f>
              <c:numCache>
                <c:formatCode>_ * #,##0_ ;_ * \-#,##0_ ;_ * "-"??_ ;_ @_ </c:formatCode>
                <c:ptCount val="14"/>
                <c:pt idx="0">
                  <c:v>7000</c:v>
                </c:pt>
                <c:pt idx="1">
                  <c:v>7000</c:v>
                </c:pt>
                <c:pt idx="2">
                  <c:v>5000</c:v>
                </c:pt>
                <c:pt idx="3">
                  <c:v>5000</c:v>
                </c:pt>
                <c:pt idx="4">
                  <c:v>7000</c:v>
                </c:pt>
                <c:pt idx="5">
                  <c:v>0</c:v>
                </c:pt>
                <c:pt idx="6">
                  <c:v>5000</c:v>
                </c:pt>
                <c:pt idx="7">
                  <c:v>7008</c:v>
                </c:pt>
                <c:pt idx="8">
                  <c:v>4467.6000000000004</c:v>
                </c:pt>
                <c:pt idx="9">
                  <c:v>1790.9999999999998</c:v>
                </c:pt>
                <c:pt idx="10">
                  <c:v>1840.7499999999998</c:v>
                </c:pt>
                <c:pt idx="11">
                  <c:v>2384.1215999999999</c:v>
                </c:pt>
                <c:pt idx="12">
                  <c:v>3066</c:v>
                </c:pt>
                <c:pt idx="13">
                  <c:v>2945.4623999999999</c:v>
                </c:pt>
              </c:numCache>
            </c:numRef>
          </c:val>
          <c:smooth val="0"/>
          <c:extLst>
            <c:ext xmlns:c16="http://schemas.microsoft.com/office/drawing/2014/chart" uri="{C3380CC4-5D6E-409C-BE32-E72D297353CC}">
              <c16:uniqueId val="{00000019-F980-4D4E-A215-2085F78F9239}"/>
            </c:ext>
          </c:extLst>
        </c:ser>
        <c:dLbls>
          <c:showLegendKey val="0"/>
          <c:showVal val="0"/>
          <c:showCatName val="0"/>
          <c:showSerName val="0"/>
          <c:showPercent val="0"/>
          <c:showBubbleSize val="0"/>
        </c:dLbls>
        <c:marker val="1"/>
        <c:smooth val="0"/>
        <c:axId val="1306268576"/>
        <c:axId val="1661394592"/>
      </c:lineChart>
      <c:catAx>
        <c:axId val="233457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53367936"/>
        <c:crosses val="autoZero"/>
        <c:auto val="1"/>
        <c:lblAlgn val="ctr"/>
        <c:lblOffset val="100"/>
        <c:noMultiLvlLbl val="0"/>
      </c:catAx>
      <c:valAx>
        <c:axId val="153367936"/>
        <c:scaling>
          <c:orientation val="minMax"/>
          <c:max val="3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USD22/MWh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233457232"/>
        <c:crosses val="autoZero"/>
        <c:crossBetween val="between"/>
        <c:majorUnit val="50"/>
      </c:valAx>
      <c:valAx>
        <c:axId val="1661394592"/>
        <c:scaling>
          <c:orientation val="minMax"/>
          <c:max val="80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FLHs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306268576"/>
        <c:crosses val="max"/>
        <c:crossBetween val="between"/>
      </c:valAx>
      <c:catAx>
        <c:axId val="1306268576"/>
        <c:scaling>
          <c:orientation val="minMax"/>
        </c:scaling>
        <c:delete val="1"/>
        <c:axPos val="b"/>
        <c:numFmt formatCode="General" sourceLinked="1"/>
        <c:majorTickMark val="out"/>
        <c:minorTickMark val="none"/>
        <c:tickLblPos val="nextTo"/>
        <c:crossAx val="1661394592"/>
        <c:crosses val="autoZero"/>
        <c:auto val="1"/>
        <c:lblAlgn val="ctr"/>
        <c:lblOffset val="100"/>
        <c:noMultiLvlLbl val="0"/>
      </c:catAx>
      <c:spPr>
        <a:solidFill>
          <a:schemeClr val="bg1"/>
        </a:solidFill>
        <a:ln>
          <a:noFill/>
        </a:ln>
        <a:effectLst/>
      </c:spPr>
    </c:plotArea>
    <c:legend>
      <c:legendPos val="r"/>
      <c:layout>
        <c:manualLayout>
          <c:xMode val="edge"/>
          <c:yMode val="edge"/>
          <c:x val="0.8937948083131132"/>
          <c:y val="6.4603049498399359E-2"/>
          <c:w val="0.10191276667332277"/>
          <c:h val="0.30329449271470665"/>
        </c:manualLayout>
      </c:layout>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Corbel" panose="020B05030202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latin typeface="Corbel" panose="020B0503020204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'2030 LCOEs'!$B$102</c:f>
          <c:strCache>
            <c:ptCount val="1"/>
            <c:pt idx="0">
              <c:v>LCOEs of Newly Invested Units: 2030</c:v>
            </c:pt>
          </c:strCache>
        </c:strRef>
      </c:tx>
      <c:layout>
        <c:manualLayout>
          <c:xMode val="edge"/>
          <c:yMode val="edge"/>
          <c:x val="7.6580360307287459E-3"/>
          <c:y val="2.39706553452410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Corbel" panose="020B0503020204020204" pitchFamily="34" charset="0"/>
              <a:ea typeface="+mn-ea"/>
              <a:cs typeface="+mn-cs"/>
            </a:defRPr>
          </a:pPr>
          <a:endParaRPr lang="en-US"/>
        </a:p>
      </c:txPr>
    </c:title>
    <c:autoTitleDeleted val="0"/>
    <c:plotArea>
      <c:layout>
        <c:manualLayout>
          <c:layoutTarget val="inner"/>
          <c:xMode val="edge"/>
          <c:yMode val="edge"/>
          <c:x val="4.5688331139345818E-2"/>
          <c:y val="9.26570725204581E-2"/>
          <c:w val="0.79008646270481797"/>
          <c:h val="0.71703022079593892"/>
        </c:manualLayout>
      </c:layout>
      <c:barChart>
        <c:barDir val="col"/>
        <c:grouping val="stacked"/>
        <c:varyColors val="0"/>
        <c:ser>
          <c:idx val="0"/>
          <c:order val="0"/>
          <c:tx>
            <c:strRef>
              <c:f>'2030 LCOEs'!$B$84</c:f>
              <c:strCache>
                <c:ptCount val="1"/>
                <c:pt idx="0">
                  <c:v>Investment</c:v>
                </c:pt>
              </c:strCache>
            </c:strRef>
          </c:tx>
          <c:spPr>
            <a:solidFill>
              <a:schemeClr val="tx2">
                <a:lumMod val="75000"/>
              </a:schemeClr>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LCOEs'!$C$84:$Z$84</c15:sqref>
                  </c15:fullRef>
                </c:ext>
              </c:extLst>
              <c:f>'2030 LCOEs'!$C$84:$P$84</c:f>
              <c:numCache>
                <c:formatCode>_ * #,##0_ ;_ * \-#,##0_ ;_ * "-"??_ ;_ @_ </c:formatCode>
                <c:ptCount val="14"/>
                <c:pt idx="0">
                  <c:v>23.488976398797512</c:v>
                </c:pt>
                <c:pt idx="1">
                  <c:v>38.03698758773016</c:v>
                </c:pt>
                <c:pt idx="2">
                  <c:v>22.606488413392277</c:v>
                </c:pt>
                <c:pt idx="3">
                  <c:v>20.094656367459802</c:v>
                </c:pt>
                <c:pt idx="4">
                  <c:v>113.22901755449746</c:v>
                </c:pt>
                <c:pt idx="5">
                  <c:v>140.24148262542104</c:v>
                </c:pt>
                <c:pt idx="6">
                  <c:v>45.715343235971048</c:v>
                </c:pt>
                <c:pt idx="7">
                  <c:v>66.602267738525853</c:v>
                </c:pt>
                <c:pt idx="8">
                  <c:v>47.679867397574832</c:v>
                </c:pt>
                <c:pt idx="9">
                  <c:v>38.726201182001894</c:v>
                </c:pt>
                <c:pt idx="10">
                  <c:v>41.477799687038875</c:v>
                </c:pt>
                <c:pt idx="11">
                  <c:v>46.480401409977553</c:v>
                </c:pt>
                <c:pt idx="12">
                  <c:v>116.74215676821706</c:v>
                </c:pt>
                <c:pt idx="13">
                  <c:v>138.76491171391942</c:v>
                </c:pt>
              </c:numCache>
            </c:numRef>
          </c:val>
          <c:extLst>
            <c:ext xmlns:c16="http://schemas.microsoft.com/office/drawing/2014/chart" uri="{C3380CC4-5D6E-409C-BE32-E72D297353CC}">
              <c16:uniqueId val="{00000000-0B3B-4656-A632-0FD790C33DA4}"/>
            </c:ext>
          </c:extLst>
        </c:ser>
        <c:ser>
          <c:idx val="1"/>
          <c:order val="1"/>
          <c:tx>
            <c:strRef>
              <c:f>'2030 LCOEs'!$B$85</c:f>
              <c:strCache>
                <c:ptCount val="1"/>
                <c:pt idx="0">
                  <c:v>Fixed O&amp;M</c:v>
                </c:pt>
              </c:strCache>
            </c:strRef>
          </c:tx>
          <c:spPr>
            <a:solidFill>
              <a:srgbClr val="FFC000"/>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LCOEs'!$C$85:$Z$85</c15:sqref>
                  </c15:fullRef>
                </c:ext>
              </c:extLst>
              <c:f>'2030 LCOEs'!$C$85:$P$85</c:f>
              <c:numCache>
                <c:formatCode>_ * #,##0_ ;_ * \-#,##0_ ;_ * "-"??_ ;_ @_ </c:formatCode>
                <c:ptCount val="14"/>
                <c:pt idx="0">
                  <c:v>6.5142857142857142</c:v>
                </c:pt>
                <c:pt idx="1">
                  <c:v>9.4714285714285715</c:v>
                </c:pt>
                <c:pt idx="2">
                  <c:v>5.2</c:v>
                </c:pt>
                <c:pt idx="3">
                  <c:v>1.8240000000000001</c:v>
                </c:pt>
                <c:pt idx="4">
                  <c:v>17.142857142857142</c:v>
                </c:pt>
                <c:pt idx="5">
                  <c:v>15.714285714285714</c:v>
                </c:pt>
                <c:pt idx="6">
                  <c:v>9.94</c:v>
                </c:pt>
                <c:pt idx="7">
                  <c:v>15.696347031963469</c:v>
                </c:pt>
                <c:pt idx="8">
                  <c:v>9.1771868564777499</c:v>
                </c:pt>
                <c:pt idx="9">
                  <c:v>3.6941464077142472</c:v>
                </c:pt>
                <c:pt idx="10">
                  <c:v>3.9672044432689764</c:v>
                </c:pt>
                <c:pt idx="11">
                  <c:v>13.14500305449425</c:v>
                </c:pt>
                <c:pt idx="12">
                  <c:v>30.78830287737086</c:v>
                </c:pt>
                <c:pt idx="13">
                  <c:v>39.361708023540942</c:v>
                </c:pt>
              </c:numCache>
            </c:numRef>
          </c:val>
          <c:extLst>
            <c:ext xmlns:c16="http://schemas.microsoft.com/office/drawing/2014/chart" uri="{C3380CC4-5D6E-409C-BE32-E72D297353CC}">
              <c16:uniqueId val="{00000001-0B3B-4656-A632-0FD790C33DA4}"/>
            </c:ext>
          </c:extLst>
        </c:ser>
        <c:ser>
          <c:idx val="2"/>
          <c:order val="2"/>
          <c:tx>
            <c:strRef>
              <c:f>'2030 LCOEs'!$B$86</c:f>
              <c:strCache>
                <c:ptCount val="1"/>
                <c:pt idx="0">
                  <c:v>Variable O&amp;M</c:v>
                </c:pt>
              </c:strCache>
            </c:strRef>
          </c:tx>
          <c:spPr>
            <a:solidFill>
              <a:srgbClr val="00B050"/>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LCOEs'!$C$86:$Z$86</c15:sqref>
                  </c15:fullRef>
                </c:ext>
              </c:extLst>
              <c:f>'2030 LCOEs'!$C$86:$P$86</c:f>
              <c:numCache>
                <c:formatCode>_ * #,##0.0_ ;_ * \-#,##0.0_ ;_ * "-"??_ ;_ @_ </c:formatCode>
                <c:ptCount val="14"/>
                <c:pt idx="0">
                  <c:v>1.35</c:v>
                </c:pt>
                <c:pt idx="1">
                  <c:v>13.3</c:v>
                </c:pt>
                <c:pt idx="2">
                  <c:v>2.5</c:v>
                </c:pt>
                <c:pt idx="3">
                  <c:v>6.84</c:v>
                </c:pt>
                <c:pt idx="4">
                  <c:v>2.2999999999999998</c:v>
                </c:pt>
                <c:pt idx="5">
                  <c:v>2.2000000000000002</c:v>
                </c:pt>
                <c:pt idx="6">
                  <c:v>3.1280000000000001</c:v>
                </c:pt>
                <c:pt idx="7">
                  <c:v>0.27</c:v>
                </c:pt>
                <c:pt idx="8">
                  <c:v>0.71</c:v>
                </c:pt>
                <c:pt idx="9">
                  <c:v>0</c:v>
                </c:pt>
                <c:pt idx="10">
                  <c:v>0</c:v>
                </c:pt>
                <c:pt idx="11">
                  <c:v>0</c:v>
                </c:pt>
                <c:pt idx="12">
                  <c:v>4.8</c:v>
                </c:pt>
                <c:pt idx="13">
                  <c:v>0</c:v>
                </c:pt>
              </c:numCache>
            </c:numRef>
          </c:val>
          <c:extLst>
            <c:ext xmlns:c16="http://schemas.microsoft.com/office/drawing/2014/chart" uri="{C3380CC4-5D6E-409C-BE32-E72D297353CC}">
              <c16:uniqueId val="{00000002-0B3B-4656-A632-0FD790C33DA4}"/>
            </c:ext>
          </c:extLst>
        </c:ser>
        <c:ser>
          <c:idx val="3"/>
          <c:order val="3"/>
          <c:tx>
            <c:strRef>
              <c:f>'2030 LCOEs'!$B$87</c:f>
              <c:strCache>
                <c:ptCount val="1"/>
                <c:pt idx="0">
                  <c:v>Input fuel</c:v>
                </c:pt>
              </c:strCache>
            </c:strRef>
          </c:tx>
          <c:spPr>
            <a:solidFill>
              <a:schemeClr val="bg2">
                <a:lumMod val="50000"/>
              </a:schemeClr>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LCOEs'!$C$87:$Z$87</c15:sqref>
                  </c15:fullRef>
                </c:ext>
              </c:extLst>
              <c:f>'2030 LCOEs'!$C$87:$P$87</c:f>
              <c:numCache>
                <c:formatCode>_ * #,##0_ ;_ * \-#,##0_ ;_ * "-"??_ ;_ @_ </c:formatCode>
                <c:ptCount val="14"/>
                <c:pt idx="0">
                  <c:v>35.221052631578949</c:v>
                </c:pt>
                <c:pt idx="1">
                  <c:v>32.643902439024394</c:v>
                </c:pt>
                <c:pt idx="2">
                  <c:v>66.450508474576267</c:v>
                </c:pt>
                <c:pt idx="3">
                  <c:v>122.79826429484649</c:v>
                </c:pt>
                <c:pt idx="4">
                  <c:v>10.833342000000009</c:v>
                </c:pt>
                <c:pt idx="5">
                  <c:v>14.444456000000011</c:v>
                </c:pt>
                <c:pt idx="6">
                  <c:v>54.193548387096776</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0B3B-4656-A632-0FD790C33DA4}"/>
            </c:ext>
          </c:extLst>
        </c:ser>
        <c:ser>
          <c:idx val="4"/>
          <c:order val="4"/>
          <c:tx>
            <c:strRef>
              <c:f>'2030 LCOEs'!$B$88</c:f>
              <c:strCache>
                <c:ptCount val="1"/>
                <c:pt idx="0">
                  <c:v>Additional start-ups</c:v>
                </c:pt>
              </c:strCache>
              <c:extLst xmlns:c15="http://schemas.microsoft.com/office/drawing/2012/chart"/>
            </c:strRef>
          </c:tx>
          <c:spPr>
            <a:solidFill>
              <a:srgbClr val="7030A0"/>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LCOEs'!$C$88:$Z$88</c15:sqref>
                  </c15:fullRef>
                </c:ext>
              </c:extLst>
              <c:f>'2030 LCOEs'!$C$88:$P$88</c:f>
              <c:numCache>
                <c:formatCode>_ * #,##0_ ;_ * \-#,##0_ ;_ * "-"??_ ;_ @_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15-0B3B-4656-A632-0FD790C33DA4}"/>
            </c:ext>
          </c:extLst>
        </c:ser>
        <c:ser>
          <c:idx val="5"/>
          <c:order val="5"/>
          <c:tx>
            <c:strRef>
              <c:f>'2030 LCOEs'!$B$89</c:f>
              <c:strCache>
                <c:ptCount val="1"/>
                <c:pt idx="0">
                  <c:v>Other</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LCOEs'!$C$89:$Z$89</c15:sqref>
                  </c15:fullRef>
                </c:ext>
              </c:extLst>
              <c:f>'2030 LCOEs'!$C$89:$P$89</c:f>
              <c:numCache>
                <c:formatCode>_ * #,##0_ ;_ * \-#,##0_ ;_ * "-"??_ ;_ @_ </c:formatCode>
                <c:ptCount val="14"/>
                <c:pt idx="0">
                  <c:v>0</c:v>
                </c:pt>
                <c:pt idx="1">
                  <c:v>0</c:v>
                </c:pt>
                <c:pt idx="2">
                  <c:v>0</c:v>
                </c:pt>
                <c:pt idx="3">
                  <c:v>0</c:v>
                </c:pt>
                <c:pt idx="4">
                  <c:v>0</c:v>
                </c:pt>
                <c:pt idx="5">
                  <c:v>0</c:v>
                </c:pt>
                <c:pt idx="6">
                  <c:v>0</c:v>
                </c:pt>
                <c:pt idx="7">
                  <c:v>4.5410637094449449</c:v>
                </c:pt>
                <c:pt idx="8">
                  <c:v>0</c:v>
                </c:pt>
                <c:pt idx="9">
                  <c:v>0</c:v>
                </c:pt>
                <c:pt idx="10">
                  <c:v>0</c:v>
                </c:pt>
                <c:pt idx="11">
                  <c:v>0</c:v>
                </c:pt>
                <c:pt idx="12">
                  <c:v>0</c:v>
                </c:pt>
                <c:pt idx="13">
                  <c:v>0</c:v>
                </c:pt>
              </c:numCache>
            </c:numRef>
          </c:val>
          <c:extLst>
            <c:ext xmlns:c16="http://schemas.microsoft.com/office/drawing/2014/chart" uri="{C3380CC4-5D6E-409C-BE32-E72D297353CC}">
              <c16:uniqueId val="{00000004-0B3B-4656-A632-0FD790C33DA4}"/>
            </c:ext>
          </c:extLst>
        </c:ser>
        <c:ser>
          <c:idx val="6"/>
          <c:order val="6"/>
          <c:tx>
            <c:strRef>
              <c:f>'2030 LCOEs'!$B$90</c:f>
              <c:strCache>
                <c:ptCount val="1"/>
                <c:pt idx="0">
                  <c:v>CO2 emissions</c:v>
                </c:pt>
              </c:strCache>
              <c:extLst xmlns:c15="http://schemas.microsoft.com/office/drawing/2012/chart"/>
            </c:strRef>
          </c:tx>
          <c:spPr>
            <a:solidFill>
              <a:srgbClr val="C00000"/>
            </a:solidFill>
            <a:ln>
              <a:noFill/>
            </a:ln>
            <a:effectLst/>
          </c:spPr>
          <c:invertIfNegative val="0"/>
          <c:cat>
            <c:multiLvlStrRef>
              <c:extLst>
                <c:ext xmlns:c15="http://schemas.microsoft.com/office/drawing/2012/chart" uri="{02D57815-91ED-43cb-92C2-25804820EDAC}">
                  <c15:fullRef>
                    <c15:sqref>'2030 LCOEs'!$C$11:$Z$14</c15:sqref>
                  </c15:fullRef>
                </c:ext>
              </c:extLst>
              <c:f>'2030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2030</c:v>
                  </c:pt>
                </c:lvl>
              </c:multiLvlStrCache>
            </c:multiLvlStrRef>
          </c:cat>
          <c:val>
            <c:numRef>
              <c:extLst>
                <c:ext xmlns:c15="http://schemas.microsoft.com/office/drawing/2012/chart" uri="{02D57815-91ED-43cb-92C2-25804820EDAC}">
                  <c15:fullRef>
                    <c15:sqref>'2030 LCOEs'!$C$90:$Z$90</c15:sqref>
                  </c15:fullRef>
                </c:ext>
              </c:extLst>
              <c:f>'2030 LCOEs'!$C$90:$P$90</c:f>
              <c:numCache>
                <c:formatCode>_ * #,##0_ ;_ * \-#,##0_ ;_ * "-"??_ ;_ @_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16-0B3B-4656-A632-0FD790C33DA4}"/>
            </c:ext>
          </c:extLst>
        </c:ser>
        <c:dLbls>
          <c:showLegendKey val="0"/>
          <c:showVal val="0"/>
          <c:showCatName val="0"/>
          <c:showSerName val="0"/>
          <c:showPercent val="0"/>
          <c:showBubbleSize val="0"/>
        </c:dLbls>
        <c:gapWidth val="150"/>
        <c:overlap val="100"/>
        <c:axId val="233457232"/>
        <c:axId val="153367936"/>
        <c:extLst/>
      </c:barChart>
      <c:lineChart>
        <c:grouping val="standard"/>
        <c:varyColors val="0"/>
        <c:ser>
          <c:idx val="8"/>
          <c:order val="8"/>
          <c:tx>
            <c:strRef>
              <c:f>'2030 LCOEs'!$B$92</c:f>
              <c:strCache>
                <c:ptCount val="1"/>
                <c:pt idx="0">
                  <c:v>Total LCOE</c:v>
                </c:pt>
              </c:strCache>
            </c:strRef>
          </c:tx>
          <c:spPr>
            <a:ln w="25400" cap="rnd">
              <a:noFill/>
              <a:round/>
            </a:ln>
            <a:effectLst/>
          </c:spPr>
          <c:marker>
            <c:symbol val="dash"/>
            <c:size val="5"/>
            <c:spPr>
              <a:solidFill>
                <a:schemeClr val="tx1"/>
              </a:solidFill>
              <a:ln w="25400">
                <a:solidFill>
                  <a:schemeClr val="tx1"/>
                </a:solidFill>
              </a:ln>
              <a:effectLst/>
            </c:spPr>
          </c:marker>
          <c:dLbls>
            <c:dLbl>
              <c:idx val="0"/>
              <c:layout>
                <c:manualLayout>
                  <c:x val="-2.3233336963847828E-2"/>
                  <c:y val="-3.5788851598052847E-2"/>
                </c:manualLayout>
              </c:layout>
              <c:tx>
                <c:rich>
                  <a:bodyPr/>
                  <a:lstStyle/>
                  <a:p>
                    <a:fld id="{DDD1976A-2DFD-4FC8-BE17-EFD440BF0E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B3B-4656-A632-0FD790C33DA4}"/>
                </c:ext>
              </c:extLst>
            </c:dLbl>
            <c:dLbl>
              <c:idx val="1"/>
              <c:layout>
                <c:manualLayout>
                  <c:x val="-2.4146585696548126E-2"/>
                  <c:y val="-3.3311385813621482E-2"/>
                </c:manualLayout>
              </c:layout>
              <c:tx>
                <c:rich>
                  <a:bodyPr/>
                  <a:lstStyle/>
                  <a:p>
                    <a:fld id="{A0CE9DB8-C1AC-4166-9D64-6E461A22C3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B3B-4656-A632-0FD790C33DA4}"/>
                </c:ext>
              </c:extLst>
            </c:dLbl>
            <c:dLbl>
              <c:idx val="2"/>
              <c:layout>
                <c:manualLayout>
                  <c:x val="-2.3644341997839002E-2"/>
                  <c:y val="-3.5256256296568728E-2"/>
                </c:manualLayout>
              </c:layout>
              <c:tx>
                <c:rich>
                  <a:bodyPr/>
                  <a:lstStyle/>
                  <a:p>
                    <a:fld id="{CDC84BD1-1F73-44D0-BDFF-926A1E4AA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B3B-4656-A632-0FD790C33DA4}"/>
                </c:ext>
              </c:extLst>
            </c:dLbl>
            <c:dLbl>
              <c:idx val="3"/>
              <c:layout>
                <c:manualLayout>
                  <c:x val="-2.076713070355625E-2"/>
                  <c:y val="-3.57804413473157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A42BEFEC-0BD9-4544-AAF0-9E2C27B166EA}"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85"/>
                        <a:gd name="adj2" fmla="val 107657"/>
                      </a:avLst>
                    </a:prstGeom>
                    <a:noFill/>
                    <a:ln>
                      <a:noFill/>
                    </a:ln>
                  </c15:spPr>
                  <c15:dlblFieldTable/>
                  <c15:showDataLabelsRange val="1"/>
                </c:ext>
                <c:ext xmlns:c16="http://schemas.microsoft.com/office/drawing/2014/chart" uri="{C3380CC4-5D6E-409C-BE32-E72D297353CC}">
                  <c16:uniqueId val="{00000008-0B3B-4656-A632-0FD790C33DA4}"/>
                </c:ext>
              </c:extLst>
            </c:dLbl>
            <c:dLbl>
              <c:idx val="4"/>
              <c:layout>
                <c:manualLayout>
                  <c:x val="-2.2431634987431434E-2"/>
                  <c:y val="-2.8664398810208297E-2"/>
                </c:manualLayout>
              </c:layout>
              <c:tx>
                <c:rich>
                  <a:bodyPr/>
                  <a:lstStyle/>
                  <a:p>
                    <a:fld id="{F6F31E2E-D630-444E-BC95-E9F9B7C838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B3B-4656-A632-0FD790C33DA4}"/>
                </c:ext>
              </c:extLst>
            </c:dLbl>
            <c:dLbl>
              <c:idx val="5"/>
              <c:layout>
                <c:manualLayout>
                  <c:x val="-2.3877841760723776E-2"/>
                  <c:y val="-3.1524207531994204E-2"/>
                </c:manualLayout>
              </c:layout>
              <c:tx>
                <c:rich>
                  <a:bodyPr/>
                  <a:lstStyle/>
                  <a:p>
                    <a:fld id="{29953111-1DA4-41E7-ACA7-4CE8DDEDC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B3B-4656-A632-0FD790C33DA4}"/>
                </c:ext>
              </c:extLst>
            </c:dLbl>
            <c:dLbl>
              <c:idx val="6"/>
              <c:layout>
                <c:manualLayout>
                  <c:x val="-2.4735715676203869E-2"/>
                  <c:y val="-3.1005521491344477E-2"/>
                </c:manualLayout>
              </c:layout>
              <c:tx>
                <c:rich>
                  <a:bodyPr/>
                  <a:lstStyle/>
                  <a:p>
                    <a:fld id="{8644444E-308B-45D6-ABF9-E0E64A8002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B3B-4656-A632-0FD790C33DA4}"/>
                </c:ext>
              </c:extLst>
            </c:dLbl>
            <c:dLbl>
              <c:idx val="7"/>
              <c:layout>
                <c:manualLayout>
                  <c:x val="-2.2484472778203691E-2"/>
                  <c:y val="-2.9070516879454174E-2"/>
                </c:manualLayout>
              </c:layout>
              <c:tx>
                <c:rich>
                  <a:bodyPr/>
                  <a:lstStyle/>
                  <a:p>
                    <a:fld id="{A5AF956A-3FD5-4147-8E11-C68C036A572B}"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C-0B3B-4656-A632-0FD790C33DA4}"/>
                </c:ext>
              </c:extLst>
            </c:dLbl>
            <c:dLbl>
              <c:idx val="8"/>
              <c:layout>
                <c:manualLayout>
                  <c:x val="-2.0885787983695669E-2"/>
                  <c:y val="-2.1480912531613244E-2"/>
                </c:manualLayout>
              </c:layout>
              <c:tx>
                <c:rich>
                  <a:bodyPr/>
                  <a:lstStyle/>
                  <a:p>
                    <a:fld id="{34AAEE28-81B5-4F44-982D-B30C59C17C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0B3B-4656-A632-0FD790C33DA4}"/>
                </c:ext>
              </c:extLst>
            </c:dLbl>
            <c:dLbl>
              <c:idx val="9"/>
              <c:layout>
                <c:manualLayout>
                  <c:x val="-2.5789012789684557E-2"/>
                  <c:y val="-3.3329046233434551E-2"/>
                </c:manualLayout>
              </c:layout>
              <c:tx>
                <c:rich>
                  <a:bodyPr/>
                  <a:lstStyle/>
                  <a:p>
                    <a:fld id="{4C24B5D8-0879-4576-AD2C-86B79D85C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0B3B-4656-A632-0FD790C33DA4}"/>
                </c:ext>
              </c:extLst>
            </c:dLbl>
            <c:dLbl>
              <c:idx val="10"/>
              <c:layout>
                <c:manualLayout>
                  <c:x val="-2.9025131949059247E-2"/>
                  <c:y val="-2.9789903814452574E-2"/>
                </c:manualLayout>
              </c:layout>
              <c:tx>
                <c:rich>
                  <a:bodyPr/>
                  <a:lstStyle/>
                  <a:p>
                    <a:fld id="{A729458F-A7E0-4E8A-8DBB-71CCAD34F9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0B3B-4656-A632-0FD790C33DA4}"/>
                </c:ext>
              </c:extLst>
            </c:dLbl>
            <c:dLbl>
              <c:idx val="11"/>
              <c:layout>
                <c:manualLayout>
                  <c:x val="-2.0297910624079787E-2"/>
                  <c:y val="-3.3775081753297909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A0E4D7DB-924F-444F-B078-36B9778C881C}"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9102"/>
                        <a:gd name="adj2" fmla="val 93794"/>
                      </a:avLst>
                    </a:prstGeom>
                    <a:noFill/>
                    <a:ln>
                      <a:noFill/>
                    </a:ln>
                  </c15:spPr>
                  <c15:dlblFieldTable/>
                  <c15:showDataLabelsRange val="1"/>
                </c:ext>
                <c:ext xmlns:c16="http://schemas.microsoft.com/office/drawing/2014/chart" uri="{C3380CC4-5D6E-409C-BE32-E72D297353CC}">
                  <c16:uniqueId val="{00000010-0B3B-4656-A632-0FD790C33DA4}"/>
                </c:ext>
              </c:extLst>
            </c:dLbl>
            <c:dLbl>
              <c:idx val="12"/>
              <c:layout>
                <c:manualLayout>
                  <c:x val="-2.1368160573590658E-2"/>
                  <c:y val="-3.1619469795150554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BE0C2493-C98A-4367-8704-C3C803312644}"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5795"/>
                        <a:gd name="adj2" fmla="val 93268"/>
                      </a:avLst>
                    </a:prstGeom>
                    <a:noFill/>
                    <a:ln>
                      <a:noFill/>
                    </a:ln>
                  </c15:spPr>
                  <c15:dlblFieldTable/>
                  <c15:showDataLabelsRange val="1"/>
                </c:ext>
                <c:ext xmlns:c16="http://schemas.microsoft.com/office/drawing/2014/chart" uri="{C3380CC4-5D6E-409C-BE32-E72D297353CC}">
                  <c16:uniqueId val="{00000011-0B3B-4656-A632-0FD790C33DA4}"/>
                </c:ext>
              </c:extLst>
            </c:dLbl>
            <c:dLbl>
              <c:idx val="13"/>
              <c:layout>
                <c:manualLayout>
                  <c:x val="-2.3986079519622599E-2"/>
                  <c:y val="-4.6282741955231306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17D056FE-9B82-45DE-A7B0-0F7AFB9953BE}"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4235"/>
                        <a:gd name="adj2" fmla="val 159068"/>
                      </a:avLst>
                    </a:prstGeom>
                    <a:noFill/>
                    <a:ln>
                      <a:noFill/>
                    </a:ln>
                  </c15:spPr>
                  <c15:dlblFieldTable/>
                  <c15:showDataLabelsRange val="1"/>
                </c:ext>
                <c:ext xmlns:c16="http://schemas.microsoft.com/office/drawing/2014/chart" uri="{C3380CC4-5D6E-409C-BE32-E72D297353CC}">
                  <c16:uniqueId val="{00000012-0B3B-4656-A632-0FD790C33DA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multiLvlStrRef>
              <c:extLst>
                <c:ext xmlns:c15="http://schemas.microsoft.com/office/drawing/2012/chart" uri="{02D57815-91ED-43cb-92C2-25804820EDAC}">
                  <c15:fullRef>
                    <c15:sqref>'2030 LCOEs'!$C$15:$Z$17</c15:sqref>
                  </c15:fullRef>
                </c:ext>
              </c:extLst>
              <c:f>'2030 LCOEs'!$C$15:$Z$17</c:f>
              <c:multiLvlStrCache>
                <c:ptCount val="14"/>
                <c:lvl>
                  <c:pt idx="0">
                    <c:v>2030</c:v>
                  </c:pt>
                  <c:pt idx="1">
                    <c:v>2030</c:v>
                  </c:pt>
                  <c:pt idx="2">
                    <c:v>2030</c:v>
                  </c:pt>
                  <c:pt idx="3">
                    <c:v>2030</c:v>
                  </c:pt>
                  <c:pt idx="4">
                    <c:v>2030</c:v>
                  </c:pt>
                  <c:pt idx="5">
                    <c:v>2030</c:v>
                  </c:pt>
                  <c:pt idx="6">
                    <c:v>2030</c:v>
                  </c:pt>
                  <c:pt idx="7">
                    <c:v>2030</c:v>
                  </c:pt>
                  <c:pt idx="8">
                    <c:v>2030</c:v>
                  </c:pt>
                  <c:pt idx="9">
                    <c:v>2030</c:v>
                  </c:pt>
                  <c:pt idx="10">
                    <c:v>2030</c:v>
                  </c:pt>
                  <c:pt idx="11">
                    <c:v>2030</c:v>
                  </c:pt>
                  <c:pt idx="12">
                    <c:v>2030</c:v>
                  </c:pt>
                  <c:pt idx="13">
                    <c:v>2030</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'2030 LCOEs'!$C$92:$Z$92</c15:sqref>
                  </c15:fullRef>
                </c:ext>
              </c:extLst>
              <c:f>'2030 LCOEs'!$C$92:$P$92</c:f>
              <c:numCache>
                <c:formatCode>_ * #,##0_ ;_ * \-#,##0_ ;_ * "-"??_ ;_ @_ </c:formatCode>
                <c:ptCount val="14"/>
                <c:pt idx="0">
                  <c:v>66.574314744662175</c:v>
                </c:pt>
                <c:pt idx="1">
                  <c:v>93.452318598183126</c:v>
                </c:pt>
                <c:pt idx="2">
                  <c:v>96.75699688796854</c:v>
                </c:pt>
                <c:pt idx="3">
                  <c:v>151.55692066230628</c:v>
                </c:pt>
                <c:pt idx="4">
                  <c:v>143.50521669735463</c:v>
                </c:pt>
                <c:pt idx="5">
                  <c:v>172.60022433970676</c:v>
                </c:pt>
                <c:pt idx="6">
                  <c:v>112.97689162306781</c:v>
                </c:pt>
                <c:pt idx="7">
                  <c:v>87.10967847993426</c:v>
                </c:pt>
                <c:pt idx="8">
                  <c:v>57.567054254052586</c:v>
                </c:pt>
                <c:pt idx="9">
                  <c:v>42.420347589716144</c:v>
                </c:pt>
                <c:pt idx="10">
                  <c:v>45.445004130307851</c:v>
                </c:pt>
                <c:pt idx="11">
                  <c:v>59.625404464471799</c:v>
                </c:pt>
                <c:pt idx="12">
                  <c:v>152.33045964558792</c:v>
                </c:pt>
                <c:pt idx="13">
                  <c:v>178.12661973746037</c:v>
                </c:pt>
              </c:numCache>
            </c:numRef>
          </c:val>
          <c:smooth val="0"/>
          <c:extLst>
            <c:ext xmlns:c15="http://schemas.microsoft.com/office/drawing/2012/chart" uri="{02D57815-91ED-43cb-92C2-25804820EDAC}">
              <c15:datalabelsRange>
                <c15:f>'2030 LCOEs'!$C$94:$Z$94</c15:f>
                <c15:dlblRangeCache>
                  <c:ptCount val="24"/>
                  <c:pt idx="0">
                    <c:v>67 $/MWh</c:v>
                  </c:pt>
                  <c:pt idx="1">
                    <c:v>93 $/MWh</c:v>
                  </c:pt>
                  <c:pt idx="2">
                    <c:v>97 $/MWh</c:v>
                  </c:pt>
                  <c:pt idx="3">
                    <c:v>152 $/MWh</c:v>
                  </c:pt>
                  <c:pt idx="4">
                    <c:v>144 $/MWh</c:v>
                  </c:pt>
                  <c:pt idx="5">
                    <c:v>173 $/MWh</c:v>
                  </c:pt>
                  <c:pt idx="6">
                    <c:v>113 $/MWh</c:v>
                  </c:pt>
                  <c:pt idx="7">
                    <c:v>87 $/MWh</c:v>
                  </c:pt>
                  <c:pt idx="8">
                    <c:v>58 $/MWh</c:v>
                  </c:pt>
                  <c:pt idx="9">
                    <c:v>42 $/MWh</c:v>
                  </c:pt>
                  <c:pt idx="10">
                    <c:v>45 $/MWh</c:v>
                  </c:pt>
                  <c:pt idx="11">
                    <c:v>60 $/MWh</c:v>
                  </c:pt>
                  <c:pt idx="12">
                    <c:v>152 $/MWh</c:v>
                  </c:pt>
                  <c:pt idx="13">
                    <c:v>178 $/MWh</c:v>
                  </c:pt>
                </c15:dlblRangeCache>
              </c15:datalabelsRange>
            </c:ext>
            <c:ext xmlns:c15="http://schemas.microsoft.com/office/drawing/2012/chart" uri="{02D57815-91ED-43cb-92C2-25804820EDAC}">
              <c15:categoryFilterExceptions>
                <c15:categoryFilterException>
                  <c15:sqref>'2030 LCOEs'!$Q$92</c15:sqref>
                  <c15:dLbl>
                    <c:idx val="13"/>
                    <c:layout>
                      <c:manualLayout>
                        <c:x val="-3.3114984354432636E-2"/>
                        <c:y val="-9.192205921812438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5="http://schemas.microsoft.com/office/drawing/2012/chart"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uri="{CE6537A1-D6FC-4f65-9D91-7224C49458BB}">
                        <c15:spPr xmlns:c15="http://schemas.microsoft.com/office/drawing/2012/chart">
                          <a:prstGeom prst="wedgeRectCallout">
                            <a:avLst>
                              <a:gd name="adj1" fmla="val -17669"/>
                              <a:gd name="adj2" fmla="val 225857"/>
                            </a:avLst>
                          </a:prstGeom>
                          <a:noFill/>
                          <a:ln>
                            <a:noFill/>
                          </a:ln>
                        </c15:spPr>
                        <c15:dlblFieldTable/>
                        <c15:showDataLabelsRange val="1"/>
                      </c:ext>
                      <c:ext xmlns:c16="http://schemas.microsoft.com/office/drawing/2014/chart" uri="{C3380CC4-5D6E-409C-BE32-E72D297353CC}">
                        <c16:uniqueId val="{00000000-47E3-43D5-B46D-682D97AB59C1}"/>
                      </c:ext>
                    </c:extLst>
                  </c15:dLbl>
                </c15:categoryFilterException>
                <c15:categoryFilterException>
                  <c15:sqref>'2030 LCOEs'!$R$92</c15:sqref>
                  <c15:dLbl>
                    <c:idx val="13"/>
                    <c:layout>
                      <c:manualLayout>
                        <c:x val="-3.1567448330576404E-2"/>
                        <c:y val="-3.8410238900274007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5="http://schemas.microsoft.com/office/drawing/2012/chart"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uri="{CE6537A1-D6FC-4f65-9D91-7224C49458BB}">
                        <c15:spPr xmlns:c15="http://schemas.microsoft.com/office/drawing/2012/chart">
                          <a:prstGeom prst="wedgeRectCallout">
                            <a:avLst>
                              <a:gd name="adj1" fmla="val 12813"/>
                              <a:gd name="adj2" fmla="val 119876"/>
                            </a:avLst>
                          </a:prstGeom>
                          <a:noFill/>
                          <a:ln>
                            <a:noFill/>
                          </a:ln>
                        </c15:spPr>
                        <c15:dlblFieldTable/>
                        <c15:showDataLabelsRange val="1"/>
                      </c:ext>
                      <c:ext xmlns:c16="http://schemas.microsoft.com/office/drawing/2014/chart" uri="{C3380CC4-5D6E-409C-BE32-E72D297353CC}">
                        <c16:uniqueId val="{00000001-47E3-43D5-B46D-682D97AB59C1}"/>
                      </c:ext>
                    </c:extLst>
                  </c15:dLbl>
                </c15:categoryFilterException>
                <c15:categoryFilterException>
                  <c15:sqref>'2030 LCOEs'!$S$92</c15:sqref>
                  <c15:dLbl>
                    <c:idx val="13"/>
                    <c:layout>
                      <c:manualLayout>
                        <c:x val="-1.9369611975357234E-2"/>
                        <c:y val="-2.6737951196887298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47E3-43D5-B46D-682D97AB59C1}"/>
                      </c:ext>
                    </c:extLst>
                  </c15:dLbl>
                </c15:categoryFilterException>
                <c15:categoryFilterException>
                  <c15:sqref>'2030 LCOEs'!$T$92</c15:sqref>
                  <c15:dLbl>
                    <c:idx val="13"/>
                    <c:layout>
                      <c:manualLayout>
                        <c:x val="-2.322891903741868E-2"/>
                        <c:y val="-3.212968639012951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47E3-43D5-B46D-682D97AB59C1}"/>
                      </c:ext>
                    </c:extLst>
                  </c15:dLbl>
                </c15:categoryFilterException>
              </c15:categoryFilterExceptions>
            </c:ext>
            <c:ext xmlns:c16="http://schemas.microsoft.com/office/drawing/2014/chart" uri="{C3380CC4-5D6E-409C-BE32-E72D297353CC}">
              <c16:uniqueId val="{00000013-0B3B-4656-A632-0FD790C33DA4}"/>
            </c:ext>
          </c:extLst>
        </c:ser>
        <c:dLbls>
          <c:showLegendKey val="0"/>
          <c:showVal val="0"/>
          <c:showCatName val="0"/>
          <c:showSerName val="0"/>
          <c:showPercent val="0"/>
          <c:showBubbleSize val="0"/>
        </c:dLbls>
        <c:marker val="1"/>
        <c:smooth val="0"/>
        <c:axId val="233457232"/>
        <c:axId val="153367936"/>
      </c:lineChart>
      <c:lineChart>
        <c:grouping val="standard"/>
        <c:varyColors val="0"/>
        <c:ser>
          <c:idx val="7"/>
          <c:order val="7"/>
          <c:tx>
            <c:strRef>
              <c:f>'2030 LCOEs'!$B$34</c:f>
              <c:strCache>
                <c:ptCount val="1"/>
                <c:pt idx="0">
                  <c:v>FLH [h/y]</c:v>
                </c:pt>
              </c:strCache>
            </c:strRef>
          </c:tx>
          <c:spPr>
            <a:ln w="28575" cap="rnd">
              <a:noFill/>
              <a:round/>
            </a:ln>
            <a:effectLst/>
          </c:spPr>
          <c:marker>
            <c:symbol val="circle"/>
            <c:size val="5"/>
            <c:spPr>
              <a:solidFill>
                <a:srgbClr val="FF0000"/>
              </a:solidFill>
              <a:ln w="9525">
                <a:solidFill>
                  <a:schemeClr val="bg1"/>
                </a:solidFill>
              </a:ln>
              <a:effectLst/>
            </c:spPr>
          </c:marker>
          <c:cat>
            <c:multiLvlStrRef>
              <c:extLst>
                <c:ext xmlns:c15="http://schemas.microsoft.com/office/drawing/2012/chart" uri="{02D57815-91ED-43cb-92C2-25804820EDAC}">
                  <c15:fullRef>
                    <c15:sqref>'2030 LCOEs'!$C$15:$Z$17</c15:sqref>
                  </c15:fullRef>
                </c:ext>
              </c:extLst>
              <c:f>'2030 LCOEs'!$C$15:$Z$17</c:f>
              <c:multiLvlStrCache>
                <c:ptCount val="14"/>
                <c:lvl>
                  <c:pt idx="0">
                    <c:v>2030</c:v>
                  </c:pt>
                  <c:pt idx="1">
                    <c:v>2030</c:v>
                  </c:pt>
                  <c:pt idx="2">
                    <c:v>2030</c:v>
                  </c:pt>
                  <c:pt idx="3">
                    <c:v>2030</c:v>
                  </c:pt>
                  <c:pt idx="4">
                    <c:v>2030</c:v>
                  </c:pt>
                  <c:pt idx="5">
                    <c:v>2030</c:v>
                  </c:pt>
                  <c:pt idx="6">
                    <c:v>2030</c:v>
                  </c:pt>
                  <c:pt idx="7">
                    <c:v>2030</c:v>
                  </c:pt>
                  <c:pt idx="8">
                    <c:v>2030</c:v>
                  </c:pt>
                  <c:pt idx="9">
                    <c:v>2030</c:v>
                  </c:pt>
                  <c:pt idx="10">
                    <c:v>2030</c:v>
                  </c:pt>
                  <c:pt idx="11">
                    <c:v>2030</c:v>
                  </c:pt>
                  <c:pt idx="12">
                    <c:v>2030</c:v>
                  </c:pt>
                  <c:pt idx="13">
                    <c:v>2030</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'2030 LCOEs'!$C$34:$Z$34</c15:sqref>
                  </c15:fullRef>
                </c:ext>
              </c:extLst>
              <c:f>'2030 LCOEs'!$C$34:$P$34</c:f>
              <c:numCache>
                <c:formatCode>_ * #,##0_ ;_ * \-#,##0_ ;_ * "-"??_ ;_ @_ </c:formatCode>
                <c:ptCount val="14"/>
                <c:pt idx="0">
                  <c:v>7000</c:v>
                </c:pt>
                <c:pt idx="1">
                  <c:v>7000</c:v>
                </c:pt>
                <c:pt idx="2">
                  <c:v>5000</c:v>
                </c:pt>
                <c:pt idx="3">
                  <c:v>5000</c:v>
                </c:pt>
                <c:pt idx="4">
                  <c:v>7000</c:v>
                </c:pt>
                <c:pt idx="5">
                  <c:v>7000</c:v>
                </c:pt>
                <c:pt idx="6">
                  <c:v>5000</c:v>
                </c:pt>
                <c:pt idx="7">
                  <c:v>7008</c:v>
                </c:pt>
                <c:pt idx="8">
                  <c:v>4467.6000000000004</c:v>
                </c:pt>
                <c:pt idx="9">
                  <c:v>1840.7499999999998</c:v>
                </c:pt>
                <c:pt idx="10">
                  <c:v>1890.5</c:v>
                </c:pt>
                <c:pt idx="11">
                  <c:v>2738.6832738461535</c:v>
                </c:pt>
                <c:pt idx="12">
                  <c:v>3241.2</c:v>
                </c:pt>
                <c:pt idx="13">
                  <c:v>3175.6752000000001</c:v>
                </c:pt>
              </c:numCache>
            </c:numRef>
          </c:val>
          <c:smooth val="0"/>
          <c:extLst>
            <c:ext xmlns:c16="http://schemas.microsoft.com/office/drawing/2014/chart" uri="{C3380CC4-5D6E-409C-BE32-E72D297353CC}">
              <c16:uniqueId val="{00000014-0B3B-4656-A632-0FD790C33DA4}"/>
            </c:ext>
          </c:extLst>
        </c:ser>
        <c:dLbls>
          <c:showLegendKey val="0"/>
          <c:showVal val="0"/>
          <c:showCatName val="0"/>
          <c:showSerName val="0"/>
          <c:showPercent val="0"/>
          <c:showBubbleSize val="0"/>
        </c:dLbls>
        <c:marker val="1"/>
        <c:smooth val="0"/>
        <c:axId val="1306268576"/>
        <c:axId val="1661394592"/>
      </c:lineChart>
      <c:catAx>
        <c:axId val="233457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53367936"/>
        <c:crosses val="autoZero"/>
        <c:auto val="1"/>
        <c:lblAlgn val="ctr"/>
        <c:lblOffset val="100"/>
        <c:noMultiLvlLbl val="0"/>
      </c:catAx>
      <c:valAx>
        <c:axId val="153367936"/>
        <c:scaling>
          <c:orientation val="minMax"/>
          <c:max val="3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USD22/MWh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233457232"/>
        <c:crosses val="autoZero"/>
        <c:crossBetween val="between"/>
        <c:majorUnit val="50"/>
      </c:valAx>
      <c:valAx>
        <c:axId val="1661394592"/>
        <c:scaling>
          <c:orientation val="minMax"/>
          <c:max val="80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FLHs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306268576"/>
        <c:crosses val="max"/>
        <c:crossBetween val="between"/>
      </c:valAx>
      <c:catAx>
        <c:axId val="1306268576"/>
        <c:scaling>
          <c:orientation val="minMax"/>
        </c:scaling>
        <c:delete val="1"/>
        <c:axPos val="b"/>
        <c:numFmt formatCode="General" sourceLinked="1"/>
        <c:majorTickMark val="out"/>
        <c:minorTickMark val="none"/>
        <c:tickLblPos val="nextTo"/>
        <c:crossAx val="1661394592"/>
        <c:crosses val="autoZero"/>
        <c:auto val="1"/>
        <c:lblAlgn val="ctr"/>
        <c:lblOffset val="100"/>
        <c:noMultiLvlLbl val="0"/>
      </c:catAx>
      <c:spPr>
        <a:noFill/>
        <a:ln>
          <a:noFill/>
        </a:ln>
        <a:effectLst/>
      </c:spPr>
    </c:plotArea>
    <c:legend>
      <c:legendPos val="r"/>
      <c:layout>
        <c:manualLayout>
          <c:xMode val="edge"/>
          <c:yMode val="edge"/>
          <c:x val="0.89523309990298106"/>
          <c:y val="6.4603049498399359E-2"/>
          <c:w val="0.100474584461326"/>
          <c:h val="0.3121388409049709"/>
        </c:manualLayout>
      </c:layout>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Corbel" panose="020B05030202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Corbel" panose="020B0503020204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'2050 LCOEs'!$B$102</c:f>
          <c:strCache>
            <c:ptCount val="1"/>
            <c:pt idx="0">
              <c:v>LCOEs of Newly Invested Units: 2050</c:v>
            </c:pt>
          </c:strCache>
        </c:strRef>
      </c:tx>
      <c:layout>
        <c:manualLayout>
          <c:xMode val="edge"/>
          <c:yMode val="edge"/>
          <c:x val="7.6580292978731734E-3"/>
          <c:y val="1.310073132602287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Corbel" panose="020B0503020204020204" pitchFamily="34" charset="0"/>
              <a:ea typeface="+mn-ea"/>
              <a:cs typeface="+mn-cs"/>
            </a:defRPr>
          </a:pPr>
          <a:endParaRPr lang="en-US"/>
        </a:p>
      </c:txPr>
    </c:title>
    <c:autoTitleDeleted val="0"/>
    <c:plotArea>
      <c:layout>
        <c:manualLayout>
          <c:layoutTarget val="inner"/>
          <c:xMode val="edge"/>
          <c:yMode val="edge"/>
          <c:x val="4.174742389535812E-2"/>
          <c:y val="6.4593974759145426E-2"/>
          <c:w val="0.81888347398788708"/>
          <c:h val="0.72008989790868916"/>
        </c:manualLayout>
      </c:layout>
      <c:barChart>
        <c:barDir val="col"/>
        <c:grouping val="stacked"/>
        <c:varyColors val="0"/>
        <c:ser>
          <c:idx val="0"/>
          <c:order val="0"/>
          <c:tx>
            <c:strRef>
              <c:f>'2050 LCOEs'!$B$84</c:f>
              <c:strCache>
                <c:ptCount val="1"/>
                <c:pt idx="0">
                  <c:v>Investment</c:v>
                </c:pt>
              </c:strCache>
            </c:strRef>
          </c:tx>
          <c:spPr>
            <a:solidFill>
              <a:schemeClr val="tx2">
                <a:lumMod val="75000"/>
              </a:schemeClr>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LCOEs'!$C$84:$Z$84</c15:sqref>
                  </c15:fullRef>
                </c:ext>
              </c:extLst>
              <c:f>'2050 LCOEs'!$C$84:$P$84</c:f>
              <c:numCache>
                <c:formatCode>_ * #,##0_ ;_ * \-#,##0_ ;_ * "-"??_ ;_ @_ </c:formatCode>
                <c:ptCount val="14"/>
                <c:pt idx="0">
                  <c:v>22.731267482707267</c:v>
                </c:pt>
                <c:pt idx="1">
                  <c:v>35.157693706587239</c:v>
                </c:pt>
                <c:pt idx="2">
                  <c:v>20.940747161879163</c:v>
                </c:pt>
                <c:pt idx="3">
                  <c:v>19.592289958273309</c:v>
                </c:pt>
                <c:pt idx="4">
                  <c:v>97.462951819061118</c:v>
                </c:pt>
                <c:pt idx="5">
                  <c:v>105.18171007666795</c:v>
                </c:pt>
                <c:pt idx="6">
                  <c:v>40.189312734919604</c:v>
                </c:pt>
                <c:pt idx="7">
                  <c:v>59.942040964673275</c:v>
                </c:pt>
                <c:pt idx="8">
                  <c:v>44.203210399835008</c:v>
                </c:pt>
                <c:pt idx="9">
                  <c:v>26.326928567866059</c:v>
                </c:pt>
                <c:pt idx="10">
                  <c:v>25.010582139472756</c:v>
                </c:pt>
                <c:pt idx="11">
                  <c:v>32.708430621836058</c:v>
                </c:pt>
                <c:pt idx="12">
                  <c:v>84.766522576305618</c:v>
                </c:pt>
                <c:pt idx="13">
                  <c:v>95.20049705335316</c:v>
                </c:pt>
              </c:numCache>
            </c:numRef>
          </c:val>
          <c:extLst>
            <c:ext xmlns:c16="http://schemas.microsoft.com/office/drawing/2014/chart" uri="{C3380CC4-5D6E-409C-BE32-E72D297353CC}">
              <c16:uniqueId val="{00000000-E7CB-40CB-8AE8-07671AEDDC6E}"/>
            </c:ext>
          </c:extLst>
        </c:ser>
        <c:ser>
          <c:idx val="1"/>
          <c:order val="1"/>
          <c:tx>
            <c:strRef>
              <c:f>'2050 LCOEs'!$B$85</c:f>
              <c:strCache>
                <c:ptCount val="1"/>
                <c:pt idx="0">
                  <c:v>Fixed O&amp;M</c:v>
                </c:pt>
              </c:strCache>
            </c:strRef>
          </c:tx>
          <c:spPr>
            <a:solidFill>
              <a:srgbClr val="FFC000"/>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LCOEs'!$C$85:$Z$85</c15:sqref>
                  </c15:fullRef>
                </c:ext>
              </c:extLst>
              <c:f>'2050 LCOEs'!$C$85:$P$85</c:f>
              <c:numCache>
                <c:formatCode>_ * #,##0_ ;_ * \-#,##0_ ;_ * "-"??_ ;_ @_ </c:formatCode>
                <c:ptCount val="14"/>
                <c:pt idx="0">
                  <c:v>6.3</c:v>
                </c:pt>
                <c:pt idx="1">
                  <c:v>9.1857142857142851</c:v>
                </c:pt>
                <c:pt idx="2">
                  <c:v>5.04</c:v>
                </c:pt>
                <c:pt idx="3">
                  <c:v>1.7694000000000001</c:v>
                </c:pt>
                <c:pt idx="4">
                  <c:v>16.142857142857142</c:v>
                </c:pt>
                <c:pt idx="5">
                  <c:v>14.571428571428571</c:v>
                </c:pt>
                <c:pt idx="6">
                  <c:v>8.64</c:v>
                </c:pt>
                <c:pt idx="7">
                  <c:v>14.126712328767123</c:v>
                </c:pt>
                <c:pt idx="8">
                  <c:v>8.5056853791744995</c:v>
                </c:pt>
                <c:pt idx="9">
                  <c:v>3.2266596138587675</c:v>
                </c:pt>
                <c:pt idx="10">
                  <c:v>3.0653266331658293</c:v>
                </c:pt>
                <c:pt idx="11">
                  <c:v>9.7370392996253692</c:v>
                </c:pt>
                <c:pt idx="12">
                  <c:v>22.633346583522918</c:v>
                </c:pt>
                <c:pt idx="13">
                  <c:v>19.444683763629229</c:v>
                </c:pt>
              </c:numCache>
            </c:numRef>
          </c:val>
          <c:extLst>
            <c:ext xmlns:c16="http://schemas.microsoft.com/office/drawing/2014/chart" uri="{C3380CC4-5D6E-409C-BE32-E72D297353CC}">
              <c16:uniqueId val="{00000001-E7CB-40CB-8AE8-07671AEDDC6E}"/>
            </c:ext>
          </c:extLst>
        </c:ser>
        <c:ser>
          <c:idx val="2"/>
          <c:order val="2"/>
          <c:tx>
            <c:strRef>
              <c:f>'2050 LCOEs'!$B$86</c:f>
              <c:strCache>
                <c:ptCount val="1"/>
                <c:pt idx="0">
                  <c:v>Variable O&amp;M</c:v>
                </c:pt>
              </c:strCache>
            </c:strRef>
          </c:tx>
          <c:spPr>
            <a:solidFill>
              <a:srgbClr val="00B050"/>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LCOEs'!$C$86:$Z$86</c15:sqref>
                  </c15:fullRef>
                </c:ext>
              </c:extLst>
              <c:f>'2050 LCOEs'!$C$86:$P$86</c:f>
              <c:numCache>
                <c:formatCode>_ * #,##0.0_ ;_ * \-#,##0.0_ ;_ * "-"??_ ;_ @_ </c:formatCode>
                <c:ptCount val="14"/>
                <c:pt idx="0">
                  <c:v>1.3</c:v>
                </c:pt>
                <c:pt idx="1">
                  <c:v>12.9</c:v>
                </c:pt>
                <c:pt idx="2">
                  <c:v>2.4</c:v>
                </c:pt>
                <c:pt idx="3">
                  <c:v>6.6120000000000001</c:v>
                </c:pt>
                <c:pt idx="4">
                  <c:v>2.2000000000000002</c:v>
                </c:pt>
                <c:pt idx="5">
                  <c:v>2.1</c:v>
                </c:pt>
                <c:pt idx="6">
                  <c:v>2.72</c:v>
                </c:pt>
                <c:pt idx="7">
                  <c:v>0.24</c:v>
                </c:pt>
                <c:pt idx="8">
                  <c:v>0.66</c:v>
                </c:pt>
                <c:pt idx="9">
                  <c:v>0</c:v>
                </c:pt>
                <c:pt idx="10">
                  <c:v>0</c:v>
                </c:pt>
                <c:pt idx="11">
                  <c:v>0</c:v>
                </c:pt>
                <c:pt idx="12">
                  <c:v>3.9</c:v>
                </c:pt>
                <c:pt idx="13">
                  <c:v>0</c:v>
                </c:pt>
              </c:numCache>
            </c:numRef>
          </c:val>
          <c:extLst>
            <c:ext xmlns:c16="http://schemas.microsoft.com/office/drawing/2014/chart" uri="{C3380CC4-5D6E-409C-BE32-E72D297353CC}">
              <c16:uniqueId val="{00000002-E7CB-40CB-8AE8-07671AEDDC6E}"/>
            </c:ext>
          </c:extLst>
        </c:ser>
        <c:ser>
          <c:idx val="3"/>
          <c:order val="3"/>
          <c:tx>
            <c:strRef>
              <c:f>'2050 LCOEs'!$B$87</c:f>
              <c:strCache>
                <c:ptCount val="1"/>
                <c:pt idx="0">
                  <c:v>Input fuel</c:v>
                </c:pt>
              </c:strCache>
            </c:strRef>
          </c:tx>
          <c:spPr>
            <a:solidFill>
              <a:schemeClr val="bg2">
                <a:lumMod val="50000"/>
              </a:schemeClr>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LCOEs'!$C$87:$Z$87</c15:sqref>
                  </c15:fullRef>
                </c:ext>
              </c:extLst>
              <c:f>'2050 LCOEs'!$C$87:$P$87</c:f>
              <c:numCache>
                <c:formatCode>_ * #,##0_ ;_ * \-#,##0_ ;_ * "-"??_ ;_ @_ </c:formatCode>
                <c:ptCount val="14"/>
                <c:pt idx="0">
                  <c:v>34.317948717948724</c:v>
                </c:pt>
                <c:pt idx="1">
                  <c:v>31.125581395348842</c:v>
                </c:pt>
                <c:pt idx="2">
                  <c:v>65.343000000000004</c:v>
                </c:pt>
                <c:pt idx="3">
                  <c:v>116.34213625129892</c:v>
                </c:pt>
                <c:pt idx="4">
                  <c:v>9.7500078000000077</c:v>
                </c:pt>
                <c:pt idx="5">
                  <c:v>13.000010400000011</c:v>
                </c:pt>
                <c:pt idx="6">
                  <c:v>54.193548387096776</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7CB-40CB-8AE8-07671AEDDC6E}"/>
            </c:ext>
          </c:extLst>
        </c:ser>
        <c:ser>
          <c:idx val="4"/>
          <c:order val="4"/>
          <c:tx>
            <c:strRef>
              <c:f>'2050 LCOEs'!$B$88</c:f>
              <c:strCache>
                <c:ptCount val="1"/>
                <c:pt idx="0">
                  <c:v>Additional start-ups</c:v>
                </c:pt>
              </c:strCache>
              <c:extLst xmlns:c15="http://schemas.microsoft.com/office/drawing/2012/chart"/>
            </c:strRef>
          </c:tx>
          <c:spPr>
            <a:solidFill>
              <a:srgbClr val="7030A0"/>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LCOEs'!$C$88:$Z$88</c15:sqref>
                  </c15:fullRef>
                </c:ext>
              </c:extLst>
              <c:f>'2050 LCOEs'!$C$88:$P$88</c:f>
              <c:numCache>
                <c:formatCode>_ * #,##0_ ;_ * \-#,##0_ ;_ * "-"??_ ;_ @_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04-E7CB-40CB-8AE8-07671AEDDC6E}"/>
            </c:ext>
          </c:extLst>
        </c:ser>
        <c:ser>
          <c:idx val="5"/>
          <c:order val="5"/>
          <c:tx>
            <c:strRef>
              <c:f>'2050 LCOEs'!$B$89</c:f>
              <c:strCache>
                <c:ptCount val="1"/>
                <c:pt idx="0">
                  <c:v>Other</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LCOEs'!$C$89:$Z$89</c15:sqref>
                  </c15:fullRef>
                </c:ext>
              </c:extLst>
              <c:f>'2050 LCOEs'!$C$89:$P$89</c:f>
              <c:numCache>
                <c:formatCode>_ * #,##0_ ;_ * \-#,##0_ ;_ * "-"??_ ;_ @_ </c:formatCode>
                <c:ptCount val="14"/>
                <c:pt idx="0">
                  <c:v>0</c:v>
                </c:pt>
                <c:pt idx="1">
                  <c:v>0</c:v>
                </c:pt>
                <c:pt idx="2">
                  <c:v>0</c:v>
                </c:pt>
                <c:pt idx="3">
                  <c:v>0</c:v>
                </c:pt>
                <c:pt idx="4">
                  <c:v>0</c:v>
                </c:pt>
                <c:pt idx="5">
                  <c:v>0</c:v>
                </c:pt>
                <c:pt idx="6">
                  <c:v>0</c:v>
                </c:pt>
                <c:pt idx="7">
                  <c:v>4.5410637094449449</c:v>
                </c:pt>
                <c:pt idx="8">
                  <c:v>0</c:v>
                </c:pt>
                <c:pt idx="9">
                  <c:v>0</c:v>
                </c:pt>
                <c:pt idx="10">
                  <c:v>0</c:v>
                </c:pt>
                <c:pt idx="11">
                  <c:v>0</c:v>
                </c:pt>
                <c:pt idx="12">
                  <c:v>0</c:v>
                </c:pt>
                <c:pt idx="13">
                  <c:v>0</c:v>
                </c:pt>
              </c:numCache>
            </c:numRef>
          </c:val>
          <c:extLst>
            <c:ext xmlns:c16="http://schemas.microsoft.com/office/drawing/2014/chart" uri="{C3380CC4-5D6E-409C-BE32-E72D297353CC}">
              <c16:uniqueId val="{00000005-E7CB-40CB-8AE8-07671AEDDC6E}"/>
            </c:ext>
          </c:extLst>
        </c:ser>
        <c:ser>
          <c:idx val="6"/>
          <c:order val="6"/>
          <c:tx>
            <c:strRef>
              <c:f>'2050 LCOEs'!$B$90</c:f>
              <c:strCache>
                <c:ptCount val="1"/>
                <c:pt idx="0">
                  <c:v>CO2 emissions</c:v>
                </c:pt>
              </c:strCache>
              <c:extLst xmlns:c15="http://schemas.microsoft.com/office/drawing/2012/chart"/>
            </c:strRef>
          </c:tx>
          <c:spPr>
            <a:solidFill>
              <a:srgbClr val="C00000"/>
            </a:solidFill>
            <a:ln>
              <a:noFill/>
            </a:ln>
            <a:effectLst/>
          </c:spPr>
          <c:invertIfNegative val="0"/>
          <c:cat>
            <c:multiLvlStrRef>
              <c:extLst>
                <c:ext xmlns:c15="http://schemas.microsoft.com/office/drawing/2012/chart" uri="{02D57815-91ED-43cb-92C2-25804820EDAC}">
                  <c15:fullRef>
                    <c15:sqref>'2050 LCOEs'!$C$11:$Z$14</c15:sqref>
                  </c15:fullRef>
                </c:ext>
              </c:extLst>
              <c:f>'2050 LCOEs'!$C$11:$Z$14</c:f>
              <c:multiLvlStrCache>
                <c:ptCount val="14"/>
                <c:lvl>
                  <c:pt idx="0">
                    <c:v>Supercritical</c:v>
                  </c:pt>
                  <c:pt idx="1">
                    <c:v>IGCC</c:v>
                  </c:pt>
                  <c:pt idx="2">
                    <c:v>CCGT</c:v>
                  </c:pt>
                  <c:pt idx="3">
                    <c:v>Fuel oil</c:v>
                  </c:pt>
                  <c:pt idx="4">
                    <c:v>PWR</c:v>
                  </c:pt>
                  <c:pt idx="5">
                    <c:v>SMR</c:v>
                  </c:pt>
                  <c:pt idx="6">
                    <c:v>Small</c:v>
                  </c:pt>
                  <c:pt idx="7">
                    <c:v>Large</c:v>
                  </c:pt>
                  <c:pt idx="8">
                    <c:v>Large</c:v>
                  </c:pt>
                  <c:pt idx="9">
                    <c:v>Ground-mounted</c:v>
                  </c:pt>
                  <c:pt idx="10">
                    <c:v>Floating</c:v>
                  </c:pt>
                  <c:pt idx="11">
                    <c:v>Onshore</c:v>
                  </c:pt>
                  <c:pt idx="12">
                    <c:v>Offshore</c:v>
                  </c:pt>
                  <c:pt idx="13">
                    <c:v>Floating</c:v>
                  </c:pt>
                </c:lvl>
                <c:lvl>
                  <c:pt idx="0">
                    <c:v>Coal</c:v>
                  </c:pt>
                  <c:pt idx="2">
                    <c:v>Natural Gas</c:v>
                  </c:pt>
                  <c:pt idx="3">
                    <c:v>Diesel</c:v>
                  </c:pt>
                  <c:pt idx="4">
                    <c:v>Nuclear</c:v>
                  </c:pt>
                  <c:pt idx="6">
                    <c:v>Biomass</c:v>
                  </c:pt>
                  <c:pt idx="7">
                    <c:v>Geothermal</c:v>
                  </c:pt>
                  <c:pt idx="8">
                    <c:v>Hydro</c:v>
                  </c:pt>
                  <c:pt idx="9">
                    <c:v>Solar PV</c:v>
                  </c:pt>
                  <c:pt idx="11">
                    <c:v>Wind Turbines</c:v>
                  </c:pt>
                </c:lvl>
                <c:lvl>
                  <c:pt idx="0">
                    <c:v>Conventional</c:v>
                  </c:pt>
                  <c:pt idx="4">
                    <c:v>Baseload: Low carbon</c:v>
                  </c:pt>
                  <c:pt idx="6">
                    <c:v>Baseload: RE</c:v>
                  </c:pt>
                  <c:pt idx="9">
                    <c:v>VRE</c:v>
                  </c:pt>
                </c:lvl>
                <c:lvl>
                  <c:pt idx="0">
                    <c:v>2050</c:v>
                  </c:pt>
                </c:lvl>
              </c:multiLvlStrCache>
            </c:multiLvlStrRef>
          </c:cat>
          <c:val>
            <c:numRef>
              <c:extLst>
                <c:ext xmlns:c15="http://schemas.microsoft.com/office/drawing/2012/chart" uri="{02D57815-91ED-43cb-92C2-25804820EDAC}">
                  <c15:fullRef>
                    <c15:sqref>'2050 LCOEs'!$C$90:$Z$90</c15:sqref>
                  </c15:fullRef>
                </c:ext>
              </c:extLst>
              <c:f>'2050 LCOEs'!$C$90:$P$90</c:f>
              <c:numCache>
                <c:formatCode>_ * #,##0_ ;_ * \-#,##0_ ;_ * "-"??_ ;_ @_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17-E7CB-40CB-8AE8-07671AEDDC6E}"/>
            </c:ext>
          </c:extLst>
        </c:ser>
        <c:dLbls>
          <c:showLegendKey val="0"/>
          <c:showVal val="0"/>
          <c:showCatName val="0"/>
          <c:showSerName val="0"/>
          <c:showPercent val="0"/>
          <c:showBubbleSize val="0"/>
        </c:dLbls>
        <c:gapWidth val="150"/>
        <c:overlap val="100"/>
        <c:axId val="233457232"/>
        <c:axId val="153367936"/>
        <c:extLst/>
      </c:barChart>
      <c:lineChart>
        <c:grouping val="standard"/>
        <c:varyColors val="0"/>
        <c:ser>
          <c:idx val="8"/>
          <c:order val="8"/>
          <c:tx>
            <c:strRef>
              <c:f>'2050 LCOEs'!$B$92</c:f>
              <c:strCache>
                <c:ptCount val="1"/>
                <c:pt idx="0">
                  <c:v>Total LCOE</c:v>
                </c:pt>
              </c:strCache>
            </c:strRef>
          </c:tx>
          <c:spPr>
            <a:ln w="25400" cap="rnd">
              <a:noFill/>
              <a:round/>
            </a:ln>
            <a:effectLst/>
          </c:spPr>
          <c:marker>
            <c:symbol val="dash"/>
            <c:size val="5"/>
            <c:spPr>
              <a:solidFill>
                <a:schemeClr val="tx1"/>
              </a:solidFill>
              <a:ln w="25400">
                <a:solidFill>
                  <a:schemeClr val="tx1"/>
                </a:solidFill>
              </a:ln>
              <a:effectLst/>
            </c:spPr>
          </c:marker>
          <c:dLbls>
            <c:dLbl>
              <c:idx val="0"/>
              <c:layout>
                <c:manualLayout>
                  <c:x val="-2.2499890318604356E-2"/>
                  <c:y val="-4.1584690433856077E-2"/>
                </c:manualLayout>
              </c:layout>
              <c:tx>
                <c:rich>
                  <a:bodyPr/>
                  <a:lstStyle/>
                  <a:p>
                    <a:fld id="{5EF9B738-2D7B-4A30-A15A-5ABDC4CFEF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E7CB-40CB-8AE8-07671AEDDC6E}"/>
                </c:ext>
              </c:extLst>
            </c:dLbl>
            <c:dLbl>
              <c:idx val="1"/>
              <c:layout>
                <c:manualLayout>
                  <c:x val="-2.0506952840491942E-2"/>
                  <c:y val="-2.9192997157004328E-2"/>
                </c:manualLayout>
              </c:layout>
              <c:tx>
                <c:rich>
                  <a:bodyPr/>
                  <a:lstStyle/>
                  <a:p>
                    <a:fld id="{D0EF55A4-4607-4976-AED2-0BE898CDD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7CB-40CB-8AE8-07671AEDDC6E}"/>
                </c:ext>
              </c:extLst>
            </c:dLbl>
            <c:dLbl>
              <c:idx val="2"/>
              <c:layout>
                <c:manualLayout>
                  <c:x val="-2.1464749080442557E-2"/>
                  <c:y val="-3.319709091522282E-2"/>
                </c:manualLayout>
              </c:layout>
              <c:tx>
                <c:rich>
                  <a:bodyPr/>
                  <a:lstStyle/>
                  <a:p>
                    <a:fld id="{4EC1D133-4871-4D1A-93BB-E0CD7FF436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7CB-40CB-8AE8-07671AEDDC6E}"/>
                </c:ext>
              </c:extLst>
            </c:dLbl>
            <c:dLbl>
              <c:idx val="3"/>
              <c:layout>
                <c:manualLayout>
                  <c:x val="-2.1479930453331748E-2"/>
                  <c:y val="-3.5780335367781566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1226A8B1-B67D-4C6E-9594-54254DB3D369}"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85"/>
                        <a:gd name="adj2" fmla="val 107657"/>
                      </a:avLst>
                    </a:prstGeom>
                    <a:noFill/>
                    <a:ln>
                      <a:noFill/>
                    </a:ln>
                  </c15:spPr>
                  <c15:dlblFieldTable/>
                  <c15:showDataLabelsRange val="1"/>
                </c:ext>
                <c:ext xmlns:c16="http://schemas.microsoft.com/office/drawing/2014/chart" uri="{C3380CC4-5D6E-409C-BE32-E72D297353CC}">
                  <c16:uniqueId val="{00000009-E7CB-40CB-8AE8-07671AEDDC6E}"/>
                </c:ext>
              </c:extLst>
            </c:dLbl>
            <c:dLbl>
              <c:idx val="4"/>
              <c:layout>
                <c:manualLayout>
                  <c:x val="-2.4592340186943198E-2"/>
                  <c:y val="-2.8664414624030271E-2"/>
                </c:manualLayout>
              </c:layout>
              <c:tx>
                <c:rich>
                  <a:bodyPr/>
                  <a:lstStyle/>
                  <a:p>
                    <a:fld id="{6E399F90-DE80-4E9E-9432-34BD7A0E05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7CB-40CB-8AE8-07671AEDDC6E}"/>
                </c:ext>
              </c:extLst>
            </c:dLbl>
            <c:dLbl>
              <c:idx val="5"/>
              <c:layout>
                <c:manualLayout>
                  <c:x val="-2.8216487533837556E-2"/>
                  <c:y val="-3.1524220699902787E-2"/>
                </c:manualLayout>
              </c:layout>
              <c:tx>
                <c:rich>
                  <a:bodyPr/>
                  <a:lstStyle/>
                  <a:p>
                    <a:fld id="{C147465F-62F2-4935-A8F9-465888E36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7CB-40CB-8AE8-07671AEDDC6E}"/>
                </c:ext>
              </c:extLst>
            </c:dLbl>
            <c:dLbl>
              <c:idx val="6"/>
              <c:layout>
                <c:manualLayout>
                  <c:x val="-2.6175026847059427E-2"/>
                  <c:y val="-3.3064783140098121E-2"/>
                </c:manualLayout>
              </c:layout>
              <c:tx>
                <c:rich>
                  <a:bodyPr/>
                  <a:lstStyle/>
                  <a:p>
                    <a:fld id="{B502B628-25F2-4456-B284-46F168ABB9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7CB-40CB-8AE8-07671AEDDC6E}"/>
                </c:ext>
              </c:extLst>
            </c:dLbl>
            <c:dLbl>
              <c:idx val="7"/>
              <c:layout>
                <c:manualLayout>
                  <c:x val="-2.3195482662643922E-2"/>
                  <c:y val="-2.9070417894756374E-2"/>
                </c:manualLayout>
              </c:layout>
              <c:tx>
                <c:rich>
                  <a:bodyPr/>
                  <a:lstStyle/>
                  <a:p>
                    <a:fld id="{61BE75A7-7B25-4F84-9E4C-E680D9800985}" type="CELLRANGE">
                      <a:rPr lang="en-US"/>
                      <a:pPr/>
                      <a:t>[CELLRANGE]</a:t>
                    </a:fld>
                    <a:endParaRPr 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8-E7CB-40CB-8AE8-07671AEDDC6E}"/>
                </c:ext>
              </c:extLst>
            </c:dLbl>
            <c:dLbl>
              <c:idx val="8"/>
              <c:layout>
                <c:manualLayout>
                  <c:x val="-2.0870335551716204E-2"/>
                  <c:y val="-3.1633718895917637E-2"/>
                </c:manualLayout>
              </c:layout>
              <c:tx>
                <c:rich>
                  <a:bodyPr/>
                  <a:lstStyle/>
                  <a:p>
                    <a:fld id="{D5F3CD58-226E-4D78-B030-FF7DCDC5DE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7CB-40CB-8AE8-07671AEDDC6E}"/>
                </c:ext>
              </c:extLst>
            </c:dLbl>
            <c:dLbl>
              <c:idx val="9"/>
              <c:layout>
                <c:manualLayout>
                  <c:x val="-2.1440036544874769E-2"/>
                  <c:y val="-2.5092266837542589E-2"/>
                </c:manualLayout>
              </c:layout>
              <c:tx>
                <c:rich>
                  <a:bodyPr/>
                  <a:lstStyle/>
                  <a:p>
                    <a:fld id="{4317C7F1-F29B-41FF-A30E-B82ACA8FCD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7CB-40CB-8AE8-07671AEDDC6E}"/>
                </c:ext>
              </c:extLst>
            </c:dLbl>
            <c:dLbl>
              <c:idx val="10"/>
              <c:layout>
                <c:manualLayout>
                  <c:x val="-2.250170533617267E-2"/>
                  <c:y val="-2.5671437637476046E-2"/>
                </c:manualLayout>
              </c:layout>
              <c:tx>
                <c:rich>
                  <a:bodyPr/>
                  <a:lstStyle/>
                  <a:p>
                    <a:fld id="{33A8B7D0-5BF6-44E3-98A3-B863DF3035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7CB-40CB-8AE8-07671AEDDC6E}"/>
                </c:ext>
              </c:extLst>
            </c:dLbl>
            <c:dLbl>
              <c:idx val="11"/>
              <c:layout>
                <c:manualLayout>
                  <c:x val="-2.1730822615816752E-2"/>
                  <c:y val="-4.3259616067482076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1E89BBCD-4C9A-4858-92BA-A9B9C5EC2254}"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202"/>
                        <a:gd name="adj2" fmla="val 138908"/>
                      </a:avLst>
                    </a:prstGeom>
                    <a:noFill/>
                    <a:ln>
                      <a:noFill/>
                    </a:ln>
                  </c15:spPr>
                  <c15:dlblFieldTable/>
                  <c15:showDataLabelsRange val="1"/>
                </c:ext>
                <c:ext xmlns:c16="http://schemas.microsoft.com/office/drawing/2014/chart" uri="{C3380CC4-5D6E-409C-BE32-E72D297353CC}">
                  <c16:uniqueId val="{00000010-E7CB-40CB-8AE8-07671AEDDC6E}"/>
                </c:ext>
              </c:extLst>
            </c:dLbl>
            <c:dLbl>
              <c:idx val="12"/>
              <c:layout>
                <c:manualLayout>
                  <c:x val="-2.2082676615298183E-2"/>
                  <c:y val="-3.1485359074546027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FCBDF0AF-C938-4F40-8023-9195F31EE0AD}"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4088"/>
                        <a:gd name="adj2" fmla="val 104340"/>
                      </a:avLst>
                    </a:prstGeom>
                    <a:noFill/>
                    <a:ln>
                      <a:noFill/>
                    </a:ln>
                  </c15:spPr>
                  <c15:dlblFieldTable/>
                  <c15:showDataLabelsRange val="1"/>
                </c:ext>
                <c:ext xmlns:c16="http://schemas.microsoft.com/office/drawing/2014/chart" uri="{C3380CC4-5D6E-409C-BE32-E72D297353CC}">
                  <c16:uniqueId val="{00000011-E7CB-40CB-8AE8-07671AEDDC6E}"/>
                </c:ext>
              </c:extLst>
            </c:dLbl>
            <c:dLbl>
              <c:idx val="13"/>
              <c:layout>
                <c:manualLayout>
                  <c:x val="-2.2536462689892615E-2"/>
                  <c:y val="-5.6480827208964315E-2"/>
                </c:manualLayout>
              </c:layout>
              <c:tx>
                <c:rich>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fld id="{5BDCC284-4C52-4B5A-98B4-DF2337068D8C}" type="CELLRANGE">
                      <a:rPr lang="en-US"/>
                      <a:pPr>
                        <a:defRPr/>
                      </a:pPr>
                      <a:t>[CELLRANGE]</a:t>
                    </a:fld>
                    <a:endParaRPr lang="en-US"/>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7475"/>
                        <a:gd name="adj2" fmla="val 172207"/>
                      </a:avLst>
                    </a:prstGeom>
                    <a:noFill/>
                    <a:ln>
                      <a:noFill/>
                    </a:ln>
                  </c15:spPr>
                  <c15:dlblFieldTable/>
                  <c15:showDataLabelsRange val="1"/>
                </c:ext>
                <c:ext xmlns:c16="http://schemas.microsoft.com/office/drawing/2014/chart" uri="{C3380CC4-5D6E-409C-BE32-E72D297353CC}">
                  <c16:uniqueId val="{00000012-E7CB-40CB-8AE8-07671AEDDC6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cat>
            <c:multiLvlStrRef>
              <c:extLst>
                <c:ext xmlns:c15="http://schemas.microsoft.com/office/drawing/2012/chart" uri="{02D57815-91ED-43cb-92C2-25804820EDAC}">
                  <c15:fullRef>
                    <c15:sqref>'2050 LCOEs'!$C$15:$Z$17</c15:sqref>
                  </c15:fullRef>
                </c:ext>
              </c:extLst>
              <c:f>'2050 LCOEs'!$C$15:$Z$17</c:f>
              <c:multiLvlStrCache>
                <c:ptCount val="14"/>
                <c:lvl>
                  <c:pt idx="0">
                    <c:v>2050</c:v>
                  </c:pt>
                  <c:pt idx="1">
                    <c:v>2050</c:v>
                  </c:pt>
                  <c:pt idx="2">
                    <c:v>2050</c:v>
                  </c:pt>
                  <c:pt idx="3">
                    <c:v>2050</c:v>
                  </c:pt>
                  <c:pt idx="4">
                    <c:v>2050</c:v>
                  </c:pt>
                  <c:pt idx="5">
                    <c:v>2050</c:v>
                  </c:pt>
                  <c:pt idx="6">
                    <c:v>2050</c:v>
                  </c:pt>
                  <c:pt idx="7">
                    <c:v>2050</c:v>
                  </c:pt>
                  <c:pt idx="8">
                    <c:v>2050</c:v>
                  </c:pt>
                  <c:pt idx="9">
                    <c:v>2050</c:v>
                  </c:pt>
                  <c:pt idx="10">
                    <c:v>2050</c:v>
                  </c:pt>
                  <c:pt idx="11">
                    <c:v>2050</c:v>
                  </c:pt>
                  <c:pt idx="12">
                    <c:v>2050</c:v>
                  </c:pt>
                  <c:pt idx="13">
                    <c:v>2050</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'2050 LCOEs'!$C$92:$Z$92</c15:sqref>
                  </c15:fullRef>
                </c:ext>
              </c:extLst>
              <c:f>'2050 LCOEs'!$C$92:$P$92</c:f>
              <c:numCache>
                <c:formatCode>_ * #,##0_ ;_ * \-#,##0_ ;_ * "-"??_ ;_ @_ </c:formatCode>
                <c:ptCount val="14"/>
                <c:pt idx="0">
                  <c:v>64.649216200655985</c:v>
                </c:pt>
                <c:pt idx="1">
                  <c:v>88.368989387650359</c:v>
                </c:pt>
                <c:pt idx="2">
                  <c:v>93.72374716187916</c:v>
                </c:pt>
                <c:pt idx="3">
                  <c:v>144.31582620957224</c:v>
                </c:pt>
                <c:pt idx="4">
                  <c:v>125.55581676191827</c:v>
                </c:pt>
                <c:pt idx="5">
                  <c:v>134.85314904809653</c:v>
                </c:pt>
                <c:pt idx="6">
                  <c:v>105.74286112201638</c:v>
                </c:pt>
                <c:pt idx="7">
                  <c:v>78.849817002885331</c:v>
                </c:pt>
                <c:pt idx="8">
                  <c:v>53.368895779009506</c:v>
                </c:pt>
                <c:pt idx="9">
                  <c:v>29.553588181724827</c:v>
                </c:pt>
                <c:pt idx="10">
                  <c:v>28.075908772638584</c:v>
                </c:pt>
                <c:pt idx="11">
                  <c:v>42.445469921461424</c:v>
                </c:pt>
                <c:pt idx="12">
                  <c:v>111.29986915982855</c:v>
                </c:pt>
                <c:pt idx="13">
                  <c:v>114.64518081698239</c:v>
                </c:pt>
              </c:numCache>
            </c:numRef>
          </c:val>
          <c:smooth val="0"/>
          <c:extLst>
            <c:ext xmlns:c15="http://schemas.microsoft.com/office/drawing/2012/chart" uri="{02D57815-91ED-43cb-92C2-25804820EDAC}">
              <c15:datalabelsRange>
                <c15:f>'2050 LCOEs'!$C$94:$Z$94</c15:f>
                <c15:dlblRangeCache>
                  <c:ptCount val="24"/>
                  <c:pt idx="0">
                    <c:v>65 $/MWh</c:v>
                  </c:pt>
                  <c:pt idx="1">
                    <c:v>88 $/MWh</c:v>
                  </c:pt>
                  <c:pt idx="2">
                    <c:v>94 $/MWh</c:v>
                  </c:pt>
                  <c:pt idx="3">
                    <c:v>144 $/MWh</c:v>
                  </c:pt>
                  <c:pt idx="4">
                    <c:v>126 $/MWh</c:v>
                  </c:pt>
                  <c:pt idx="5">
                    <c:v>135 $/MWh</c:v>
                  </c:pt>
                  <c:pt idx="6">
                    <c:v>106 $/MWh</c:v>
                  </c:pt>
                  <c:pt idx="7">
                    <c:v>79 $/MWh</c:v>
                  </c:pt>
                  <c:pt idx="8">
                    <c:v>53 $/MWh</c:v>
                  </c:pt>
                  <c:pt idx="9">
                    <c:v>30 $/MWh</c:v>
                  </c:pt>
                  <c:pt idx="10">
                    <c:v>28 $/MWh</c:v>
                  </c:pt>
                  <c:pt idx="11">
                    <c:v>42 $/MWh</c:v>
                  </c:pt>
                  <c:pt idx="12">
                    <c:v>111 $/MWh</c:v>
                  </c:pt>
                  <c:pt idx="13">
                    <c:v>115 $/MWh</c:v>
                  </c:pt>
                </c15:dlblRangeCache>
              </c15:datalabelsRange>
            </c:ext>
            <c:ext xmlns:c15="http://schemas.microsoft.com/office/drawing/2012/chart" uri="{02D57815-91ED-43cb-92C2-25804820EDAC}">
              <c15:categoryFilterExceptions>
                <c15:categoryFilterException>
                  <c15:sqref>'2050 LCOEs'!$Q$92</c15:sqref>
                  <c15:dLbl>
                    <c:idx val="13"/>
                    <c:layout>
                      <c:manualLayout>
                        <c:x val="-3.3114984354432636E-2"/>
                        <c:y val="-9.192205921812438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5="http://schemas.microsoft.com/office/drawing/2012/chart"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uri="{CE6537A1-D6FC-4f65-9D91-7224C49458BB}">
                        <c15:spPr xmlns:c15="http://schemas.microsoft.com/office/drawing/2012/chart">
                          <a:prstGeom prst="wedgeRectCallout">
                            <a:avLst>
                              <a:gd name="adj1" fmla="val -17669"/>
                              <a:gd name="adj2" fmla="val 225857"/>
                            </a:avLst>
                          </a:prstGeom>
                          <a:noFill/>
                          <a:ln>
                            <a:noFill/>
                          </a:ln>
                        </c15:spPr>
                        <c15:dlblFieldTable/>
                        <c15:showDataLabelsRange val="1"/>
                      </c:ext>
                      <c:ext xmlns:c16="http://schemas.microsoft.com/office/drawing/2014/chart" uri="{C3380CC4-5D6E-409C-BE32-E72D297353CC}">
                        <c16:uniqueId val="{00000000-289C-4316-A65B-FFAC39B7234A}"/>
                      </c:ext>
                    </c:extLst>
                  </c15:dLbl>
                </c15:categoryFilterException>
                <c15:categoryFilterException>
                  <c15:sqref>'2050 LCOEs'!$R$92</c15:sqref>
                  <c15:dLbl>
                    <c:idx val="13"/>
                    <c:layout>
                      <c:manualLayout>
                        <c:x val="-3.1567448330576404E-2"/>
                        <c:y val="-3.8410238900274007E-2"/>
                      </c:manualLayout>
                    </c:layout>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extLst>
                          <a:ext uri="{C807C97D-BFC1-408E-A445-0C87EB9F89A2}">
                            <ask:lineSketchStyleProps xmlns:ask="http://schemas.microsoft.com/office/drawing/2018/sketchyshapes" xmlns:c15="http://schemas.microsoft.com/office/drawing/2012/chart" xmlns:c16r2="http://schemas.microsoft.com/office/drawing/2015/06/chart" xmlns:r="http://schemas.openxmlformats.org/officeDocument/2006/relationships" xmlns="" sd="0">
                              <a:custGeom>
                                <a:avLst/>
                                <a:gdLst/>
                                <a:ahLst/>
                                <a:cxnLst/>
                                <a:rect l="0" t="0" r="0" b="0"/>
                                <a:pathLst/>
                              </a:custGeom>
                              <ask:type/>
                            </ask:lineSketchStyleProps>
                          </a:ext>
                        </a:extLst>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dk1">
                                <a:lumMod val="65000"/>
                                <a:lumOff val="35000"/>
                              </a:schemeClr>
                            </a:solidFill>
                            <a:latin typeface="Corbel" panose="020B0503020204020204" pitchFamily="34" charset="0"/>
                            <a:ea typeface="+mn-ea"/>
                            <a:cs typeface="+mn-cs"/>
                          </a:defRPr>
                        </a:pPr>
                        <a:endParaRPr lang="en-US"/>
                      </a:p>
                    </c:txPr>
                    <c:showLegendKey val="0"/>
                    <c:showVal val="0"/>
                    <c:showCatName val="0"/>
                    <c:showSerName val="0"/>
                    <c:showPercent val="0"/>
                    <c:showBubbleSize val="0"/>
                    <c:extLst>
                      <c:ext uri="{CE6537A1-D6FC-4f65-9D91-7224C49458BB}">
                        <c15:spPr xmlns:c15="http://schemas.microsoft.com/office/drawing/2012/chart">
                          <a:prstGeom prst="wedgeRectCallout">
                            <a:avLst>
                              <a:gd name="adj1" fmla="val 12813"/>
                              <a:gd name="adj2" fmla="val 119876"/>
                            </a:avLst>
                          </a:prstGeom>
                          <a:noFill/>
                          <a:ln>
                            <a:noFill/>
                          </a:ln>
                        </c15:spPr>
                        <c15:dlblFieldTable/>
                        <c15:showDataLabelsRange val="1"/>
                      </c:ext>
                      <c:ext xmlns:c16="http://schemas.microsoft.com/office/drawing/2014/chart" uri="{C3380CC4-5D6E-409C-BE32-E72D297353CC}">
                        <c16:uniqueId val="{00000001-289C-4316-A65B-FFAC39B7234A}"/>
                      </c:ext>
                    </c:extLst>
                  </c15:dLbl>
                </c15:categoryFilterException>
                <c15:categoryFilterException>
                  <c15:sqref>'2050 LCOEs'!$S$92</c15:sqref>
                  <c15:dLbl>
                    <c:idx val="13"/>
                    <c:layout>
                      <c:manualLayout>
                        <c:x val="-1.9369611975357234E-2"/>
                        <c:y val="-2.6737951196887298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2-289C-4316-A65B-FFAC39B7234A}"/>
                      </c:ext>
                    </c:extLst>
                  </c15:dLbl>
                </c15:categoryFilterException>
                <c15:categoryFilterException>
                  <c15:sqref>'2050 LCOEs'!$T$92</c15:sqref>
                  <c15:dLbl>
                    <c:idx val="13"/>
                    <c:layout>
                      <c:manualLayout>
                        <c:x val="-2.322891903741868E-2"/>
                        <c:y val="-3.212968639012951E-2"/>
                      </c:manualLayout>
                    </c:layout>
                    <c:showLegendKey val="0"/>
                    <c:showVal val="0"/>
                    <c:showCatName val="0"/>
                    <c:showSerName val="0"/>
                    <c:showPercent val="0"/>
                    <c:showBubbleSize val="0"/>
                    <c:extLst>
                      <c:ext uri="{CE6537A1-D6FC-4f65-9D91-7224C49458BB}">
                        <c15:dlblFieldTable/>
                        <c15:showDataLabelsRange val="1"/>
                      </c:ext>
                      <c:ext xmlns:c16="http://schemas.microsoft.com/office/drawing/2014/chart" uri="{C3380CC4-5D6E-409C-BE32-E72D297353CC}">
                        <c16:uniqueId val="{00000003-289C-4316-A65B-FFAC39B7234A}"/>
                      </c:ext>
                    </c:extLst>
                  </c15:dLbl>
                </c15:categoryFilterException>
              </c15:categoryFilterExceptions>
            </c:ext>
            <c:ext xmlns:c16="http://schemas.microsoft.com/office/drawing/2014/chart" uri="{C3380CC4-5D6E-409C-BE32-E72D297353CC}">
              <c16:uniqueId val="{00000015-E7CB-40CB-8AE8-07671AEDDC6E}"/>
            </c:ext>
          </c:extLst>
        </c:ser>
        <c:dLbls>
          <c:showLegendKey val="0"/>
          <c:showVal val="0"/>
          <c:showCatName val="0"/>
          <c:showSerName val="0"/>
          <c:showPercent val="0"/>
          <c:showBubbleSize val="0"/>
        </c:dLbls>
        <c:marker val="1"/>
        <c:smooth val="0"/>
        <c:axId val="233457232"/>
        <c:axId val="153367936"/>
      </c:lineChart>
      <c:lineChart>
        <c:grouping val="standard"/>
        <c:varyColors val="0"/>
        <c:ser>
          <c:idx val="7"/>
          <c:order val="7"/>
          <c:tx>
            <c:strRef>
              <c:f>'2050 LCOEs'!$B$34</c:f>
              <c:strCache>
                <c:ptCount val="1"/>
                <c:pt idx="0">
                  <c:v>FLH [h/y]</c:v>
                </c:pt>
              </c:strCache>
            </c:strRef>
          </c:tx>
          <c:spPr>
            <a:ln w="28575" cap="rnd">
              <a:noFill/>
              <a:round/>
            </a:ln>
            <a:effectLst/>
          </c:spPr>
          <c:marker>
            <c:symbol val="circle"/>
            <c:size val="5"/>
            <c:spPr>
              <a:solidFill>
                <a:srgbClr val="FF0000"/>
              </a:solidFill>
              <a:ln w="9525">
                <a:solidFill>
                  <a:schemeClr val="bg1"/>
                </a:solidFill>
              </a:ln>
              <a:effectLst/>
            </c:spPr>
          </c:marker>
          <c:cat>
            <c:multiLvlStrRef>
              <c:extLst>
                <c:ext xmlns:c15="http://schemas.microsoft.com/office/drawing/2012/chart" uri="{02D57815-91ED-43cb-92C2-25804820EDAC}">
                  <c15:fullRef>
                    <c15:sqref>'2050 LCOEs'!$C$15:$Z$17</c15:sqref>
                  </c15:fullRef>
                </c:ext>
              </c:extLst>
              <c:f>'2050 LCOEs'!$C$15:$Z$17</c:f>
              <c:multiLvlStrCache>
                <c:ptCount val="14"/>
                <c:lvl>
                  <c:pt idx="0">
                    <c:v>2050</c:v>
                  </c:pt>
                  <c:pt idx="1">
                    <c:v>2050</c:v>
                  </c:pt>
                  <c:pt idx="2">
                    <c:v>2050</c:v>
                  </c:pt>
                  <c:pt idx="3">
                    <c:v>2050</c:v>
                  </c:pt>
                  <c:pt idx="4">
                    <c:v>2050</c:v>
                  </c:pt>
                  <c:pt idx="5">
                    <c:v>2050</c:v>
                  </c:pt>
                  <c:pt idx="6">
                    <c:v>2050</c:v>
                  </c:pt>
                  <c:pt idx="7">
                    <c:v>2050</c:v>
                  </c:pt>
                  <c:pt idx="8">
                    <c:v>2050</c:v>
                  </c:pt>
                  <c:pt idx="9">
                    <c:v>2050</c:v>
                  </c:pt>
                  <c:pt idx="10">
                    <c:v>2050</c:v>
                  </c:pt>
                  <c:pt idx="11">
                    <c:v>2050</c:v>
                  </c:pt>
                  <c:pt idx="12">
                    <c:v>2050</c:v>
                  </c:pt>
                  <c:pt idx="13">
                    <c:v>2050</c:v>
                  </c:pt>
                </c:lvl>
                <c:lvl>
                  <c:pt idx="0">
                    <c:v>Supercritical</c:v>
                  </c:pt>
                  <c:pt idx="1">
                    <c:v>IGCC</c:v>
                  </c:pt>
                  <c:pt idx="2">
                    <c:v>CCGT</c:v>
                  </c:pt>
                  <c:pt idx="3">
                    <c:v>Fuel oil</c:v>
                  </c:pt>
                  <c:pt idx="4">
                    <c:v>PWR</c:v>
                  </c:pt>
                  <c:pt idx="5">
                    <c:v>SMR (Land based, water cooled)</c:v>
                  </c:pt>
                  <c:pt idx="6">
                    <c:v>Small (Palm oil or Rice husk)</c:v>
                  </c:pt>
                  <c:pt idx="7">
                    <c:v>Large (Flash or Dry)</c:v>
                  </c:pt>
                  <c:pt idx="8">
                    <c:v>Large</c:v>
                  </c:pt>
                  <c:pt idx="9">
                    <c:v>Ground mounted</c:v>
                  </c:pt>
                  <c:pt idx="10">
                    <c:v>Floating PV</c:v>
                  </c:pt>
                  <c:pt idx="11">
                    <c:v>Onshore</c:v>
                  </c:pt>
                  <c:pt idx="12">
                    <c:v>Offshore</c:v>
                  </c:pt>
                  <c:pt idx="13">
                    <c:v>Floating</c:v>
                  </c:pt>
                </c:lvl>
                <c:lvl>
                  <c:pt idx="0">
                    <c:v>Coal</c:v>
                  </c:pt>
                  <c:pt idx="1">
                    <c:v>Coal</c:v>
                  </c:pt>
                  <c:pt idx="2">
                    <c:v>Gas</c:v>
                  </c:pt>
                  <c:pt idx="3">
                    <c:v>Diesel</c:v>
                  </c:pt>
                  <c:pt idx="4">
                    <c:v>Nuclear</c:v>
                  </c:pt>
                  <c:pt idx="5">
                    <c:v>Nuclear</c:v>
                  </c:pt>
                  <c:pt idx="6">
                    <c:v>Biomass</c:v>
                  </c:pt>
                  <c:pt idx="7">
                    <c:v>Geothermal</c:v>
                  </c:pt>
                  <c:pt idx="8">
                    <c:v>Hydro</c:v>
                  </c:pt>
                  <c:pt idx="9">
                    <c:v>Solar PV</c:v>
                  </c:pt>
                  <c:pt idx="10">
                    <c:v>Solar PV</c:v>
                  </c:pt>
                  <c:pt idx="11">
                    <c:v>Wind Turbines</c:v>
                  </c:pt>
                  <c:pt idx="12">
                    <c:v>Wind Turbines</c:v>
                  </c:pt>
                  <c:pt idx="13">
                    <c:v>Wind Turbines</c:v>
                  </c:pt>
                </c:lvl>
              </c:multiLvlStrCache>
            </c:multiLvlStrRef>
          </c:cat>
          <c:val>
            <c:numRef>
              <c:extLst>
                <c:ext xmlns:c15="http://schemas.microsoft.com/office/drawing/2012/chart" uri="{02D57815-91ED-43cb-92C2-25804820EDAC}">
                  <c15:fullRef>
                    <c15:sqref>'2050 LCOEs'!$C$34:$Z$34</c15:sqref>
                  </c15:fullRef>
                </c:ext>
              </c:extLst>
              <c:f>'2050 LCOEs'!$C$34:$P$34</c:f>
              <c:numCache>
                <c:formatCode>_ * #,##0_ ;_ * \-#,##0_ ;_ * "-"??_ ;_ @_ </c:formatCode>
                <c:ptCount val="14"/>
                <c:pt idx="0">
                  <c:v>7000</c:v>
                </c:pt>
                <c:pt idx="1">
                  <c:v>7000</c:v>
                </c:pt>
                <c:pt idx="2">
                  <c:v>5000</c:v>
                </c:pt>
                <c:pt idx="3">
                  <c:v>5000</c:v>
                </c:pt>
                <c:pt idx="4">
                  <c:v>7000</c:v>
                </c:pt>
                <c:pt idx="5">
                  <c:v>7000</c:v>
                </c:pt>
                <c:pt idx="6">
                  <c:v>5000</c:v>
                </c:pt>
                <c:pt idx="7">
                  <c:v>7008</c:v>
                </c:pt>
                <c:pt idx="8">
                  <c:v>4467.6000000000004</c:v>
                </c:pt>
                <c:pt idx="9">
                  <c:v>1890.5</c:v>
                </c:pt>
                <c:pt idx="10">
                  <c:v>1989.9999999999998</c:v>
                </c:pt>
                <c:pt idx="11">
                  <c:v>3081.018683076923</c:v>
                </c:pt>
                <c:pt idx="12">
                  <c:v>3591.6</c:v>
                </c:pt>
                <c:pt idx="13">
                  <c:v>3342.8159999999998</c:v>
                </c:pt>
              </c:numCache>
            </c:numRef>
          </c:val>
          <c:smooth val="0"/>
          <c:extLst>
            <c:ext xmlns:c16="http://schemas.microsoft.com/office/drawing/2014/chart" uri="{C3380CC4-5D6E-409C-BE32-E72D297353CC}">
              <c16:uniqueId val="{00000016-E7CB-40CB-8AE8-07671AEDDC6E}"/>
            </c:ext>
          </c:extLst>
        </c:ser>
        <c:dLbls>
          <c:showLegendKey val="0"/>
          <c:showVal val="0"/>
          <c:showCatName val="0"/>
          <c:showSerName val="0"/>
          <c:showPercent val="0"/>
          <c:showBubbleSize val="0"/>
        </c:dLbls>
        <c:marker val="1"/>
        <c:smooth val="0"/>
        <c:axId val="1306268576"/>
        <c:axId val="1661394592"/>
      </c:lineChart>
      <c:catAx>
        <c:axId val="233457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53367936"/>
        <c:crosses val="autoZero"/>
        <c:auto val="1"/>
        <c:lblAlgn val="ctr"/>
        <c:lblOffset val="100"/>
        <c:noMultiLvlLbl val="0"/>
      </c:catAx>
      <c:valAx>
        <c:axId val="153367936"/>
        <c:scaling>
          <c:orientation val="minMax"/>
          <c:max val="300"/>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USD22/MWh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233457232"/>
        <c:crosses val="autoZero"/>
        <c:crossBetween val="between"/>
        <c:majorUnit val="50"/>
      </c:valAx>
      <c:valAx>
        <c:axId val="1661394592"/>
        <c:scaling>
          <c:orientation val="minMax"/>
          <c:max val="8000"/>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FLHs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1306268576"/>
        <c:crosses val="max"/>
        <c:crossBetween val="between"/>
      </c:valAx>
      <c:catAx>
        <c:axId val="1306268576"/>
        <c:scaling>
          <c:orientation val="minMax"/>
        </c:scaling>
        <c:delete val="1"/>
        <c:axPos val="b"/>
        <c:numFmt formatCode="General" sourceLinked="1"/>
        <c:majorTickMark val="out"/>
        <c:minorTickMark val="none"/>
        <c:tickLblPos val="nextTo"/>
        <c:crossAx val="1661394592"/>
        <c:crosses val="autoZero"/>
        <c:auto val="1"/>
        <c:lblAlgn val="ctr"/>
        <c:lblOffset val="100"/>
        <c:noMultiLvlLbl val="0"/>
      </c:catAx>
      <c:spPr>
        <a:noFill/>
        <a:ln>
          <a:noFill/>
        </a:ln>
        <a:effectLst/>
      </c:spPr>
    </c:plotArea>
    <c:legend>
      <c:legendPos val="r"/>
      <c:layout>
        <c:manualLayout>
          <c:xMode val="edge"/>
          <c:yMode val="edge"/>
          <c:x val="0.90464877895536122"/>
          <c:y val="6.4603049498399359E-2"/>
          <c:w val="9.1058945028141144E-2"/>
          <c:h val="0.30404164863154043"/>
        </c:manualLayout>
      </c:layout>
      <c:overlay val="0"/>
      <c:spPr>
        <a:noFill/>
        <a:ln>
          <a:noFill/>
        </a:ln>
        <a:effectLst/>
      </c:spPr>
      <c:txPr>
        <a:bodyPr rot="0" spcFirstLastPara="1" vertOverflow="ellipsis" vert="horz" wrap="square" anchor="ctr" anchorCtr="1"/>
        <a:lstStyle/>
        <a:p>
          <a:pPr>
            <a:defRPr sz="1200" b="0" i="1" u="none" strike="noStrike" kern="1200" baseline="0">
              <a:solidFill>
                <a:schemeClr val="tx1">
                  <a:lumMod val="65000"/>
                  <a:lumOff val="35000"/>
                </a:schemeClr>
              </a:solidFill>
              <a:latin typeface="Corbel" panose="020B05030202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Corbel" panose="020B0503020204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Corbel" panose="020B0503020204020204" pitchFamily="34" charset="0"/>
                <a:ea typeface="+mn-ea"/>
                <a:cs typeface="+mn-cs"/>
              </a:defRPr>
            </a:pPr>
            <a:r>
              <a:rPr lang="en-US" b="1"/>
              <a:t>LCOE Development</a:t>
            </a:r>
            <a:endParaRPr lang="en-DK" b="1"/>
          </a:p>
        </c:rich>
      </c:tx>
      <c:layout>
        <c:manualLayout>
          <c:xMode val="edge"/>
          <c:yMode val="edge"/>
          <c:x val="4.8481036719625538E-2"/>
          <c:y val="2.744176958359198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Corbel" panose="020B0503020204020204" pitchFamily="34" charset="0"/>
              <a:ea typeface="+mn-ea"/>
              <a:cs typeface="+mn-cs"/>
            </a:defRPr>
          </a:pPr>
          <a:endParaRPr lang="en-US"/>
        </a:p>
      </c:txPr>
    </c:title>
    <c:autoTitleDeleted val="0"/>
    <c:plotArea>
      <c:layout>
        <c:manualLayout>
          <c:layoutTarget val="inner"/>
          <c:xMode val="edge"/>
          <c:yMode val="edge"/>
          <c:x val="0.10931731432075471"/>
          <c:y val="0.16915844614792835"/>
          <c:w val="0.60010218481715483"/>
          <c:h val="0.71358544559461223"/>
        </c:manualLayout>
      </c:layout>
      <c:lineChart>
        <c:grouping val="standard"/>
        <c:varyColors val="0"/>
        <c:ser>
          <c:idx val="0"/>
          <c:order val="0"/>
          <c:tx>
            <c:strRef>
              <c:f>'2050 LCOEs'!$F$143</c:f>
              <c:strCache>
                <c:ptCount val="1"/>
                <c:pt idx="0">
                  <c:v>Nuclear (PWR)</c:v>
                </c:pt>
              </c:strCache>
            </c:strRef>
          </c:tx>
          <c:spPr>
            <a:ln w="19050" cap="rnd">
              <a:solidFill>
                <a:srgbClr val="C00000"/>
              </a:solidFill>
              <a:round/>
            </a:ln>
            <a:effectLst/>
          </c:spPr>
          <c:marker>
            <c:symbol val="circle"/>
            <c:size val="5"/>
            <c:spPr>
              <a:solidFill>
                <a:srgbClr val="C00000"/>
              </a:solidFill>
              <a:ln w="9525">
                <a:solidFill>
                  <a:srgbClr val="C00000"/>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LCOEs'!$G$143:$I$143</c:f>
              <c:numCache>
                <c:formatCode>0</c:formatCode>
                <c:ptCount val="3"/>
                <c:pt idx="0">
                  <c:v>161.13129096786827</c:v>
                </c:pt>
                <c:pt idx="1">
                  <c:v>143.50521669735463</c:v>
                </c:pt>
                <c:pt idx="2">
                  <c:v>125.55581676191827</c:v>
                </c:pt>
              </c:numCache>
            </c:numRef>
          </c:val>
          <c:smooth val="0"/>
          <c:extLst>
            <c:ext xmlns:c16="http://schemas.microsoft.com/office/drawing/2014/chart" uri="{C3380CC4-5D6E-409C-BE32-E72D297353CC}">
              <c16:uniqueId val="{00000000-F3A1-4262-9089-DD1271518410}"/>
            </c:ext>
          </c:extLst>
        </c:ser>
        <c:ser>
          <c:idx val="2"/>
          <c:order val="2"/>
          <c:tx>
            <c:strRef>
              <c:f>'2050 LCOEs'!$F$145</c:f>
              <c:strCache>
                <c:ptCount val="1"/>
                <c:pt idx="0">
                  <c:v>Biomass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LCOEs'!$G$145:$I$145</c:f>
              <c:numCache>
                <c:formatCode>0</c:formatCode>
                <c:ptCount val="3"/>
                <c:pt idx="0">
                  <c:v>118.63018930574628</c:v>
                </c:pt>
                <c:pt idx="1">
                  <c:v>112.97689162306781</c:v>
                </c:pt>
                <c:pt idx="2">
                  <c:v>105.74286112201638</c:v>
                </c:pt>
              </c:numCache>
            </c:numRef>
          </c:val>
          <c:smooth val="0"/>
          <c:extLst>
            <c:ext xmlns:c16="http://schemas.microsoft.com/office/drawing/2014/chart" uri="{C3380CC4-5D6E-409C-BE32-E72D297353CC}">
              <c16:uniqueId val="{00000002-F3A1-4262-9089-DD1271518410}"/>
            </c:ext>
          </c:extLst>
        </c:ser>
        <c:ser>
          <c:idx val="5"/>
          <c:order val="5"/>
          <c:tx>
            <c:strRef>
              <c:f>'2050 LCOEs'!$F$148</c:f>
              <c:strCache>
                <c:ptCount val="1"/>
                <c:pt idx="0">
                  <c:v>Solar PV (Ground-mounted)</c:v>
                </c:pt>
              </c:strCache>
            </c:strRef>
          </c:tx>
          <c:spPr>
            <a:ln w="19050"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LCOEs'!$G$148:$I$148</c:f>
              <c:numCache>
                <c:formatCode>0</c:formatCode>
                <c:ptCount val="3"/>
                <c:pt idx="0">
                  <c:v>62.215151638822405</c:v>
                </c:pt>
                <c:pt idx="1">
                  <c:v>42.420347589716144</c:v>
                </c:pt>
                <c:pt idx="2">
                  <c:v>29.553588181724827</c:v>
                </c:pt>
              </c:numCache>
            </c:numRef>
          </c:val>
          <c:smooth val="0"/>
          <c:extLst>
            <c:ext xmlns:c16="http://schemas.microsoft.com/office/drawing/2014/chart" uri="{C3380CC4-5D6E-409C-BE32-E72D297353CC}">
              <c16:uniqueId val="{00000005-F3A1-4262-9089-DD1271518410}"/>
            </c:ext>
          </c:extLst>
        </c:ser>
        <c:ser>
          <c:idx val="6"/>
          <c:order val="6"/>
          <c:tx>
            <c:strRef>
              <c:f>'2050 LCOEs'!$F$149</c:f>
              <c:strCache>
                <c:ptCount val="1"/>
                <c:pt idx="0">
                  <c:v>Solar PV (Floating)</c:v>
                </c:pt>
              </c:strCache>
            </c:strRef>
          </c:tx>
          <c:spPr>
            <a:ln w="19050"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LCOEs'!$G$149:$I$149</c:f>
              <c:numCache>
                <c:formatCode>0</c:formatCode>
                <c:ptCount val="3"/>
                <c:pt idx="0">
                  <c:v>75.463355008237755</c:v>
                </c:pt>
                <c:pt idx="1">
                  <c:v>45.445004130307851</c:v>
                </c:pt>
                <c:pt idx="2">
                  <c:v>28.075908772638584</c:v>
                </c:pt>
              </c:numCache>
            </c:numRef>
          </c:val>
          <c:smooth val="0"/>
          <c:extLst>
            <c:ext xmlns:c16="http://schemas.microsoft.com/office/drawing/2014/chart" uri="{C3380CC4-5D6E-409C-BE32-E72D297353CC}">
              <c16:uniqueId val="{00000006-F3A1-4262-9089-DD1271518410}"/>
            </c:ext>
          </c:extLst>
        </c:ser>
        <c:ser>
          <c:idx val="7"/>
          <c:order val="7"/>
          <c:tx>
            <c:strRef>
              <c:f>'2050 LCOEs'!$F$150</c:f>
              <c:strCache>
                <c:ptCount val="1"/>
                <c:pt idx="0">
                  <c:v>Wind Turbines (Onshore)</c:v>
                </c:pt>
              </c:strCache>
            </c:strRef>
          </c:tx>
          <c:spPr>
            <a:ln w="19050" cap="rnd">
              <a:solidFill>
                <a:srgbClr val="002060"/>
              </a:solidFill>
              <a:round/>
            </a:ln>
            <a:effectLst/>
          </c:spPr>
          <c:marker>
            <c:symbol val="circle"/>
            <c:size val="5"/>
            <c:spPr>
              <a:solidFill>
                <a:srgbClr val="002060"/>
              </a:solidFill>
              <a:ln w="9525">
                <a:solidFill>
                  <a:srgbClr val="002060"/>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LCOEs'!$G$150:$I$150</c:f>
              <c:numCache>
                <c:formatCode>0</c:formatCode>
                <c:ptCount val="3"/>
                <c:pt idx="0">
                  <c:v>91.700486147893528</c:v>
                </c:pt>
                <c:pt idx="1">
                  <c:v>59.625404464471799</c:v>
                </c:pt>
                <c:pt idx="2">
                  <c:v>42.445469921461424</c:v>
                </c:pt>
              </c:numCache>
            </c:numRef>
          </c:val>
          <c:smooth val="0"/>
          <c:extLst>
            <c:ext xmlns:c16="http://schemas.microsoft.com/office/drawing/2014/chart" uri="{C3380CC4-5D6E-409C-BE32-E72D297353CC}">
              <c16:uniqueId val="{00000007-F3A1-4262-9089-DD1271518410}"/>
            </c:ext>
          </c:extLst>
        </c:ser>
        <c:ser>
          <c:idx val="8"/>
          <c:order val="8"/>
          <c:tx>
            <c:strRef>
              <c:f>'2050 LCOEs'!$F$151</c:f>
              <c:strCache>
                <c:ptCount val="1"/>
                <c:pt idx="0">
                  <c:v>Wind Turbines (Offshore)</c:v>
                </c:pt>
              </c:strCache>
            </c:strRef>
          </c:tx>
          <c:spPr>
            <a:ln w="19050" cap="rnd">
              <a:solidFill>
                <a:srgbClr val="0070C0"/>
              </a:solidFill>
              <a:round/>
            </a:ln>
            <a:effectLst/>
          </c:spPr>
          <c:marker>
            <c:symbol val="circle"/>
            <c:size val="5"/>
            <c:spPr>
              <a:solidFill>
                <a:srgbClr val="0070C0"/>
              </a:solidFill>
              <a:ln w="9525">
                <a:solidFill>
                  <a:srgbClr val="0070C0"/>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LCOEs'!$G$151:$I$151</c:f>
              <c:numCache>
                <c:formatCode>0</c:formatCode>
                <c:ptCount val="3"/>
                <c:pt idx="0">
                  <c:v>189.00431222850085</c:v>
                </c:pt>
                <c:pt idx="1">
                  <c:v>152.33045964558792</c:v>
                </c:pt>
                <c:pt idx="2">
                  <c:v>111.29986915982855</c:v>
                </c:pt>
              </c:numCache>
            </c:numRef>
          </c:val>
          <c:smooth val="0"/>
          <c:extLst>
            <c:ext xmlns:c16="http://schemas.microsoft.com/office/drawing/2014/chart" uri="{C3380CC4-5D6E-409C-BE32-E72D297353CC}">
              <c16:uniqueId val="{00000008-F3A1-4262-9089-DD1271518410}"/>
            </c:ext>
          </c:extLst>
        </c:ser>
        <c:ser>
          <c:idx val="9"/>
          <c:order val="9"/>
          <c:tx>
            <c:strRef>
              <c:f>'2050 LCOEs'!$F$152</c:f>
              <c:strCache>
                <c:ptCount val="1"/>
                <c:pt idx="0">
                  <c:v>Wind Turbines (Floating)</c:v>
                </c:pt>
              </c:strCache>
            </c:strRef>
          </c:tx>
          <c:spPr>
            <a:ln w="19050" cap="rnd">
              <a:solidFill>
                <a:srgbClr val="00B0F0"/>
              </a:solidFill>
              <a:round/>
            </a:ln>
            <a:effectLst/>
          </c:spPr>
          <c:marker>
            <c:symbol val="circle"/>
            <c:size val="5"/>
            <c:spPr>
              <a:solidFill>
                <a:srgbClr val="00B0F0"/>
              </a:solidFill>
              <a:ln w="9525">
                <a:solidFill>
                  <a:srgbClr val="00B0F0"/>
                </a:solidFill>
              </a:ln>
              <a:effectLst/>
              <a:scene3d>
                <a:camera prst="orthographicFront"/>
                <a:lightRig rig="threePt" dir="t"/>
              </a:scene3d>
              <a:sp3d>
                <a:bevelT/>
              </a:sp3d>
            </c:spPr>
          </c:marker>
          <c:cat>
            <c:numRef>
              <c:f>'2050 LCOEs'!$G$142:$I$142</c:f>
              <c:numCache>
                <c:formatCode>General</c:formatCode>
                <c:ptCount val="3"/>
                <c:pt idx="0">
                  <c:v>2023</c:v>
                </c:pt>
                <c:pt idx="1">
                  <c:v>2030</c:v>
                </c:pt>
                <c:pt idx="2">
                  <c:v>2050</c:v>
                </c:pt>
              </c:numCache>
            </c:numRef>
          </c:cat>
          <c:val>
            <c:numRef>
              <c:f>'2050 LCOEs'!$G$152:$I$152</c:f>
              <c:numCache>
                <c:formatCode>0</c:formatCode>
                <c:ptCount val="3"/>
                <c:pt idx="0">
                  <c:v>271.9532037648832</c:v>
                </c:pt>
                <c:pt idx="1">
                  <c:v>178.12661973746037</c:v>
                </c:pt>
                <c:pt idx="2">
                  <c:v>114.64518081698239</c:v>
                </c:pt>
              </c:numCache>
            </c:numRef>
          </c:val>
          <c:smooth val="0"/>
          <c:extLst>
            <c:ext xmlns:c16="http://schemas.microsoft.com/office/drawing/2014/chart" uri="{C3380CC4-5D6E-409C-BE32-E72D297353CC}">
              <c16:uniqueId val="{00000009-F3A1-4262-9089-DD1271518410}"/>
            </c:ext>
          </c:extLst>
        </c:ser>
        <c:dLbls>
          <c:showLegendKey val="0"/>
          <c:showVal val="0"/>
          <c:showCatName val="0"/>
          <c:showSerName val="0"/>
          <c:showPercent val="0"/>
          <c:showBubbleSize val="0"/>
        </c:dLbls>
        <c:marker val="1"/>
        <c:smooth val="0"/>
        <c:axId val="276330160"/>
        <c:axId val="655986416"/>
        <c:extLst>
          <c:ext xmlns:c15="http://schemas.microsoft.com/office/drawing/2012/chart" uri="{02D57815-91ED-43cb-92C2-25804820EDAC}">
            <c15:filteredLineSeries>
              <c15:ser>
                <c:idx val="1"/>
                <c:order val="1"/>
                <c:tx>
                  <c:strRef>
                    <c:extLst>
                      <c:ext uri="{02D57815-91ED-43cb-92C2-25804820EDAC}">
                        <c15:formulaRef>
                          <c15:sqref>'2050 LCOEs'!$F$144</c15:sqref>
                        </c15:formulaRef>
                      </c:ext>
                    </c:extLst>
                    <c:strCache>
                      <c:ptCount val="1"/>
                      <c:pt idx="0">
                        <c:v>Nuclear (SMR)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extLst>
                      <c:ext uri="{02D57815-91ED-43cb-92C2-25804820EDAC}">
                        <c15:formulaRef>
                          <c15:sqref>'2050 LCOEs'!$G$142:$I$142</c15:sqref>
                        </c15:formulaRef>
                      </c:ext>
                    </c:extLst>
                    <c:numCache>
                      <c:formatCode>General</c:formatCode>
                      <c:ptCount val="3"/>
                      <c:pt idx="0">
                        <c:v>2023</c:v>
                      </c:pt>
                      <c:pt idx="1">
                        <c:v>2030</c:v>
                      </c:pt>
                      <c:pt idx="2">
                        <c:v>2050</c:v>
                      </c:pt>
                    </c:numCache>
                  </c:numRef>
                </c:cat>
                <c:val>
                  <c:numRef>
                    <c:extLst>
                      <c:ext uri="{02D57815-91ED-43cb-92C2-25804820EDAC}">
                        <c15:formulaRef>
                          <c15:sqref>'2050 LCOEs'!$G$144:$I$144</c15:sqref>
                        </c15:formulaRef>
                      </c:ext>
                    </c:extLst>
                    <c:numCache>
                      <c:formatCode>0</c:formatCode>
                      <c:ptCount val="3"/>
                      <c:pt idx="0">
                        <c:v>0</c:v>
                      </c:pt>
                      <c:pt idx="1">
                        <c:v>172.60022433970676</c:v>
                      </c:pt>
                      <c:pt idx="2">
                        <c:v>134.85314904809653</c:v>
                      </c:pt>
                    </c:numCache>
                  </c:numRef>
                </c:val>
                <c:smooth val="0"/>
                <c:extLst>
                  <c:ext xmlns:c16="http://schemas.microsoft.com/office/drawing/2014/chart" uri="{C3380CC4-5D6E-409C-BE32-E72D297353CC}">
                    <c16:uniqueId val="{00000001-F3A1-4262-9089-DD127151841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'2050 LCOEs'!$F$146</c15:sqref>
                        </c15:formulaRef>
                      </c:ext>
                    </c:extLst>
                    <c:strCache>
                      <c:ptCount val="1"/>
                      <c:pt idx="0">
                        <c:v>Geothermal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extLst xmlns:c15="http://schemas.microsoft.com/office/drawing/2012/chart">
                      <c:ext xmlns:c15="http://schemas.microsoft.com/office/drawing/2012/chart" uri="{02D57815-91ED-43cb-92C2-25804820EDAC}">
                        <c15:formulaRef>
                          <c15:sqref>'2050 LCOEs'!$G$142:$I$142</c15:sqref>
                        </c15:formulaRef>
                      </c:ext>
                    </c:extLst>
                    <c:numCache>
                      <c:formatCode>General</c:formatCode>
                      <c:ptCount val="3"/>
                      <c:pt idx="0">
                        <c:v>2023</c:v>
                      </c:pt>
                      <c:pt idx="1">
                        <c:v>2030</c:v>
                      </c:pt>
                      <c:pt idx="2">
                        <c:v>2050</c:v>
                      </c:pt>
                    </c:numCache>
                  </c:numRef>
                </c:cat>
                <c:val>
                  <c:numRef>
                    <c:extLst xmlns:c15="http://schemas.microsoft.com/office/drawing/2012/chart">
                      <c:ext xmlns:c15="http://schemas.microsoft.com/office/drawing/2012/chart" uri="{02D57815-91ED-43cb-92C2-25804820EDAC}">
                        <c15:formulaRef>
                          <c15:sqref>'2050 LCOEs'!$G$146:$I$146</c15:sqref>
                        </c15:formulaRef>
                      </c:ext>
                    </c:extLst>
                    <c:numCache>
                      <c:formatCode>0</c:formatCode>
                      <c:ptCount val="3"/>
                      <c:pt idx="0">
                        <c:v>87.412416060563928</c:v>
                      </c:pt>
                      <c:pt idx="1">
                        <c:v>87.10967847993426</c:v>
                      </c:pt>
                      <c:pt idx="2">
                        <c:v>78.849817002885331</c:v>
                      </c:pt>
                    </c:numCache>
                  </c:numRef>
                </c:val>
                <c:smooth val="0"/>
                <c:extLst xmlns:c15="http://schemas.microsoft.com/office/drawing/2012/chart">
                  <c:ext xmlns:c16="http://schemas.microsoft.com/office/drawing/2014/chart" uri="{C3380CC4-5D6E-409C-BE32-E72D297353CC}">
                    <c16:uniqueId val="{00000003-F3A1-4262-9089-DD127151841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'2050 LCOEs'!$F$147</c15:sqref>
                        </c15:formulaRef>
                      </c:ext>
                    </c:extLst>
                    <c:strCache>
                      <c:ptCount val="1"/>
                      <c:pt idx="0">
                        <c:v>Hydro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extLst xmlns:c15="http://schemas.microsoft.com/office/drawing/2012/chart">
                      <c:ext xmlns:c15="http://schemas.microsoft.com/office/drawing/2012/chart" uri="{02D57815-91ED-43cb-92C2-25804820EDAC}">
                        <c15:formulaRef>
                          <c15:sqref>'2050 LCOEs'!$G$142:$I$142</c15:sqref>
                        </c15:formulaRef>
                      </c:ext>
                    </c:extLst>
                    <c:numCache>
                      <c:formatCode>General</c:formatCode>
                      <c:ptCount val="3"/>
                      <c:pt idx="0">
                        <c:v>2023</c:v>
                      </c:pt>
                      <c:pt idx="1">
                        <c:v>2030</c:v>
                      </c:pt>
                      <c:pt idx="2">
                        <c:v>2050</c:v>
                      </c:pt>
                    </c:numCache>
                  </c:numRef>
                </c:cat>
                <c:val>
                  <c:numRef>
                    <c:extLst xmlns:c15="http://schemas.microsoft.com/office/drawing/2012/chart">
                      <c:ext xmlns:c15="http://schemas.microsoft.com/office/drawing/2012/chart" uri="{02D57815-91ED-43cb-92C2-25804820EDAC}">
                        <c15:formulaRef>
                          <c15:sqref>'2050 LCOEs'!$G$147:$I$147</c15:sqref>
                        </c15:formulaRef>
                      </c:ext>
                    </c:extLst>
                    <c:numCache>
                      <c:formatCode>0</c:formatCode>
                      <c:ptCount val="3"/>
                      <c:pt idx="0">
                        <c:v>60.031383047153696</c:v>
                      </c:pt>
                      <c:pt idx="1">
                        <c:v>57.567054254052586</c:v>
                      </c:pt>
                      <c:pt idx="2">
                        <c:v>53.368895779009506</c:v>
                      </c:pt>
                    </c:numCache>
                  </c:numRef>
                </c:val>
                <c:smooth val="0"/>
                <c:extLst xmlns:c15="http://schemas.microsoft.com/office/drawing/2012/chart">
                  <c:ext xmlns:c16="http://schemas.microsoft.com/office/drawing/2014/chart" uri="{C3380CC4-5D6E-409C-BE32-E72D297353CC}">
                    <c16:uniqueId val="{00000004-F3A1-4262-9089-DD1271518410}"/>
                  </c:ext>
                </c:extLst>
              </c15:ser>
            </c15:filteredLineSeries>
          </c:ext>
        </c:extLst>
      </c:lineChart>
      <c:catAx>
        <c:axId val="27633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655986416"/>
        <c:crosses val="autoZero"/>
        <c:auto val="1"/>
        <c:lblAlgn val="ctr"/>
        <c:lblOffset val="100"/>
        <c:noMultiLvlLbl val="0"/>
      </c:catAx>
      <c:valAx>
        <c:axId val="65598641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r>
                  <a:rPr lang="en-US"/>
                  <a:t>USD22/MWh</a:t>
                </a:r>
                <a:endParaRPr lang="en-DK"/>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crossAx val="276330160"/>
        <c:crosses val="autoZero"/>
        <c:crossBetween val="midCat"/>
      </c:valAx>
      <c:spPr>
        <a:noFill/>
        <a:ln>
          <a:noFill/>
        </a:ln>
        <a:effectLst/>
      </c:spPr>
    </c:plotArea>
    <c:legend>
      <c:legendPos val="r"/>
      <c:layout>
        <c:manualLayout>
          <c:xMode val="edge"/>
          <c:yMode val="edge"/>
          <c:x val="0.72561522498958886"/>
          <c:y val="0.14745238781014461"/>
          <c:w val="0.27438477501041109"/>
          <c:h val="0.59675337409549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orbel" panose="020B0503020204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orbel" panose="020B0503020204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4</xdr:row>
      <xdr:rowOff>56030</xdr:rowOff>
    </xdr:from>
    <xdr:to>
      <xdr:col>12</xdr:col>
      <xdr:colOff>550157</xdr:colOff>
      <xdr:row>193</xdr:row>
      <xdr:rowOff>11037</xdr:rowOff>
    </xdr:to>
    <xdr:grpSp>
      <xdr:nvGrpSpPr>
        <xdr:cNvPr id="3" name="Group 2">
          <a:extLst>
            <a:ext uri="{FF2B5EF4-FFF2-40B4-BE49-F238E27FC236}">
              <a16:creationId xmlns:a16="http://schemas.microsoft.com/office/drawing/2014/main" id="{278D1442-CC0E-0890-E6F7-8FE837A0B3F3}"/>
            </a:ext>
          </a:extLst>
        </xdr:cNvPr>
        <xdr:cNvGrpSpPr/>
      </xdr:nvGrpSpPr>
      <xdr:grpSpPr>
        <a:xfrm>
          <a:off x="0" y="818030"/>
          <a:ext cx="7811569" cy="35959507"/>
          <a:chOff x="0" y="773206"/>
          <a:chExt cx="7811569" cy="33841596"/>
        </a:xfrm>
      </xdr:grpSpPr>
      <xdr:pic>
        <xdr:nvPicPr>
          <xdr:cNvPr id="13" name="Picture 12">
            <a:extLst>
              <a:ext uri="{FF2B5EF4-FFF2-40B4-BE49-F238E27FC236}">
                <a16:creationId xmlns:a16="http://schemas.microsoft.com/office/drawing/2014/main" id="{3704E772-7680-2A40-FA24-AF0B3A0A4976}"/>
              </a:ext>
            </a:extLst>
          </xdr:cNvPr>
          <xdr:cNvPicPr>
            <a:picLocks noChangeAspect="1"/>
          </xdr:cNvPicPr>
        </xdr:nvPicPr>
        <xdr:blipFill rotWithShape="1">
          <a:blip xmlns:r="http://schemas.openxmlformats.org/officeDocument/2006/relationships" r:embed="rId1"/>
          <a:srcRect t="1268"/>
          <a:stretch/>
        </xdr:blipFill>
        <xdr:spPr>
          <a:xfrm>
            <a:off x="238046" y="13191314"/>
            <a:ext cx="7509594" cy="4181642"/>
          </a:xfrm>
          <a:prstGeom prst="rect">
            <a:avLst/>
          </a:prstGeom>
        </xdr:spPr>
      </xdr:pic>
      <xdr:pic>
        <xdr:nvPicPr>
          <xdr:cNvPr id="14" name="Picture 13">
            <a:extLst>
              <a:ext uri="{FF2B5EF4-FFF2-40B4-BE49-F238E27FC236}">
                <a16:creationId xmlns:a16="http://schemas.microsoft.com/office/drawing/2014/main" id="{F96BB718-3EE1-9601-13B6-B9D8CAF21A02}"/>
              </a:ext>
            </a:extLst>
          </xdr:cNvPr>
          <xdr:cNvPicPr>
            <a:picLocks noChangeAspect="1"/>
          </xdr:cNvPicPr>
        </xdr:nvPicPr>
        <xdr:blipFill>
          <a:blip xmlns:r="http://schemas.openxmlformats.org/officeDocument/2006/relationships" r:embed="rId2"/>
          <a:stretch>
            <a:fillRect/>
          </a:stretch>
        </xdr:blipFill>
        <xdr:spPr>
          <a:xfrm>
            <a:off x="191557" y="17367565"/>
            <a:ext cx="7477433" cy="4201736"/>
          </a:xfrm>
          <a:prstGeom prst="rect">
            <a:avLst/>
          </a:prstGeom>
        </xdr:spPr>
      </xdr:pic>
      <xdr:pic>
        <xdr:nvPicPr>
          <xdr:cNvPr id="15" name="Picture 14">
            <a:extLst>
              <a:ext uri="{FF2B5EF4-FFF2-40B4-BE49-F238E27FC236}">
                <a16:creationId xmlns:a16="http://schemas.microsoft.com/office/drawing/2014/main" id="{566D906F-3876-8297-EE40-DC0781DD2515}"/>
              </a:ext>
            </a:extLst>
          </xdr:cNvPr>
          <xdr:cNvPicPr>
            <a:picLocks noChangeAspect="1"/>
          </xdr:cNvPicPr>
        </xdr:nvPicPr>
        <xdr:blipFill>
          <a:blip xmlns:r="http://schemas.openxmlformats.org/officeDocument/2006/relationships" r:embed="rId3"/>
          <a:stretch>
            <a:fillRect/>
          </a:stretch>
        </xdr:blipFill>
        <xdr:spPr>
          <a:xfrm>
            <a:off x="126031" y="21598149"/>
            <a:ext cx="7599218" cy="4289261"/>
          </a:xfrm>
          <a:prstGeom prst="rect">
            <a:avLst/>
          </a:prstGeom>
        </xdr:spPr>
      </xdr:pic>
      <xdr:pic>
        <xdr:nvPicPr>
          <xdr:cNvPr id="17" name="Picture 16">
            <a:extLst>
              <a:ext uri="{FF2B5EF4-FFF2-40B4-BE49-F238E27FC236}">
                <a16:creationId xmlns:a16="http://schemas.microsoft.com/office/drawing/2014/main" id="{117AC9FB-B03A-DCB4-D1C5-2D4912C41DAF}"/>
              </a:ext>
            </a:extLst>
          </xdr:cNvPr>
          <xdr:cNvPicPr>
            <a:picLocks noChangeAspect="1"/>
          </xdr:cNvPicPr>
        </xdr:nvPicPr>
        <xdr:blipFill rotWithShape="1">
          <a:blip xmlns:r="http://schemas.openxmlformats.org/officeDocument/2006/relationships" r:embed="rId4"/>
          <a:srcRect l="1" r="680"/>
          <a:stretch/>
        </xdr:blipFill>
        <xdr:spPr>
          <a:xfrm>
            <a:off x="0" y="25942425"/>
            <a:ext cx="7715719" cy="4365405"/>
          </a:xfrm>
          <a:prstGeom prst="rect">
            <a:avLst/>
          </a:prstGeom>
        </xdr:spPr>
      </xdr:pic>
      <xdr:pic>
        <xdr:nvPicPr>
          <xdr:cNvPr id="19" name="Picture 18">
            <a:extLst>
              <a:ext uri="{FF2B5EF4-FFF2-40B4-BE49-F238E27FC236}">
                <a16:creationId xmlns:a16="http://schemas.microsoft.com/office/drawing/2014/main" id="{105C76D2-2C89-2D8F-9601-5F44BDF282D9}"/>
              </a:ext>
            </a:extLst>
          </xdr:cNvPr>
          <xdr:cNvPicPr>
            <a:picLocks noChangeAspect="1"/>
          </xdr:cNvPicPr>
        </xdr:nvPicPr>
        <xdr:blipFill rotWithShape="1">
          <a:blip xmlns:r="http://schemas.openxmlformats.org/officeDocument/2006/relationships" r:embed="rId5"/>
          <a:srcRect t="1783"/>
          <a:stretch/>
        </xdr:blipFill>
        <xdr:spPr>
          <a:xfrm>
            <a:off x="601714" y="773206"/>
            <a:ext cx="7205431" cy="3972458"/>
          </a:xfrm>
          <a:prstGeom prst="rect">
            <a:avLst/>
          </a:prstGeom>
        </xdr:spPr>
      </xdr:pic>
      <xdr:pic>
        <xdr:nvPicPr>
          <xdr:cNvPr id="22" name="Picture 21">
            <a:extLst>
              <a:ext uri="{FF2B5EF4-FFF2-40B4-BE49-F238E27FC236}">
                <a16:creationId xmlns:a16="http://schemas.microsoft.com/office/drawing/2014/main" id="{C561B53B-D76A-95CD-BAE1-C5A0F1CF1901}"/>
              </a:ext>
            </a:extLst>
          </xdr:cNvPr>
          <xdr:cNvPicPr>
            <a:picLocks noChangeAspect="1"/>
          </xdr:cNvPicPr>
        </xdr:nvPicPr>
        <xdr:blipFill>
          <a:blip xmlns:r="http://schemas.openxmlformats.org/officeDocument/2006/relationships" r:embed="rId6"/>
          <a:stretch>
            <a:fillRect/>
          </a:stretch>
        </xdr:blipFill>
        <xdr:spPr>
          <a:xfrm>
            <a:off x="21854" y="30330791"/>
            <a:ext cx="7725134" cy="4284011"/>
          </a:xfrm>
          <a:prstGeom prst="rect">
            <a:avLst/>
          </a:prstGeom>
        </xdr:spPr>
      </xdr:pic>
      <xdr:pic>
        <xdr:nvPicPr>
          <xdr:cNvPr id="24" name="Picture 23">
            <a:extLst>
              <a:ext uri="{FF2B5EF4-FFF2-40B4-BE49-F238E27FC236}">
                <a16:creationId xmlns:a16="http://schemas.microsoft.com/office/drawing/2014/main" id="{2EF9647D-DF9D-B295-3140-9C385250D824}"/>
              </a:ext>
            </a:extLst>
          </xdr:cNvPr>
          <xdr:cNvPicPr>
            <a:picLocks noChangeAspect="1"/>
          </xdr:cNvPicPr>
        </xdr:nvPicPr>
        <xdr:blipFill rotWithShape="1">
          <a:blip xmlns:r="http://schemas.openxmlformats.org/officeDocument/2006/relationships" r:embed="rId7"/>
          <a:srcRect l="1495"/>
          <a:stretch/>
        </xdr:blipFill>
        <xdr:spPr>
          <a:xfrm>
            <a:off x="165052" y="4731091"/>
            <a:ext cx="7646517" cy="4288587"/>
          </a:xfrm>
          <a:prstGeom prst="rect">
            <a:avLst/>
          </a:prstGeom>
        </xdr:spPr>
      </xdr:pic>
      <xdr:pic>
        <xdr:nvPicPr>
          <xdr:cNvPr id="2" name="Picture 1">
            <a:extLst>
              <a:ext uri="{FF2B5EF4-FFF2-40B4-BE49-F238E27FC236}">
                <a16:creationId xmlns:a16="http://schemas.microsoft.com/office/drawing/2014/main" id="{55A44EAE-D27C-F842-4C03-89BAF6AD26F8}"/>
              </a:ext>
            </a:extLst>
          </xdr:cNvPr>
          <xdr:cNvPicPr>
            <a:picLocks noChangeAspect="1"/>
          </xdr:cNvPicPr>
        </xdr:nvPicPr>
        <xdr:blipFill>
          <a:blip xmlns:r="http://schemas.openxmlformats.org/officeDocument/2006/relationships" r:embed="rId8"/>
          <a:stretch>
            <a:fillRect/>
          </a:stretch>
        </xdr:blipFill>
        <xdr:spPr>
          <a:xfrm>
            <a:off x="145677" y="9010699"/>
            <a:ext cx="7656792" cy="432066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8466</xdr:colOff>
      <xdr:row>2</xdr:row>
      <xdr:rowOff>5291</xdr:rowOff>
    </xdr:from>
    <xdr:to>
      <xdr:col>19</xdr:col>
      <xdr:colOff>467431</xdr:colOff>
      <xdr:row>16</xdr:row>
      <xdr:rowOff>2356</xdr:rowOff>
    </xdr:to>
    <xdr:pic>
      <xdr:nvPicPr>
        <xdr:cNvPr id="4" name="Picture 3">
          <a:extLst>
            <a:ext uri="{FF2B5EF4-FFF2-40B4-BE49-F238E27FC236}">
              <a16:creationId xmlns:a16="http://schemas.microsoft.com/office/drawing/2014/main" id="{D051CC10-23F3-4B70-833D-8BBE75C2AB0A}"/>
            </a:ext>
          </a:extLst>
        </xdr:cNvPr>
        <xdr:cNvPicPr>
          <a:picLocks noChangeAspect="1"/>
        </xdr:cNvPicPr>
      </xdr:nvPicPr>
      <xdr:blipFill>
        <a:blip xmlns:r="http://schemas.openxmlformats.org/officeDocument/2006/relationships" r:embed="rId1"/>
        <a:stretch>
          <a:fillRect/>
        </a:stretch>
      </xdr:blipFill>
      <xdr:spPr>
        <a:xfrm>
          <a:off x="8923866" y="437091"/>
          <a:ext cx="4911222" cy="26480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609600</xdr:colOff>
      <xdr:row>1</xdr:row>
      <xdr:rowOff>166159</xdr:rowOff>
    </xdr:from>
    <xdr:to>
      <xdr:col>19</xdr:col>
      <xdr:colOff>420827</xdr:colOff>
      <xdr:row>14</xdr:row>
      <xdr:rowOff>132917</xdr:rowOff>
    </xdr:to>
    <xdr:pic>
      <xdr:nvPicPr>
        <xdr:cNvPr id="4" name="Picture 3">
          <a:extLst>
            <a:ext uri="{FF2B5EF4-FFF2-40B4-BE49-F238E27FC236}">
              <a16:creationId xmlns:a16="http://schemas.microsoft.com/office/drawing/2014/main" id="{F02620BE-7F78-43AF-8DAE-B4A06DA3B5B1}"/>
            </a:ext>
          </a:extLst>
        </xdr:cNvPr>
        <xdr:cNvPicPr>
          <a:picLocks noChangeAspect="1"/>
        </xdr:cNvPicPr>
      </xdr:nvPicPr>
      <xdr:blipFill>
        <a:blip xmlns:r="http://schemas.openxmlformats.org/officeDocument/2006/relationships" r:embed="rId1"/>
        <a:stretch>
          <a:fillRect/>
        </a:stretch>
      </xdr:blipFill>
      <xdr:spPr>
        <a:xfrm>
          <a:off x="8877300" y="420159"/>
          <a:ext cx="4922229" cy="26940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567267</xdr:colOff>
      <xdr:row>1</xdr:row>
      <xdr:rowOff>168274</xdr:rowOff>
    </xdr:from>
    <xdr:to>
      <xdr:col>22</xdr:col>
      <xdr:colOff>372486</xdr:colOff>
      <xdr:row>21</xdr:row>
      <xdr:rowOff>135992</xdr:rowOff>
    </xdr:to>
    <xdr:pic>
      <xdr:nvPicPr>
        <xdr:cNvPr id="4" name="Picture 3">
          <a:extLst>
            <a:ext uri="{FF2B5EF4-FFF2-40B4-BE49-F238E27FC236}">
              <a16:creationId xmlns:a16="http://schemas.microsoft.com/office/drawing/2014/main" id="{2373B9DC-2334-411B-B783-94F36558AD25}"/>
            </a:ext>
          </a:extLst>
        </xdr:cNvPr>
        <xdr:cNvPicPr>
          <a:picLocks noChangeAspect="1"/>
        </xdr:cNvPicPr>
      </xdr:nvPicPr>
      <xdr:blipFill>
        <a:blip xmlns:r="http://schemas.openxmlformats.org/officeDocument/2006/relationships" r:embed="rId1"/>
        <a:stretch>
          <a:fillRect/>
        </a:stretch>
      </xdr:blipFill>
      <xdr:spPr>
        <a:xfrm>
          <a:off x="8834967" y="422274"/>
          <a:ext cx="6831040" cy="36602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12022</xdr:colOff>
      <xdr:row>103</xdr:row>
      <xdr:rowOff>27851</xdr:rowOff>
    </xdr:from>
    <xdr:to>
      <xdr:col>10</xdr:col>
      <xdr:colOff>1171574</xdr:colOff>
      <xdr:row>137</xdr:row>
      <xdr:rowOff>171450</xdr:rowOff>
    </xdr:to>
    <xdr:graphicFrame macro="">
      <xdr:nvGraphicFramePr>
        <xdr:cNvPr id="2" name="Chart 1">
          <a:extLst>
            <a:ext uri="{FF2B5EF4-FFF2-40B4-BE49-F238E27FC236}">
              <a16:creationId xmlns:a16="http://schemas.microsoft.com/office/drawing/2014/main" id="{E7023E5D-A965-4A11-8948-8AD6D8D03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35049</xdr:colOff>
      <xdr:row>103</xdr:row>
      <xdr:rowOff>3958</xdr:rowOff>
    </xdr:from>
    <xdr:to>
      <xdr:col>10</xdr:col>
      <xdr:colOff>993322</xdr:colOff>
      <xdr:row>142</xdr:row>
      <xdr:rowOff>68036</xdr:rowOff>
    </xdr:to>
    <xdr:graphicFrame macro="">
      <xdr:nvGraphicFramePr>
        <xdr:cNvPr id="2" name="Chart 1">
          <a:extLst>
            <a:ext uri="{FF2B5EF4-FFF2-40B4-BE49-F238E27FC236}">
              <a16:creationId xmlns:a16="http://schemas.microsoft.com/office/drawing/2014/main" id="{BFF9352F-10AA-474B-9879-76CE2253C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600200</xdr:colOff>
      <xdr:row>104</xdr:row>
      <xdr:rowOff>7134</xdr:rowOff>
    </xdr:from>
    <xdr:to>
      <xdr:col>10</xdr:col>
      <xdr:colOff>666750</xdr:colOff>
      <xdr:row>152</xdr:row>
      <xdr:rowOff>180975</xdr:rowOff>
    </xdr:to>
    <xdr:graphicFrame macro="">
      <xdr:nvGraphicFramePr>
        <xdr:cNvPr id="2" name="Chart 1">
          <a:extLst>
            <a:ext uri="{FF2B5EF4-FFF2-40B4-BE49-F238E27FC236}">
              <a16:creationId xmlns:a16="http://schemas.microsoft.com/office/drawing/2014/main" id="{E3EA3481-E972-40F5-A4DF-0D4F1C2D8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552449</xdr:colOff>
      <xdr:row>102</xdr:row>
      <xdr:rowOff>47882</xdr:rowOff>
    </xdr:from>
    <xdr:to>
      <xdr:col>10</xdr:col>
      <xdr:colOff>764721</xdr:colOff>
      <xdr:row>137</xdr:row>
      <xdr:rowOff>104775</xdr:rowOff>
    </xdr:to>
    <xdr:graphicFrame macro="">
      <xdr:nvGraphicFramePr>
        <xdr:cNvPr id="2" name="Chart 1">
          <a:extLst>
            <a:ext uri="{FF2B5EF4-FFF2-40B4-BE49-F238E27FC236}">
              <a16:creationId xmlns:a16="http://schemas.microsoft.com/office/drawing/2014/main" id="{391FDE07-3A0C-4B51-AF75-6A9828618B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93485</xdr:colOff>
      <xdr:row>139</xdr:row>
      <xdr:rowOff>78128</xdr:rowOff>
    </xdr:from>
    <xdr:to>
      <xdr:col>15</xdr:col>
      <xdr:colOff>642937</xdr:colOff>
      <xdr:row>153</xdr:row>
      <xdr:rowOff>85399</xdr:rowOff>
    </xdr:to>
    <xdr:graphicFrame macro="">
      <xdr:nvGraphicFramePr>
        <xdr:cNvPr id="3" name="Chart 2">
          <a:extLst>
            <a:ext uri="{FF2B5EF4-FFF2-40B4-BE49-F238E27FC236}">
              <a16:creationId xmlns:a16="http://schemas.microsoft.com/office/drawing/2014/main" id="{EF0DCF8C-274B-8485-BA0A-77678225B3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19</xdr:col>
      <xdr:colOff>446114</xdr:colOff>
      <xdr:row>15</xdr:row>
      <xdr:rowOff>40318</xdr:rowOff>
    </xdr:to>
    <xdr:pic>
      <xdr:nvPicPr>
        <xdr:cNvPr id="3" name="Picture 2">
          <a:extLst>
            <a:ext uri="{FF2B5EF4-FFF2-40B4-BE49-F238E27FC236}">
              <a16:creationId xmlns:a16="http://schemas.microsoft.com/office/drawing/2014/main" id="{E4F0007A-5531-40FC-A975-D0DA9ECA6DEC}"/>
            </a:ext>
          </a:extLst>
        </xdr:cNvPr>
        <xdr:cNvPicPr>
          <a:picLocks noChangeAspect="1"/>
        </xdr:cNvPicPr>
      </xdr:nvPicPr>
      <xdr:blipFill>
        <a:blip xmlns:r="http://schemas.openxmlformats.org/officeDocument/2006/relationships" r:embed="rId1"/>
        <a:stretch>
          <a:fillRect/>
        </a:stretch>
      </xdr:blipFill>
      <xdr:spPr>
        <a:xfrm>
          <a:off x="8909050" y="431800"/>
          <a:ext cx="4910164" cy="256761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19</xdr:col>
      <xdr:colOff>446390</xdr:colOff>
      <xdr:row>15</xdr:row>
      <xdr:rowOff>58310</xdr:rowOff>
    </xdr:to>
    <xdr:pic>
      <xdr:nvPicPr>
        <xdr:cNvPr id="4" name="Picture 3">
          <a:extLst>
            <a:ext uri="{FF2B5EF4-FFF2-40B4-BE49-F238E27FC236}">
              <a16:creationId xmlns:a16="http://schemas.microsoft.com/office/drawing/2014/main" id="{B1870D00-CFB8-458C-87CB-9E19A5F65A9D}"/>
            </a:ext>
          </a:extLst>
        </xdr:cNvPr>
        <xdr:cNvPicPr>
          <a:picLocks noChangeAspect="1"/>
        </xdr:cNvPicPr>
      </xdr:nvPicPr>
      <xdr:blipFill>
        <a:blip xmlns:r="http://schemas.openxmlformats.org/officeDocument/2006/relationships" r:embed="rId1"/>
        <a:stretch>
          <a:fillRect/>
        </a:stretch>
      </xdr:blipFill>
      <xdr:spPr>
        <a:xfrm>
          <a:off x="8909050" y="431800"/>
          <a:ext cx="4910164" cy="26332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2</xdr:row>
      <xdr:rowOff>25400</xdr:rowOff>
    </xdr:from>
    <xdr:to>
      <xdr:col>19</xdr:col>
      <xdr:colOff>445207</xdr:colOff>
      <xdr:row>15</xdr:row>
      <xdr:rowOff>121810</xdr:rowOff>
    </xdr:to>
    <xdr:pic>
      <xdr:nvPicPr>
        <xdr:cNvPr id="4" name="Picture 3">
          <a:extLst>
            <a:ext uri="{FF2B5EF4-FFF2-40B4-BE49-F238E27FC236}">
              <a16:creationId xmlns:a16="http://schemas.microsoft.com/office/drawing/2014/main" id="{15BAB9C5-D658-4FB9-B88D-73A07632B29F}"/>
            </a:ext>
          </a:extLst>
        </xdr:cNvPr>
        <xdr:cNvPicPr>
          <a:picLocks noChangeAspect="1"/>
        </xdr:cNvPicPr>
      </xdr:nvPicPr>
      <xdr:blipFill>
        <a:blip xmlns:r="http://schemas.openxmlformats.org/officeDocument/2006/relationships" r:embed="rId1"/>
        <a:stretch>
          <a:fillRect/>
        </a:stretch>
      </xdr:blipFill>
      <xdr:spPr>
        <a:xfrm>
          <a:off x="8934450" y="457200"/>
          <a:ext cx="4910164" cy="26522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609601</xdr:colOff>
      <xdr:row>2</xdr:row>
      <xdr:rowOff>7409</xdr:rowOff>
    </xdr:from>
    <xdr:to>
      <xdr:col>19</xdr:col>
      <xdr:colOff>502557</xdr:colOff>
      <xdr:row>16</xdr:row>
      <xdr:rowOff>10292</xdr:rowOff>
    </xdr:to>
    <xdr:pic>
      <xdr:nvPicPr>
        <xdr:cNvPr id="4" name="Picture 3">
          <a:extLst>
            <a:ext uri="{FF2B5EF4-FFF2-40B4-BE49-F238E27FC236}">
              <a16:creationId xmlns:a16="http://schemas.microsoft.com/office/drawing/2014/main" id="{EF9F4968-CC8D-44AC-B355-781BA21F01EC}"/>
            </a:ext>
          </a:extLst>
        </xdr:cNvPr>
        <xdr:cNvPicPr>
          <a:picLocks noChangeAspect="1"/>
        </xdr:cNvPicPr>
      </xdr:nvPicPr>
      <xdr:blipFill>
        <a:blip xmlns:r="http://schemas.openxmlformats.org/officeDocument/2006/relationships" r:embed="rId1"/>
        <a:stretch>
          <a:fillRect/>
        </a:stretch>
      </xdr:blipFill>
      <xdr:spPr>
        <a:xfrm>
          <a:off x="8883651" y="439209"/>
          <a:ext cx="4904237" cy="26842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vaga-dni-pc3\c\windows\TEMP\UAI-20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ENYUSUNAN%20RUPTL%202010-2019\Neraca%20Daya\ND%20%20LJB%20Final_05Okt09\Sultanbatara\CAPASITY_BALANCE\capbalance-2005\Forum_Jatim\2004\BAHAN%20SURABAYA\LKTW101\LAPORAN\CashFlow012001Anggar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bb/EAEA/1714%20Teknologidata%20kulkraft%20-%20Documents/Data/Biomass%20Tekkat%20from%20Ramb&#248;ll/ENSTEK-33-001-Data%20tables%20and%20calculation%20model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energianalyse.sharepoint.com/Users/bb/EAEA/1714%20Teknologidata%20kulkraft%20-%20Documents/Data/Biomass%20Tekkat%20from%20Ramb&#248;ll/ENSTEK-33-001-Data%20tables%20and%20calculation%20model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5.101.6\Documents%20and%20Settings\kendys\My%20Documents\LKAI%202008\Jatim%20LKAI2008%20RKAP2009%201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ruminto\lap-keu\sent\LKTW101\LAPORAN\CashFlow012001Anggar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naturi/Local%20Settings/Temporary%20Internet%20Files/OLK5D/IPP%20(version%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Cloud\Drive%20ESDM\@Home\Planning\Balmorel%20(DEA%20-%20Denmark)\Model\Core%202021%20(Cloud)\NZE\NZE_COP26_Cofiring\data\211028%20--%20Base%20NZE%20-%20GDX%20Input%20(COP26)_Cofir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Clients\PLN\PLN%20Budget\PLN%20budget%20forms\Lk200312-02-03-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Clients\PLN\PLN%20Budget\PLN%20budget%20forms\Lk200312-02-03-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My%20Documents\Pram\Stastistik\Kitlur\LAPORAN%20KINERJA%20TRW%20I%202004\My%20Documents\ERI%20P\KINERJA%20NTB\LKTW201\@PJB\LKSEM2001PJ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y%20Documents\Pram\Stastistik\Kitlur\LAPORAN%20KINERJA%20TRW%20I%202004\My%20Documents\ERI%20P\KINERJA%20NTB\LKTW101\LAPORAN\CashFlow012001Anggar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aenergianalyse.sharepoint.com/sites/Projekter2021/2050/Shared%20Documents/2.%20Financial%20Tool/Tool_v.08112023%20-%20bb2%20-%20Selected%20Regions%20-%20Dynamic%20Pricing%20-%20UNDER%20DEVELOPMENT%20-%20New%20Fi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bb/Desktop/balmoralproject/Tools%20for%20Balmorel/Map%20Interface/Balmorel%20Map%20Interface%20-%20Indonesi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el/Downloads/lcoe_calculator_with_ee_module_0%20(1).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ns.dk/0110_2014%20teknologikatalog%20opdat/Fase%203/PV%20HURTIG%20JAN2017/oktober%202017/Copy%20of%2020-23_electricity_generation_-_non-thermal_processes_solar%20PV%20_%20data%20sheet%20rin%2011ok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1"/>
      <sheetName val="REKAP2"/>
      <sheetName val="TRANS-A"/>
      <sheetName val="TRNS-C1"/>
      <sheetName val="TRANS-C2"/>
      <sheetName val="TRANS-C3"/>
      <sheetName val="TRANS-C4"/>
      <sheetName val="TEL"/>
      <sheetName val="FAS"/>
      <sheetName val="FORM-B ( Uai Per BL ) (1)"/>
      <sheetName val="FORM-B ( Uai Per BL ) (2)"/>
      <sheetName val="M"/>
      <sheetName val="C"/>
      <sheetName val="Losses (2)"/>
      <sheetName val="REKAP-MEI"/>
      <sheetName val="⼅킴`଀　ମ_x0000_ᰳ蠀ᰫ관킱쁠壢耄䢿਀_x0002_＀_xffff_ヿ଱ꠀᰳ耀ଘ਀_x0002_"/>
      <sheetName val="HARGA SATUAN"/>
      <sheetName val="TRNS_C1"/>
      <sheetName val="⼅킴`଀　ମ?ᰳ蠀ᰫ관킱쁠壢耄䢿਀_x0002_＀_xffff_ヿ଱ꠀᰳ耀ଘ਀_x0002_"/>
      <sheetName val="FORM-B_(_Uai_Per_BL_)_(1)"/>
      <sheetName val="FORM-B_(_Uai_Per_BL_)_(2)"/>
      <sheetName val="DATA-BASE SUTT"/>
      <sheetName val="⼅킴`଀　ମ"/>
      <sheetName val="⼅킴`଀　ମ_ᰳ蠀ᰫ관킱쁠壢耄䢿਀_x0002_＀_xffff_ヿ଱ꠀᰳ耀ଘ਀_x0002_"/>
      <sheetName val="石炭性状"/>
      <sheetName val="RPP 12 SEPT"/>
      <sheetName val="ca"/>
      <sheetName val="Testing"/>
      <sheetName val="12CGOU"/>
      <sheetName val="ME-KDS"/>
      <sheetName val="ME-BANTL"/>
      <sheetName val="ME-BTNG"/>
      <sheetName val="Parameter"/>
      <sheetName val="TRANS"/>
      <sheetName val="Inv_NAD"/>
      <sheetName val="Inv_RIAU"/>
      <sheetName val="PERHITUNGAN"/>
      <sheetName val="Sheet3"/>
      <sheetName val="M-PEG"/>
      <sheetName val="Analisa"/>
      <sheetName val="basic-price"/>
      <sheetName val="⼅킴`଀　ମ_x005f_x0000_ᰳ蠀ᰫ관킱쁠壢耄䢿਀_x005f_x0002_＀"/>
      <sheetName val="⼅킴`଀　ମ?ᰳ蠀ᰫ관킱쁠壢耄䢿਀_x005f_x0002_＀_xffff"/>
      <sheetName val="⼅킴`଀　ମ_ᰳ蠀ᰫ관킱쁠壢耄䢿਀_x005f_x0002_＀_xffff"/>
      <sheetName val="Menu"/>
      <sheetName val="UshDeb00"/>
      <sheetName val="W-NAD"/>
      <sheetName val="Sudah Berjalan"/>
      <sheetName val="Wil-2"/>
      <sheetName val="2008"/>
      <sheetName val="tabel-JHT"/>
      <sheetName val="01 A"/>
      <sheetName val="Rekap Kinerja"/>
      <sheetName val="KMS-DIS5"/>
      <sheetName val="Inv_SUMUT"/>
      <sheetName val="Inv_SUMBAR"/>
      <sheetName val="Inv_S2JB"/>
      <sheetName val="Inv_LAMPUNG"/>
      <sheetName val="Inv_KITLUR SUMBAGUT"/>
      <sheetName val="Inv_KITLUR SUMBAGSEL"/>
      <sheetName val="Inv_KALBAR"/>
      <sheetName val="Inv_SULUTENGGO"/>
      <sheetName val="Inv_KALTIM"/>
      <sheetName val="Inv_KALSELTENG"/>
      <sheetName val="Asumsi"/>
      <sheetName val="LabaRugi"/>
      <sheetName val="LOGRESUME"/>
      <sheetName val="Target Produksi"/>
      <sheetName val="REKAP PROD"/>
      <sheetName val="KINERJA"/>
      <sheetName val="R-SM-KIN"/>
      <sheetName val="Submission Form"/>
      <sheetName val="FLI - Sec.1"/>
      <sheetName val="matr aux"/>
      <sheetName val="matr engine"/>
      <sheetName val="⼅킴`଀　ମ_x0000_ᰳ蠀ᰫ관킱쁠壢耄䢿਀_x0002_＀"/>
      <sheetName val="⼅킴`଀　ମ_ᰳ蠀ᰫ관킱쁠壢耄䢿਀_x0002_＀_xffff"/>
      <sheetName val="Reference"/>
      <sheetName val="Location"/>
      <sheetName val="UAI-2000"/>
      <sheetName val="Produksi"/>
      <sheetName val="⼅킴`଀　ମ_x005f_x005f_x005f_x0000_ᰳ蠀ᰫ관킱쁠壢耄䢿਀_x"/>
      <sheetName val="⼅킴`଀　ମ_ᰳ蠀ᰫ관킱쁠壢耄䢿਀_x005f_x005f_x005f_x0002_＀"/>
      <sheetName val="⼅킴`଀　ମ?ᰳ蠀ᰫ관킱쁠壢耄䢿਀_x005f_x005f_x005f_x0002_＀"/>
      <sheetName val="Resume"/>
      <sheetName val="SUTT"/>
      <sheetName val="DivVII"/>
      <sheetName val="Bipeg-U(12D2)"/>
      <sheetName val="NRCPTK01"/>
      <sheetName val="LAMPIRAN"/>
      <sheetName val="⼅킴`଀　ମ_x005f_x005f_x005f_x005f_x005f_x005f_x005f_x0000_"/>
      <sheetName val="⼅킴`଀　ମ_ᰳ蠀ᰫ관킱쁠壢耄䢿਀_x005f_x005f_x005f_x005f_x"/>
      <sheetName val="⼅킴`଀　ମ?ᰳ蠀ᰫ관킱쁠壢耄䢿਀_x005f_x005f_x005f_x005f_x"/>
      <sheetName val="13.REFERENSI"/>
      <sheetName val="Sheet6"/>
      <sheetName val="SOURCE"/>
      <sheetName val="B"/>
      <sheetName val="A"/>
      <sheetName val="MASTER"/>
      <sheetName val="LR"/>
      <sheetName val="Laba Rugi"/>
      <sheetName val="AO 2017"/>
      <sheetName val="⼅킴`଀　ମ_x005f_x0000_ᰳ蠀ᰫ관킱쁠壢耄䢿਀_x"/>
      <sheetName val="⼅킴`଀　ମ_ᰳ蠀ᰫ관킱쁠壢耄䢿਀_x005f_x0002_＀"/>
      <sheetName val="⼅킴`଀　ମ_x005f_x005f_x005f_x0000_"/>
      <sheetName val="⼅킴`଀　ମ_ᰳ蠀ᰫ관킱쁠壢耄䢿਀_x005f_x005f_x"/>
      <sheetName val=""/>
      <sheetName val="app madiun"/>
      <sheetName val="app bali"/>
      <sheetName val="L20Keu"/>
      <sheetName val="Kamus"/>
      <sheetName val="GABLUARJAWA1 (2)"/>
      <sheetName val="rekap"/>
      <sheetName val="⼅킴`଀　ମ_x005f_x005f_x005f_x005f_"/>
      <sheetName val="⼅킴`଀　ମ_x0000_ᰳ蠀ᰫ관킱쁠壢耄䢿਀_x"/>
      <sheetName val="⼅킴`଀　ମ_ᰳ蠀ᰫ관킱쁠壢耄䢿਀_x0002_＀"/>
      <sheetName val="⼅킴`଀　ମ_x005f_x0000_"/>
      <sheetName val="⼅킴`଀　ମ_x005f_x005f_"/>
      <sheetName val="⼅킴`଀　ମ_ᰳ蠀ᰫ관킱쁠壢耄䢿਀_x"/>
      <sheetName val="Sheet2"/>
      <sheetName val="PRK-PAKET"/>
      <sheetName val="Pilihan"/>
      <sheetName val="REGION"/>
      <sheetName val="OFFGRID"/>
      <sheetName val="Hps"/>
      <sheetName val="PRK"/>
      <sheetName val="Rekapitulasi"/>
      <sheetName val="⼅킴`଀　ମ_x005f_x005f_x005f_x005f_x005f_x005f_x005f_x005f_"/>
      <sheetName val="LK 2006"/>
      <sheetName val="Uraian"/>
      <sheetName val="A.Alat"/>
      <sheetName val="REKAP Prbndingn"/>
      <sheetName val="INLAND FACTOR DISTANCE"/>
      <sheetName val="PkRp"/>
      <sheetName val="Twr (15)"/>
      <sheetName val="DES2003"/>
      <sheetName val="L_23"/>
      <sheetName val="hal 14b"/>
      <sheetName val="ACUAN"/>
      <sheetName val="Peralatan"/>
      <sheetName val="Master Edit"/>
      <sheetName val="Basic Price"/>
      <sheetName val="NP-7"/>
      <sheetName val="HSLAIN-LAIN"/>
      <sheetName val="Form-B-R1"/>
      <sheetName val="Preisbildungsblatt"/>
      <sheetName val="CiMaPlbStd"/>
      <sheetName val="rkap2008"/>
      <sheetName val="List"/>
      <sheetName val="Kuantitas &amp; Harga"/>
      <sheetName val="Des"/>
      <sheetName val="Beltra  (7)"/>
      <sheetName val="Catatan"/>
      <sheetName val="sept"/>
      <sheetName val="REFERENSI"/>
      <sheetName val="A u g"/>
      <sheetName val="J u l"/>
      <sheetName val="O c t"/>
      <sheetName val="A p r"/>
      <sheetName val="M a y"/>
      <sheetName val="S e p"/>
      <sheetName val="00 received in 01"/>
      <sheetName val="F e b"/>
      <sheetName val="Per GL J a n"/>
      <sheetName val="J u n"/>
      <sheetName val="M a r"/>
      <sheetName val="Assumptions"/>
      <sheetName val="Construction Period Costs"/>
      <sheetName val="Plant Characteristics"/>
      <sheetName val="Jakban"/>
      <sheetName val="HPE"/>
      <sheetName val="Database"/>
      <sheetName val="MS scc"/>
      <sheetName val="SEX"/>
      <sheetName val="RAB"/>
      <sheetName val="struktur tdk dipakai"/>
      <sheetName val="JSiar"/>
      <sheetName val="Instalasi"/>
      <sheetName val="LOADDAT"/>
      <sheetName val="PNT-QUOT-#3"/>
      <sheetName val="COAT&amp;WRAP-QIOT-#3"/>
      <sheetName val="⼅킴`଀　ମ_"/>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킴`଀　ମ?ᰳ蠀ᰫ관킱쁠壢耄䢿਀_x0002_＀"/>
      <sheetName val="⼅킴`଀　ମ?ᰳ蠀ᰫ관킱쁠壢耄䢿਀_x"/>
      <sheetName val="AN-MAJOR"/>
      <sheetName val="CashFlow"/>
      <sheetName val="Analisa (Okey)"/>
      <sheetName val="Sch-5"/>
      <sheetName val="CALC"/>
      <sheetName val="Cover"/>
      <sheetName val="trenprod2001"/>
      <sheetName val="Kin1TH"/>
      <sheetName val="Res142001"/>
      <sheetName val="GrafikProd"/>
      <sheetName val="Kin3BLN"/>
      <sheetName val="Kin1BLN"/>
      <sheetName val="Kin2TH"/>
      <sheetName val="Kin2BLN"/>
      <sheetName val="XREF"/>
      <sheetName val="61005"/>
      <sheetName val="61007"/>
      <sheetName val="MAP"/>
      <sheetName val="H.Dasar"/>
      <sheetName val="GAB"/>
      <sheetName val="TABEL"/>
      <sheetName val="Assumptions (2)"/>
      <sheetName val="FORM 12-RB"/>
      <sheetName val="Auditor"/>
      <sheetName val="Isian PKA"/>
      <sheetName val="DivVI"/>
      <sheetName val="bahan"/>
      <sheetName val="Mobilisasi div-1"/>
      <sheetName val="Sheet1"/>
      <sheetName val="⼅킴`଀　ମ?ᰳ蠀ᰫ관킱쁠壢耄䢿਀_x005f_x0002_＀"/>
      <sheetName val="BASIC DATA SHEET"/>
      <sheetName val="CONTENTS"/>
      <sheetName val="LEGEND AND NAME DATA SHEET"/>
      <sheetName val="RPP_12_SEPT"/>
      <sheetName val="뜃맟뭁돽띿맟__BLDG"/>
      <sheetName val="THN-7"/>
      <sheetName val="jasa rehab"/>
      <sheetName val="jasa pondasi"/>
      <sheetName val="jasa rekon material"/>
      <sheetName val="Analis"/>
      <sheetName val="FORM-B_(_Uai_Per_BL_)_(1)1"/>
      <sheetName val="FORM-B_(_Uai_Per_BL_)_(2)1"/>
      <sheetName val="Losses_(2)"/>
      <sheetName val="⼅킴`଀　ମᰳ蠀ᰫ관킱쁠壢耄䢿਀＀ヿ଱ꠀᰳ耀ଘ਀"/>
      <sheetName val="HARGA_SATUAN"/>
      <sheetName val="⼅킴`଀　ମ?ᰳ蠀ᰫ관킱쁠壢耄䢿਀＀ヿ଱ꠀᰳ耀ଘ਀"/>
      <sheetName val="⼅킴`଀　ମ_ᰳ蠀ᰫ관킱쁠壢耄䢿਀＀ヿ଱ꠀᰳ耀ଘ਀"/>
      <sheetName val="DATA-BASE_SUTT"/>
      <sheetName val="Sudah_Berjalan"/>
      <sheetName val="01_A"/>
      <sheetName val="Rekap_Kinerja"/>
      <sheetName val="Inv_KITLUR_SUMBAGUT"/>
      <sheetName val="Inv_KITLUR_SUMBAGSEL"/>
      <sheetName val="Target_Produksi"/>
      <sheetName val="REKAP_PROD"/>
      <sheetName val="Submission_Form"/>
      <sheetName val="FLI_-_Sec_1"/>
      <sheetName val="matr_aux"/>
      <sheetName val="matr_engine"/>
      <sheetName val="⼅킴`଀　ମᰳ蠀ᰫ관킱쁠壢耄䢿਀＀"/>
      <sheetName val="⼅킴`଀　ମ_ᰳ蠀ᰫ관킱쁠壢耄䢿਀＀_xffff"/>
      <sheetName val="Laba_Rugi"/>
      <sheetName val="AO_2017"/>
      <sheetName val="13_REFERENSI"/>
      <sheetName val="app_madiun"/>
      <sheetName val="app_bali"/>
      <sheetName val="⼅킴`଀　ମ_ᰳ蠀ᰫ관킱쁠壢耄䢿਀＀"/>
      <sheetName val="GABLUARJAWA1_(2)"/>
      <sheetName val="uts"/>
      <sheetName val="FailureMode"/>
      <sheetName val="Code"/>
      <sheetName val="THN-6"/>
      <sheetName val="Inv_MALUKU"/>
      <sheetName val="R SD-REKAP1"/>
      <sheetName val="summary-1"/>
      <sheetName val="BAG-2"/>
      <sheetName val="Taksonomi Risiko"/>
      <sheetName val="SCH2"/>
      <sheetName val="RAP"/>
      <sheetName val="Hopf"/>
      <sheetName val="Data"/>
      <sheetName val="KLASIFIKASI"/>
      <sheetName val="CMK"/>
      <sheetName val="chitimc"/>
      <sheetName val="dongia (2)"/>
      <sheetName val="giathanh1"/>
      <sheetName val="Currency Rate"/>
      <sheetName val="⼅킴`଀　ମ?ᰳ蠀ᰫ관킱쁠壢耄䢿਀_x0002_＀_xffff"/>
      <sheetName val="⼅킴`଀　ମ?ᰳ蠀ᰫ관킱쁠壢耄䢿਀_x005f_x005f_x"/>
      <sheetName val="Ex-Rate"/>
      <sheetName val="THPDMoi  (2)"/>
      <sheetName val="gtrinh"/>
      <sheetName val="phuluc1"/>
      <sheetName val="lam-moi"/>
      <sheetName val="thao-go"/>
      <sheetName val="TONGKE-HT"/>
      <sheetName val="dtxl"/>
      <sheetName val="t-h HA THE"/>
      <sheetName val="CHITIET VL-NC-TT -1p"/>
      <sheetName val="TONG HOP VL-NC TT"/>
      <sheetName val="TH XL"/>
      <sheetName val="VC"/>
      <sheetName val="CHITIET VL-NC-TT-3p"/>
      <sheetName val="TDTKP1"/>
      <sheetName val="KPVC-BD "/>
      <sheetName val="GABUNGAN"/>
      <sheetName val="Transfer"/>
      <sheetName val="FJ per BLN"/>
      <sheetName val="1"/>
      <sheetName val="SUM"/>
      <sheetName val="BD3"/>
      <sheetName val="BQ-Arun"/>
      <sheetName val="OPTION"/>
      <sheetName val="HPP"/>
      <sheetName val="HARGA MATERIAL"/>
      <sheetName val="Jenis Pemeliharaan"/>
      <sheetName val="Kode User"/>
      <sheetName val="L-4a,b"/>
      <sheetName val="BoQ"/>
      <sheetName val="anls by sewa"/>
      <sheetName val="WAN"/>
      <sheetName val="BD prix PDR"/>
      <sheetName val="Scope"/>
      <sheetName val="DFTR GARDIST"/>
      <sheetName val="F1771-2"/>
      <sheetName val="Resource Plan (2)"/>
      <sheetName val="rekmodiPtk (MAP)"/>
      <sheetName val="TID1_Old"/>
      <sheetName val="FORM A1_A2  Tangerang"/>
      <sheetName val="FORM A1_A2  Gambir"/>
      <sheetName val="FORM A1_A2  Kebayoran"/>
      <sheetName val="FORM A1_A2  Kramatjati"/>
      <sheetName val="FORM A1_A2 KD"/>
      <sheetName val="Basket 6"/>
      <sheetName val="Trunking"/>
      <sheetName val="H MAT"/>
      <sheetName val="graf2"/>
      <sheetName val="Analisa 600"/>
      <sheetName val="Fungsi"/>
      <sheetName val="SITE-E"/>
      <sheetName val="Kpg"/>
      <sheetName val="Pry"/>
      <sheetName val="Gab.Cab"/>
      <sheetName val="blk"/>
      <sheetName val="Krn"/>
      <sheetName val="Ksg"/>
      <sheetName val="skm"/>
      <sheetName val="UPpry"/>
      <sheetName val="Pbn"/>
      <sheetName val="Spt"/>
      <sheetName val="target"/>
      <sheetName val="PDPT - BL"/>
      <sheetName val="AHS "/>
      <sheetName val="pricing"/>
      <sheetName val="upah"/>
      <sheetName val="FORM A12BJI"/>
      <sheetName val="FORM A12MED"/>
      <sheetName val="FORM A12NIA"/>
      <sheetName val="FORM A12PKM"/>
      <sheetName val="FORM A12RAP"/>
      <sheetName val="FORM A12PMS"/>
      <sheetName val="FORM A12SBG"/>
      <sheetName val="Penjualan"/>
      <sheetName val="ProdSendiri"/>
      <sheetName val="PS&amp;Susut TL"/>
      <sheetName val="SewaBeli"/>
      <sheetName val="Listrik Mati 05"/>
      <sheetName val="Listrik Mati 06"/>
      <sheetName val="Tabel Kode"/>
      <sheetName val="SK"/>
      <sheetName val="Tunduk Panitia"/>
      <sheetName val="prod03"/>
      <sheetName val="Sheet5"/>
      <sheetName val="Kontrol"/>
      <sheetName val="ESCON"/>
      <sheetName val="L-R"/>
      <sheetName val="NerSubsis"/>
      <sheetName val="terbilang HPE"/>
      <sheetName val="Hari libur"/>
      <sheetName val="Jadwal"/>
      <sheetName val="Monitoring"/>
      <sheetName val="0.Scedule"/>
      <sheetName val="Smp 5S-2019"/>
      <sheetName val="Calder"/>
      <sheetName val="0.Scedule (Plan)"/>
      <sheetName val="1. Jadwal"/>
      <sheetName val="ND Pj_DIK"/>
      <sheetName val="4. Bukti "/>
      <sheetName val="5. Ceklist ( Potrait )"/>
      <sheetName val="5a. Ceklist"/>
      <sheetName val="5b. Ceklist"/>
      <sheetName val="6a. Periksa"/>
      <sheetName val="6b. Periksa"/>
      <sheetName val="7. BA PPTUP"/>
      <sheetName val="16. Pakta Intgs"/>
      <sheetName val="12. PEM- B ACARA"/>
      <sheetName val="ELEKTRONIK"/>
      <sheetName val="ELEKTRIKAL"/>
      <sheetName val="MEKANIKAL"/>
      <sheetName val="REKAP BAHAN"/>
      <sheetName val="TAP"/>
      <sheetName val="Prog Desc"/>
      <sheetName val="HU 2017"/>
      <sheetName val="AO"/>
      <sheetName val="Tabel (AO)"/>
      <sheetName val="Luncuran 2017"/>
      <sheetName val="AI"/>
      <sheetName val="REVISI SKKI"/>
      <sheetName val="SUMMARY"/>
      <sheetName val="Tabel (AI)"/>
      <sheetName val="Surat Pengembalian AI"/>
      <sheetName val="⼅킴`଀　ମ_ᰳ蠀ᰫ관킱쁠壢耄䢿਀_x005f_x0002_＀ヿ଱ꠀᰳ耀ଘ"/>
      <sheetName val="HARGA BAHAN BAKU"/>
      <sheetName val="BOQ Rekap"/>
      <sheetName val="D-Bahan &amp; Upah"/>
      <sheetName val="div-6"/>
      <sheetName val="div-7"/>
      <sheetName val="struktur_tdk_dipakai"/>
      <sheetName val="REKAP_Prbndingn"/>
      <sheetName val="⼅킴`଀　ମ?ᰳ蠀ᰫ관킱쁠壢耄䢿਀＀"/>
      <sheetName val="Twr_(15)"/>
      <sheetName val="A_u_g"/>
      <sheetName val="J_u_l"/>
      <sheetName val="O_c_t"/>
      <sheetName val="A_p_r"/>
      <sheetName val="M_a_y"/>
      <sheetName val="S_e_p"/>
      <sheetName val="00_received_in_01"/>
      <sheetName val="F_e_b"/>
      <sheetName val="Per_GL_J_a_n"/>
      <sheetName val="J_u_n"/>
      <sheetName val="M_a_r"/>
      <sheetName val="3-DIV5"/>
      <sheetName val="3-DIV3"/>
      <sheetName val="terbilang"/>
      <sheetName val="H.BAHAN"/>
      <sheetName val="SWJJR"/>
      <sheetName val="JDPN"/>
      <sheetName val="KLYT"/>
      <sheetName val="BNL"/>
      <sheetName val="SGS"/>
      <sheetName val="PDWG"/>
      <sheetName val="BMYU"/>
      <sheetName val="Peralatan-ok jgn dirubah lagi"/>
      <sheetName val="TP_DATABASE"/>
      <sheetName val="MM.PAGE-2.X"/>
      <sheetName val="I-Rutin Switchgear"/>
      <sheetName val="I-Rutin SUTT"/>
      <sheetName val="I-Rutin Banghal"/>
      <sheetName val="⼅킴`଀　ମ_ᰳ蠀ᰫ관킱쁠壢耄䢿਀_x0002_＀ヿ଱ꠀᰳ耀ଘ"/>
      <sheetName val="Quote"/>
      <sheetName val="Rincian AI 5 Tahun_BK"/>
      <sheetName val="DAFGED"/>
      <sheetName val="HARGA ALAT"/>
      <sheetName val="HS"/>
      <sheetName val="FORM A12 BJI"/>
      <sheetName val="FORM A12PMS 2011"/>
      <sheetName val="FORM A12PSP"/>
      <sheetName val="FORM A12 SBG"/>
      <sheetName val="Fixset"/>
      <sheetName val="Legend"/>
      <sheetName val="PUNCAK-89"/>
      <sheetName val="Isian"/>
      <sheetName val="AKTIVA"/>
      <sheetName val="Kontrak vs Realisasi Gas"/>
      <sheetName val="Daftar Peserta"/>
      <sheetName val="Simulasi SPPD"/>
      <sheetName val="Data asli"/>
      <sheetName val="Database SPPD ke JKT"/>
      <sheetName val="HW"/>
      <sheetName val="harga"/>
      <sheetName val="EPC"/>
      <sheetName val="UshDeb0"/>
      <sheetName val="W1"/>
      <sheetName val="terbilang PP"/>
      <sheetName val="indek PP"/>
      <sheetName val="ND PP"/>
      <sheetName val="12. ND bMS"/>
      <sheetName val="13. SPPBJ"/>
      <sheetName val="15. Srt. Konfirm. BG"/>
      <sheetName val="Vol."/>
      <sheetName val="Material"/>
      <sheetName val="data list"/>
      <sheetName val="Pdemin"/>
      <sheetName val="Gangguan"/>
      <sheetName val="Pemeliharaan"/>
      <sheetName val="Cover1"/>
      <sheetName val="mu"/>
      <sheetName val="DAF-1"/>
      <sheetName val="Pt"/>
      <sheetName val="MAT&amp;LABOR"/>
      <sheetName val="Rkp1"/>
      <sheetName val="AC"/>
      <sheetName val="⼅킴`଀　ମ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100"/>
      <sheetName val="001"/>
      <sheetName val="BB2000"/>
      <sheetName val="LK2001"/>
      <sheetName val="KK2000"/>
      <sheetName val="CF2000"/>
      <sheetName val="BB2001"/>
      <sheetName val="KK2001"/>
      <sheetName val="CF2001"/>
      <sheetName val="CFAnggaran"/>
      <sheetName val="SPDana"/>
      <sheetName val="CFLK2001"/>
      <sheetName val="UshDebtw101"/>
      <sheetName val="UshDeb00"/>
      <sheetName val="UshDeb03001"/>
      <sheetName val="GABUNGAN"/>
      <sheetName val="Sheet1"/>
      <sheetName val="Sheet2"/>
      <sheetName val="Sheet3"/>
      <sheetName val="Pk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Scenario sheet"/>
      <sheetName val="Basis assumptions"/>
      <sheetName val="Energy model"/>
      <sheetName val="Turbine system efficiencies"/>
      <sheetName val="DH WtE"/>
      <sheetName val="Small WtE"/>
      <sheetName val="Medium WtE"/>
      <sheetName val="Large WtE"/>
      <sheetName val="DH Wood Chips"/>
      <sheetName val="Small Wood Chips"/>
      <sheetName val="Medium Wood Chips"/>
      <sheetName val="Large Wood Chips"/>
      <sheetName val="DH Wood Pellets"/>
      <sheetName val="Small Wood Pellets"/>
      <sheetName val="Medium Wood Pellets"/>
      <sheetName val="Large Wood Pellets"/>
      <sheetName val="DH Straw"/>
      <sheetName val="Small Straw"/>
      <sheetName val="Medium Straw"/>
      <sheetName val="Large Straw"/>
    </sheetNames>
    <sheetDataSet>
      <sheetData sheetId="0" refreshError="1">
        <row r="3">
          <cell r="C3">
            <v>7.45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Scenario sheet"/>
      <sheetName val="Basis assumptions"/>
      <sheetName val="Energy model"/>
      <sheetName val="Turbine system efficiencies"/>
      <sheetName val="DH WtE"/>
      <sheetName val="Small WtE"/>
      <sheetName val="Medium WtE"/>
      <sheetName val="Large WtE"/>
      <sheetName val="DH Wood Chips"/>
      <sheetName val="Small Wood Chips"/>
      <sheetName val="Medium Wood Chips"/>
      <sheetName val="Large Wood Chips"/>
      <sheetName val="DH Wood Pellets"/>
      <sheetName val="Small Wood Pellets"/>
      <sheetName val="Medium Wood Pellets"/>
      <sheetName val="Large Wood Pellets"/>
      <sheetName val="DH Straw"/>
      <sheetName val="Small Straw"/>
      <sheetName val="Medium Straw"/>
      <sheetName val="Large Straw"/>
    </sheetNames>
    <sheetDataSet>
      <sheetData sheetId="0" refreshError="1">
        <row r="3">
          <cell r="C3">
            <v>7.45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ket2009"/>
      <sheetName val="Input non sar rev"/>
      <sheetName val="Petunjuk"/>
      <sheetName val="Kamus"/>
      <sheetName val="Rekapitulasi"/>
      <sheetName val="Basket"/>
      <sheetName val="JTM"/>
      <sheetName val="JTR"/>
      <sheetName val="Gardu"/>
      <sheetName val="SR"/>
      <sheetName val="KWhmeter"/>
      <sheetName val="UAI"/>
      <sheetName val="Cover"/>
      <sheetName val="Input non sar"/>
      <sheetName val="Input sar"/>
      <sheetName val="F-A12 non sar (1)"/>
      <sheetName val="F-A12 non sar (2)"/>
      <sheetName val="F-A12 sar (1)"/>
      <sheetName val="F-A12 sar (2)"/>
      <sheetName val="rab non sar"/>
      <sheetName val="rab sar"/>
      <sheetName val="perbandingan"/>
      <sheetName val="FORM A12"/>
      <sheetName val="Rekap000"/>
      <sheetName val="Basket000"/>
      <sheetName val="JTM000"/>
      <sheetName val="JTR000"/>
      <sheetName val="Gardu000"/>
      <sheetName val="SR000"/>
      <sheetName val="kWhmeter0"/>
      <sheetName val="UAI000"/>
      <sheetName val="UshDeb00"/>
      <sheetName val="Asumsi"/>
      <sheetName val="Sheet1"/>
      <sheetName val="REF-pku"/>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100"/>
      <sheetName val="001"/>
      <sheetName val="BB2000"/>
      <sheetName val="LK2001"/>
      <sheetName val="KK2000"/>
      <sheetName val="CF2000"/>
      <sheetName val="BB2001"/>
      <sheetName val="KK2001"/>
      <sheetName val="CF2001"/>
      <sheetName val="CFAnggaran"/>
      <sheetName val="SPDana"/>
      <sheetName val="CFLK2001"/>
      <sheetName val="UshDebtw101"/>
      <sheetName val="UshDeb00"/>
      <sheetName val="UshDeb03001"/>
      <sheetName val="SBS-SBT"/>
      <sheetName val="GABUNGAN"/>
      <sheetName val="Sheet1"/>
      <sheetName val="Sheet2"/>
      <sheetName val="Sheet3"/>
      <sheetName val="CashFlow012001Anggaran"/>
      <sheetName val="DENPASAR"/>
      <sheetName val="Asumsi"/>
      <sheetName val="Ref"/>
      <sheetName val="L_23"/>
      <sheetName val="Penjualan"/>
      <sheetName val="PdptBP"/>
      <sheetName val="PdptLain"/>
      <sheetName val="ProdVolBiaya"/>
      <sheetName val="IPP"/>
      <sheetName val="Sewa"/>
      <sheetName val="Har"/>
      <sheetName val="BPeg"/>
      <sheetName val="Depr"/>
      <sheetName val="BAdmin"/>
      <sheetName val="LuarOperasi"/>
      <sheetName val="ca"/>
      <sheetName val="ENERGI MIX 2005-2010-OK-rev2"/>
      <sheetName val="Resum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ah Berjalan"/>
      <sheetName val="Rencana Penambahan"/>
      <sheetName val="W-NAD"/>
      <sheetName val="PRK"/>
      <sheetName val="Sheet5"/>
      <sheetName val="UshDeb00"/>
      <sheetName val="beban"/>
      <sheetName val="LAIN2"/>
      <sheetName val="SUTT"/>
      <sheetName val="INPUT HARGA"/>
      <sheetName val="Sheet3"/>
      <sheetName val="TRANS"/>
      <sheetName val="hal 14b"/>
      <sheetName val="1.BELI"/>
      <sheetName val="3.SUSUT-Versi SE 018-2011"/>
      <sheetName val="3.SUSUT-Versi SE 010"/>
      <sheetName val="3.SUSUT-III-07"/>
      <sheetName val="4.RP PEND"/>
      <sheetName val="5.RP-kWH"/>
      <sheetName val="7.DELTA DAYA"/>
      <sheetName val="Ganggu-trf"/>
      <sheetName val="LAMA"/>
      <sheetName val="Resume"/>
      <sheetName val="IPP (version 1)"/>
      <sheetName val="ca"/>
      <sheetName val="Sheet1"/>
      <sheetName val="rkap2008"/>
      <sheetName val="List"/>
      <sheetName val="NO VENDOR"/>
      <sheetName val="aruskas"/>
      <sheetName val="REKAP KONSTRUKSI"/>
      <sheetName val="NerSubsis"/>
      <sheetName val="01 A"/>
      <sheetName val="FAS"/>
      <sheetName val="IPTL23"/>
      <sheetName val="Rekap"/>
      <sheetName val="Asumsi"/>
      <sheetName val="Kontrol"/>
      <sheetName val="ANAL-"/>
      <sheetName val="W1"/>
      <sheetName val="HARG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Rp"/>
      <sheetName val="PkVal"/>
      <sheetName val="PkJtRp"/>
      <sheetName val="PkJtVal"/>
      <sheetName val="ByDkpRp"/>
      <sheetName val="ByDkpVal"/>
      <sheetName val="ByDkpJtRp"/>
      <sheetName val="ByDkpJtVal"/>
      <sheetName val="ByPinjRp"/>
      <sheetName val="ByPinjVal"/>
      <sheetName val="Asumsi"/>
      <sheetName val="NERACA DAYA"/>
      <sheetName val="M"/>
      <sheetName val="C"/>
      <sheetName val="TRNS-C1"/>
      <sheetName val="DJBB PNYL"/>
      <sheetName val="Chart gang BOGOR"/>
      <sheetName val="MESIN_KIT"/>
      <sheetName val="B.P-C.P 2006"/>
      <sheetName val="Kode"/>
      <sheetName val="DJBB_PNYL"/>
      <sheetName val="Chart_gang_BOGOR"/>
      <sheetName val="NERACA_DAYA"/>
      <sheetName val="B_P-C_P_2006"/>
      <sheetName val="Data"/>
      <sheetName val="Resource_Plan_(2)"/>
      <sheetName val="Kontrol"/>
      <sheetName val="Cover"/>
      <sheetName val="LabaRugi"/>
      <sheetName val="GABLUARJAWA1_(2)"/>
      <sheetName val="Kamus"/>
      <sheetName val="HARGA SATUAN"/>
      <sheetName val="R-SM-K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kRp"/>
      <sheetName val="PkVal"/>
      <sheetName val="PkJtRp"/>
      <sheetName val="PkJtVal"/>
      <sheetName val="ByDkpRp"/>
      <sheetName val="ByDkpVal"/>
      <sheetName val="ByDkpJtRp"/>
      <sheetName val="ByDkpJtVal"/>
      <sheetName val="ByPinjRp"/>
      <sheetName val="ByPinjVal"/>
      <sheetName val="Asumsi"/>
      <sheetName val="NERACA DAYA"/>
      <sheetName val="M"/>
      <sheetName val="C"/>
      <sheetName val="TRNS-C1"/>
      <sheetName val="DJBB PNYL"/>
      <sheetName val="Chart gang BOGOR"/>
      <sheetName val="MESIN_KIT"/>
      <sheetName val="B.P-C.P 2006"/>
      <sheetName val="Kode"/>
      <sheetName val="DJBB_PNYL"/>
      <sheetName val="Chart_gang_BOGOR"/>
      <sheetName val="NERACA_DAYA"/>
      <sheetName val="B_P-C_P_2006"/>
      <sheetName val="Data"/>
      <sheetName val="Resource_Plan_(2)"/>
      <sheetName val="Kontrol"/>
      <sheetName val="Cover"/>
      <sheetName val="LabaRugi"/>
      <sheetName val="GABLUARJAWA1_(2)"/>
      <sheetName val="Kamus"/>
      <sheetName val="HARGA SATUAN"/>
      <sheetName val="R-SM-KIN"/>
      <sheetName val="List"/>
      <sheetName val="FORM REN RUTIN KIT"/>
      <sheetName val="Layout-UNIT1"/>
      <sheetName val="Location"/>
      <sheetName val="Submission Form"/>
      <sheetName val="Produksi"/>
      <sheetName val="BRUT0-1"/>
      <sheetName val="Lk200312-02-03-04"/>
      <sheetName val="Prod.Harian"/>
      <sheetName val="REKAP"/>
      <sheetName val="Usia"/>
      <sheetName val="ca"/>
      <sheetName val="PERIODIK"/>
      <sheetName val="pddk"/>
      <sheetName val="UshDeb00"/>
      <sheetName val="W-NAD"/>
      <sheetName val="M-PEG"/>
      <sheetName val="Sudah Berjalan"/>
      <sheetName val="Wil-2"/>
      <sheetName val="tabel JHT"/>
      <sheetName val="NRCPTK01"/>
      <sheetName val="L-rok"/>
      <sheetName val="sk17-76-78"/>
      <sheetName val="Listrik Mati 05"/>
      <sheetName val="Listrik Mati 06"/>
      <sheetName val="Tabel Kode"/>
      <sheetName val="Code"/>
      <sheetName val="THN-7"/>
      <sheetName val="Da AN BRAT TWR"/>
      <sheetName val="trenprod2001"/>
      <sheetName val="Kin1TH"/>
      <sheetName val="Res142001"/>
      <sheetName val="GrafikProd"/>
      <sheetName val="Kin3BLN"/>
      <sheetName val="Kin1BLN"/>
      <sheetName val="Kin2TH"/>
      <sheetName val="Kin2BLN"/>
      <sheetName val="L-PENGUS-24.00"/>
      <sheetName val="KINERJA"/>
      <sheetName val="Eval.bln.Okt'15"/>
      <sheetName val="ROH PBS"/>
      <sheetName val="PBS"/>
      <sheetName val="ROH JAM 07-14"/>
      <sheetName val="JLK"/>
      <sheetName val="ROH JAM 15-21"/>
      <sheetName val="ROH JAM 00-06"/>
      <sheetName val="TIMO"/>
      <sheetName val="GRG"/>
      <sheetName val="KTG"/>
      <sheetName val="WDL"/>
      <sheetName val="PJKL"/>
      <sheetName val="KDO"/>
      <sheetName val="KLB"/>
      <sheetName val="SMPR"/>
      <sheetName val="SDRJ"/>
      <sheetName val="WNG"/>
      <sheetName val="Input T&amp;R Prod"/>
      <sheetName val="Instalasi"/>
      <sheetName val="ACUAN"/>
      <sheetName val="GABLUARJAWA1 (2)"/>
      <sheetName val="THN-6"/>
      <sheetName val="Form-B-R1"/>
      <sheetName val="Twr (15)"/>
      <sheetName val="WAN"/>
      <sheetName val="INLAND FACTOR DISTANCE"/>
      <sheetName val="tabel-JHT"/>
      <sheetName val="Uraian"/>
      <sheetName val="Catatan"/>
      <sheetName val="TID1_Old"/>
      <sheetName val="FORM A1_A2  Tangerang"/>
      <sheetName val="FORM A1_A2  Gambir"/>
      <sheetName val="FORM A1_A2  Kebayoran"/>
      <sheetName val="FORM A1_A2  Kramatjati"/>
      <sheetName val="FORM A1_A2 KD"/>
      <sheetName val="Basket 6"/>
      <sheetName val="Trunking"/>
      <sheetName val="L_23"/>
      <sheetName val="prod03"/>
      <sheetName val="Sheet5"/>
      <sheetName val="ANALISA"/>
      <sheetName val="AN-MAJOR"/>
      <sheetName val="DivVI"/>
      <sheetName val="bahan"/>
      <sheetName val="Pareto_SKR#2"/>
      <sheetName val="Pareto_SKR#3"/>
      <sheetName val="Kuantitas &amp; Harga"/>
      <sheetName val="D-2"/>
      <sheetName val="Sheet3"/>
      <sheetName val="Sheet6"/>
      <sheetName val="Jenis Pelatihan"/>
      <sheetName val="scada 2001"/>
      <sheetName val="A"/>
      <sheetName val="KUMULATIP"/>
      <sheetName val="KMS-DIS5"/>
      <sheetName val="MENU"/>
      <sheetName val="PARAMETER"/>
      <sheetName val="analis"/>
      <sheetName val="DGGKIT+ Derating"/>
      <sheetName val="WORKPLAN GROWS R KARANGNUNGGAL"/>
      <sheetName val="F-1"/>
      <sheetName val="TRANS"/>
      <sheetName val="PTG"/>
      <sheetName val="Daftar"/>
      <sheetName val="MST"/>
      <sheetName val="B"/>
      <sheetName val="Sheet1"/>
      <sheetName val="REK-PEG"/>
      <sheetName val="FLI - Sec.1"/>
      <sheetName val="Transfer"/>
      <sheetName val="SewaBeli"/>
      <sheetName val="REFERENSI"/>
      <sheetName val="Sch-5"/>
      <sheetName val="Harga BBM Indonesia"/>
      <sheetName val="analhps Pasng"/>
      <sheetName val="CMK"/>
      <sheetName val="JTM"/>
      <sheetName val="TUL III-09"/>
      <sheetName val="Inv_MALUKU"/>
      <sheetName val="Inv_NAD"/>
      <sheetName val="Inv_SUMUT"/>
      <sheetName val="Inv_RIAU"/>
      <sheetName val="Inv_SUMBAR"/>
      <sheetName val="Inv_S2JB"/>
      <sheetName val="Inv_LAMPUNG"/>
      <sheetName val="Inv_KITLUR SUMBAGUT"/>
      <sheetName val="Inv_KITLUR SUMBAGSEL"/>
      <sheetName val="Inv_KALBAR"/>
      <sheetName val="Inv_SULUTENGGO"/>
      <sheetName val="Inv_SULSELRA"/>
      <sheetName val="Inv_NTB"/>
      <sheetName val="Inv_KALTIM"/>
      <sheetName val="Inv_KALSELTENG"/>
      <sheetName val="GenlistHI"/>
      <sheetName val="Electrical "/>
      <sheetName val="SCADA ENG"/>
      <sheetName val="Supervisory Control System"/>
      <sheetName val="NERACA_DAYA1"/>
      <sheetName val="DJBB_PNYL1"/>
      <sheetName val="Chart_gang_BOGOR1"/>
      <sheetName val="B_P-C_P_20061"/>
      <sheetName val="HARGA_SATUAN"/>
      <sheetName val="FORM_REN_RUTIN_KIT"/>
      <sheetName val="Submission_Form"/>
      <sheetName val="Prod_Harian"/>
      <sheetName val="Sudah_Berjalan"/>
      <sheetName val="tabel_JHT"/>
      <sheetName val="Listrik_Mati_05"/>
      <sheetName val="Listrik_Mati_06"/>
      <sheetName val="Tabel_Kode"/>
      <sheetName val="L-PENGUS-24_00"/>
      <sheetName val="Eval_bln_Okt'15"/>
      <sheetName val="ROH_PBS"/>
      <sheetName val="ROH_JAM_07-14"/>
      <sheetName val="ROH_JAM_15-21"/>
      <sheetName val="ROH_JAM_00-06"/>
      <sheetName val="Input_T&amp;R_Prod"/>
      <sheetName val="Da_AN_BRAT_TWR"/>
      <sheetName val="Twr_(15)"/>
      <sheetName val="GABLUARJAWA1_(2)1"/>
      <sheetName val="INLAND_FACTOR_DISTANCE"/>
      <sheetName val="FORM_A1_A2__Tangerang"/>
      <sheetName val="FORM_A1_A2__Gambir"/>
      <sheetName val="FORM_A1_A2__Kebayoran"/>
      <sheetName val="FORM_A1_A2__Kramatjati"/>
      <sheetName val="FORM_A1_A2_KD"/>
      <sheetName val="Basket_6"/>
      <sheetName val="Kuantitas_&amp;_Harga"/>
      <sheetName val="scada_2001"/>
      <sheetName val="Jenis_Pelatihan"/>
      <sheetName val="FailureMode_PLTU"/>
      <sheetName val="FailureMode_PLTG"/>
      <sheetName val="Resume"/>
      <sheetName val="DATA-BASE SUTT"/>
      <sheetName val="REF"/>
      <sheetName val="graf2"/>
      <sheetName val="Beltra  (7)"/>
      <sheetName val="Peralatan"/>
      <sheetName val="Basic Price"/>
      <sheetName val="NP-7"/>
      <sheetName val="HSLAIN-LAIN"/>
      <sheetName val="Master Edit"/>
      <sheetName val="AC"/>
      <sheetName val="TAHAP 5"/>
      <sheetName val="Pareto_SKR#4"/>
      <sheetName val="DivVII"/>
      <sheetName val="Div2"/>
      <sheetName val="Div3"/>
      <sheetName val="FDR"/>
      <sheetName val="2008"/>
      <sheetName val="DAFGED"/>
      <sheetName val="Summary"/>
      <sheetName val="RAB"/>
      <sheetName val="rekmodiPtk (MAP)"/>
      <sheetName val="FUNGSI"/>
      <sheetName val="W1"/>
      <sheetName val="RATE TENAGA KERJA"/>
      <sheetName val="beban"/>
      <sheetName val="FORM-B"/>
      <sheetName val="SAA"/>
      <sheetName val="A1 pri123"/>
      <sheetName val="A1 PRY"/>
      <sheetName val="ACUANBARU"/>
      <sheetName val="Prog Desc"/>
      <sheetName val="Peralatan (2)"/>
      <sheetName val="Assumptions (2)"/>
      <sheetName val="se006t"/>
      <sheetName val="Daftar Harga"/>
      <sheetName val="Kuantitas"/>
      <sheetName val="CashFlow"/>
      <sheetName val="PANDUAN"/>
      <sheetName val="HIDE"/>
      <sheetName val="Grafik Wil"/>
      <sheetName val="Bipeg-U(12D2)"/>
      <sheetName val="HPE"/>
      <sheetName val="gvl"/>
      <sheetName val="HARDIBLD"/>
      <sheetName val="LKVL-CK-HT-GD1"/>
      <sheetName val="TONG HOP VL-NC"/>
      <sheetName val="chitiet"/>
      <sheetName val="TONGKE3p "/>
      <sheetName val="TH VL, NC, DDHT Thanhphuoc"/>
      <sheetName val="#REF"/>
      <sheetName val="DONGIA"/>
      <sheetName val="DON GIA"/>
      <sheetName val="DG"/>
      <sheetName val="TNHCHINH"/>
      <sheetName val="CHITIET VL-NC"/>
      <sheetName val="Tiepdia"/>
      <sheetName val="TDTKP"/>
      <sheetName val="VCV-BE-TONG"/>
      <sheetName val="Perm. Test"/>
      <sheetName val="4.2-BPP"/>
      <sheetName val="4.3-HargaJual"/>
      <sheetName val="1"/>
      <sheetName val="2"/>
      <sheetName val="matr aux"/>
      <sheetName val="matr engine"/>
      <sheetName val="jasa rehab"/>
      <sheetName val="jasa pondasi"/>
      <sheetName val="jasa rekon material"/>
      <sheetName val="bayar_per_02082018"/>
      <sheetName val="bbtest2"/>
      <sheetName val="master rab"/>
      <sheetName val="TRIP TRAFO APR"/>
      <sheetName val="METER"/>
      <sheetName val="HAR APR"/>
      <sheetName val="GRAFIK"/>
      <sheetName val="UPAH DAN BAHAN"/>
      <sheetName val="chitimc"/>
      <sheetName val="dongia (2)"/>
      <sheetName val="giathanh1"/>
      <sheetName val="THPDMoi  (2)"/>
      <sheetName val="gtrinh"/>
      <sheetName val="phuluc1"/>
      <sheetName val="lam-moi"/>
      <sheetName val="thao-go"/>
      <sheetName val="TONGKE-HT"/>
      <sheetName val="dtxl"/>
      <sheetName val="t-h HA THE"/>
      <sheetName val="CHITIET VL-NC-TT -1p"/>
      <sheetName val="TONG HOP VL-NC TT"/>
      <sheetName val="TH XL"/>
      <sheetName val="VC"/>
      <sheetName val="CHITIET VL-NC-TT-3p"/>
      <sheetName val="TDTKP1"/>
      <sheetName val="KPVC-BD "/>
      <sheetName val="Sect-1a"/>
      <sheetName val="Cover_sheet"/>
      <sheetName val="Calc Inst"/>
      <sheetName val="AHS-JTR"/>
      <sheetName val="Balance Sheet"/>
      <sheetName val="Income Statement"/>
      <sheetName val="db"/>
      <sheetName val="MC_Qty"/>
      <sheetName val="FORM BQ TL PRATU 4cct"/>
      <sheetName val="RAB GI"/>
      <sheetName val="GAB"/>
      <sheetName val="SATPAM"/>
      <sheetName val="sept"/>
      <sheetName val="DKH"/>
      <sheetName val="AGREGAT"/>
      <sheetName val="A.Div10"/>
      <sheetName val="A.Div3"/>
      <sheetName val="A.Div 2"/>
      <sheetName val="A.Div 4"/>
      <sheetName val="A.Div5"/>
      <sheetName val="A.Div7"/>
      <sheetName val="CiMaPlbStd"/>
      <sheetName val="Beli"/>
      <sheetName val="Sewa"/>
      <sheetName val="BBkr"/>
      <sheetName val="NerSubsis"/>
      <sheetName val="Jual"/>
      <sheetName val="Prod2"/>
      <sheetName val="RKAP"/>
      <sheetName val="kCal"/>
      <sheetName val="Vendor UJH"/>
      <sheetName val="02"/>
      <sheetName val="06"/>
      <sheetName val="66"/>
      <sheetName val="PUNCAK-89"/>
      <sheetName val="DGGKIT+_Derating"/>
      <sheetName val="WORKPLAN_GROWS_R_KARANGNUNGGAL"/>
      <sheetName val="FLI_-_Sec_1"/>
      <sheetName val="TUL_III-09"/>
      <sheetName val="RAP"/>
      <sheetName val="LAIN2"/>
      <sheetName val="KONS BID P&amp;N"/>
      <sheetName val="UP II DUMAI"/>
      <sheetName val="KP.DIT.HULU"/>
      <sheetName val="UP VI BALONGAN"/>
      <sheetName val="KPC"/>
      <sheetName val="PRABUMULIH"/>
      <sheetName val="UP 1 BRANDAN"/>
      <sheetName val="UP V BALIKPAPAN"/>
      <sheetName val="OPSEN"/>
      <sheetName val="SIBAYAK"/>
      <sheetName val="DIT HILIR"/>
      <sheetName val="KAMOJANG"/>
      <sheetName val="UP IV CILACAP"/>
      <sheetName val="UP III PLAJU"/>
      <sheetName val="SORONG"/>
      <sheetName val="KONS DIT HULU"/>
      <sheetName val="RANTAU"/>
      <sheetName val="JAMBI"/>
      <sheetName val="KR.AMPEL"/>
      <sheetName val="CEPU"/>
      <sheetName val="SANGATA-BUNYU"/>
      <sheetName val="UP VII KASIM"/>
      <sheetName val="KONS BID P"/>
      <sheetName val="vendor"/>
      <sheetName val="Sheet2"/>
      <sheetName val="total"/>
      <sheetName val="form KD"/>
      <sheetName val="VM OKT"/>
      <sheetName val="SPK GABUNG"/>
      <sheetName val="SPB"/>
      <sheetName val="SPJ"/>
      <sheetName val="JASA AI"/>
      <sheetName val="JASA AO"/>
      <sheetName val="BARANG AI"/>
      <sheetName val="BARANG AO"/>
      <sheetName val="NPWP"/>
      <sheetName val="Sheet4"/>
      <sheetName val="SPB BELUM KEMBALI"/>
      <sheetName val="SISA KUOTA KHS JASA"/>
      <sheetName val="Sheet7"/>
      <sheetName val="JAN"/>
      <sheetName val="BOQ"/>
      <sheetName val="4-Basic Price"/>
      <sheetName val="5-ALAT(1)"/>
      <sheetName val="F1771-2"/>
      <sheetName val="Cover1"/>
      <sheetName val="mu"/>
      <sheetName val="DAF-1"/>
      <sheetName val="Pt"/>
      <sheetName val="Keterangan"/>
      <sheetName val="Mobilisasi"/>
      <sheetName val="LABA RUGI"/>
      <sheetName val="12.REFERENSI"/>
      <sheetName val="Ref Additional Payment"/>
      <sheetName val="L-R"/>
      <sheetName val="K_TAM_SPK032"/>
      <sheetName val="H MAT"/>
      <sheetName val="Analisa 600"/>
      <sheetName val="REKAP KINERJA"/>
      <sheetName val="hal 14b"/>
      <sheetName val="summary-1"/>
      <sheetName val="E7"/>
      <sheetName val="uts"/>
      <sheetName val="FAS"/>
      <sheetName val="BA_Rapen"/>
      <sheetName val="GI"/>
      <sheetName val="LOAD2010"/>
      <sheetName val="Dasar Pemadaman"/>
      <sheetName val="COP"/>
      <sheetName val="ATTB-AKTV"/>
      <sheetName val="PENYEBAB"/>
      <sheetName val="HPP"/>
      <sheetName val="Assumptions"/>
      <sheetName val="Construction Period Costs"/>
      <sheetName val="Plant Characteristics"/>
      <sheetName val="SCH2"/>
      <sheetName val="kumpulan"/>
      <sheetName val="Basic"/>
      <sheetName val="Alat"/>
      <sheetName val="STRUKTUR"/>
      <sheetName val="DATA ACUAN"/>
      <sheetName val="Agregat Halus &amp; Kasar"/>
      <sheetName val="GGN_PENY_FEB2009 &gt; 5"/>
      <sheetName val="NERACA_DAYA2"/>
      <sheetName val="DJBB_PNYL2"/>
      <sheetName val="Chart_gang_BOGOR2"/>
      <sheetName val="B_P-C_P_20062"/>
      <sheetName val="HARGA_SATUAN1"/>
      <sheetName val="FORM_REN_RUTIN_KIT1"/>
      <sheetName val="Submission_Form1"/>
      <sheetName val="Prod_Harian1"/>
      <sheetName val="Sudah_Berjalan1"/>
      <sheetName val="tabel_JHT1"/>
      <sheetName val="Listrik_Mati_051"/>
      <sheetName val="Listrik_Mati_061"/>
      <sheetName val="Tabel_Kode1"/>
      <sheetName val="Da_AN_BRAT_TWR1"/>
      <sheetName val="L-PENGUS-24_001"/>
      <sheetName val="Eval_bln_Okt'151"/>
      <sheetName val="ROH_PBS1"/>
      <sheetName val="ROH_JAM_07-141"/>
      <sheetName val="ROH_JAM_15-211"/>
      <sheetName val="ROH_JAM_00-061"/>
      <sheetName val="Input_T&amp;R_Prod1"/>
      <sheetName val="Twr_(15)1"/>
      <sheetName val="GABLUARJAWA1_(2)2"/>
      <sheetName val="WORKPLAN_GROWS_R_KARANGNUNGGAL1"/>
      <sheetName val="INLAND_FACTOR_DISTANCE1"/>
      <sheetName val="FORM_A1_A2__Tangerang1"/>
      <sheetName val="FORM_A1_A2__Gambir1"/>
      <sheetName val="FORM_A1_A2__Kebayoran1"/>
      <sheetName val="FORM_A1_A2__Kramatjati1"/>
      <sheetName val="FORM_A1_A2_KD1"/>
      <sheetName val="Basket_61"/>
      <sheetName val="Kuantitas_&amp;_Harga1"/>
      <sheetName val="scada_20011"/>
      <sheetName val="Jenis_Pelatihan1"/>
      <sheetName val="DGGKIT+_Derating1"/>
      <sheetName val="FLI_-_Sec_11"/>
      <sheetName val="Harga_BBM_Indonesia"/>
      <sheetName val="Inv_KITLUR_SUMBAGUT"/>
      <sheetName val="Inv_KITLUR_SUMBAGSEL"/>
      <sheetName val="Electrical_"/>
      <sheetName val="SCADA_ENG"/>
      <sheetName val="Supervisory_Control_System"/>
      <sheetName val="BIODATA"/>
      <sheetName val="KARYAWAN"/>
      <sheetName val="database"/>
      <sheetName val="master"/>
      <sheetName val="masteradm"/>
      <sheetName val="master_fln"/>
      <sheetName val="master_opt"/>
      <sheetName val="master_pgd"/>
      <sheetName val="master_pmd"/>
      <sheetName val="master_pmd_new"/>
      <sheetName val=""/>
      <sheetName val="laporan pemakaian blangko"/>
      <sheetName val="A u g"/>
      <sheetName val="O c t"/>
      <sheetName val="A p r"/>
      <sheetName val="M a y"/>
      <sheetName val="S e p"/>
      <sheetName val="00 received in 01"/>
      <sheetName val="F e b"/>
      <sheetName val="Per GL J a n"/>
      <sheetName val="J u n"/>
      <sheetName val="M a r"/>
      <sheetName val="J u l"/>
      <sheetName val="FJ per BLN"/>
      <sheetName val="DC REAL PER TW"/>
      <sheetName val="terbilang"/>
      <sheetName val="H.BAHAN"/>
      <sheetName val="TITIK KOORDINAT 1"/>
      <sheetName val="TRAFO 2"/>
      <sheetName val="FJ KSKT"/>
      <sheetName val="FJ KSKT EMIN"/>
      <sheetName val="FJ per BLN EMIN"/>
      <sheetName val="ASSET SE-060"/>
      <sheetName val="DATA LF"/>
      <sheetName val="KWH E MIN"/>
      <sheetName val="HITUNG LF TR,TRFO,SR"/>
      <sheetName val="KONDUKTOR"/>
      <sheetName val="GARDU"/>
      <sheetName val="TRAFO"/>
      <sheetName val="APP CAWANG"/>
      <sheetName val="Pk"/>
      <sheetName val="CH"/>
      <sheetName val="Preventif"/>
      <sheetName val="Jenis Pemeliharaan"/>
      <sheetName val="Kode User"/>
      <sheetName val="RekapLEP"/>
      <sheetName val="Project Data"/>
      <sheetName val="Confidential PAS HMI"/>
      <sheetName val="P-SA"/>
      <sheetName val="APBN"/>
      <sheetName val="ATRIBUT"/>
      <sheetName val="10"/>
      <sheetName val="Kpg"/>
      <sheetName val="Pry"/>
      <sheetName val="Gab.Cab"/>
      <sheetName val="blk"/>
      <sheetName val="Krn"/>
      <sheetName val="Ksg"/>
      <sheetName val="skm"/>
      <sheetName val="UPpry"/>
      <sheetName val="Pbn"/>
      <sheetName val="Spt"/>
      <sheetName val="target"/>
      <sheetName val="LOGRESUME"/>
      <sheetName val="List of Inventory"/>
      <sheetName val="JAN09"/>
      <sheetName val="BHN"/>
      <sheetName val="DFTR GARDIST"/>
      <sheetName val="Currency Rate"/>
      <sheetName val="SEX"/>
      <sheetName val="LISDES"/>
      <sheetName val="PRK"/>
      <sheetName val="61005"/>
      <sheetName val="61007"/>
      <sheetName val="MAP"/>
      <sheetName val="H.Dasar"/>
      <sheetName val="CPI"/>
      <sheetName val="KURS"/>
      <sheetName val="IKK 2018"/>
      <sheetName val="INKINDO 2018"/>
      <sheetName val="IKK 2017"/>
      <sheetName val="HARGA"/>
      <sheetName val="SATUAN"/>
      <sheetName val="new kinerja"/>
      <sheetName val="Data Kit"/>
      <sheetName val="Data Kit Kaltim"/>
      <sheetName val="Hg.Sat"/>
      <sheetName val="Upah Bahan"/>
      <sheetName val="JSO"/>
      <sheetName val="JARAK TEMPUH PERGESERAN TRAFO"/>
      <sheetName val="Lembar1"/>
      <sheetName val="Lembar2"/>
      <sheetName val="JARAK PEMBONGKARAN &amp; RELOKASI N"/>
      <sheetName val="DAFTAR PEKERJAAN PONDASI &amp; PEMA"/>
      <sheetName val="DAFTAR PENGADAAN PEMASANGAN NCT"/>
      <sheetName val="Section 2 MastlisteRev02"/>
      <sheetName val="TAP"/>
      <sheetName val="Overview"/>
      <sheetName val="Material"/>
      <sheetName val="VALIDASI PRK"/>
      <sheetName val="Daftar Peserta"/>
      <sheetName val="Simulasi SPPD"/>
      <sheetName val="Data asli"/>
      <sheetName val="Database SPPD ke JKT"/>
      <sheetName val="divI"/>
      <sheetName val="divII"/>
      <sheetName val="WO"/>
      <sheetName val="DKM Jasa"/>
      <sheetName val="RAB Jasa"/>
      <sheetName val="DKM Konsumabel"/>
      <sheetName val="RAB Mat Konsumabel"/>
      <sheetName val="RAB Mat Utama"/>
      <sheetName val="DKM Mat. Utama"/>
      <sheetName val="Analisa Material Utama"/>
      <sheetName val="HPE Jasa"/>
      <sheetName val="Tentative "/>
      <sheetName val="SPEK TEKNIS (2)"/>
      <sheetName val="KWH"/>
      <sheetName val="upah"/>
      <sheetName val="Macro"/>
      <sheetName val="DAF- PEG"/>
      <sheetName val="000000"/>
      <sheetName val="SAPITO"/>
      <sheetName val="SALDO PERSEDIAAN"/>
      <sheetName val="JOURNAL"/>
      <sheetName val="JOURNAL2"/>
      <sheetName val="JURNAL JAN'98"/>
      <sheetName val="grafi kesiapan versi p3b dan pe"/>
      <sheetName val="Rekap rutin psb"/>
      <sheetName val="R_ccode"/>
      <sheetName val="StU"/>
      <sheetName val="BAG-2"/>
      <sheetName val="Formula"/>
      <sheetName val="I.5 ADDITION"/>
      <sheetName val="chemcal"/>
      <sheetName val="2008_rev1"/>
      <sheetName val="R_SM_KIN"/>
      <sheetName val="WP"/>
      <sheetName val="LISTS"/>
      <sheetName val="RKS"/>
      <sheetName val="BBaku(12C3)"/>
      <sheetName val="BBMJenis(12B1)"/>
      <sheetName val="BiLuOp(14)"/>
      <sheetName val="BiPinjamin(15)"/>
      <sheetName val="BOLain(12E2)"/>
      <sheetName val="BPeg-F(12D1)"/>
      <sheetName val="IkhtisarBiop(12.0)"/>
      <sheetName val="JualGTarif(11A)"/>
      <sheetName val="LabaRugi Fungsi"/>
      <sheetName val="LabaRugi Fungsi2004(21B)"/>
      <sheetName val="LabaRugi Lainnya 2005(20)"/>
      <sheetName val="LabaRugi Unsur2004(21A)"/>
      <sheetName val="PembelianiTL(12A1"/>
      <sheetName val="PendaLuOp(13)"/>
      <sheetName val="PendOpLain(11B)"/>
      <sheetName val="ProduksiTL(12B2)"/>
      <sheetName val="SewaPemb(12A2)"/>
      <sheetName val="LOAD"/>
      <sheetName val="LK-1"/>
      <sheetName val="USAHA"/>
      <sheetName val="Hal-1"/>
      <sheetName val="aruskas"/>
      <sheetName val="KATALOG"/>
      <sheetName val="Rekap per Jenis"/>
      <sheetName val="06b"/>
      <sheetName val="WBS 2"/>
      <sheetName val="DATA PENGUSAHAAN"/>
      <sheetName val="Amr"/>
      <sheetName val="01 A"/>
      <sheetName val="TUL III-09 UNIT"/>
      <sheetName val="D7(1)"/>
      <sheetName val="PDPT - BL"/>
      <sheetName val="AHS "/>
      <sheetName val="pricing"/>
      <sheetName val="5-Peralatan"/>
      <sheetName val="DExp.Lmb"/>
      <sheetName val="Sentra"/>
      <sheetName val="dataKIT"/>
      <sheetName val="dataPHT"/>
      <sheetName val="dataIBT"/>
      <sheetName val="Sheet42"/>
      <sheetName val="POWER"/>
      <sheetName val="For Report-Akum"/>
      <sheetName val="TOP"/>
      <sheetName val="Input"/>
      <sheetName val="Posisi"/>
      <sheetName val="WIL"/>
      <sheetName val="Pengalaman Per"/>
      <sheetName val="SITE-E"/>
      <sheetName val="QlocSgl"/>
      <sheetName val="MAIN"/>
      <sheetName val="Galian 1"/>
      <sheetName val="PESANTREN"/>
      <sheetName val="G"/>
      <sheetName val="Curup"/>
      <sheetName val="Prabu"/>
      <sheetName val="On Time"/>
      <sheetName val="BQ"/>
      <sheetName val="2013"/>
      <sheetName val="Hitung_Energi"/>
      <sheetName val="Marshal"/>
      <sheetName val="GeneralInfo"/>
      <sheetName val="KH"/>
      <sheetName val="Umum"/>
      <sheetName val="AKTIVA TETAP"/>
      <sheetName val="anal"/>
      <sheetName val="uba"/>
      <sheetName val="AKTIVA"/>
      <sheetName val="Analisa Mrg1"/>
      <sheetName val="Pipe"/>
      <sheetName val="HB "/>
      <sheetName val="villa"/>
      <sheetName val="SAP"/>
      <sheetName val="struktur tdk dipakai"/>
      <sheetName val="anal-drainase,tanah&amp;ps batu"/>
      <sheetName val="anal-beton"/>
      <sheetName val="AnConW"/>
      <sheetName val="AnEarthW"/>
      <sheetName val="AnLandW"/>
      <sheetName val="BasicPrice"/>
      <sheetName val="AnStoneW"/>
      <sheetName val="URA E450"/>
      <sheetName val="2-JTW"/>
      <sheetName val="GAJI"/>
      <sheetName val="Energi Disalurkan"/>
      <sheetName val="Invoice"/>
      <sheetName val="Konstruksi"/>
      <sheetName val="Daftar Tabel"/>
      <sheetName val="analhps"/>
      <sheetName val="KWH_RPJual"/>
      <sheetName val="Data Penyulang"/>
      <sheetName val="Detil Timeline (Week)"/>
      <sheetName val="Program VS Position"/>
      <sheetName val="RAB Total"/>
      <sheetName val="REK"/>
      <sheetName val="SMD "/>
      <sheetName val="ICT "/>
      <sheetName val="OJT "/>
      <sheetName val="INTRS "/>
      <sheetName val="PRESENT PA"/>
      <sheetName val="SER DJK"/>
      <sheetName val="SER DAMKAR D"/>
      <sheetName val="REFRESH "/>
      <sheetName val="TA"/>
      <sheetName val="Kebutuhan Sertifikasi"/>
      <sheetName val="Matriks SKTTK Har"/>
      <sheetName val="Matriks SKTTK Op"/>
      <sheetName val="KODE OP KORP &amp; UNIT"/>
      <sheetName val="Adj"/>
      <sheetName val="Valuation"/>
      <sheetName val="DESEMBER"/>
      <sheetName val="mob (2)"/>
      <sheetName val="LOADDAT"/>
      <sheetName val="Progress"/>
      <sheetName val="Mobilisasi-pnw"/>
      <sheetName val="Land Clearing-pnw"/>
      <sheetName val="NERACA SESUAI PROGRAM GL MAGIC"/>
      <sheetName val="Links"/>
      <sheetName val="Lead"/>
      <sheetName val="Download_Data"/>
      <sheetName val="BiPinjaman(15)"/>
      <sheetName val="LabaRugi Fungsi th (t-1)(21B)"/>
      <sheetName val="LabaRugi Lainnya(20)"/>
      <sheetName val="LabaRugi Unsur th(t-1)(21A)"/>
      <sheetName val="PembelianTL(12A1)"/>
      <sheetName val="Permanent info"/>
      <sheetName val="K.6DEPOSIT"/>
      <sheetName val="Contract &amp; Assumptions"/>
      <sheetName val="Grf Pedp Lain2"/>
      <sheetName val="AkumAT"/>
      <sheetName val="Komposisi"/>
      <sheetName val="Note"/>
      <sheetName val="KWH 12BL (2)"/>
      <sheetName val="Ex-Rate"/>
      <sheetName val="Bln3_4"/>
      <sheetName val="Akun"/>
      <sheetName val="DataReferensi"/>
      <sheetName val="ProdSendiri"/>
      <sheetName val="Resource Plan (2)"/>
      <sheetName val="Rekap 2002 mod"/>
      <sheetName val="Penjualan"/>
      <sheetName val="PS&amp;Susut TL"/>
      <sheetName val="neraca 1999-2000"/>
      <sheetName val="KONTRAK"/>
      <sheetName val="PROG"/>
      <sheetName val="MyTugas"/>
      <sheetName val="Listing"/>
      <sheetName val="Test Accrue"/>
      <sheetName val="XREF"/>
      <sheetName val="PDPKonstruksi"/>
      <sheetName val="FG"/>
      <sheetName val="BBM-03"/>
      <sheetName val="L20Keu"/>
      <sheetName val="spta"/>
      <sheetName val="bakup1"/>
      <sheetName val="Prod~Alt"/>
      <sheetName val="Shedule"/>
      <sheetName val="|PRIVATE|Datasheets"/>
      <sheetName val="|PRIVATE|Template"/>
      <sheetName val="TAHAP_5"/>
      <sheetName val="DATA-BASE_SUTT"/>
      <sheetName val="analhps_Pasng"/>
      <sheetName val="Beltra__(7)"/>
      <sheetName val="Basic_Price"/>
      <sheetName val="Master_Edit"/>
      <sheetName val="rekmodiPtk_(MAP)"/>
      <sheetName val="RATE_TENAGA_KERJA"/>
      <sheetName val="Peralatan_(2)"/>
      <sheetName val="Prog_Desc"/>
      <sheetName val="FORM.A3"/>
      <sheetName val="GABUNGAN"/>
      <sheetName val="TUK BPJS KES okt"/>
      <sheetName val="Data Realisasi"/>
      <sheetName val="Curah Hujan Bulanan"/>
      <sheetName val="Pola Beban (2)"/>
      <sheetName val="sch 1.2"/>
      <sheetName val="M-01-PJB"/>
      <sheetName val="LR"/>
      <sheetName val="D2 BOQ LE TWR"/>
      <sheetName val="Ea. ANA POND"/>
      <sheetName val="UK110301"/>
      <sheetName val="drawing"/>
      <sheetName val="MENU1"/>
      <sheetName val="D_ANALISA"/>
      <sheetName val="Sensitivitas"/>
      <sheetName val="R.A.B"/>
      <sheetName val="Query2"/>
      <sheetName val="Sag1"/>
      <sheetName val="SWENG_Risk"/>
      <sheetName val="TRA_TS"/>
      <sheetName val="Price_List"/>
      <sheetName val="Laba Rugi Smt I"/>
      <sheetName val="kali-2001"/>
      <sheetName val="INVESTIGASI JTR"/>
      <sheetName val="HPE-Non-Person"/>
      <sheetName val="HPS-Person"/>
      <sheetName val="Analisa Harga"/>
      <sheetName val="LK2004"/>
      <sheetName val="DISC Pro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DAFISI"/>
      <sheetName val="Jelas"/>
      <sheetName val="Neraca"/>
      <sheetName val="LR"/>
      <sheetName val="LR_F"/>
      <sheetName val="Arus_Kas"/>
      <sheetName val="RE"/>
      <sheetName val="Cat"/>
      <sheetName val="BukuBesar"/>
      <sheetName val="L1_1"/>
      <sheetName val="L1_2"/>
      <sheetName val="L1_3"/>
      <sheetName val="L1_4"/>
      <sheetName val="L1_5"/>
      <sheetName val="L1_6"/>
      <sheetName val="L1_7"/>
      <sheetName val="L1_8"/>
      <sheetName val="L1_9"/>
      <sheetName val="L2_1"/>
      <sheetName val="L2_2"/>
      <sheetName val="L2_3"/>
      <sheetName val="L2_4"/>
      <sheetName val="L_2_4b"/>
      <sheetName val="L2_5"/>
      <sheetName val="L2_6"/>
      <sheetName val="L3_1"/>
      <sheetName val="L3_2"/>
      <sheetName val="L3_3"/>
      <sheetName val="L3_4"/>
      <sheetName val="L3_5"/>
      <sheetName val="L_4"/>
      <sheetName val="L_4_1"/>
      <sheetName val="L_5"/>
      <sheetName val="L_6"/>
      <sheetName val="L_7"/>
      <sheetName val="L_8a"/>
      <sheetName val="L_8b"/>
      <sheetName val="L_9"/>
      <sheetName val="L_10"/>
      <sheetName val="L_11"/>
      <sheetName val="L_12"/>
      <sheetName val="L_13"/>
      <sheetName val="L_14"/>
      <sheetName val="L_14b"/>
      <sheetName val="L_15"/>
      <sheetName val="L_16"/>
      <sheetName val="L_17"/>
      <sheetName val="L_18"/>
      <sheetName val="L_19"/>
      <sheetName val="L_20_1"/>
      <sheetName val="L_20_2"/>
      <sheetName val="L_21"/>
      <sheetName val="L_22"/>
      <sheetName val="L_23"/>
      <sheetName val="L_24"/>
      <sheetName val="L_25"/>
      <sheetName val="L_26"/>
      <sheetName val="L_27"/>
      <sheetName val="L_27_1"/>
      <sheetName val="L_27_2"/>
      <sheetName val="L_28a"/>
      <sheetName val="L_28b"/>
      <sheetName val="L_28c"/>
      <sheetName val="L_29"/>
      <sheetName val="GABUNGAN"/>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
      <sheetName val="100"/>
      <sheetName val="001"/>
      <sheetName val="BB2000"/>
      <sheetName val="LK2001"/>
      <sheetName val="KK2000"/>
      <sheetName val="CF2000"/>
      <sheetName val="BB2001"/>
      <sheetName val="KK2001"/>
      <sheetName val="CF2001"/>
      <sheetName val="CFAnggaran"/>
      <sheetName val="SPDana"/>
      <sheetName val="CFLK2001"/>
      <sheetName val="UshDebtw101"/>
      <sheetName val="UshDeb00"/>
      <sheetName val="UshDeb03001"/>
      <sheetName val="GABUNGAN"/>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Tool -&gt;"/>
      <sheetName val="System costs"/>
      <sheetName val="NPV RES (real) - Fuel Specif"/>
      <sheetName val="FiT Levels"/>
      <sheetName val="Background Information -&gt;"/>
      <sheetName val="ControlSheet-&gt;Balmorel Elements"/>
      <sheetName val="Dashboard"/>
      <sheetName val="Cost of subsidy"/>
      <sheetName val="RE investment need"/>
      <sheetName val="Stakeholder economy"/>
      <sheetName val="PPA analysis"/>
      <sheetName val="Supporting PPA Analysis"/>
      <sheetName val="Electricity Generation Detailed"/>
      <sheetName val="Financial&amp;Contractual inputs"/>
      <sheetName val="Fuel - Technology Mapping"/>
      <sheetName val="Fuel-Tech-Year Mapping"/>
      <sheetName val="Project Specific -&gt;"/>
      <sheetName val="GDATA"/>
      <sheetName val="GKFX"/>
      <sheetName val="Fuel Specific -&gt;"/>
      <sheetName val="Costs"/>
      <sheetName val="System Demand-Generation Balanc"/>
      <sheetName val="Electricity generation"/>
      <sheetName val="Plant Decommissioning w Scen"/>
      <sheetName val="Decommissioning Analysis"/>
      <sheetName val="Fuel Cost Database -&gt;"/>
      <sheetName val="C"/>
      <sheetName val="IEA WEO 2023 Fuel Prices"/>
      <sheetName val="Model Fuel Prices"/>
      <sheetName val="Adjusted Fuel Consumption Cost"/>
      <sheetName val="CO2 Emissions Cost"/>
      <sheetName val="AdminPivot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on"/>
      <sheetName val="Map"/>
      <sheetName val="ECON all"/>
      <sheetName val="ECON RE"/>
      <sheetName val="Test"/>
      <sheetName val="DE"/>
      <sheetName val="Transmission"/>
      <sheetName val="Potentials"/>
      <sheetName val="Control sheet"/>
      <sheetName val="Merged lines"/>
      <sheetName val="Merged color"/>
    </sheetNames>
    <sheetDataSet>
      <sheetData sheetId="0"/>
      <sheetData sheetId="1">
        <row r="3">
          <cell r="E3" t="str">
            <v>2050</v>
          </cell>
        </row>
        <row r="4">
          <cell r="AI4">
            <v>2.4020180942372176</v>
          </cell>
          <cell r="AN4">
            <v>1000000</v>
          </cell>
        </row>
      </sheetData>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Introduction"/>
      <sheetName val="UserGuide"/>
      <sheetName val="Admin"/>
      <sheetName val="UserSettings&amp;Results"/>
      <sheetName val="ScenarioResults"/>
      <sheetName val="ResultsAllYears"/>
      <sheetName val="Calculation"/>
      <sheetName val="EEUserSettings&amp;Results"/>
      <sheetName val="EETechData&amp;Calculation"/>
      <sheetName val="DataLog"/>
      <sheetName val="OldData"/>
      <sheetName val="TechData"/>
      <sheetName val="TestTech"/>
      <sheetName val="FuelPrices"/>
      <sheetName val="EmissionPrices"/>
      <sheetName val="EmissionFactors"/>
      <sheetName val="CurrencyRates"/>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refreshError="1"/>
      <sheetData sheetId="10" refreshError="1"/>
      <sheetData sheetId="11"/>
      <sheetData sheetId="12"/>
      <sheetData sheetId="13"/>
      <sheetData sheetId="14"/>
      <sheetData sheetId="15"/>
      <sheetData sheetId="16"/>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 Photovoltaics  LARGE Old"/>
      <sheetName val="arbejds ark LARGE New"/>
      <sheetName val="22 Photovoltaics  SMALL old "/>
      <sheetName val="fra leverandører"/>
      <sheetName val="22 Photovoltaics  LARGE new"/>
    </sheetNames>
    <sheetDataSet>
      <sheetData sheetId="0">
        <row r="2">
          <cell r="N2">
            <v>0.98501248959200671</v>
          </cell>
        </row>
      </sheetData>
      <sheetData sheetId="1">
        <row r="33">
          <cell r="K33">
            <v>1.0720000000000001</v>
          </cell>
        </row>
        <row r="67">
          <cell r="S67">
            <v>0.97574759572313619</v>
          </cell>
        </row>
      </sheetData>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person displayName="Dimitrios Eleftheriou" id="{8AC75422-229F-409F-B74C-AEA0AAA0BC64}" userId="S::del@eaea.dk::633f4b0c-b0ff-4bff-bdcc-32f937d2d45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487499997" createdVersion="5" refreshedVersion="8" minRefreshableVersion="3" recordCount="0" xr:uid="{DE20AF18-501A-441A-963F-B9C4248DA423}">
  <cacheSource type="external" connectionId="1"/>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24074075" createdVersion="5" refreshedVersion="8" minRefreshableVersion="3" recordCount="0" xr:uid="{2060BA45-2365-4C9D-B312-C018695527F1}">
  <cacheSource type="external" connectionId="10"/>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30092594" createdVersion="5" refreshedVersion="8" minRefreshableVersion="3" recordCount="0" xr:uid="{666649FC-6A95-493A-9A4D-011F879B0FBF}">
  <cacheSource type="external" connectionId="11"/>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34837966" createdVersion="5" refreshedVersion="8" minRefreshableVersion="3" recordCount="0" xr:uid="{E58D7298-C9B4-4559-8454-C96707516FDF}">
  <cacheSource type="external" connectionId="12"/>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39351854" createdVersion="5" refreshedVersion="8" minRefreshableVersion="3" recordCount="0" xr:uid="{C2CA19ED-ACFD-4CB2-892B-D3313C991EA4}">
  <cacheSource type="external" connectionId="13"/>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43750003" createdVersion="5" refreshedVersion="8" minRefreshableVersion="3" recordCount="0" xr:uid="{4D0F03E2-4F99-4CC7-9240-96285090A4C2}">
  <cacheSource type="external" connectionId="14"/>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47685183" createdVersion="5" refreshedVersion="8" minRefreshableVersion="3" recordCount="0" xr:uid="{EA279C02-009A-42AF-A3FE-242E979CC6F3}">
  <cacheSource type="external" connectionId="15"/>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51504631" createdVersion="5" refreshedVersion="8" minRefreshableVersion="3" recordCount="0" xr:uid="{13AEC105-7D84-40B1-B6F2-09E5F6801C11}">
  <cacheSource type="external" connectionId="16"/>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55787034" createdVersion="5" refreshedVersion="8" minRefreshableVersion="3" recordCount="0" xr:uid="{5F9ADF59-CE0B-4892-A6F4-E2814A5B3554}">
  <cacheSource type="external" connectionId="17"/>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59953706" createdVersion="5" refreshedVersion="8" minRefreshableVersion="3" recordCount="0" xr:uid="{9893433F-448E-4039-896D-70B7595ADA94}">
  <cacheSource type="external" connectionId="18"/>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64583332" createdVersion="5" refreshedVersion="8" minRefreshableVersion="3" recordCount="0" xr:uid="{C1FEEEF0-3575-4F5B-A135-5E6F02E4EE63}">
  <cacheSource type="external" connectionId="19"/>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490972222" createdVersion="5" refreshedVersion="8" minRefreshableVersion="3" recordCount="0" xr:uid="{05AD3287-7BF4-4B13-9507-6738BEC6B113}">
  <cacheSource type="external" connectionId="2"/>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69675928" createdVersion="5" refreshedVersion="8" minRefreshableVersion="3" recordCount="0" xr:uid="{A151C885-9803-46CC-A0F5-56FFA436F938}">
  <cacheSource type="external" connectionId="20"/>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73842592" createdVersion="5" refreshedVersion="8" minRefreshableVersion="3" recordCount="0" xr:uid="{F063D680-1C2D-4F32-831C-B83057925612}">
  <cacheSource type="external" connectionId="21"/>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77662034" createdVersion="5" refreshedVersion="8" minRefreshableVersion="3" recordCount="0" xr:uid="{551C07F5-4F68-460F-A8F9-76A409C2A314}">
  <cacheSource type="external" connectionId="22"/>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81944444" createdVersion="5" refreshedVersion="8" minRefreshableVersion="3" recordCount="0" xr:uid="{543920B6-5C3E-4D7D-BD53-90BAC5F6B739}">
  <cacheSource type="external" connectionId="23"/>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87384263" createdVersion="5" refreshedVersion="8" minRefreshableVersion="3" recordCount="0" xr:uid="{8C8FD453-7EB0-41A9-AE3D-2561A6BCE907}">
  <cacheSource type="external" connectionId="24"/>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93865744" createdVersion="5" refreshedVersion="8" minRefreshableVersion="3" recordCount="0" xr:uid="{CD016A86-8C08-405D-A205-06E5B8AB824A}">
  <cacheSource type="external" connectionId="25"/>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99074071" createdVersion="5" refreshedVersion="8" minRefreshableVersion="3" recordCount="0" xr:uid="{E9D22A76-D597-46C0-AE03-1286F6301C48}">
  <cacheSource type="external" connectionId="26"/>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02662035" createdVersion="5" refreshedVersion="8" minRefreshableVersion="3" recordCount="0" xr:uid="{3D6128BD-8429-4224-98FC-8278C71394FB}">
  <cacheSource type="external" connectionId="27"/>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06249999" createdVersion="5" refreshedVersion="8" minRefreshableVersion="3" recordCount="0" xr:uid="{50450EF4-26D2-4B71-BBE9-5F97FF9AD9DE}">
  <cacheSource type="external" connectionId="28"/>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10879632" createdVersion="5" refreshedVersion="8" minRefreshableVersion="3" recordCount="0" xr:uid="{5C82705C-1624-46B8-BC7D-61DB66A044E7}">
  <cacheSource type="external" connectionId="29"/>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494444447" createdVersion="5" refreshedVersion="8" minRefreshableVersion="3" recordCount="0" xr:uid="{541D492D-C8BC-41A4-9B55-DA54FEE7D18A}">
  <cacheSource type="external" connectionId="3"/>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16435182" createdVersion="5" refreshedVersion="8" minRefreshableVersion="3" recordCount="0" xr:uid="{D1C1312B-9736-4620-8913-388E4FFE85AF}">
  <cacheSource type="external" connectionId="30"/>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20023146" createdVersion="5" refreshedVersion="8" minRefreshableVersion="3" recordCount="0" xr:uid="{3C505FE3-8464-45A9-B606-0C99CB138615}">
  <cacheSource type="external" connectionId="31"/>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23958333" createdVersion="5" refreshedVersion="8" minRefreshableVersion="3" recordCount="0" xr:uid="{632B0FEA-60D9-49C0-A2DB-449ED8F29824}">
  <cacheSource type="external" connectionId="32"/>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628240744" createdVersion="5" refreshedVersion="8" minRefreshableVersion="3" recordCount="0" xr:uid="{FE923E80-EADB-4799-A6B1-C631534E17F2}">
  <cacheSource type="external" connectionId="33"/>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498379627" createdVersion="5" refreshedVersion="8" minRefreshableVersion="3" recordCount="0" xr:uid="{99654377-FE55-49D2-B500-D1D477F881B8}">
  <cacheSource type="external" connectionId="4"/>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02546299" createdVersion="5" refreshedVersion="8" minRefreshableVersion="3" recordCount="0" xr:uid="{9DC96116-1052-4C67-A875-BA3B4EB70CA4}">
  <cacheSource type="external" connectionId="5"/>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0636574" createdVersion="5" refreshedVersion="8" minRefreshableVersion="3" recordCount="0" xr:uid="{514FFEF5-F104-40CF-BBDD-B2D7037C04BD}">
  <cacheSource type="external" connectionId="6"/>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10532404" createdVersion="5" refreshedVersion="8" minRefreshableVersion="3" recordCount="0" xr:uid="{8AE70BF4-AEC7-485A-8901-ADB59E4C8CFB}">
  <cacheSource type="external" connectionId="7"/>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14467591" createdVersion="5" refreshedVersion="8" minRefreshableVersion="3" recordCount="0" xr:uid="{ECAA247C-3955-4B31-98CD-7ED6E1B7CEA5}">
  <cacheSource type="external" connectionId="8"/>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mitrios Eleftheriou" refreshedDate="45053.959518750002" createdVersion="5" refreshedVersion="8" minRefreshableVersion="3" recordCount="0" xr:uid="{6E5664FD-0926-4097-AB21-C39638FAD624}">
  <cacheSource type="external" connectionId="9"/>
  <cacheFields count="1">
    <cacheField name="No data loaded" numFmtId="0">
      <sharedItems containsSemiMixedTypes="0" containsString="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0"/>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A1D4DC8-D2A4-4FE9-8039-D85F324BE235}" name="PivotTable6" cacheId="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121:C1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1D77648-6BEE-4F81-943E-0CEEE6B763C1}" name="PivotTable15" cacheId="1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301:C3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2177C86-0466-491F-8319-69C8D4F2AD3E}" name="PivotTable32" cacheId="3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641:C6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1620ABE-3006-42FC-B213-B169388C52AC}" name="PivotTable20" cacheId="1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01:C4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B589F2AB-4F1C-41FE-ADBF-5F5243A93E38}" name="PivotTable31" cacheId="3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621:C6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DF28499-D917-402E-8BFC-58F443286EBC}" name="PivotTable10" cacheId="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01:C2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CE0E1D59-AE80-46DE-A510-514B926C6F47}" name="PivotTable19" cacheId="1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381:C3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453722B-124F-4BDA-A10E-D7B86C9B7C15}" name="PivotTable3" cacheId="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61:C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2C9F200-74CA-495A-9856-AEEAFFD530B6}" name="PivotTable26" cacheId="2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521:C5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114D7810-8918-4730-B743-AB67F70CF149}" name="PivotTable8" cacheId="7"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161:C1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614C6B3-C75E-4CE2-8B08-249AB1AEAE9F}" name="PivotTable21" cacheId="2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21:C4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7DEA4AF-A7C4-4E54-9E48-9C15202CFB5E}" name="PivotTable2" cacheId="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1:C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793F50C8-A281-4F3D-832E-571CCACC665E}" name="PivotTable28" cacheId="27"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561:C5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77C1E064-FF07-4789-9C80-312F7A2558E8}" name="PivotTable30" cacheId="29"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601:C6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1364BA8-DB79-4A69-A2C4-F47F07F33315}" name="PivotTable33" cacheId="3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661:C6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7410D9B-CD68-43AD-B585-E7A59D279880}" name="PivotTable1" cacheId="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1:C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B751ED8-9075-4FDC-A8AC-3A30BD88BB41}" name="PivotTable12" cacheId="1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41:C2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54615743-C46A-4EDB-8B9E-A1C87124DB1D}" name="PivotTable7" cacheId="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141:C1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8E759301-B937-42F2-B22E-7EBFD31CC265}" name="PivotTable18" cacheId="17"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361:C3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DDAFFE7-6975-4CD5-8FF8-BA3D1FC02C40}" name="PivotTable11" cacheId="10"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21:C2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84638159-A1D7-4F73-A804-E6C79EE348D7}" name="PivotTable16" cacheId="15"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321:C33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CD620702-9617-4C15-8142-090DB2A5286F}" name="PivotTable23" cacheId="2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61:C4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CFC5A3E-479C-4D41-80CB-844A0A578190}" name="PivotTable13" cacheId="12"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61:C27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8C636531-E6B7-4CAE-98C9-582B2A8FEA4F}" name="PivotTable17" cacheId="1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341:C3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F5480CFB-A0BD-4190-9EDC-3D6DC6CBF6D4}" name="PivotTable22" cacheId="21"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41:C4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B272AC3-B25A-4795-9C61-7CED5B400D54}" name="PivotTable14" cacheId="1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281:C2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A2B152FF-E4B0-4373-8283-02736232F475}" name="PivotTable24" cacheId="2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481:C4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8A7DB61-477B-484F-B96C-D4295D266413}" name="PivotTable29" cacheId="2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581:C5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22E5B56-40CC-43F9-B29A-47B4874A5584}" name="PivotTable5" cacheId="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101:C1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638FF1DD-44D9-41AF-844E-27D99C306C30}" name="PivotTable9" cacheId="8"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181:C1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3304525-B2F2-4027-AB87-DDD05ADD9F25}" name="PivotTable4" cacheId="3"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81:C9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D022662-B2D7-4358-ADC9-9DEEB9B07B9E}" name="PivotTable25" cacheId="24"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501:C51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8EB18E6-DBC1-43E6-A6B6-F5ADDF924B2B}" name="PivotTable27" cacheId="2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fieldListSortAscending="1">
  <location ref="A541:C558"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1" dT="2024-03-14T14:33:22.10" personId="{8AC75422-229F-409F-B74C-AEA0AAA0BC64}" id="{A0AD20EF-63E4-4121-9E7A-F0B0C523A610}">
    <text>1st Row</text>
  </threadedComment>
  <threadedComment ref="C12" dT="2024-03-14T14:33:30.65" personId="{8AC75422-229F-409F-B74C-AEA0AAA0BC64}" id="{810F8C9B-FE39-4CDB-9F08-B6C8AC5CC17B}">
    <text>2nd Row</text>
  </threadedComment>
  <threadedComment ref="C13" dT="2024-03-14T14:33:39.53" personId="{8AC75422-229F-409F-B74C-AEA0AAA0BC64}" id="{BBF56697-E839-40A9-ACBD-01B341DBD08A}">
    <text>3rd row</text>
  </threadedComment>
  <threadedComment ref="C14" dT="2024-03-14T14:33:45.71" personId="{8AC75422-229F-409F-B74C-AEA0AAA0BC64}" id="{50B0579A-89F9-49A0-86E9-C7EE2FF3E036}">
    <text>4th row</text>
  </threadedComment>
  <threadedComment ref="B34" dT="2023-06-16T13:11:25.37" personId="{8AC75422-229F-409F-B74C-AEA0AAA0BC64}" id="{B50BB948-EBFF-4CF3-B926-0856D431F93D}">
    <text>For thermal power plants where there is an absence of FLHs stated in the TC, a generic value of 4000 FLHs is utilised, unless the user inserts a new value.</text>
  </threadedComment>
  <threadedComment ref="B48" dT="2023-09-26T15:17:53.33" personId="{8AC75422-229F-409F-B74C-AEA0AAA0BC64}" id="{644ABBB7-AAE1-4F15-A60E-867FC7E02533}">
    <text>Used in case that the storage volume is utilised only to x% of its extent.</text>
  </threadedComment>
  <threadedComment ref="B57" dT="2023-10-20T14:10:08.80" personId="{8AC75422-229F-409F-B74C-AEA0AAA0BC64}" id="{AC812EB9-9D3E-4651-938D-00A4C2F06681}">
    <text>Should be inserted in the target price year</text>
  </threadedComment>
  <threadedComment ref="B60" dT="2023-10-20T14:22:06.44" personId="{8AC75422-229F-409F-B74C-AEA0AAA0BC64}" id="{A9B29D96-B404-4A57-8B8A-C26180749566}">
    <text>Inflation adjusted, if applicable</text>
  </threadedComment>
  <threadedComment ref="B64" dT="2023-10-16T08:23:16.14" personId="{8AC75422-229F-409F-B74C-AEA0AAA0BC64}" id="{3D05D977-B053-4026-BCE9-2DFFEFC4DB9A}">
    <text>Default: 0</text>
  </threadedComment>
  <threadedComment ref="B68" dT="2023-10-20T14:10:08.80" personId="{8AC75422-229F-409F-B74C-AEA0AAA0BC64}" id="{56D0CF4F-63B9-47DA-A471-958BC97D620A}">
    <text>Should be inserted in the target price year</text>
  </threadedComment>
  <threadedComment ref="B75" dT="2023-07-05T07:51:19.99" personId="{8AC75422-229F-409F-B74C-AEA0AAA0BC64}" id="{B3708C3C-61DD-4824-85ED-BD6A2C176750}">
    <text>For the case of evaluating new plants vs existing, the Capex of existing plants can be disregarded (set selection to "No")  to provide information on the value of either proceed with operating existing plants or invest and operate new ones.</text>
  </threadedComment>
  <threadedComment ref="B79" dT="2023-10-20T14:22:43.20" personId="{8AC75422-229F-409F-B74C-AEA0AAA0BC64}" id="{AA9A037F-D0DD-47CB-BC89-ABFE166F5ACA}">
    <text>Inflation adjustments (if any) take place above</text>
  </threadedComment>
  <threadedComment ref="B88" dT="2023-06-16T14:18:52.69" personId="{8AC75422-229F-409F-B74C-AEA0AAA0BC64}" id="{A093F8C2-0B73-430A-9D10-375C90C77FAE}">
    <text>An indication of the already assumed start-ups per year within the O&amp;M cost categories should accompany this sheet to inform the user for the need of additional start-up considerations above the assumed levels.</text>
  </threadedComment>
  <threadedComment ref="B89" dT="2023-06-16T14:19:58.46" personId="{8AC75422-229F-409F-B74C-AEA0AAA0BC64}" id="{DC9C1ED8-D144-4730-9D3F-AEF1E67170A2}">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2.xml><?xml version="1.0" encoding="utf-8"?>
<ThreadedComments xmlns="http://schemas.microsoft.com/office/spreadsheetml/2018/threadedcomments" xmlns:x="http://schemas.openxmlformats.org/spreadsheetml/2006/main">
  <threadedComment ref="B34" dT="2023-06-16T13:11:25.37" personId="{8AC75422-229F-409F-B74C-AEA0AAA0BC64}" id="{F5D5486A-EFF5-430A-A755-52D416D752E1}">
    <text>For thermal power plants where there is an absence of FLHs stated in the TC, a generic value of 4000 FLHs is utilised, unless the user inserts a new value.</text>
  </threadedComment>
  <threadedComment ref="B48" dT="2023-09-26T15:17:53.33" personId="{8AC75422-229F-409F-B74C-AEA0AAA0BC64}" id="{359EDEF5-6110-46EB-AB03-CE5CA4B66C21}">
    <text>Used in case that the storage volume is utilised only to x% of its extent.</text>
  </threadedComment>
  <threadedComment ref="B59" dT="2023-10-20T14:10:08.80" personId="{8AC75422-229F-409F-B74C-AEA0AAA0BC64}" id="{ECAA8311-A93D-4A34-893D-A15B2D985CD9}">
    <text>Should be inserted in the target price year</text>
  </threadedComment>
  <threadedComment ref="C59" dT="2023-10-02T09:29:12.90" personId="{8AC75422-229F-409F-B74C-AEA0AAA0BC64}" id="{BC941C60-A8EF-4D3C-9ABF-FE4E5DACD7AF}">
    <text>If coupled to the indicated technologies listed on the right, choose 0</text>
  </threadedComment>
  <threadedComment ref="B62" dT="2023-10-20T14:22:06.44" personId="{8AC75422-229F-409F-B74C-AEA0AAA0BC64}" id="{0341FCBA-4A09-4DD3-9897-59ABADCB2B5C}">
    <text>Inflation adjusted, if applicable</text>
  </threadedComment>
  <threadedComment ref="B70" dT="2023-10-20T14:10:08.80" personId="{8AC75422-229F-409F-B74C-AEA0AAA0BC64}" id="{43E382CE-5549-44F6-ACE5-EB0F4A3D6807}">
    <text>Should be inserted in the target price year</text>
  </threadedComment>
  <threadedComment ref="B77" dT="2023-07-05T07:51:19.99" personId="{8AC75422-229F-409F-B74C-AEA0AAA0BC64}" id="{0EAC75FF-6562-4B94-95D3-F974A157C1CF}">
    <text>For the case of evaluating new plants vs existing, the Capex of existing plants can be disregarded (set selection to "No")  to provide information on the value of either proceed with operating existing plants or invest and operate new ones.</text>
  </threadedComment>
  <threadedComment ref="B81" dT="2023-10-20T14:22:43.20" personId="{8AC75422-229F-409F-B74C-AEA0AAA0BC64}" id="{92912556-5642-4589-8BE3-38DC5F904927}">
    <text>Inflation adjustments (if any) take place above</text>
  </threadedComment>
  <threadedComment ref="B98" dT="2023-06-16T14:18:52.69" personId="{8AC75422-229F-409F-B74C-AEA0AAA0BC64}" id="{A912D14B-F9FD-47AC-B77B-E40C6FEDD966}">
    <text>An indication of the already assumed start-ups per year within the O&amp;M cost categories should accompany this sheet to inform the user for the need of additional start-up considerations above the assumed levels.</text>
  </threadedComment>
  <threadedComment ref="B99" dT="2023-06-16T14:19:58.46" personId="{8AC75422-229F-409F-B74C-AEA0AAA0BC64}" id="{F1016D3B-8E97-4AB9-A8EB-76E10FC01985}">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3.xml><?xml version="1.0" encoding="utf-8"?>
<ThreadedComments xmlns="http://schemas.microsoft.com/office/spreadsheetml/2018/threadedcomments" xmlns:x="http://schemas.openxmlformats.org/spreadsheetml/2006/main">
  <threadedComment ref="M3" dT="2023-09-06T14:02:14.70" personId="{8AC75422-229F-409F-B74C-AEA0AAA0BC64}" id="{9E51C94A-658E-4E87-8A64-6880AF049149}">
    <text>Costs adjusted adjusted from the cost database ("Fuel Costs" sheet)  to the corresponding input data price level seen in column E.
Remember to update the Cost database levels to the correct price level.</text>
  </threadedComment>
  <threadedComment ref="O3" dT="2024-03-22T13:46:25.38" personId="{8AC75422-229F-409F-B74C-AEA0AAA0BC64}" id="{B667D403-396F-4EA8-A4D5-D213596837AE}">
    <text>The year in which the technology becomes available, and therefore reflecting the cost levels and technological specifications of the projection.</text>
  </threadedComment>
  <threadedComment ref="S3" dT="2023-09-19T08:12:35.06" personId="{8AC75422-229F-409F-B74C-AEA0AAA0BC64}" id="{37D42EF7-1852-484F-8581-57CC351D92F0}">
    <text>Total Input to Total Output</text>
  </threadedComment>
  <threadedComment ref="X3" dT="2023-09-19T08:55:11.34" personId="{8AC75422-229F-409F-B74C-AEA0AAA0BC64}" id="{328BA8C0-5147-42F8-8E85-DB470A87DAB9}">
    <text xml:space="preserve">Cycle life specified as the number of cycles at 1C/1C to 80% state-of-health </text>
  </threadedComment>
  <threadedComment ref="E126" dT="2023-11-28T08:51:52.79" personId="{8AC75422-229F-409F-B74C-AEA0AAA0BC64}" id="{14C8C924-B0EC-421B-A6A3-2CC6731F4C5C}">
    <text>Supercritical</text>
  </threadedComment>
  <threadedComment ref="E127" dT="2023-11-28T08:52:09.71" personId="{8AC75422-229F-409F-B74C-AEA0AAA0BC64}" id="{52F99A4B-8D8F-4F1E-A547-2AEFE1187355}">
    <text>SCGT</text>
  </threadedComment>
  <threadedComment ref="D128" dT="2023-11-28T09:59:30.70" personId="{8AC75422-229F-409F-B74C-AEA0AAA0BC64}" id="{7A5978D3-0176-4B73-BD22-2D71DEBD78FF}">
    <text>Only additional costs for CAPEX. For other costs, the original plant specifications are adjusted per TC percentage. For efficiencies, the original plant specifications are adjusted per TC percentage points</text>
  </threadedComment>
  <threadedComment ref="D129" dT="2023-11-28T09:59:30.70" personId="{8AC75422-229F-409F-B74C-AEA0AAA0BC64}" id="{F25F7469-B40F-464E-8E38-77829E21CB67}">
    <text>Only additional costs for CAPEX. For other costs, the original plant specifications are adjusted per TC percentage. For efficiencies, the original plant specifications are adjusted per TC percentage points</text>
  </threadedComment>
  <threadedComment ref="D130" dT="2023-11-28T09:59:30.70" personId="{8AC75422-229F-409F-B74C-AEA0AAA0BC64}" id="{64E6E2D0-57DC-41B8-BD00-7E59CD6842CA}">
    <text>Only additional costs for CAPEX. For other costs, the original plant specifications are adjusted per TC percentage. For efficiencies, the original plant specifications are adjusted per TC percentage points</text>
  </threadedComment>
  <threadedComment ref="D131" dT="2023-11-28T09:59:30.70" personId="{8AC75422-229F-409F-B74C-AEA0AAA0BC64}" id="{63DE63D3-3FF2-47C8-86D5-6E724DBC77B3}">
    <text>Only additional costs for CAPEX. For other costs, the original plant specifications are adjusted per TC percentage. For efficiencies, the original plant specifications are adjusted per TC percentage points</text>
  </threadedComment>
  <threadedComment ref="D132" dT="2023-11-28T09:59:30.70" personId="{8AC75422-229F-409F-B74C-AEA0AAA0BC64}" id="{225A8091-A1F9-4CC1-8522-48F71A6827F7}">
    <text>Only additional costs for CAPEX. For other costs, the original plant specifications are adjusted per TC percentage. For efficiencies, the original plant specifications are adjusted per TC percentage points</text>
  </threadedComment>
  <threadedComment ref="D133" dT="2023-11-28T09:59:48.51" personId="{8AC75422-229F-409F-B74C-AEA0AAA0BC64}" id="{BCB41965-855F-4B5C-8AF3-0997A83B9410}">
    <text>Only additional costs for CAPEX. For other costs, the original plant specifications are adjusted per TC percentage. For efficiencies, the original plant specifications are adjusted per TC percentage points</text>
  </threadedComment>
  <threadedComment ref="D134" dT="2023-11-28T09:59:48.51" personId="{8AC75422-229F-409F-B74C-AEA0AAA0BC64}" id="{D76CC451-A83A-49F3-8C20-A963CB65FD20}">
    <text>Only additional costs for CAPEX</text>
  </threadedComment>
  <threadedComment ref="D135" dT="2023-11-28T09:59:30.70" personId="{8AC75422-229F-409F-B74C-AEA0AAA0BC64}" id="{B3DC1362-1485-4E8D-B7B7-FD239CE93AE7}">
    <text>Only additional costs for CAPEX</text>
  </threadedComment>
  <threadedComment ref="D136" dT="2023-11-28T09:59:30.70" personId="{8AC75422-229F-409F-B74C-AEA0AAA0BC64}" id="{8E90C79F-9779-433B-B892-EB1AA0813849}">
    <text>Only additional costs for CAPEX</text>
  </threadedComment>
  <threadedComment ref="D137" dT="2023-11-28T09:59:30.70" personId="{8AC75422-229F-409F-B74C-AEA0AAA0BC64}" id="{2F5C67CF-17C2-4D53-B2CF-21FDD83AD651}">
    <text>Only additional costs for CAPEX</text>
  </threadedComment>
  <threadedComment ref="D138" dT="2023-11-28T09:59:48.51" personId="{8AC75422-229F-409F-B74C-AEA0AAA0BC64}" id="{8E5DDBDA-8097-4B12-BA64-F2CA3C086A24}">
    <text>Only additional costs for CAPEX</text>
  </threadedComment>
  <threadedComment ref="D139" dT="2023-11-28T09:59:48.51" personId="{8AC75422-229F-409F-B74C-AEA0AAA0BC64}" id="{F3799E70-9FFB-4443-B947-1592AF49CC31}">
    <text>Only additional costs for CAPEX</text>
  </threadedComment>
  <threadedComment ref="D140" dT="2023-11-28T09:59:48.51" personId="{8AC75422-229F-409F-B74C-AEA0AAA0BC64}" id="{3302AD98-B7A9-4A24-A84A-219FD6ADCF4A}">
    <text>Only additional costs for CAPEX</text>
  </threadedComment>
</ThreadedComments>
</file>

<file path=xl/threadedComments/threadedComment4.xml><?xml version="1.0" encoding="utf-8"?>
<ThreadedComments xmlns="http://schemas.microsoft.com/office/spreadsheetml/2018/threadedcomments" xmlns:x="http://schemas.openxmlformats.org/spreadsheetml/2006/main">
  <threadedComment ref="B34" dT="2023-06-16T13:11:25.37" personId="{8AC75422-229F-409F-B74C-AEA0AAA0BC64}" id="{9671DF08-1F5B-4883-87AE-1941A5711C0F}">
    <text>For thermal power plants where there is an absence of FLHs stated in the TC, a generic value of 4000 FLHs is utilised, unless the user inserts a new value.</text>
  </threadedComment>
  <threadedComment ref="B48" dT="2023-09-26T15:17:53.33" personId="{8AC75422-229F-409F-B74C-AEA0AAA0BC64}" id="{8213FB4D-A5AD-4958-9DF7-C6589535743B}">
    <text>Used in case that the storage volume is utilised only to x% of its extent.</text>
  </threadedComment>
  <threadedComment ref="B57" dT="2023-10-20T14:10:08.80" personId="{8AC75422-229F-409F-B74C-AEA0AAA0BC64}" id="{78397769-8DA7-436C-BBCD-FA8058511A68}">
    <text>Should be inserted in the target price year</text>
  </threadedComment>
  <threadedComment ref="B60" dT="2023-10-20T14:22:06.44" personId="{8AC75422-229F-409F-B74C-AEA0AAA0BC64}" id="{8C835C40-71F5-4BFC-9998-73A029A3391E}">
    <text>Inflation adjusted, if applicable</text>
  </threadedComment>
  <threadedComment ref="B64" dT="2023-10-16T08:23:16.14" personId="{8AC75422-229F-409F-B74C-AEA0AAA0BC64}" id="{D19EFBC9-3A35-4CEF-887F-401CFE351891}">
    <text>Default: 0</text>
  </threadedComment>
  <threadedComment ref="B68" dT="2023-10-20T14:10:08.80" personId="{8AC75422-229F-409F-B74C-AEA0AAA0BC64}" id="{62217673-44D2-4885-95C5-C1A0E58676F1}">
    <text>Should be inserted in the target price year</text>
  </threadedComment>
  <threadedComment ref="B75" dT="2023-07-05T07:51:19.99" personId="{8AC75422-229F-409F-B74C-AEA0AAA0BC64}" id="{C8FDD397-01B7-49D9-AAD1-CC56883FEF13}">
    <text>For the case of evaluating new plants vs existing, the Capex of existing plants can be disregarded (set selection to "No")  to provide information on the value of either proceed with operating existing plants or invest and operate new ones.</text>
  </threadedComment>
  <threadedComment ref="B79" dT="2023-10-20T14:22:43.20" personId="{8AC75422-229F-409F-B74C-AEA0AAA0BC64}" id="{6613F7C8-6FCC-4050-99EA-B282497D383F}">
    <text>Inflation adjustments (if any) take place above</text>
  </threadedComment>
  <threadedComment ref="B88" dT="2023-06-16T14:18:52.69" personId="{8AC75422-229F-409F-B74C-AEA0AAA0BC64}" id="{5AF47D35-3C7D-44F1-8B52-EB4C6FAC58C2}">
    <text>An indication of the already assumed start-ups per year within the O&amp;M cost categories should accompany this sheet to inform the user for the need of additional start-up considerations above the assumed levels.</text>
  </threadedComment>
  <threadedComment ref="B89" dT="2023-06-16T14:19:58.46" personId="{8AC75422-229F-409F-B74C-AEA0AAA0BC64}" id="{232C77C7-E510-4108-BB13-B69AA6B08A71}">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5.xml><?xml version="1.0" encoding="utf-8"?>
<ThreadedComments xmlns="http://schemas.microsoft.com/office/spreadsheetml/2018/threadedcomments" xmlns:x="http://schemas.openxmlformats.org/spreadsheetml/2006/main">
  <threadedComment ref="B34" dT="2023-06-16T13:11:25.37" personId="{8AC75422-229F-409F-B74C-AEA0AAA0BC64}" id="{8B3718B9-4949-48BB-9EED-25DE2F1229ED}">
    <text>For thermal power plants where there is an absence of FLHs stated in the TC, a generic value of 4000 FLHs is utilised, unless the user inserts a new value.</text>
  </threadedComment>
  <threadedComment ref="B48" dT="2023-09-26T15:17:53.33" personId="{8AC75422-229F-409F-B74C-AEA0AAA0BC64}" id="{DA960A47-38D6-4240-9D72-AE3FE79B29BE}">
    <text>Used in case that the storage volume is utilised only to x% of its extent.</text>
  </threadedComment>
  <threadedComment ref="B57" dT="2023-10-20T14:10:08.80" personId="{8AC75422-229F-409F-B74C-AEA0AAA0BC64}" id="{6B60A135-6801-457F-8BBA-4609E3336AA2}">
    <text>Should be inserted in the target price year</text>
  </threadedComment>
  <threadedComment ref="B60" dT="2023-10-20T14:22:06.44" personId="{8AC75422-229F-409F-B74C-AEA0AAA0BC64}" id="{2EE7712B-2399-4100-A50D-9EF5A17E334D}">
    <text>Inflation adjusted, if applicable</text>
  </threadedComment>
  <threadedComment ref="B64" dT="2023-10-16T08:23:16.14" personId="{8AC75422-229F-409F-B74C-AEA0AAA0BC64}" id="{35FCD999-D234-4C49-B5D6-6F674E1BEC6A}">
    <text>Default: 0</text>
  </threadedComment>
  <threadedComment ref="B68" dT="2023-10-20T14:10:08.80" personId="{8AC75422-229F-409F-B74C-AEA0AAA0BC64}" id="{ECAC5FB5-A86D-49C0-89A7-25CCF1F94096}">
    <text>Should be inserted in the target price year</text>
  </threadedComment>
  <threadedComment ref="B75" dT="2023-07-05T07:51:19.99" personId="{8AC75422-229F-409F-B74C-AEA0AAA0BC64}" id="{486A0316-B547-4D0D-8359-C80B6B191BFF}">
    <text>For the case of evaluating new plants vs existing, the Capex of existing plants can be disregarded (set selection to "No")  to provide information on the value of either proceed with operating existing plants or invest and operate new ones.</text>
  </threadedComment>
  <threadedComment ref="B79" dT="2023-10-20T14:22:43.20" personId="{8AC75422-229F-409F-B74C-AEA0AAA0BC64}" id="{24BF44B0-88DF-4364-890A-853FDB56EB59}">
    <text>Inflation adjustments (if any) take place above</text>
  </threadedComment>
  <threadedComment ref="B88" dT="2023-06-16T14:18:52.69" personId="{8AC75422-229F-409F-B74C-AEA0AAA0BC64}" id="{827CF758-494A-4780-ADD7-DC4021A94D81}">
    <text>An indication of the already assumed start-ups per year within the O&amp;M cost categories should accompany this sheet to inform the user for the need of additional start-up considerations above the assumed levels.</text>
  </threadedComment>
  <threadedComment ref="B89" dT="2023-06-16T14:19:58.46" personId="{8AC75422-229F-409F-B74C-AEA0AAA0BC64}" id="{DB7EBEA1-CAE5-4787-9EE7-5753E9F7F95B}">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6.xml><?xml version="1.0" encoding="utf-8"?>
<ThreadedComments xmlns="http://schemas.microsoft.com/office/spreadsheetml/2018/threadedcomments" xmlns:x="http://schemas.openxmlformats.org/spreadsheetml/2006/main">
  <threadedComment ref="B34" dT="2023-06-16T13:11:25.37" personId="{8AC75422-229F-409F-B74C-AEA0AAA0BC64}" id="{5E0B88A5-EA83-4C16-AED5-19345A9A0DA0}">
    <text>For thermal power plants where there is an absence of FLHs stated in the TC, a generic value of 4000 FLHs is utilised, unless the user inserts a new value.</text>
  </threadedComment>
  <threadedComment ref="B48" dT="2023-09-26T15:17:53.33" personId="{8AC75422-229F-409F-B74C-AEA0AAA0BC64}" id="{1D7527B4-1171-4024-BCD3-A46A796DE267}">
    <text>Used in case that the storage volume is utilised only to x% of its extent.</text>
  </threadedComment>
  <threadedComment ref="B57" dT="2023-10-20T14:10:08.80" personId="{8AC75422-229F-409F-B74C-AEA0AAA0BC64}" id="{CA81BF24-1E5D-4A4D-9889-D0B7714BC949}">
    <text>Should be inserted in the target price year</text>
  </threadedComment>
  <threadedComment ref="B60" dT="2023-10-20T14:22:06.44" personId="{8AC75422-229F-409F-B74C-AEA0AAA0BC64}" id="{5A68FAF2-FFFA-497E-BC1F-FD5B227AF888}">
    <text>Inflation adjusted, if applicable</text>
  </threadedComment>
  <threadedComment ref="B64" dT="2023-10-16T08:23:16.14" personId="{8AC75422-229F-409F-B74C-AEA0AAA0BC64}" id="{DA544937-136B-49E2-B9B8-4DC4652B5BC2}">
    <text>Default: 0</text>
  </threadedComment>
  <threadedComment ref="B68" dT="2023-10-20T14:10:08.80" personId="{8AC75422-229F-409F-B74C-AEA0AAA0BC64}" id="{E7DD8EAD-2A10-4430-9408-5081B94659D0}">
    <text>Should be inserted in the target price year</text>
  </threadedComment>
  <threadedComment ref="B75" dT="2023-07-05T07:51:19.99" personId="{8AC75422-229F-409F-B74C-AEA0AAA0BC64}" id="{304AF8AC-E89C-4E78-84ED-D9604B6F2941}">
    <text>For the case of evaluating new plants vs existing, the Capex of existing plants can be disregarded (set selection to "No")  to provide information on the value of either proceed with operating existing plants or invest and operate new ones.</text>
  </threadedComment>
  <threadedComment ref="B79" dT="2023-10-20T14:22:43.20" personId="{8AC75422-229F-409F-B74C-AEA0AAA0BC64}" id="{A3FA5EC9-FC8F-4503-8114-CF3214A9B7AF}">
    <text>Inflation adjustments (if any) take place above</text>
  </threadedComment>
  <threadedComment ref="B88" dT="2023-06-16T14:18:52.69" personId="{8AC75422-229F-409F-B74C-AEA0AAA0BC64}" id="{C7BCA347-01FA-46C1-9235-4B6784C1C927}">
    <text>An indication of the already assumed start-ups per year within the O&amp;M cost categories should accompany this sheet to inform the user for the need of additional start-up considerations above the assumed levels.</text>
  </threadedComment>
  <threadedComment ref="B89" dT="2023-06-16T14:19:58.46" personId="{8AC75422-229F-409F-B74C-AEA0AAA0BC64}" id="{23DBFA8D-93EF-421A-9A06-5D7F8DDEBF23}">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7.xml><?xml version="1.0" encoding="utf-8"?>
<ThreadedComments xmlns="http://schemas.microsoft.com/office/spreadsheetml/2018/threadedcomments" xmlns:x="http://schemas.openxmlformats.org/spreadsheetml/2006/main">
  <threadedComment ref="B34" dT="2023-06-16T13:11:25.37" personId="{8AC75422-229F-409F-B74C-AEA0AAA0BC64}" id="{94D01B45-8155-4A04-8A54-2A8207B49BA3}">
    <text>For thermal power plants where there is an absence of FLHs stated in the TC, a generic value of 4000 FLHs is utilised, unless the user inserts a new value.</text>
  </threadedComment>
  <threadedComment ref="B48" dT="2023-09-26T15:17:53.33" personId="{8AC75422-229F-409F-B74C-AEA0AAA0BC64}" id="{529AC8F5-832D-4E19-BCA9-7C9920D319CD}">
    <text>Used in case that the storage volume is utilised only to x% of its extent.</text>
  </threadedComment>
  <threadedComment ref="B59" dT="2023-10-20T14:10:08.80" personId="{8AC75422-229F-409F-B74C-AEA0AAA0BC64}" id="{5FE5EAA5-37F5-4747-A2AF-DC0778EEEF31}">
    <text>Should be inserted in the target price year</text>
  </threadedComment>
  <threadedComment ref="C59" dT="2023-10-02T09:29:12.90" personId="{8AC75422-229F-409F-B74C-AEA0AAA0BC64}" id="{5761F4F5-48C4-4434-AFC6-D8C613849A78}">
    <text>If coupled to the indicated technologies listed on the right, choose 0</text>
  </threadedComment>
  <threadedComment ref="B62" dT="2023-10-20T14:22:06.44" personId="{8AC75422-229F-409F-B74C-AEA0AAA0BC64}" id="{A0BA5E0C-E90D-457B-9ED7-F2ECAE660ADE}">
    <text>Inflation adjusted, if applicable</text>
  </threadedComment>
  <threadedComment ref="B70" dT="2023-10-20T14:10:08.80" personId="{8AC75422-229F-409F-B74C-AEA0AAA0BC64}" id="{DE8F9EB1-BA8E-4D51-9FD0-009E091DD42F}">
    <text>Should be inserted in the target price year</text>
  </threadedComment>
  <threadedComment ref="B77" dT="2023-07-05T07:51:19.99" personId="{8AC75422-229F-409F-B74C-AEA0AAA0BC64}" id="{CBE37EAC-F274-4244-865E-949313D52765}">
    <text>For the case of evaluating new plants vs existing, the Capex of existing plants can be disregarded (set selection to "No")  to provide information on the value of either proceed with operating existing plants or invest and operate new ones.</text>
  </threadedComment>
  <threadedComment ref="B81" dT="2023-10-20T14:22:43.20" personId="{8AC75422-229F-409F-B74C-AEA0AAA0BC64}" id="{8ECB9114-A337-416E-B56B-4E3A868EFF5D}">
    <text>Inflation adjustments (if any) take place above</text>
  </threadedComment>
  <threadedComment ref="B98" dT="2023-06-16T14:18:52.69" personId="{8AC75422-229F-409F-B74C-AEA0AAA0BC64}" id="{96D62D3C-BE52-467B-A467-84ACD4D52809}">
    <text>An indication of the already assumed start-ups per year within the O&amp;M cost categories should accompany this sheet to inform the user for the need of additional start-up considerations above the assumed levels.</text>
  </threadedComment>
  <threadedComment ref="B99" dT="2023-06-16T14:19:58.46" personId="{8AC75422-229F-409F-B74C-AEA0AAA0BC64}" id="{7CB18359-F038-4305-844A-A98490A6C08B}">
    <text xml:space="preserve">A section with environmental externality costs should probably be included in a future version of the tool accounting for NOx, SO2 and etc. Currently such costs are absent in the TC data sheets. </text>
  </threadedComment>
</ThreadedComments>
</file>

<file path=xl/threadedComments/threadedComment8.xml><?xml version="1.0" encoding="utf-8"?>
<ThreadedComments xmlns="http://schemas.microsoft.com/office/spreadsheetml/2018/threadedcomments" xmlns:x="http://schemas.openxmlformats.org/spreadsheetml/2006/main">
  <threadedComment ref="Z4" dT="2023-10-27T13:45:48.31" personId="{8AC75422-229F-409F-B74C-AEA0AAA0BC64}" id="{E708797F-71D0-4760-A6A2-71D3FEFB393F}">
    <text>Rough approximations based on previous experiences. Update is suggested to the user's best expectations.</text>
  </threadedComment>
  <threadedComment ref="AA4" dT="2023-10-27T13:45:57.29" personId="{8AC75422-229F-409F-B74C-AEA0AAA0BC64}" id="{3D1B129D-E9AE-47AD-9AC0-22B13DDA229B}">
    <text>Rough approximations based on previous experiences. Update is suggested to the user's best expectations.</text>
  </threadedComment>
  <threadedComment ref="AB4" dT="2023-10-27T13:46:05.90" personId="{8AC75422-229F-409F-B74C-AEA0AAA0BC64}" id="{352EBF86-3A09-4CAC-9CAC-1413B21ADE4E}">
    <text>IEA Shipping 24 $/GJ in 2030
https://www.iea.org/reports/the-role-of-low-carbon-fuels-in-the-clean-energy-transitions-of-the-power-sector
Page 59</text>
    <extLst>
      <x:ext xmlns:xltc2="http://schemas.microsoft.com/office/spreadsheetml/2020/threadedcomments2" uri="{F7C98A9C-CBB3-438F-8F68-D28B6AF4A901}">
        <xltc2:checksum>2964560210</xltc2:checksum>
        <xltc2:hyperlink startIndex="30" length="108" url="https://www.iea.org/reports/the-role-of-low-carbon-fuels-in-the-clean-energy-transitions-of-the-power-sector"/>
      </x:ext>
    </extLst>
  </threadedComment>
  <threadedComment ref="AC4" dT="2023-10-27T13:46:12.15" personId="{8AC75422-229F-409F-B74C-AEA0AAA0BC64}" id="{B91928C9-8A4B-40CC-99D7-B85B3694E142}">
    <text xml:space="preserve">IEA shipping 24 $/GJ in 2030 
https://www.iea.org/reports/the-role-of-low-carbon-fuels-in-the-clean-energy-transitions-of-the-power-sector
Page 59
</text>
    <extLst>
      <x:ext xmlns:xltc2="http://schemas.microsoft.com/office/spreadsheetml/2020/threadedcomments2" uri="{F7C98A9C-CBB3-438F-8F68-D28B6AF4A901}">
        <xltc2:checksum>2898675071</xltc2:checksum>
        <xltc2:hyperlink startIndex="31" length="108" url="https://www.iea.org/reports/the-role-of-low-carbon-fuels-in-the-clean-energy-transitions-of-the-power-sector"/>
      </x:ext>
    </extLst>
  </threadedComment>
  <threadedComment ref="AD4" dT="2024-02-19T17:01:37.69" personId="{8AC75422-229F-409F-B74C-AEA0AAA0BC64}" id="{BEC1912B-3337-4E65-9D47-921EE3045685}">
    <text>Includes H2, electricity and CO2 prices. Assumed CO2 Price 100 $/ton today, transitioning to 80 $/ton towards 2050. 1.4 ton per ton MeOH and 5.54 kWh/kg MeOH LHV
The CO2 price is scaled down here by 78% (total input to output efficiency of the Methanol plant) as during the tool's operation the efficiency scales up the input price per MWh output, and the CO2 quantity here represents tons CO2 per ton Output.</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5.xml"/><Relationship Id="rId4" Type="http://schemas.microsoft.com/office/2017/10/relationships/threadedComment" Target="../threadedComments/threadedComment6.x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lselectric.co.kr/edm/2016/1128/1611_electric_Floating%20Photovoltaic%20System.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modernpowersystems.com/features/featureincreasing-flexibility-of-igcc-4893259/" TargetMode="External"/><Relationship Id="rId2" Type="http://schemas.openxmlformats.org/officeDocument/2006/relationships/hyperlink" Target="https://www.euro-fusion.org/fileadmin/user_upload/Archive/wp-content/uploads/2015/02/Final-report-WP12-SER-ETM-3-01.pdf" TargetMode="External"/><Relationship Id="rId1" Type="http://schemas.openxmlformats.org/officeDocument/2006/relationships/hyperlink" Target="https://netl.doe.gov/sites/default/files/netl-file/22HOLT.pdf" TargetMode="External"/><Relationship Id="rId5" Type="http://schemas.openxmlformats.org/officeDocument/2006/relationships/drawing" Target="../drawings/drawing9.xml"/><Relationship Id="rId4"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2" Type="http://schemas.openxmlformats.org/officeDocument/2006/relationships/hyperlink" Target="https://world-nuclear.org/information-library/economic-aspects/economics-of-nuclear-power.aspx" TargetMode="External"/><Relationship Id="rId1" Type="http://schemas.openxmlformats.org/officeDocument/2006/relationships/hyperlink" Target="https://www.iaea.org/publications/15485/nuclear-power-reactors-in-the-world"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aris.iaea.org/Publications/SMR_booklet_2022.pdf"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5.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8"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 Id="rId4" Type="http://schemas.microsoft.com/office/2017/10/relationships/threadedComment" Target="../threadedComments/threadedComment4.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158E-52E8-48FF-8033-B83133ACF069}">
  <sheetPr codeName="Sheet74"/>
  <dimension ref="A1:F35"/>
  <sheetViews>
    <sheetView showGridLines="0" topLeftCell="A4" workbookViewId="0">
      <selection activeCell="J16" sqref="J16"/>
    </sheetView>
  </sheetViews>
  <sheetFormatPr defaultRowHeight="15"/>
  <cols>
    <col min="1" max="1" width="4.85546875" customWidth="1"/>
    <col min="4" max="4" width="11" bestFit="1" customWidth="1"/>
    <col min="5" max="5" width="22.7109375" bestFit="1" customWidth="1"/>
    <col min="6" max="6" width="42.28515625" bestFit="1" customWidth="1"/>
  </cols>
  <sheetData>
    <row r="1" spans="1:6" s="299" customFormat="1" ht="33">
      <c r="B1" s="300" t="str">
        <f ca="1">IFERROR(MID(MID(SUBSTITUTE(CELL("filename",A1),"/","\"),SEARCH("|",SUBSTITUTE(SUBSTITUTE(CELL("filename",A1),"/","\"),"\","|",LEN(SUBSTITUTE(CELL("filename",A1),"/","\"))-LEN(SUBSTITUTE(SUBSTITUTE(CELL("filename",A1),"/","\"),"\",""))))+1, 255),FIND("]",MID(SUBSTITUTE(CELL("filename",A1),"/","\"),SEARCH("|",SUBSTITUTE(SUBSTITUTE(CELL("filename",A1),"/","\"),"\","|",LEN(SUBSTITUTE(CELL("filename",A1),"/","\"))-LEN(SUBSTITUTE(SUBSTITUTE(CELL("filename",A1),"/","\"),"\",""))))+1, 255))+1,255),"Sheet name cannot be computed in an unsaved workbook. Please save your workbook.")</f>
        <v>Log</v>
      </c>
    </row>
    <row r="2" spans="1:6" s="301" customFormat="1" ht="2.1" customHeight="1"/>
    <row r="3" spans="1:6">
      <c r="A3" s="302"/>
    </row>
    <row r="8" spans="1:6" ht="15.75">
      <c r="C8" s="303" t="s">
        <v>171</v>
      </c>
      <c r="D8" s="303" t="s">
        <v>172</v>
      </c>
      <c r="E8" s="303" t="s">
        <v>173</v>
      </c>
      <c r="F8" s="303" t="s">
        <v>1010</v>
      </c>
    </row>
    <row r="9" spans="1:6">
      <c r="C9" s="304"/>
      <c r="D9" s="305"/>
      <c r="E9" s="305"/>
      <c r="F9" s="306"/>
    </row>
    <row r="10" spans="1:6">
      <c r="C10" s="307" t="s">
        <v>174</v>
      </c>
      <c r="D10" s="308" t="s">
        <v>1015</v>
      </c>
      <c r="E10" s="309" t="s">
        <v>1009</v>
      </c>
      <c r="F10" s="310" t="s">
        <v>1016</v>
      </c>
    </row>
    <row r="11" spans="1:6">
      <c r="C11" s="307"/>
      <c r="D11" s="308"/>
      <c r="E11" s="309"/>
      <c r="F11" s="310"/>
    </row>
    <row r="12" spans="1:6">
      <c r="C12" s="307"/>
      <c r="D12" s="311"/>
      <c r="E12" s="307"/>
      <c r="F12" s="310"/>
    </row>
    <row r="13" spans="1:6">
      <c r="C13" s="307"/>
      <c r="D13" s="311"/>
      <c r="E13" s="307"/>
      <c r="F13" s="310"/>
    </row>
    <row r="14" spans="1:6">
      <c r="C14" s="307"/>
      <c r="D14" s="311"/>
      <c r="E14" s="307"/>
      <c r="F14" s="310"/>
    </row>
    <row r="15" spans="1:6">
      <c r="C15" s="307"/>
      <c r="D15" s="312"/>
      <c r="E15" s="307"/>
      <c r="F15" s="310"/>
    </row>
    <row r="16" spans="1:6">
      <c r="C16" s="307"/>
      <c r="D16" s="311"/>
      <c r="E16" s="307"/>
      <c r="F16" s="310"/>
    </row>
    <row r="17" spans="3:6">
      <c r="C17" s="307"/>
      <c r="D17" s="311"/>
      <c r="E17" s="307"/>
      <c r="F17" s="310"/>
    </row>
    <row r="18" spans="3:6">
      <c r="C18" s="307"/>
      <c r="D18" s="311"/>
      <c r="E18" s="307"/>
      <c r="F18" s="310"/>
    </row>
    <row r="19" spans="3:6">
      <c r="C19" s="307"/>
      <c r="D19" s="311"/>
      <c r="E19" s="307"/>
      <c r="F19" s="310"/>
    </row>
    <row r="20" spans="3:6">
      <c r="C20" s="307"/>
      <c r="D20" s="307"/>
      <c r="E20" s="307"/>
      <c r="F20" s="310"/>
    </row>
    <row r="21" spans="3:6">
      <c r="C21" s="307"/>
      <c r="D21" s="307"/>
      <c r="E21" s="307"/>
      <c r="F21" s="310"/>
    </row>
    <row r="22" spans="3:6">
      <c r="C22" s="307"/>
      <c r="D22" s="307"/>
      <c r="E22" s="307"/>
      <c r="F22" s="310"/>
    </row>
    <row r="23" spans="3:6">
      <c r="C23" s="307"/>
      <c r="D23" s="307"/>
      <c r="E23" s="307"/>
      <c r="F23" s="310"/>
    </row>
    <row r="24" spans="3:6">
      <c r="C24" s="307"/>
      <c r="D24" s="307"/>
      <c r="E24" s="307"/>
      <c r="F24" s="310"/>
    </row>
    <row r="25" spans="3:6">
      <c r="C25" s="307"/>
      <c r="D25" s="307"/>
      <c r="E25" s="307"/>
      <c r="F25" s="310"/>
    </row>
    <row r="26" spans="3:6">
      <c r="C26" s="307"/>
      <c r="D26" s="307"/>
      <c r="E26" s="307"/>
      <c r="F26" s="310"/>
    </row>
    <row r="27" spans="3:6">
      <c r="C27" s="307"/>
      <c r="D27" s="307"/>
      <c r="E27" s="307"/>
      <c r="F27" s="310"/>
    </row>
    <row r="28" spans="3:6">
      <c r="C28" s="307"/>
      <c r="D28" s="307"/>
      <c r="E28" s="307"/>
      <c r="F28" s="310"/>
    </row>
    <row r="29" spans="3:6">
      <c r="C29" s="307"/>
      <c r="D29" s="307"/>
      <c r="E29" s="309"/>
      <c r="F29" s="310"/>
    </row>
    <row r="30" spans="3:6">
      <c r="C30" s="307"/>
      <c r="D30" s="307"/>
      <c r="E30" s="309"/>
      <c r="F30" s="310"/>
    </row>
    <row r="31" spans="3:6">
      <c r="C31" s="307"/>
      <c r="D31" s="307"/>
      <c r="E31" s="307"/>
      <c r="F31" s="310"/>
    </row>
    <row r="32" spans="3:6">
      <c r="C32" s="307"/>
      <c r="D32" s="307"/>
      <c r="E32" s="307"/>
      <c r="F32" s="310"/>
    </row>
    <row r="33" spans="3:6">
      <c r="C33" s="307"/>
      <c r="D33" s="307"/>
      <c r="E33" s="307"/>
      <c r="F33" s="310"/>
    </row>
    <row r="34" spans="3:6">
      <c r="C34" s="307"/>
      <c r="D34" s="307"/>
      <c r="E34" s="307"/>
      <c r="F34" s="310"/>
    </row>
    <row r="35" spans="3:6">
      <c r="C35" s="313"/>
      <c r="D35" s="313"/>
      <c r="E35" s="313"/>
      <c r="F35" s="31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574-EDF7-4953-BE58-8D46A04A735F}">
  <sheetPr codeName="Sheet57">
    <tabColor theme="0"/>
  </sheetPr>
  <dimension ref="A2:AD156"/>
  <sheetViews>
    <sheetView showGridLines="0" zoomScale="90" zoomScaleNormal="90" workbookViewId="0">
      <selection activeCell="B143" sqref="B143"/>
    </sheetView>
  </sheetViews>
  <sheetFormatPr defaultRowHeight="15"/>
  <cols>
    <col min="2" max="2" width="68.85546875" customWidth="1"/>
    <col min="3" max="3" width="14.85546875" customWidth="1"/>
    <col min="4" max="4" width="14" bestFit="1" customWidth="1"/>
    <col min="5" max="5" width="16.140625" bestFit="1" customWidth="1"/>
    <col min="6" max="6" width="25.42578125" style="19" bestFit="1" customWidth="1"/>
    <col min="7" max="7" width="20.42578125" style="19" bestFit="1" customWidth="1"/>
    <col min="8" max="8" width="28" style="19" bestFit="1" customWidth="1"/>
    <col min="9" max="9" width="24.42578125" style="19" bestFit="1" customWidth="1"/>
    <col min="10" max="10" width="17.140625" style="19" bestFit="1" customWidth="1"/>
    <col min="11" max="11" width="12.5703125" style="19" bestFit="1" customWidth="1"/>
    <col min="12" max="12" width="16.140625" style="19" bestFit="1" customWidth="1"/>
    <col min="13" max="13" width="10.140625" style="19" bestFit="1" customWidth="1"/>
    <col min="14" max="14" width="14" style="19" bestFit="1" customWidth="1"/>
    <col min="15" max="16" width="13.140625" style="19" bestFit="1" customWidth="1"/>
    <col min="17" max="18" width="19.7109375" style="19" bestFit="1" customWidth="1"/>
    <col min="19" max="19" width="33.7109375" style="19" bestFit="1" customWidth="1"/>
    <col min="20" max="20" width="26" style="19" bestFit="1" customWidth="1"/>
    <col min="21" max="26" width="8.7109375" style="19"/>
    <col min="27" max="27" width="8.7109375" style="39"/>
    <col min="28" max="28" width="24.140625" bestFit="1" customWidth="1"/>
    <col min="29" max="29" width="14" bestFit="1" customWidth="1"/>
    <col min="30" max="30" width="24.85546875" bestFit="1" customWidth="1"/>
    <col min="31" max="31" width="25.42578125" bestFit="1" customWidth="1"/>
  </cols>
  <sheetData>
    <row r="2" spans="1:26">
      <c r="B2" s="1" t="s">
        <v>0</v>
      </c>
      <c r="C2" s="1" t="s">
        <v>1</v>
      </c>
    </row>
    <row r="3" spans="1:26">
      <c r="B3" s="33"/>
      <c r="C3" s="15" t="s">
        <v>2</v>
      </c>
    </row>
    <row r="4" spans="1:26">
      <c r="B4" s="38"/>
      <c r="C4" s="15" t="s">
        <v>3</v>
      </c>
    </row>
    <row r="5" spans="1:26">
      <c r="B5" s="10"/>
      <c r="C5" s="15" t="s">
        <v>4</v>
      </c>
      <c r="G5" s="19" t="s">
        <v>5</v>
      </c>
    </row>
    <row r="6" spans="1:26">
      <c r="B6" s="40"/>
      <c r="C6" s="15" t="s">
        <v>6</v>
      </c>
    </row>
    <row r="7" spans="1:26">
      <c r="C7" s="63" t="s">
        <v>964</v>
      </c>
    </row>
    <row r="8" spans="1:26" ht="15.75" thickBot="1"/>
    <row r="9" spans="1:26">
      <c r="B9" s="397" t="s">
        <v>7</v>
      </c>
      <c r="C9" s="398">
        <v>2022</v>
      </c>
    </row>
    <row r="10" spans="1:26" ht="15.75" thickBot="1">
      <c r="B10" s="400" t="s">
        <v>8</v>
      </c>
      <c r="C10" s="399">
        <v>0.02</v>
      </c>
    </row>
    <row r="11" spans="1:26">
      <c r="A11" s="1137" t="s">
        <v>1003</v>
      </c>
      <c r="C11" s="1054">
        <v>2050</v>
      </c>
      <c r="D11" s="1054"/>
      <c r="E11" s="1054"/>
      <c r="F11" s="1054"/>
      <c r="G11" s="1054"/>
      <c r="H11" s="1054"/>
      <c r="I11" s="1054"/>
      <c r="J11" s="1054"/>
      <c r="K11" s="1054"/>
      <c r="L11" s="1054"/>
      <c r="M11" s="1054"/>
      <c r="N11" s="1054"/>
      <c r="O11" s="1054"/>
      <c r="P11" s="1054"/>
      <c r="Q11" s="1054"/>
      <c r="R11" s="1054"/>
      <c r="S11" s="1055"/>
      <c r="T11" s="1055"/>
      <c r="U11" s="1055"/>
      <c r="V11" s="1055"/>
      <c r="W11" s="1055"/>
      <c r="X11" s="1055"/>
      <c r="Y11" s="1055"/>
      <c r="Z11" s="1055"/>
    </row>
    <row r="12" spans="1:26">
      <c r="A12" s="1138"/>
      <c r="C12" s="1054" t="s">
        <v>124</v>
      </c>
      <c r="D12" s="1054"/>
      <c r="E12" s="1054"/>
      <c r="F12" s="1054"/>
      <c r="G12" s="1054" t="s">
        <v>125</v>
      </c>
      <c r="H12" s="1054"/>
      <c r="I12" s="1054" t="s">
        <v>126</v>
      </c>
      <c r="J12" s="1054"/>
      <c r="K12" s="1054"/>
      <c r="L12" s="1054" t="s">
        <v>127</v>
      </c>
      <c r="M12" s="1054"/>
      <c r="N12" s="1054"/>
      <c r="O12" s="1054"/>
      <c r="P12" s="1054"/>
      <c r="Q12" s="1054"/>
      <c r="R12" s="1054"/>
      <c r="S12" s="1054"/>
      <c r="T12" s="1054"/>
      <c r="U12" s="1055"/>
      <c r="V12" s="1055"/>
      <c r="W12" s="1055"/>
      <c r="X12" s="1055"/>
      <c r="Y12" s="1055"/>
      <c r="Z12" s="1055"/>
    </row>
    <row r="13" spans="1:26">
      <c r="A13" s="1138"/>
      <c r="C13" s="1054" t="s">
        <v>11</v>
      </c>
      <c r="D13" s="1054"/>
      <c r="E13" s="1054" t="s">
        <v>128</v>
      </c>
      <c r="F13" s="1054" t="s">
        <v>13</v>
      </c>
      <c r="G13" s="1054" t="s">
        <v>19</v>
      </c>
      <c r="H13" s="1054"/>
      <c r="I13" s="1054" t="s">
        <v>15</v>
      </c>
      <c r="J13" s="1054" t="s">
        <v>14</v>
      </c>
      <c r="K13" s="1054" t="s">
        <v>20</v>
      </c>
      <c r="L13" s="1054" t="s">
        <v>21</v>
      </c>
      <c r="M13" s="1054"/>
      <c r="N13" s="1054" t="s">
        <v>22</v>
      </c>
      <c r="O13" s="1054"/>
      <c r="P13" s="1054"/>
      <c r="Q13" s="1054"/>
      <c r="R13" s="1054"/>
      <c r="S13" s="1054"/>
      <c r="T13" s="1054"/>
      <c r="U13" s="1055"/>
      <c r="V13" s="1055"/>
      <c r="W13" s="1055"/>
      <c r="X13" s="1055"/>
      <c r="Y13" s="1055"/>
      <c r="Z13" s="1055"/>
    </row>
    <row r="14" spans="1:26" ht="15.75">
      <c r="A14" s="1138"/>
      <c r="B14" s="271" t="s">
        <v>9</v>
      </c>
      <c r="C14" s="1054" t="s">
        <v>24</v>
      </c>
      <c r="D14" s="1054" t="s">
        <v>25</v>
      </c>
      <c r="E14" s="1054" t="s">
        <v>26</v>
      </c>
      <c r="F14" s="1054" t="s">
        <v>27</v>
      </c>
      <c r="G14" s="1054" t="s">
        <v>33</v>
      </c>
      <c r="H14" s="1054" t="s">
        <v>123</v>
      </c>
      <c r="I14" s="1054" t="s">
        <v>30</v>
      </c>
      <c r="J14" s="1054" t="s">
        <v>122</v>
      </c>
      <c r="K14" s="1054" t="s">
        <v>122</v>
      </c>
      <c r="L14" s="1054" t="s">
        <v>130</v>
      </c>
      <c r="M14" s="1054" t="s">
        <v>40</v>
      </c>
      <c r="N14" s="1054" t="s">
        <v>38</v>
      </c>
      <c r="O14" s="1054" t="s">
        <v>39</v>
      </c>
      <c r="P14" s="1054" t="s">
        <v>40</v>
      </c>
      <c r="Q14" s="1054"/>
      <c r="R14" s="1054"/>
      <c r="S14" s="1054"/>
      <c r="T14" s="1054"/>
      <c r="U14" s="1055"/>
      <c r="V14" s="1055"/>
      <c r="W14" s="1055"/>
      <c r="X14" s="1055"/>
      <c r="Y14" s="1055"/>
      <c r="Z14" s="1055"/>
    </row>
    <row r="15" spans="1:26">
      <c r="B15" s="282" t="s">
        <v>10</v>
      </c>
      <c r="C15" s="45" t="s">
        <v>11</v>
      </c>
      <c r="D15" s="45" t="s">
        <v>11</v>
      </c>
      <c r="E15" s="45" t="s">
        <v>12</v>
      </c>
      <c r="F15" s="45" t="s">
        <v>13</v>
      </c>
      <c r="G15" s="45" t="s">
        <v>19</v>
      </c>
      <c r="H15" s="45" t="s">
        <v>19</v>
      </c>
      <c r="I15" s="45" t="s">
        <v>15</v>
      </c>
      <c r="J15" s="45" t="s">
        <v>14</v>
      </c>
      <c r="K15" s="45" t="s">
        <v>20</v>
      </c>
      <c r="L15" s="45" t="s">
        <v>21</v>
      </c>
      <c r="M15" s="45" t="s">
        <v>21</v>
      </c>
      <c r="N15" s="45" t="s">
        <v>22</v>
      </c>
      <c r="O15" s="45" t="s">
        <v>22</v>
      </c>
      <c r="P15" s="45" t="s">
        <v>22</v>
      </c>
      <c r="Q15" s="45"/>
      <c r="R15" s="45"/>
      <c r="S15" s="45"/>
      <c r="T15" s="45"/>
      <c r="U15" s="45"/>
      <c r="V15" s="45"/>
      <c r="W15" s="45"/>
      <c r="X15" s="45"/>
      <c r="Y15" s="45"/>
      <c r="Z15" s="45"/>
    </row>
    <row r="16" spans="1:26">
      <c r="B16" s="278" t="s">
        <v>23</v>
      </c>
      <c r="C16" s="45" t="s">
        <v>24</v>
      </c>
      <c r="D16" s="45" t="s">
        <v>25</v>
      </c>
      <c r="E16" s="45" t="s">
        <v>26</v>
      </c>
      <c r="F16" s="45" t="s">
        <v>27</v>
      </c>
      <c r="G16" s="45" t="s">
        <v>33</v>
      </c>
      <c r="H16" s="45" t="s">
        <v>34</v>
      </c>
      <c r="I16" s="45" t="s">
        <v>29</v>
      </c>
      <c r="J16" s="45" t="s">
        <v>28</v>
      </c>
      <c r="K16" s="45" t="s">
        <v>122</v>
      </c>
      <c r="L16" s="45" t="s">
        <v>36</v>
      </c>
      <c r="M16" s="45" t="s">
        <v>37</v>
      </c>
      <c r="N16" s="45" t="s">
        <v>38</v>
      </c>
      <c r="O16" s="45" t="s">
        <v>39</v>
      </c>
      <c r="P16" s="45" t="s">
        <v>40</v>
      </c>
      <c r="Q16" s="45"/>
      <c r="R16" s="45"/>
      <c r="S16" s="45"/>
      <c r="T16" s="45"/>
      <c r="U16" s="45"/>
      <c r="V16" s="45"/>
      <c r="W16" s="45"/>
      <c r="X16" s="45"/>
      <c r="Y16" s="45"/>
      <c r="Z16" s="45"/>
    </row>
    <row r="17" spans="2:26">
      <c r="B17" s="278" t="s">
        <v>41</v>
      </c>
      <c r="C17" s="45">
        <v>2050</v>
      </c>
      <c r="D17" s="45">
        <v>2050</v>
      </c>
      <c r="E17" s="45">
        <v>2050</v>
      </c>
      <c r="F17" s="45">
        <v>2050</v>
      </c>
      <c r="G17" s="45">
        <v>2050</v>
      </c>
      <c r="H17" s="45">
        <v>2050</v>
      </c>
      <c r="I17" s="45">
        <v>2050</v>
      </c>
      <c r="J17" s="45">
        <v>2050</v>
      </c>
      <c r="K17" s="45">
        <v>2050</v>
      </c>
      <c r="L17" s="45">
        <v>2050</v>
      </c>
      <c r="M17" s="45">
        <v>2050</v>
      </c>
      <c r="N17" s="45">
        <v>2050</v>
      </c>
      <c r="O17" s="45">
        <v>2050</v>
      </c>
      <c r="P17" s="45">
        <v>2050</v>
      </c>
      <c r="Q17" s="45"/>
      <c r="R17" s="45"/>
      <c r="S17" s="45"/>
      <c r="T17" s="45"/>
      <c r="U17" s="45"/>
      <c r="V17" s="45"/>
      <c r="W17" s="45"/>
      <c r="X17" s="45"/>
      <c r="Y17" s="45"/>
      <c r="Z17" s="45"/>
    </row>
    <row r="18" spans="2:26" ht="15.75" thickBot="1">
      <c r="B18" s="278" t="s">
        <v>42</v>
      </c>
      <c r="C18" s="61">
        <f>IF(C15="","",SUMIFS('Background (from TC)'!$P$4:$P$1048576,'Background (from TC)'!$D$4:$D$1048576,C$15,'Background (from TC)'!$E$4:$E$1048576,C$16,'Background (from TC)'!$O$4:$O$1048576,C$17))</f>
        <v>30</v>
      </c>
      <c r="D18" s="61">
        <f>IF(D15="","",SUMIFS('Background (from TC)'!$P$4:$P$1048576,'Background (from TC)'!$D$4:$D$1048576,D$15,'Background (from TC)'!$E$4:$E$1048576,D$16,'Background (from TC)'!$O$4:$O$1048576,D$17))</f>
        <v>30</v>
      </c>
      <c r="E18" s="61">
        <f>IF(E15="","",SUMIFS('Background (from TC)'!$P$4:$P$1048576,'Background (from TC)'!$D$4:$D$1048576,E$15,'Background (from TC)'!$E$4:$E$1048576,E$16,'Background (from TC)'!$O$4:$O$1048576,E$17))</f>
        <v>25</v>
      </c>
      <c r="F18" s="61">
        <f>IF(F15="","",SUMIFS('Background (from TC)'!$P$4:$P$1048576,'Background (from TC)'!$D$4:$D$1048576,F$15,'Background (from TC)'!$E$4:$E$1048576,F$16,'Background (from TC)'!$O$4:$O$1048576,F$17))</f>
        <v>25</v>
      </c>
      <c r="G18" s="61">
        <f>IF(G15="","",SUMIFS('Background (from TC)'!$P$4:$P$1048576,'Background (from TC)'!$D$4:$D$1048576,G$15,'Background (from TC)'!$E$4:$E$1048576,G$16,'Background (from TC)'!$O$4:$O$1048576,G$17))</f>
        <v>60</v>
      </c>
      <c r="H18" s="61">
        <f>IF(H15="","",SUMIFS('Background (from TC)'!$P$4:$P$1048576,'Background (from TC)'!$D$4:$D$1048576,H$15,'Background (from TC)'!$E$4:$E$1048576,H$16,'Background (from TC)'!$O$4:$O$1048576,H$17))</f>
        <v>50</v>
      </c>
      <c r="I18" s="61">
        <f>IF(I15="","",SUMIFS('Background (from TC)'!$P$4:$P$1048576,'Background (from TC)'!$D$4:$D$1048576,I$15,'Background (from TC)'!$E$4:$E$1048576,I$16,'Background (from TC)'!$O$4:$O$1048576,I$17))</f>
        <v>25</v>
      </c>
      <c r="J18" s="61">
        <f>IF(J15="","",SUMIFS('Background (from TC)'!$P$4:$P$1048576,'Background (from TC)'!$D$4:$D$1048576,J$15,'Background (from TC)'!$E$4:$E$1048576,J$16,'Background (from TC)'!$O$4:$O$1048576,J$17))</f>
        <v>30</v>
      </c>
      <c r="K18" s="61">
        <f>IF(K15="","",SUMIFS('Background (from TC)'!$P$4:$P$1048576,'Background (from TC)'!$D$4:$D$1048576,K$15,'Background (from TC)'!$E$4:$E$1048576,K$16,'Background (from TC)'!$O$4:$O$1048576,K$17))</f>
        <v>50</v>
      </c>
      <c r="L18" s="61">
        <f>IF(L15="","",SUMIFS('Background (from TC)'!$P$4:$P$1048576,'Background (from TC)'!$D$4:$D$1048576,L$15,'Background (from TC)'!$E$4:$E$1048576,L$16,'Background (from TC)'!$O$4:$O$1048576,L$17))</f>
        <v>35</v>
      </c>
      <c r="M18" s="61">
        <f>IF(M15="","",SUMIFS('Background (from TC)'!$P$4:$P$1048576,'Background (from TC)'!$D$4:$D$1048576,M$15,'Background (from TC)'!$E$4:$E$1048576,M$16,'Background (from TC)'!$O$4:$O$1048576,M$17))</f>
        <v>35</v>
      </c>
      <c r="N18" s="61">
        <f>IF(N15="","",SUMIFS('Background (from TC)'!$P$4:$P$1048576,'Background (from TC)'!$D$4:$D$1048576,N$15,'Background (from TC)'!$E$4:$E$1048576,N$16,'Background (from TC)'!$O$4:$O$1048576,N$17))</f>
        <v>30</v>
      </c>
      <c r="O18" s="61">
        <f>IF(O15="","",SUMIFS('Background (from TC)'!$P$4:$P$1048576,'Background (from TC)'!$D$4:$D$1048576,O$15,'Background (from TC)'!$E$4:$E$1048576,O$16,'Background (from TC)'!$O$4:$O$1048576,O$17))</f>
        <v>30</v>
      </c>
      <c r="P18" s="61">
        <f>IF(P15="","",SUMIFS('Background (from TC)'!$P$4:$P$1048576,'Background (from TC)'!$D$4:$D$1048576,P$15,'Background (from TC)'!$E$4:$E$1048576,P$16,'Background (from TC)'!$O$4:$O$1048576,P$17))</f>
        <v>30</v>
      </c>
      <c r="Q18" s="61" t="str">
        <f>IF(Q15="","",SUMIFS('Background (from TC)'!$P$4:$P$1048576,'Background (from TC)'!$D$4:$D$1048576,Q$15,'Background (from TC)'!$E$4:$E$1048576,Q$16,'Background (from TC)'!$O$4:$O$1048576,Q$17))</f>
        <v/>
      </c>
      <c r="R18" s="61" t="str">
        <f>IF(R15="","",SUMIFS('Background (from TC)'!$P$4:$P$1048576,'Background (from TC)'!$D$4:$D$1048576,R$15,'Background (from TC)'!$E$4:$E$1048576,R$16,'Background (from TC)'!$O$4:$O$1048576,R$17))</f>
        <v/>
      </c>
      <c r="S18" s="61" t="str">
        <f>IF(S15="","",SUMIFS('Background (from TC)'!$P$4:$P$1048576,'Background (from TC)'!$D$4:$D$1048576,S$15,'Background (from TC)'!$E$4:$E$1048576,S$16,'Background (from TC)'!$O$4:$O$1048576,S$17))</f>
        <v/>
      </c>
      <c r="T18" s="61" t="str">
        <f>IF(T15="","",SUMIFS('Background (from TC)'!$P$4:$P$1048576,'Background (from TC)'!$D$4:$D$1048576,T$15,'Background (from TC)'!$E$4:$E$1048576,T$16,'Background (from TC)'!$O$4:$O$1048576,T$17))</f>
        <v/>
      </c>
      <c r="U18" s="61" t="str">
        <f>IF(U15="","",SUMIFS('Background (from TC)'!$P$4:$P$1048576,'Background (from TC)'!$D$4:$D$1048576,U$15,'Background (from TC)'!$E$4:$E$1048576,U$16,'Background (from TC)'!$O$4:$O$1048576,U$17))</f>
        <v/>
      </c>
      <c r="V18" s="61" t="str">
        <f>IF(V15="","",SUMIFS('Background (from TC)'!$P$4:$P$1048576,'Background (from TC)'!$D$4:$D$1048576,V$15,'Background (from TC)'!$E$4:$E$1048576,V$16,'Background (from TC)'!$O$4:$O$1048576,V$17))</f>
        <v/>
      </c>
      <c r="W18" s="61" t="str">
        <f>IF(W15="","",SUMIFS('Background (from TC)'!$P$4:$P$1048576,'Background (from TC)'!$D$4:$D$1048576,W$15,'Background (from TC)'!$E$4:$E$1048576,W$16,'Background (from TC)'!$O$4:$O$1048576,W$17))</f>
        <v/>
      </c>
      <c r="X18" s="61" t="str">
        <f>IF(X15="","",SUMIFS('Background (from TC)'!$P$4:$P$1048576,'Background (from TC)'!$D$4:$D$1048576,X$15,'Background (from TC)'!$E$4:$E$1048576,X$16,'Background (from TC)'!$O$4:$O$1048576,X$17))</f>
        <v/>
      </c>
      <c r="Y18" s="61" t="str">
        <f>IF(Y15="","",SUMIFS('Background (from TC)'!$P$4:$P$1048576,'Background (from TC)'!$D$4:$D$1048576,Y$15,'Background (from TC)'!$E$4:$E$1048576,Y$16,'Background (from TC)'!$O$4:$O$1048576,Y$17))</f>
        <v/>
      </c>
      <c r="Z18" s="61" t="str">
        <f>IF(Z15="","",SUMIFS('Background (from TC)'!$P$4:$P$1048576,'Background (from TC)'!$D$4:$D$1048576,Z$15,'Background (from TC)'!$E$4:$E$1048576,Z$16,'Background (from TC)'!$O$4:$O$1048576,Z$17))</f>
        <v/>
      </c>
    </row>
    <row r="19" spans="2:26" ht="15.75" thickBot="1">
      <c r="B19" s="273" t="s">
        <v>43</v>
      </c>
      <c r="C19" s="59" t="str">
        <f>IF(C16="","",IF(C18=0,"Technology unavailable in this year. Please revise",IF(INDEX('Background (from TC)'!$D:$D,MATCH(C16,'Background (from TC)'!$E:$E,0))=C15,"","Incompatible combination of Fuel and Technology")))</f>
        <v/>
      </c>
      <c r="D19" s="59" t="str">
        <f>IF(D16="","",IF(D18=0,"Technology unavailable in this year. Please revise",IF(INDEX('Background (from TC)'!$D:$D,MATCH(D16,'Background (from TC)'!$E:$E,0))=D15,"","Incompatible combination of Fuel and Technology")))</f>
        <v/>
      </c>
      <c r="E19" s="59" t="str">
        <f>IF(E16="","",IF(E18=0,"Technology unavailable in this year. Please revise",IF(INDEX('Background (from TC)'!$D:$D,MATCH(E16,'Background (from TC)'!$E:$E,0))=E15,"","Incompatible combination of Fuel and Technology")))</f>
        <v/>
      </c>
      <c r="F19" s="59" t="str">
        <f>IF(F16="","",IF(F18=0,"Technology unavailable in this year. Please revise",IF(INDEX('Background (from TC)'!$D:$D,MATCH(F16,'Background (from TC)'!$E:$E,0))=F15,"","Incompatible combination of Fuel and Technology")))</f>
        <v/>
      </c>
      <c r="G19" s="59" t="str">
        <f>IF(G16="","",IF(G18=0,"Technology unavailable in this year. Please revise",IF(INDEX('Background (from TC)'!$D:$D,MATCH(G16,'Background (from TC)'!$E:$E,0))=G15,"","Incompatible combination of Fuel and Technology")))</f>
        <v/>
      </c>
      <c r="H19" s="59" t="str">
        <f>IF(H16="","",IF(H18=0,"Technology unavailable in this year. Please revise",IF(INDEX('Background (from TC)'!$D:$D,MATCH(H16,'Background (from TC)'!$E:$E,0))=H15,"","Incompatible combination of Fuel and Technology")))</f>
        <v/>
      </c>
      <c r="I19" s="59" t="str">
        <f>IF(I16="","",IF(I18=0,"Technology unavailable in this year. Please revise",IF(INDEX('Background (from TC)'!$D:$D,MATCH(I16,'Background (from TC)'!$E:$E,0))=I15,"","Incompatible combination of Fuel and Technology")))</f>
        <v/>
      </c>
      <c r="J19" s="59" t="str">
        <f>IF(J16="","",IF(J18=0,"Technology unavailable in this year. Please revise",IF(INDEX('Background (from TC)'!$D:$D,MATCH(J16,'Background (from TC)'!$E:$E,0))=J15,"","Incompatible combination of Fuel and Technology")))</f>
        <v/>
      </c>
      <c r="K19" s="59" t="str">
        <f>IF(K16="","",IF(K18=0,"Technology unavailable in this year. Please revise",IF(INDEX('Background (from TC)'!$D:$D,MATCH(K16,'Background (from TC)'!$E:$E,0))=K15,"","Incompatible combination of Fuel and Technology")))</f>
        <v/>
      </c>
      <c r="L19" s="59" t="str">
        <f>IF(L16="","",IF(L18=0,"Technology unavailable in this year. Please revise",IF(INDEX('Background (from TC)'!$D:$D,MATCH(L16,'Background (from TC)'!$E:$E,0))=L15,"","Incompatible combination of Fuel and Technology")))</f>
        <v/>
      </c>
      <c r="M19" s="59" t="str">
        <f>IF(M16="","",IF(M18=0,"Technology unavailable in this year. Please revise",IF(INDEX('Background (from TC)'!$D:$D,MATCH(M16,'Background (from TC)'!$E:$E,0))=M15,"","Incompatible combination of Fuel and Technology")))</f>
        <v/>
      </c>
      <c r="N19" s="59" t="str">
        <f>IF(N16="","",IF(N18=0,"Technology unavailable in this year. Please revise",IF(INDEX('Background (from TC)'!$D:$D,MATCH(N16,'Background (from TC)'!$E:$E,0))=N15,"","Incompatible combination of Fuel and Technology")))</f>
        <v/>
      </c>
      <c r="O19" s="59" t="str">
        <f>IF(O16="","",IF(O18=0,"Technology unavailable in this year. Please revise",IF(INDEX('Background (from TC)'!$D:$D,MATCH(O16,'Background (from TC)'!$E:$E,0))=O15,"","Incompatible combination of Fuel and Technology")))</f>
        <v/>
      </c>
      <c r="P19" s="59" t="str">
        <f>IF(P16="","",IF(P18=0,"Technology unavailable in this year. Please revise",IF(INDEX('Background (from TC)'!$D:$D,MATCH(P16,'Background (from TC)'!$E:$E,0))=P15,"","Incompatible combination of Fuel and Technology")))</f>
        <v/>
      </c>
      <c r="Q19" s="59" t="str">
        <f>IF(Q16="","",IF(Q18=0,"Technology unavailable in this year. Please revise",IF(INDEX('Background (from TC)'!$D:$D,MATCH(Q16,'Background (from TC)'!$E:$E,0))=Q15,"","Incompatible combination of Fuel and Technology")))</f>
        <v/>
      </c>
      <c r="R19" s="59" t="str">
        <f>IF(R16="","",IF(R18=0,"Technology unavailable in this year. Please revise",IF(INDEX('Background (from TC)'!$D:$D,MATCH(R16,'Background (from TC)'!$E:$E,0))=R15,"","Incompatible combination of Fuel and Technology")))</f>
        <v/>
      </c>
      <c r="S19" s="59" t="str">
        <f>IF(S16="","",IF(S18=0,"Technology unavailable in this year. Please revise",IF(INDEX('Background (from TC)'!$D:$D,MATCH(S16,'Background (from TC)'!$E:$E,0))=S15,"","Incompatible combination of Fuel and Technology")))</f>
        <v/>
      </c>
      <c r="T19" s="59" t="str">
        <f>IF(T16="","",IF(T18=0,"Technology unavailable in this year. Please revise",IF(INDEX('Background (from TC)'!$D:$D,MATCH(T16,'Background (from TC)'!$E:$E,0))=T15,"","Incompatible combination of Fuel and Technology")))</f>
        <v/>
      </c>
      <c r="U19" s="59" t="str">
        <f>IF(U16="","",IF(U18=0,"Technology unavailable in this year. Please revise",IF(INDEX('Background (from TC)'!$D:$D,MATCH(U16,'Background (from TC)'!$E:$E,0))=U15,"","Incompatible combination of Fuel and Technology")))</f>
        <v/>
      </c>
      <c r="V19" s="59" t="str">
        <f>IF(V16="","",IF(V18=0,"Technology unavailable in this year. Please revise",IF(INDEX('Background (from TC)'!$D:$D,MATCH(V16,'Background (from TC)'!$E:$E,0))=V15,"","Incompatible combination of Fuel and Technology")))</f>
        <v/>
      </c>
      <c r="W19" s="59" t="str">
        <f>IF(W16="","",IF(W18=0,"Technology unavailable in this year. Please revise",IF(INDEX('Background (from TC)'!$D:$D,MATCH(W16,'Background (from TC)'!$E:$E,0))=W15,"","Incompatible combination of Fuel and Technology")))</f>
        <v/>
      </c>
      <c r="X19" s="59" t="str">
        <f>IF(X16="","",IF(X18=0,"Technology unavailable in this year. Please revise",IF(INDEX('Background (from TC)'!$D:$D,MATCH(X16,'Background (from TC)'!$E:$E,0))=X15,"","Incompatible combination of Fuel and Technology")))</f>
        <v/>
      </c>
      <c r="Y19" s="59" t="str">
        <f>IF(Y16="","",IF(Y18=0,"Technology unavailable in this year. Please revise",IF(INDEX('Background (from TC)'!$D:$D,MATCH(Y16,'Background (from TC)'!$E:$E,0))=Y15,"","Incompatible combination of Fuel and Technology")))</f>
        <v/>
      </c>
      <c r="Z19" s="59" t="str">
        <f>IF(Z16="","",IF(Z18=0,"Technology unavailable in this year. Please revise",IF(INDEX('Background (from TC)'!$D:$D,MATCH(Z16,'Background (from TC)'!$E:$E,0))=Z15,"","Incompatible combination of Fuel and Technology")))</f>
        <v/>
      </c>
    </row>
    <row r="20" spans="2:26">
      <c r="F20"/>
      <c r="G20"/>
      <c r="H20"/>
      <c r="I20"/>
      <c r="J20"/>
      <c r="K20"/>
      <c r="L20"/>
      <c r="M20"/>
      <c r="N20"/>
      <c r="O20"/>
      <c r="P20"/>
      <c r="Q20"/>
      <c r="R20"/>
      <c r="S20"/>
      <c r="T20"/>
      <c r="U20"/>
      <c r="V20"/>
      <c r="W20"/>
      <c r="X20"/>
      <c r="Y20"/>
      <c r="Z20"/>
    </row>
    <row r="21" spans="2:26" ht="15.75">
      <c r="B21" s="271" t="s">
        <v>44</v>
      </c>
      <c r="C21" s="19"/>
      <c r="D21" s="19"/>
      <c r="E21" s="19"/>
    </row>
    <row r="22" spans="2:26">
      <c r="B22" s="282" t="s">
        <v>45</v>
      </c>
      <c r="C22" s="44" t="s">
        <v>46</v>
      </c>
      <c r="D22" s="44" t="s">
        <v>46</v>
      </c>
      <c r="E22" s="44" t="s">
        <v>46</v>
      </c>
      <c r="F22" s="44" t="s">
        <v>46</v>
      </c>
      <c r="G22" s="44" t="s">
        <v>46</v>
      </c>
      <c r="H22" s="44" t="s">
        <v>46</v>
      </c>
      <c r="I22" s="44" t="s">
        <v>46</v>
      </c>
      <c r="J22" s="44" t="s">
        <v>46</v>
      </c>
      <c r="K22" s="44" t="s">
        <v>46</v>
      </c>
      <c r="L22" s="44" t="s">
        <v>46</v>
      </c>
      <c r="M22" s="44" t="s">
        <v>46</v>
      </c>
      <c r="N22" s="44" t="s">
        <v>46</v>
      </c>
      <c r="O22" s="44" t="s">
        <v>46</v>
      </c>
      <c r="P22" s="44" t="s">
        <v>46</v>
      </c>
      <c r="Q22" s="44"/>
      <c r="R22" s="44"/>
      <c r="S22" s="44"/>
      <c r="T22" s="44"/>
      <c r="U22" s="44"/>
      <c r="V22" s="44"/>
      <c r="W22" s="44"/>
      <c r="X22" s="44"/>
      <c r="Y22" s="44"/>
      <c r="Z22" s="44"/>
    </row>
    <row r="23" spans="2:26">
      <c r="B23" s="278" t="s">
        <v>47</v>
      </c>
      <c r="C23" s="41"/>
      <c r="D23" s="42">
        <v>0.08</v>
      </c>
      <c r="E23" s="19"/>
      <c r="H23" s="42">
        <v>0.1</v>
      </c>
    </row>
    <row r="24" spans="2:26">
      <c r="B24" s="278" t="s">
        <v>48</v>
      </c>
      <c r="C24" s="42">
        <f>IF(C22="","",IF(C22="User defined",C23,SUMIFS('Background (from TC)'!$AE$4:$AE$1048576,'Background (from TC)'!$D$4:$D$1048576,C$15,'Background (from TC)'!$E$4:$E$1048576,C$16,'Background (from TC)'!$O$4:$O$1048576,C$17)))</f>
        <v>0.1</v>
      </c>
      <c r="D24" s="42">
        <f>IF(D22="","",IF(D22="User defined",D23,SUMIFS('Background (from TC)'!$AE$4:$AE$1048576,'Background (from TC)'!$D$4:$D$1048576,D$15,'Background (from TC)'!$E$4:$E$1048576,D$16,'Background (from TC)'!$O$4:$O$1048576,D$17)))</f>
        <v>0.1</v>
      </c>
      <c r="E24" s="42">
        <f>IF(E22="","",IF(E22="User defined",E23,SUMIFS('Background (from TC)'!$AE$4:$AE$1048576,'Background (from TC)'!$D$4:$D$1048576,E$15,'Background (from TC)'!$E$4:$E$1048576,E$16,'Background (from TC)'!$O$4:$O$1048576,E$17)))</f>
        <v>0.1</v>
      </c>
      <c r="F24" s="42">
        <f>IF(F22="","",IF(F22="User defined",F23,SUMIFS('Background (from TC)'!$AE$4:$AE$1048576,'Background (from TC)'!$D$4:$D$1048576,F$15,'Background (from TC)'!$E$4:$E$1048576,F$16,'Background (from TC)'!$O$4:$O$1048576,F$17)))</f>
        <v>0.1</v>
      </c>
      <c r="G24" s="42">
        <f>IF(G22="","",IF(G22="User defined",G23,SUMIFS('Background (from TC)'!$AE$4:$AE$1048576,'Background (from TC)'!$D$4:$D$1048576,G$15,'Background (from TC)'!$E$4:$E$1048576,G$16,'Background (from TC)'!$O$4:$O$1048576,G$17)))</f>
        <v>0.1</v>
      </c>
      <c r="H24" s="42">
        <f>IF(H22="","",IF(H22="User defined",H23,SUMIFS('Background (from TC)'!$AE$4:$AE$1048576,'Background (from TC)'!$D$4:$D$1048576,H$15,'Background (from TC)'!$E$4:$E$1048576,H$16,'Background (from TC)'!$O$4:$O$1048576,H$17)))</f>
        <v>0.1</v>
      </c>
      <c r="I24" s="42">
        <f>IF(I22="","",IF(I22="User defined",I23,SUMIFS('Background (from TC)'!$AE$4:$AE$1048576,'Background (from TC)'!$D$4:$D$1048576,I$15,'Background (from TC)'!$E$4:$E$1048576,I$16,'Background (from TC)'!$O$4:$O$1048576,I$17)))</f>
        <v>0.1</v>
      </c>
      <c r="J24" s="42">
        <f>IF(J22="","",IF(J22="User defined",J23,SUMIFS('Background (from TC)'!$AE$4:$AE$1048576,'Background (from TC)'!$D$4:$D$1048576,J$15,'Background (from TC)'!$E$4:$E$1048576,J$16,'Background (from TC)'!$O$4:$O$1048576,J$17)))</f>
        <v>0.1</v>
      </c>
      <c r="K24" s="42">
        <f>IF(K22="","",IF(K22="User defined",K23,SUMIFS('Background (from TC)'!$AE$4:$AE$1048576,'Background (from TC)'!$D$4:$D$1048576,K$15,'Background (from TC)'!$E$4:$E$1048576,K$16,'Background (from TC)'!$O$4:$O$1048576,K$17)))</f>
        <v>0.1</v>
      </c>
      <c r="L24" s="42">
        <f>IF(L22="","",IF(L22="User defined",L23,SUMIFS('Background (from TC)'!$AE$4:$AE$1048576,'Background (from TC)'!$D$4:$D$1048576,L$15,'Background (from TC)'!$E$4:$E$1048576,L$16,'Background (from TC)'!$O$4:$O$1048576,L$17)))</f>
        <v>0.1</v>
      </c>
      <c r="M24" s="42">
        <f>IF(M22="","",IF(M22="User defined",M23,SUMIFS('Background (from TC)'!$AE$4:$AE$1048576,'Background (from TC)'!$D$4:$D$1048576,M$15,'Background (from TC)'!$E$4:$E$1048576,M$16,'Background (from TC)'!$O$4:$O$1048576,M$17)))</f>
        <v>0.1</v>
      </c>
      <c r="N24" s="42">
        <f>IF(N22="","",IF(N22="User defined",N23,SUMIFS('Background (from TC)'!$AE$4:$AE$1048576,'Background (from TC)'!$D$4:$D$1048576,N$15,'Background (from TC)'!$E$4:$E$1048576,N$16,'Background (from TC)'!$O$4:$O$1048576,N$17)))</f>
        <v>0.1</v>
      </c>
      <c r="O24" s="42">
        <f>IF(O22="","",IF(O22="User defined",O23,SUMIFS('Background (from TC)'!$AE$4:$AE$1048576,'Background (from TC)'!$D$4:$D$1048576,O$15,'Background (from TC)'!$E$4:$E$1048576,O$16,'Background (from TC)'!$O$4:$O$1048576,O$17)))</f>
        <v>0.1</v>
      </c>
      <c r="P24" s="42">
        <f>IF(P22="","",IF(P22="User defined",P23,SUMIFS('Background (from TC)'!$AE$4:$AE$1048576,'Background (from TC)'!$D$4:$D$1048576,P$15,'Background (from TC)'!$E$4:$E$1048576,P$16,'Background (from TC)'!$O$4:$O$1048576,P$17)))</f>
        <v>0.1</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f>IF(C22="","",-PMT(C24,C$18,1))</f>
        <v>0.10607924825263391</v>
      </c>
      <c r="D25" s="41">
        <f t="shared" ref="D25:Z25" si="0">IF(D22="","",-PMT(D24,D$18,1))</f>
        <v>0.10607924825263391</v>
      </c>
      <c r="E25" s="41">
        <f t="shared" si="0"/>
        <v>0.11016807219002085</v>
      </c>
      <c r="F25" s="41">
        <f t="shared" si="0"/>
        <v>0.11016807219002085</v>
      </c>
      <c r="G25" s="41">
        <f t="shared" si="0"/>
        <v>0.10032950922550408</v>
      </c>
      <c r="H25" s="41">
        <f t="shared" si="0"/>
        <v>0.10085917404611995</v>
      </c>
      <c r="I25" s="41">
        <f t="shared" si="0"/>
        <v>0.11016807219002085</v>
      </c>
      <c r="J25" s="41">
        <f t="shared" si="0"/>
        <v>0.10607924825263391</v>
      </c>
      <c r="K25" s="41">
        <f t="shared" si="0"/>
        <v>0.10085917404611995</v>
      </c>
      <c r="L25" s="41">
        <f t="shared" si="0"/>
        <v>0.10368970511989746</v>
      </c>
      <c r="M25" s="41">
        <f t="shared" si="0"/>
        <v>0.10368970511989746</v>
      </c>
      <c r="N25" s="41">
        <f t="shared" si="0"/>
        <v>0.10607924825263391</v>
      </c>
      <c r="O25" s="41">
        <f t="shared" si="0"/>
        <v>0.10607924825263391</v>
      </c>
      <c r="P25" s="41">
        <f t="shared" si="0"/>
        <v>0.10607924825263391</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57"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401"/>
      <c r="C27" s="19"/>
      <c r="D27" s="19"/>
      <c r="E27" s="19"/>
    </row>
    <row r="28" spans="2:26">
      <c r="B28" s="278" t="s">
        <v>50</v>
      </c>
      <c r="C28" s="61">
        <f>IF(C22="","",SUMIFS('Background (from TC)'!$F$4:$F$1048576,'Background (from TC)'!$D$4:$D$1048576,C$15,'Background (from TC)'!$E$4:$E$1048576,C$16,'Background (from TC)'!$O$4:$O$1048576,C$17))</f>
        <v>2022</v>
      </c>
      <c r="D28" s="61">
        <f>IF(D22="","",SUMIFS('Background (from TC)'!$F$4:$F$1048576,'Background (from TC)'!$D$4:$D$1048576,D$15,'Background (from TC)'!$E$4:$E$1048576,D$16,'Background (from TC)'!$O$4:$O$1048576,D$17))</f>
        <v>2022</v>
      </c>
      <c r="E28" s="61">
        <f>IF(E22="","",SUMIFS('Background (from TC)'!$F$4:$F$1048576,'Background (from TC)'!$D$4:$D$1048576,E$15,'Background (from TC)'!$E$4:$E$1048576,E$16,'Background (from TC)'!$O$4:$O$1048576,E$17))</f>
        <v>2022</v>
      </c>
      <c r="F28" s="61">
        <f>IF(F22="","",SUMIFS('Background (from TC)'!$F$4:$F$1048576,'Background (from TC)'!$D$4:$D$1048576,F$15,'Background (from TC)'!$E$4:$E$1048576,F$16,'Background (from TC)'!$O$4:$O$1048576,F$17))</f>
        <v>2022</v>
      </c>
      <c r="G28" s="61">
        <f>IF(G22="","",SUMIFS('Background (from TC)'!$F$4:$F$1048576,'Background (from TC)'!$D$4:$D$1048576,G$15,'Background (from TC)'!$E$4:$E$1048576,G$16,'Background (from TC)'!$O$4:$O$1048576,G$17))</f>
        <v>2022</v>
      </c>
      <c r="H28" s="61">
        <f>IF(H22="","",SUMIFS('Background (from TC)'!$F$4:$F$1048576,'Background (from TC)'!$D$4:$D$1048576,H$15,'Background (from TC)'!$E$4:$E$1048576,H$16,'Background (from TC)'!$O$4:$O$1048576,H$17))</f>
        <v>2022</v>
      </c>
      <c r="I28" s="61">
        <f>IF(I22="","",SUMIFS('Background (from TC)'!$F$4:$F$1048576,'Background (from TC)'!$D$4:$D$1048576,I$15,'Background (from TC)'!$E$4:$E$1048576,I$16,'Background (from TC)'!$O$4:$O$1048576,I$17))</f>
        <v>2022</v>
      </c>
      <c r="J28" s="61">
        <f>IF(J22="","",SUMIFS('Background (from TC)'!$F$4:$F$1048576,'Background (from TC)'!$D$4:$D$1048576,J$15,'Background (from TC)'!$E$4:$E$1048576,J$16,'Background (from TC)'!$O$4:$O$1048576,J$17))</f>
        <v>2022</v>
      </c>
      <c r="K28" s="61">
        <f>IF(K22="","",SUMIFS('Background (from TC)'!$F$4:$F$1048576,'Background (from TC)'!$D$4:$D$1048576,K$15,'Background (from TC)'!$E$4:$E$1048576,K$16,'Background (from TC)'!$O$4:$O$1048576,K$17))</f>
        <v>2022</v>
      </c>
      <c r="L28" s="61">
        <f>IF(L22="","",SUMIFS('Background (from TC)'!$F$4:$F$1048576,'Background (from TC)'!$D$4:$D$1048576,L$15,'Background (from TC)'!$E$4:$E$1048576,L$16,'Background (from TC)'!$O$4:$O$1048576,L$17))</f>
        <v>2022</v>
      </c>
      <c r="M28" s="61">
        <f>IF(M22="","",SUMIFS('Background (from TC)'!$F$4:$F$1048576,'Background (from TC)'!$D$4:$D$1048576,M$15,'Background (from TC)'!$E$4:$E$1048576,M$16,'Background (from TC)'!$O$4:$O$1048576,M$17))</f>
        <v>2022</v>
      </c>
      <c r="N28" s="61">
        <f>IF(N22="","",SUMIFS('Background (from TC)'!$F$4:$F$1048576,'Background (from TC)'!$D$4:$D$1048576,N$15,'Background (from TC)'!$E$4:$E$1048576,N$16,'Background (from TC)'!$O$4:$O$1048576,N$17))</f>
        <v>2022</v>
      </c>
      <c r="O28" s="61">
        <f>IF(O22="","",SUMIFS('Background (from TC)'!$F$4:$F$1048576,'Background (from TC)'!$D$4:$D$1048576,O$15,'Background (from TC)'!$E$4:$E$1048576,O$16,'Background (from TC)'!$O$4:$O$1048576,O$17))</f>
        <v>2022</v>
      </c>
      <c r="P28" s="61">
        <f>IF(P22="","",SUMIFS('Background (from TC)'!$F$4:$F$1048576,'Background (from TC)'!$D$4:$D$1048576,P$15,'Background (from TC)'!$E$4:$E$1048576,P$16,'Background (from TC)'!$O$4:$O$1048576,P$17))</f>
        <v>2022</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f>IF(C22="","",(1+$C$10)^($C$9-C28))</f>
        <v>1</v>
      </c>
      <c r="D29" s="402">
        <f t="shared" ref="D29:Z29" si="2">IF(D22="","",(1+$C$10)^($C$9-D28))</f>
        <v>1</v>
      </c>
      <c r="E29" s="402">
        <f t="shared" si="2"/>
        <v>1</v>
      </c>
      <c r="F29" s="402">
        <f t="shared" si="2"/>
        <v>1</v>
      </c>
      <c r="G29" s="402">
        <f t="shared" si="2"/>
        <v>1</v>
      </c>
      <c r="H29" s="402">
        <f t="shared" si="2"/>
        <v>1</v>
      </c>
      <c r="I29" s="402">
        <f t="shared" si="2"/>
        <v>1</v>
      </c>
      <c r="J29" s="402">
        <f t="shared" si="2"/>
        <v>1</v>
      </c>
      <c r="K29" s="402">
        <f t="shared" si="2"/>
        <v>1</v>
      </c>
      <c r="L29" s="402">
        <f t="shared" si="2"/>
        <v>1</v>
      </c>
      <c r="M29" s="402">
        <f t="shared" si="2"/>
        <v>1</v>
      </c>
      <c r="N29" s="402">
        <f t="shared" si="2"/>
        <v>1</v>
      </c>
      <c r="O29" s="402">
        <f t="shared" si="2"/>
        <v>1</v>
      </c>
      <c r="P29" s="402">
        <f t="shared" si="2"/>
        <v>1</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5"/>
      <c r="C30" s="19"/>
      <c r="D30" s="19"/>
      <c r="E30" s="19"/>
    </row>
    <row r="31" spans="2:26" ht="15.75">
      <c r="B31" s="286" t="s">
        <v>52</v>
      </c>
    </row>
    <row r="32" spans="2:26">
      <c r="B32" s="278" t="s">
        <v>53</v>
      </c>
      <c r="C32" s="19" t="s">
        <v>54</v>
      </c>
      <c r="D32" s="19" t="s">
        <v>54</v>
      </c>
      <c r="E32" s="19" t="s">
        <v>54</v>
      </c>
      <c r="F32" s="19" t="s">
        <v>54</v>
      </c>
      <c r="G32" s="19" t="s">
        <v>54</v>
      </c>
      <c r="H32" s="19" t="s">
        <v>54</v>
      </c>
      <c r="I32" s="19" t="s">
        <v>54</v>
      </c>
      <c r="J32" s="19" t="s">
        <v>46</v>
      </c>
      <c r="K32" s="19" t="s">
        <v>46</v>
      </c>
      <c r="L32" s="19" t="s">
        <v>46</v>
      </c>
      <c r="M32" s="19" t="s">
        <v>46</v>
      </c>
      <c r="N32" s="19" t="s">
        <v>46</v>
      </c>
      <c r="O32" s="19" t="s">
        <v>46</v>
      </c>
      <c r="P32" s="19" t="s">
        <v>46</v>
      </c>
    </row>
    <row r="33" spans="2:26">
      <c r="B33" s="278" t="s">
        <v>55</v>
      </c>
      <c r="C33" s="43">
        <v>7000</v>
      </c>
      <c r="D33" s="43">
        <v>7000</v>
      </c>
      <c r="E33" s="43">
        <v>5000</v>
      </c>
      <c r="F33" s="43">
        <v>5000</v>
      </c>
      <c r="G33" s="43">
        <v>7000</v>
      </c>
      <c r="H33" s="43">
        <v>7000</v>
      </c>
      <c r="I33" s="43">
        <v>5000</v>
      </c>
      <c r="J33" s="43">
        <v>5000</v>
      </c>
      <c r="K33" s="43">
        <v>5000</v>
      </c>
      <c r="L33" s="43">
        <v>7500</v>
      </c>
      <c r="M33" s="43">
        <v>7500</v>
      </c>
      <c r="N33" s="43"/>
      <c r="O33" s="43"/>
      <c r="P33" s="43"/>
      <c r="Q33" s="43"/>
      <c r="R33" s="43"/>
      <c r="S33" s="43"/>
      <c r="T33" s="43"/>
      <c r="U33" s="43"/>
      <c r="V33" s="43"/>
      <c r="W33" s="43"/>
      <c r="X33" s="43"/>
      <c r="Y33" s="43"/>
      <c r="Z33" s="43"/>
    </row>
    <row r="34" spans="2:26" ht="15.75" thickBot="1">
      <c r="B34" s="278" t="s">
        <v>56</v>
      </c>
      <c r="C34" s="43">
        <f>IF(C32="","",IF(C32="User defined",C33,IF(SUMIFS('Background (from TC)'!$R$4:$R$1048576,'Background (from TC)'!$D$4:$D$1048576,C$15,'Background (from TC)'!$E$4:$E$1048576,C$16,'Background (from TC)'!$O$4:$O$1048576,C$17)=0,4000,SUMIFS('Background (from TC)'!$R$4:$R$1048576,'Background (from TC)'!$D$4:$D$1048576,C$15,'Background (from TC)'!$E$4:$E$1048576,C$16,'Background (from TC)'!$O$4:$O$1048576,C$17))))</f>
        <v>7000</v>
      </c>
      <c r="D34" s="43">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7000</v>
      </c>
      <c r="E34" s="43">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5000</v>
      </c>
      <c r="F34" s="43">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5000</v>
      </c>
      <c r="G34" s="43">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7000</v>
      </c>
      <c r="H34" s="43">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7000</v>
      </c>
      <c r="I34" s="43">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5000</v>
      </c>
      <c r="J34" s="43">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7008</v>
      </c>
      <c r="K34" s="43">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4467.6000000000004</v>
      </c>
      <c r="L34" s="43">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1890.5</v>
      </c>
      <c r="M34" s="43">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1989.9999999999998</v>
      </c>
      <c r="N34" s="43">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3081.018683076923</v>
      </c>
      <c r="O34" s="43">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3591.6</v>
      </c>
      <c r="P34" s="43">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3342.8159999999998</v>
      </c>
      <c r="Q34" s="43"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43"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43"/>
      <c r="T34" s="43"/>
      <c r="U34" s="43"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43"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43"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43"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43"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43"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2:26" ht="15.75" thickBot="1">
      <c r="B35" s="273" t="s">
        <v>43</v>
      </c>
      <c r="C35" s="258" t="str">
        <f>IF(AND(C32="User defined",C33=""),"Insert value above",IF(AND(C32="User defined",OR(C33&lt;0,C33&gt;8760)),"Value should be between 0 and 8760",IF(AND(C32="Generic",OR(C34=0,NOT(ISNUMBER(C34)))),"Absence of generic data, please switch to User Defined and insert FLHs","")))</f>
        <v/>
      </c>
      <c r="D35" s="258" t="str">
        <f t="shared" ref="D35:Z35" si="3">IF(AND(D32="User defined",D33=""),"Insert value above",IF(AND(D32="User defined",OR(D33&lt;0,D33&gt;8760)),"Value should be between 0 and 8760",IF(AND(D32="Generic",OR(D34=0,NOT(ISNUMBER(D34)))),"Absence of generic data, please switch to User Defined and insert FLHs","")))</f>
        <v/>
      </c>
      <c r="E35" s="258" t="str">
        <f t="shared" si="3"/>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8" t="str">
        <f t="shared" si="3"/>
        <v/>
      </c>
    </row>
    <row r="36" spans="2:26">
      <c r="B36" s="15"/>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2:26" ht="15.75">
      <c r="B37" s="286" t="s">
        <v>57</v>
      </c>
      <c r="C37" s="19"/>
      <c r="D37" s="19"/>
      <c r="E37" s="19"/>
    </row>
    <row r="38" spans="2:26">
      <c r="B38" s="282" t="s">
        <v>58</v>
      </c>
      <c r="C38" s="19"/>
      <c r="D38" s="19"/>
      <c r="E38" s="19"/>
      <c r="G38" s="19" t="s">
        <v>46</v>
      </c>
      <c r="H38" s="19" t="s">
        <v>46</v>
      </c>
      <c r="K38" s="19" t="s">
        <v>54</v>
      </c>
      <c r="L38" s="19" t="s">
        <v>54</v>
      </c>
      <c r="S38" s="19" t="s">
        <v>54</v>
      </c>
      <c r="T38" s="19" t="s">
        <v>54</v>
      </c>
    </row>
    <row r="39" spans="2:26">
      <c r="B39" s="278" t="s">
        <v>59</v>
      </c>
      <c r="C39" s="44"/>
      <c r="D39" s="44"/>
      <c r="E39" s="44"/>
      <c r="F39" s="44"/>
      <c r="G39" s="44"/>
      <c r="H39" s="44"/>
      <c r="I39" s="44"/>
      <c r="J39" s="44"/>
      <c r="K39" s="44">
        <v>3</v>
      </c>
      <c r="L39" s="44">
        <v>3</v>
      </c>
      <c r="M39" s="44"/>
      <c r="N39" s="44"/>
      <c r="O39" s="44"/>
      <c r="P39" s="44"/>
      <c r="Q39" s="44"/>
      <c r="R39" s="44"/>
      <c r="S39" s="44">
        <v>3</v>
      </c>
      <c r="T39" s="44">
        <v>3</v>
      </c>
      <c r="U39" s="44"/>
      <c r="V39" s="44"/>
      <c r="W39" s="44"/>
      <c r="X39" s="44"/>
      <c r="Y39" s="44"/>
      <c r="Z39" s="44"/>
    </row>
    <row r="40" spans="2:26">
      <c r="B40" s="278" t="s">
        <v>60</v>
      </c>
      <c r="C40" s="44"/>
      <c r="D40" s="44"/>
      <c r="E40" s="44"/>
      <c r="F40" s="44"/>
      <c r="G40" s="44"/>
      <c r="H40" s="44"/>
      <c r="I40" s="44"/>
      <c r="J40" s="44"/>
      <c r="K40" s="44">
        <v>1</v>
      </c>
      <c r="L40" s="44">
        <v>1</v>
      </c>
      <c r="M40" s="44"/>
      <c r="N40" s="44"/>
      <c r="O40" s="44"/>
      <c r="P40" s="44"/>
      <c r="Q40" s="44"/>
      <c r="R40" s="44"/>
      <c r="S40" s="44">
        <v>1</v>
      </c>
      <c r="T40" s="44">
        <v>1</v>
      </c>
      <c r="U40" s="44"/>
      <c r="V40" s="44"/>
      <c r="W40" s="44"/>
      <c r="X40" s="44"/>
      <c r="Y40" s="44"/>
      <c r="Z40" s="44"/>
    </row>
    <row r="41" spans="2:26">
      <c r="B41" s="278" t="s">
        <v>61</v>
      </c>
      <c r="C41" s="44"/>
      <c r="D41" s="44"/>
      <c r="E41" s="44"/>
      <c r="F41" s="44"/>
      <c r="G41" s="44"/>
      <c r="H41" s="44"/>
      <c r="I41" s="44"/>
      <c r="J41" s="44"/>
      <c r="K41" s="44">
        <v>1</v>
      </c>
      <c r="L41" s="44">
        <v>1</v>
      </c>
      <c r="M41" s="44"/>
      <c r="N41" s="44"/>
      <c r="O41" s="44"/>
      <c r="P41" s="44"/>
      <c r="Q41" s="44"/>
      <c r="R41" s="44"/>
      <c r="S41" s="44">
        <v>1</v>
      </c>
      <c r="T41" s="44">
        <v>1</v>
      </c>
      <c r="U41" s="44"/>
      <c r="V41" s="44"/>
      <c r="W41" s="44"/>
      <c r="X41" s="44"/>
      <c r="Y41" s="44"/>
      <c r="Z41" s="44"/>
    </row>
    <row r="42" spans="2:26">
      <c r="B42" s="278" t="s">
        <v>62</v>
      </c>
      <c r="C42" s="44" t="str">
        <f>IF(C15="","",IF(C15&lt;&gt;"Storage","",IF(C$38="User Defined",C$39,SUMIFS('Background (from TC)'!$Y$4:$Y$1048576,'Background (from TC)'!$D$4:$D$1048576,C$15,'Background (from TC)'!$E$4:$E$1048576,C$16,'Background (from TC)'!$O$4:$O$1048576,C$17))))</f>
        <v/>
      </c>
      <c r="D42" s="44" t="str">
        <f>IF(D15="","",IF(D15&lt;&gt;"Storage","",IF(D$38="User Defined",D$39,SUMIFS('Background (from TC)'!$Y$4:$Y$1048576,'Background (from TC)'!$D$4:$D$1048576,D$15,'Background (from TC)'!$E$4:$E$1048576,D$16,'Background (from TC)'!$O$4:$O$1048576,D$17))))</f>
        <v/>
      </c>
      <c r="E42" s="44" t="str">
        <f>IF(E15="","",IF(E15&lt;&gt;"Storage","",IF(E$38="User Defined",E$39,SUMIFS('Background (from TC)'!$Y$4:$Y$1048576,'Background (from TC)'!$D$4:$D$1048576,E$15,'Background (from TC)'!$E$4:$E$1048576,E$16,'Background (from TC)'!$O$4:$O$1048576,E$17))))</f>
        <v/>
      </c>
      <c r="F42" s="44" t="str">
        <f>IF(F15="","",IF(F15&lt;&gt;"Storage","",IF(F$38="User Defined",F$39,SUMIFS('Background (from TC)'!$Y$4:$Y$1048576,'Background (from TC)'!$D$4:$D$1048576,F$15,'Background (from TC)'!$E$4:$E$1048576,F$16,'Background (from TC)'!$O$4:$O$1048576,F$17))))</f>
        <v/>
      </c>
      <c r="G42" s="44" t="str">
        <f>IF(G15="","",IF(G15&lt;&gt;"Storage","",IF(G$38="User Defined",G$39,SUMIFS('Background (from TC)'!$Y$4:$Y$1048576,'Background (from TC)'!$D$4:$D$1048576,G$15,'Background (from TC)'!$E$4:$E$1048576,G$16,'Background (from TC)'!$O$4:$O$1048576,G$17))))</f>
        <v/>
      </c>
      <c r="H42" s="44" t="str">
        <f>IF(H15="","",IF(H15&lt;&gt;"Storage","",IF(H$38="User Defined",H$39,SUMIFS('Background (from TC)'!$Y$4:$Y$1048576,'Background (from TC)'!$D$4:$D$1048576,H$15,'Background (from TC)'!$E$4:$E$1048576,H$16,'Background (from TC)'!$O$4:$O$1048576,H$17))))</f>
        <v/>
      </c>
      <c r="I42" s="44" t="str">
        <f>IF(I15="","",IF(I15&lt;&gt;"Storage","",IF(I$38="User Defined",I$39,SUMIFS('Background (from TC)'!$Y$4:$Y$1048576,'Background (from TC)'!$D$4:$D$1048576,I$15,'Background (from TC)'!$E$4:$E$1048576,I$16,'Background (from TC)'!$O$4:$O$1048576,I$17))))</f>
        <v/>
      </c>
      <c r="J42" s="44" t="str">
        <f>IF(J15="","",IF(J15&lt;&gt;"Storage","",IF(J$38="User Defined",J$39,SUMIFS('Background (from TC)'!$Y$4:$Y$1048576,'Background (from TC)'!$D$4:$D$1048576,J$15,'Background (from TC)'!$E$4:$E$1048576,J$16,'Background (from TC)'!$O$4:$O$1048576,J$17))))</f>
        <v/>
      </c>
      <c r="K42" s="44" t="str">
        <f>IF(K15="","",IF(K15&lt;&gt;"Storage","",IF(K$38="User Defined",K$39,SUMIFS('Background (from TC)'!$Y$4:$Y$1048576,'Background (from TC)'!$D$4:$D$1048576,K$15,'Background (from TC)'!$E$4:$E$1048576,K$16,'Background (from TC)'!$O$4:$O$1048576,K$17))))</f>
        <v/>
      </c>
      <c r="L42" s="44" t="str">
        <f>IF(L15="","",IF(L15&lt;&gt;"Storage","",IF(L$38="User Defined",L$39,SUMIFS('Background (from TC)'!$Y$4:$Y$1048576,'Background (from TC)'!$D$4:$D$1048576,L$15,'Background (from TC)'!$E$4:$E$1048576,L$16,'Background (from TC)'!$O$4:$O$1048576,L$17))))</f>
        <v/>
      </c>
      <c r="M42" s="44" t="str">
        <f>IF(M15="","",IF(M15&lt;&gt;"Storage","",IF(M$38="User Defined",M$39,SUMIFS('Background (from TC)'!$Y$4:$Y$1048576,'Background (from TC)'!$D$4:$D$1048576,M$15,'Background (from TC)'!$E$4:$E$1048576,M$16,'Background (from TC)'!$O$4:$O$1048576,M$17))))</f>
        <v/>
      </c>
      <c r="N42" s="44" t="str">
        <f>IF(N15="","",IF(N15&lt;&gt;"Storage","",IF(N$38="User Defined",N$39,SUMIFS('Background (from TC)'!$Y$4:$Y$1048576,'Background (from TC)'!$D$4:$D$1048576,N$15,'Background (from TC)'!$E$4:$E$1048576,N$16,'Background (from TC)'!$O$4:$O$1048576,N$17))))</f>
        <v/>
      </c>
      <c r="O42" s="44" t="str">
        <f>IF(O15="","",IF(O15&lt;&gt;"Storage","",IF(O$38="User Defined",O$39,SUMIFS('Background (from TC)'!$Y$4:$Y$1048576,'Background (from TC)'!$D$4:$D$1048576,O$15,'Background (from TC)'!$E$4:$E$1048576,O$16,'Background (from TC)'!$O$4:$O$1048576,O$17))))</f>
        <v/>
      </c>
      <c r="P42" s="44" t="str">
        <f>IF(P15="","",IF(P15&lt;&gt;"Storage","",IF(P$38="User Defined",P$39,SUMIFS('Background (from TC)'!$Y$4:$Y$1048576,'Background (from TC)'!$D$4:$D$1048576,P$15,'Background (from TC)'!$E$4:$E$1048576,P$16,'Background (from TC)'!$O$4:$O$1048576,P$17))))</f>
        <v/>
      </c>
      <c r="Q42" s="44" t="str">
        <f>IF(Q15="","",IF(Q15&lt;&gt;"Storage","",IF(Q$38="User Defined",Q$39,SUMIFS('Background (from TC)'!$Y$4:$Y$1048576,'Background (from TC)'!$D$4:$D$1048576,Q$15,'Background (from TC)'!$E$4:$E$1048576,Q$16,'Background (from TC)'!$O$4:$O$1048576,Q$17))))</f>
        <v/>
      </c>
      <c r="R42" s="44" t="str">
        <f>IF(R15="","",IF(R15&lt;&gt;"Storage","",IF(R$38="User Defined",R$39,SUMIFS('Background (from TC)'!$Y$4:$Y$1048576,'Background (from TC)'!$D$4:$D$1048576,R$15,'Background (from TC)'!$E$4:$E$1048576,R$16,'Background (from TC)'!$O$4:$O$1048576,R$17))))</f>
        <v/>
      </c>
      <c r="S42" s="44" t="str">
        <f>IF(S15="","",IF(S15&lt;&gt;"Storage","",IF(S$38="User Defined",S$39,SUMIFS('Background (from TC)'!$Y$4:$Y$1048576,'Background (from TC)'!$D$4:$D$1048576,S$15,'Background (from TC)'!$E$4:$E$1048576,S$16,'Background (from TC)'!$O$4:$O$1048576,S$17))))</f>
        <v/>
      </c>
      <c r="T42" s="44" t="str">
        <f>IF(T15="","",IF(T15&lt;&gt;"Storage","",IF(T$38="User Defined",T$39,SUMIFS('Background (from TC)'!$Y$4:$Y$1048576,'Background (from TC)'!$D$4:$D$1048576,T$15,'Background (from TC)'!$E$4:$E$1048576,T$16,'Background (from TC)'!$O$4:$O$1048576,T$17))))</f>
        <v/>
      </c>
      <c r="U42" s="44" t="str">
        <f>IF(U15="","",IF(U15&lt;&gt;"Storage","",IF(U$38="User Defined",U$39,SUMIFS('Background (from TC)'!$Y$4:$Y$1048576,'Background (from TC)'!$D$4:$D$1048576,U$15,'Background (from TC)'!$E$4:$E$1048576,U$16,'Background (from TC)'!$O$4:$O$1048576,U$17))))</f>
        <v/>
      </c>
      <c r="V42" s="44" t="str">
        <f>IF(V15="","",IF(V15&lt;&gt;"Storage","",IF(V$38="User Defined",V$39,SUMIFS('Background (from TC)'!$Y$4:$Y$1048576,'Background (from TC)'!$D$4:$D$1048576,V$15,'Background (from TC)'!$E$4:$E$1048576,V$16,'Background (from TC)'!$O$4:$O$1048576,V$17))))</f>
        <v/>
      </c>
      <c r="W42" s="44" t="str">
        <f>IF(W15="","",IF(W15&lt;&gt;"Storage","",IF(W$38="User Defined",W$39,SUMIFS('Background (from TC)'!$Y$4:$Y$1048576,'Background (from TC)'!$D$4:$D$1048576,W$15,'Background (from TC)'!$E$4:$E$1048576,W$16,'Background (from TC)'!$O$4:$O$1048576,W$17))))</f>
        <v/>
      </c>
      <c r="X42" s="44" t="str">
        <f>IF(X15="","",IF(X15&lt;&gt;"Storage","",IF(X$38="User Defined",X$39,SUMIFS('Background (from TC)'!$Y$4:$Y$1048576,'Background (from TC)'!$D$4:$D$1048576,X$15,'Background (from TC)'!$E$4:$E$1048576,X$16,'Background (from TC)'!$O$4:$O$1048576,X$17))))</f>
        <v/>
      </c>
      <c r="Y42" s="44" t="str">
        <f>IF(Y15="","",IF(Y15&lt;&gt;"Storage","",IF(Y$38="User Defined",Y$39,SUMIFS('Background (from TC)'!$Y$4:$Y$1048576,'Background (from TC)'!$D$4:$D$1048576,Y$15,'Background (from TC)'!$E$4:$E$1048576,Y$16,'Background (from TC)'!$O$4:$O$1048576,Y$17))))</f>
        <v/>
      </c>
      <c r="Z42" s="44" t="str">
        <f>IF(Z15="","",IF(Z15&lt;&gt;"Storage","",IF(Z$38="User Defined",Z$39,SUMIFS('Background (from TC)'!$Y$4:$Y$1048576,'Background (from TC)'!$D$4:$D$1048576,Z$15,'Background (from TC)'!$E$4:$E$1048576,Z$16,'Background (from TC)'!$O$4:$O$1048576,Z$17))))</f>
        <v/>
      </c>
    </row>
    <row r="43" spans="2:26">
      <c r="B43" s="278" t="s">
        <v>63</v>
      </c>
      <c r="C43" s="44" t="str">
        <f>IF(C15="","",IF(C15&lt;&gt;"Storage","",IF(C$38="User Defined",C$40,SUMIFS('Background (from TC)'!$Z$4:$Z$1048576,'Background (from TC)'!$D$4:$D$1048576,C$15,'Background (from TC)'!$E$4:$E$1048576,C$16,'Background (from TC)'!$O$4:$O$1048576,C$17))))</f>
        <v/>
      </c>
      <c r="D43" s="44" t="str">
        <f>IF(D15="","",IF(D15&lt;&gt;"Storage","",IF(D$38="User Defined",D$40,SUMIFS('Background (from TC)'!$Z$4:$Z$1048576,'Background (from TC)'!$D$4:$D$1048576,D$15,'Background (from TC)'!$E$4:$E$1048576,D$16,'Background (from TC)'!$O$4:$O$1048576,D$17))))</f>
        <v/>
      </c>
      <c r="E43" s="44" t="str">
        <f>IF(E15="","",IF(E15&lt;&gt;"Storage","",IF(E$38="User Defined",E$40,SUMIFS('Background (from TC)'!$Z$4:$Z$1048576,'Background (from TC)'!$D$4:$D$1048576,E$15,'Background (from TC)'!$E$4:$E$1048576,E$16,'Background (from TC)'!$O$4:$O$1048576,E$17))))</f>
        <v/>
      </c>
      <c r="F43" s="44" t="str">
        <f>IF(F15="","",IF(F15&lt;&gt;"Storage","",IF(F$38="User Defined",F$40,SUMIFS('Background (from TC)'!$Z$4:$Z$1048576,'Background (from TC)'!$D$4:$D$1048576,F$15,'Background (from TC)'!$E$4:$E$1048576,F$16,'Background (from TC)'!$O$4:$O$1048576,F$17))))</f>
        <v/>
      </c>
      <c r="G43" s="44" t="str">
        <f>IF(G15="","",IF(G15&lt;&gt;"Storage","",IF(G$38="User Defined",G$40,SUMIFS('Background (from TC)'!$Z$4:$Z$1048576,'Background (from TC)'!$D$4:$D$1048576,G$15,'Background (from TC)'!$E$4:$E$1048576,G$16,'Background (from TC)'!$O$4:$O$1048576,G$17))))</f>
        <v/>
      </c>
      <c r="H43" s="44" t="str">
        <f>IF(H15="","",IF(H15&lt;&gt;"Storage","",IF(H$38="User Defined",H$40,SUMIFS('Background (from TC)'!$Z$4:$Z$1048576,'Background (from TC)'!$D$4:$D$1048576,H$15,'Background (from TC)'!$E$4:$E$1048576,H$16,'Background (from TC)'!$O$4:$O$1048576,H$17))))</f>
        <v/>
      </c>
      <c r="I43" s="44" t="str">
        <f>IF(I15="","",IF(I15&lt;&gt;"Storage","",IF(I$38="User Defined",I$40,SUMIFS('Background (from TC)'!$Z$4:$Z$1048576,'Background (from TC)'!$D$4:$D$1048576,I$15,'Background (from TC)'!$E$4:$E$1048576,I$16,'Background (from TC)'!$O$4:$O$1048576,I$17))))</f>
        <v/>
      </c>
      <c r="J43" s="44" t="str">
        <f>IF(J15="","",IF(J15&lt;&gt;"Storage","",IF(J$38="User Defined",J$40,SUMIFS('Background (from TC)'!$Z$4:$Z$1048576,'Background (from TC)'!$D$4:$D$1048576,J$15,'Background (from TC)'!$E$4:$E$1048576,J$16,'Background (from TC)'!$O$4:$O$1048576,J$17))))</f>
        <v/>
      </c>
      <c r="K43" s="44" t="str">
        <f>IF(K15="","",IF(K15&lt;&gt;"Storage","",IF(K$38="User Defined",K$40,SUMIFS('Background (from TC)'!$Z$4:$Z$1048576,'Background (from TC)'!$D$4:$D$1048576,K$15,'Background (from TC)'!$E$4:$E$1048576,K$16,'Background (from TC)'!$O$4:$O$1048576,K$17))))</f>
        <v/>
      </c>
      <c r="L43" s="44" t="str">
        <f>IF(L15="","",IF(L15&lt;&gt;"Storage","",IF(L$38="User Defined",L$40,SUMIFS('Background (from TC)'!$Z$4:$Z$1048576,'Background (from TC)'!$D$4:$D$1048576,L$15,'Background (from TC)'!$E$4:$E$1048576,L$16,'Background (from TC)'!$O$4:$O$1048576,L$17))))</f>
        <v/>
      </c>
      <c r="M43" s="44" t="str">
        <f>IF(M15="","",IF(M15&lt;&gt;"Storage","",IF(M$38="User Defined",M$40,SUMIFS('Background (from TC)'!$Z$4:$Z$1048576,'Background (from TC)'!$D$4:$D$1048576,M$15,'Background (from TC)'!$E$4:$E$1048576,M$16,'Background (from TC)'!$O$4:$O$1048576,M$17))))</f>
        <v/>
      </c>
      <c r="N43" s="44" t="str">
        <f>IF(N15="","",IF(N15&lt;&gt;"Storage","",IF(N$38="User Defined",N$40,SUMIFS('Background (from TC)'!$Z$4:$Z$1048576,'Background (from TC)'!$D$4:$D$1048576,N$15,'Background (from TC)'!$E$4:$E$1048576,N$16,'Background (from TC)'!$O$4:$O$1048576,N$17))))</f>
        <v/>
      </c>
      <c r="O43" s="44" t="str">
        <f>IF(O15="","",IF(O15&lt;&gt;"Storage","",IF(O$38="User Defined",O$40,SUMIFS('Background (from TC)'!$Z$4:$Z$1048576,'Background (from TC)'!$D$4:$D$1048576,O$15,'Background (from TC)'!$E$4:$E$1048576,O$16,'Background (from TC)'!$O$4:$O$1048576,O$17))))</f>
        <v/>
      </c>
      <c r="P43" s="44" t="str">
        <f>IF(P15="","",IF(P15&lt;&gt;"Storage","",IF(P$38="User Defined",P$40,SUMIFS('Background (from TC)'!$Z$4:$Z$1048576,'Background (from TC)'!$D$4:$D$1048576,P$15,'Background (from TC)'!$E$4:$E$1048576,P$16,'Background (from TC)'!$O$4:$O$1048576,P$17))))</f>
        <v/>
      </c>
      <c r="Q43" s="44" t="str">
        <f>IF(Q15="","",IF(Q15&lt;&gt;"Storage","",IF(Q$38="User Defined",Q$40,SUMIFS('Background (from TC)'!$Z$4:$Z$1048576,'Background (from TC)'!$D$4:$D$1048576,Q$15,'Background (from TC)'!$E$4:$E$1048576,Q$16,'Background (from TC)'!$O$4:$O$1048576,Q$17))))</f>
        <v/>
      </c>
      <c r="R43" s="44" t="str">
        <f>IF(R15="","",IF(R15&lt;&gt;"Storage","",IF(R$38="User Defined",R$40,SUMIFS('Background (from TC)'!$Z$4:$Z$1048576,'Background (from TC)'!$D$4:$D$1048576,R$15,'Background (from TC)'!$E$4:$E$1048576,R$16,'Background (from TC)'!$O$4:$O$1048576,R$17))))</f>
        <v/>
      </c>
      <c r="S43" s="44" t="str">
        <f>IF(S15="","",IF(S15&lt;&gt;"Storage","",IF(S$38="User Defined",S$40,SUMIFS('Background (from TC)'!$Z$4:$Z$1048576,'Background (from TC)'!$D$4:$D$1048576,S$15,'Background (from TC)'!$E$4:$E$1048576,S$16,'Background (from TC)'!$O$4:$O$1048576,S$17))))</f>
        <v/>
      </c>
      <c r="T43" s="44" t="str">
        <f>IF(T15="","",IF(T15&lt;&gt;"Storage","",IF(T$38="User Defined",T$40,SUMIFS('Background (from TC)'!$Z$4:$Z$1048576,'Background (from TC)'!$D$4:$D$1048576,T$15,'Background (from TC)'!$E$4:$E$1048576,T$16,'Background (from TC)'!$O$4:$O$1048576,T$17))))</f>
        <v/>
      </c>
      <c r="U43" s="44" t="str">
        <f>IF(U15="","",IF(U15&lt;&gt;"Storage","",IF(U$38="User Defined",U$40,SUMIFS('Background (from TC)'!$Z$4:$Z$1048576,'Background (from TC)'!$D$4:$D$1048576,U$15,'Background (from TC)'!$E$4:$E$1048576,U$16,'Background (from TC)'!$O$4:$O$1048576,U$17))))</f>
        <v/>
      </c>
      <c r="V43" s="44" t="str">
        <f>IF(V15="","",IF(V15&lt;&gt;"Storage","",IF(V$38="User Defined",V$40,SUMIFS('Background (from TC)'!$Z$4:$Z$1048576,'Background (from TC)'!$D$4:$D$1048576,V$15,'Background (from TC)'!$E$4:$E$1048576,V$16,'Background (from TC)'!$O$4:$O$1048576,V$17))))</f>
        <v/>
      </c>
      <c r="W43" s="44" t="str">
        <f>IF(W15="","",IF(W15&lt;&gt;"Storage","",IF(W$38="User Defined",W$40,SUMIFS('Background (from TC)'!$Z$4:$Z$1048576,'Background (from TC)'!$D$4:$D$1048576,W$15,'Background (from TC)'!$E$4:$E$1048576,W$16,'Background (from TC)'!$O$4:$O$1048576,W$17))))</f>
        <v/>
      </c>
      <c r="X43" s="44" t="str">
        <f>IF(X15="","",IF(X15&lt;&gt;"Storage","",IF(X$38="User Defined",X$40,SUMIFS('Background (from TC)'!$Z$4:$Z$1048576,'Background (from TC)'!$D$4:$D$1048576,X$15,'Background (from TC)'!$E$4:$E$1048576,X$16,'Background (from TC)'!$O$4:$O$1048576,X$17))))</f>
        <v/>
      </c>
      <c r="Y43" s="44" t="str">
        <f>IF(Y15="","",IF(Y15&lt;&gt;"Storage","",IF(Y$38="User Defined",Y$40,SUMIFS('Background (from TC)'!$Z$4:$Z$1048576,'Background (from TC)'!$D$4:$D$1048576,Y$15,'Background (from TC)'!$E$4:$E$1048576,Y$16,'Background (from TC)'!$O$4:$O$1048576,Y$17))))</f>
        <v/>
      </c>
      <c r="Z43" s="44" t="str">
        <f>IF(Z15="","",IF(Z15&lt;&gt;"Storage","",IF(Z$38="User Defined",Z$40,SUMIFS('Background (from TC)'!$Z$4:$Z$1048576,'Background (from TC)'!$D$4:$D$1048576,Z$15,'Background (from TC)'!$E$4:$E$1048576,Z$16,'Background (from TC)'!$O$4:$O$1048576,Z$17))))</f>
        <v/>
      </c>
    </row>
    <row r="44" spans="2:26">
      <c r="B44" s="278" t="s">
        <v>64</v>
      </c>
      <c r="C44" s="44" t="str">
        <f>IF(C15="","",IF(C15&lt;&gt;"Storage","",IF(C$38="User Defined",C$41,SUMIFS('Background (from TC)'!$AA$4:$AA$1048576,'Background (from TC)'!$D$4:$D$1048576,C$15,'Background (from TC)'!$E$4:$E$1048576,C$16,'Background (from TC)'!$O$4:$O$1048576,C$17))))</f>
        <v/>
      </c>
      <c r="D44" s="44" t="str">
        <f>IF(D15="","",IF(D15&lt;&gt;"Storage","",IF(D$38="User Defined",D$41,SUMIFS('Background (from TC)'!$AA$4:$AA$1048576,'Background (from TC)'!$D$4:$D$1048576,D$15,'Background (from TC)'!$E$4:$E$1048576,D$16,'Background (from TC)'!$O$4:$O$1048576,D$17))))</f>
        <v/>
      </c>
      <c r="E44" s="44" t="str">
        <f>IF(E15="","",IF(E15&lt;&gt;"Storage","",IF(E$38="User Defined",E$41,SUMIFS('Background (from TC)'!$AA$4:$AA$1048576,'Background (from TC)'!$D$4:$D$1048576,E$15,'Background (from TC)'!$E$4:$E$1048576,E$16,'Background (from TC)'!$O$4:$O$1048576,E$17))))</f>
        <v/>
      </c>
      <c r="F44" s="44" t="str">
        <f>IF(F15="","",IF(F15&lt;&gt;"Storage","",IF(F$38="User Defined",F$41,SUMIFS('Background (from TC)'!$AA$4:$AA$1048576,'Background (from TC)'!$D$4:$D$1048576,F$15,'Background (from TC)'!$E$4:$E$1048576,F$16,'Background (from TC)'!$O$4:$O$1048576,F$17))))</f>
        <v/>
      </c>
      <c r="G44" s="44" t="str">
        <f>IF(G15="","",IF(G15&lt;&gt;"Storage","",IF(G$38="User Defined",G$41,SUMIFS('Background (from TC)'!$AA$4:$AA$1048576,'Background (from TC)'!$D$4:$D$1048576,G$15,'Background (from TC)'!$E$4:$E$1048576,G$16,'Background (from TC)'!$O$4:$O$1048576,G$17))))</f>
        <v/>
      </c>
      <c r="H44" s="44" t="str">
        <f>IF(H15="","",IF(H15&lt;&gt;"Storage","",IF(H$38="User Defined",H$41,SUMIFS('Background (from TC)'!$AA$4:$AA$1048576,'Background (from TC)'!$D$4:$D$1048576,H$15,'Background (from TC)'!$E$4:$E$1048576,H$16,'Background (from TC)'!$O$4:$O$1048576,H$17))))</f>
        <v/>
      </c>
      <c r="I44" s="44" t="str">
        <f>IF(I15="","",IF(I15&lt;&gt;"Storage","",IF(I$38="User Defined",I$41,SUMIFS('Background (from TC)'!$AA$4:$AA$1048576,'Background (from TC)'!$D$4:$D$1048576,I$15,'Background (from TC)'!$E$4:$E$1048576,I$16,'Background (from TC)'!$O$4:$O$1048576,I$17))))</f>
        <v/>
      </c>
      <c r="J44" s="44" t="str">
        <f>IF(J15="","",IF(J15&lt;&gt;"Storage","",IF(J$38="User Defined",J$41,SUMIFS('Background (from TC)'!$AA$4:$AA$1048576,'Background (from TC)'!$D$4:$D$1048576,J$15,'Background (from TC)'!$E$4:$E$1048576,J$16,'Background (from TC)'!$O$4:$O$1048576,J$17))))</f>
        <v/>
      </c>
      <c r="K44" s="44" t="str">
        <f>IF(K15="","",IF(K15&lt;&gt;"Storage","",IF(K$38="User Defined",K$41,SUMIFS('Background (from TC)'!$AA$4:$AA$1048576,'Background (from TC)'!$D$4:$D$1048576,K$15,'Background (from TC)'!$E$4:$E$1048576,K$16,'Background (from TC)'!$O$4:$O$1048576,K$17))))</f>
        <v/>
      </c>
      <c r="L44" s="44" t="str">
        <f>IF(L15="","",IF(L15&lt;&gt;"Storage","",IF(L$38="User Defined",L$41,SUMIFS('Background (from TC)'!$AA$4:$AA$1048576,'Background (from TC)'!$D$4:$D$1048576,L$15,'Background (from TC)'!$E$4:$E$1048576,L$16,'Background (from TC)'!$O$4:$O$1048576,L$17))))</f>
        <v/>
      </c>
      <c r="M44" s="44" t="str">
        <f>IF(M15="","",IF(M15&lt;&gt;"Storage","",IF(M$38="User Defined",M$41,SUMIFS('Background (from TC)'!$AA$4:$AA$1048576,'Background (from TC)'!$D$4:$D$1048576,M$15,'Background (from TC)'!$E$4:$E$1048576,M$16,'Background (from TC)'!$O$4:$O$1048576,M$17))))</f>
        <v/>
      </c>
      <c r="N44" s="44" t="str">
        <f>IF(N15="","",IF(N15&lt;&gt;"Storage","",IF(N$38="User Defined",N$41,SUMIFS('Background (from TC)'!$AA$4:$AA$1048576,'Background (from TC)'!$D$4:$D$1048576,N$15,'Background (from TC)'!$E$4:$E$1048576,N$16,'Background (from TC)'!$O$4:$O$1048576,N$17))))</f>
        <v/>
      </c>
      <c r="O44" s="44" t="str">
        <f>IF(O15="","",IF(O15&lt;&gt;"Storage","",IF(O$38="User Defined",O$41,SUMIFS('Background (from TC)'!$AA$4:$AA$1048576,'Background (from TC)'!$D$4:$D$1048576,O$15,'Background (from TC)'!$E$4:$E$1048576,O$16,'Background (from TC)'!$O$4:$O$1048576,O$17))))</f>
        <v/>
      </c>
      <c r="P44" s="44" t="str">
        <f>IF(P15="","",IF(P15&lt;&gt;"Storage","",IF(P$38="User Defined",P$41,SUMIFS('Background (from TC)'!$AA$4:$AA$1048576,'Background (from TC)'!$D$4:$D$1048576,P$15,'Background (from TC)'!$E$4:$E$1048576,P$16,'Background (from TC)'!$O$4:$O$1048576,P$17))))</f>
        <v/>
      </c>
      <c r="Q44" s="44" t="str">
        <f>IF(Q15="","",IF(Q15&lt;&gt;"Storage","",IF(Q$38="User Defined",Q$41,SUMIFS('Background (from TC)'!$AA$4:$AA$1048576,'Background (from TC)'!$D$4:$D$1048576,Q$15,'Background (from TC)'!$E$4:$E$1048576,Q$16,'Background (from TC)'!$O$4:$O$1048576,Q$17))))</f>
        <v/>
      </c>
      <c r="R44" s="44" t="str">
        <f>IF(R15="","",IF(R15&lt;&gt;"Storage","",IF(R$38="User Defined",R$41,SUMIFS('Background (from TC)'!$AA$4:$AA$1048576,'Background (from TC)'!$D$4:$D$1048576,R$15,'Background (from TC)'!$E$4:$E$1048576,R$16,'Background (from TC)'!$O$4:$O$1048576,R$17))))</f>
        <v/>
      </c>
      <c r="S44" s="44" t="str">
        <f>IF(S15="","",IF(S15&lt;&gt;"Storage","",IF(S$38="User Defined",S$41,SUMIFS('Background (from TC)'!$AA$4:$AA$1048576,'Background (from TC)'!$D$4:$D$1048576,S$15,'Background (from TC)'!$E$4:$E$1048576,S$16,'Background (from TC)'!$O$4:$O$1048576,S$17))))</f>
        <v/>
      </c>
      <c r="T44" s="44" t="str">
        <f>IF(T15="","",IF(T15&lt;&gt;"Storage","",IF(T$38="User Defined",T$41,SUMIFS('Background (from TC)'!$AA$4:$AA$1048576,'Background (from TC)'!$D$4:$D$1048576,T$15,'Background (from TC)'!$E$4:$E$1048576,T$16,'Background (from TC)'!$O$4:$O$1048576,T$17))))</f>
        <v/>
      </c>
      <c r="U44" s="44" t="str">
        <f>IF(U15="","",IF(U15&lt;&gt;"Storage","",IF(U$38="User Defined",U$41,SUMIFS('Background (from TC)'!$AA$4:$AA$1048576,'Background (from TC)'!$D$4:$D$1048576,U$15,'Background (from TC)'!$E$4:$E$1048576,U$16,'Background (from TC)'!$O$4:$O$1048576,U$17))))</f>
        <v/>
      </c>
      <c r="V44" s="44" t="str">
        <f>IF(V15="","",IF(V15&lt;&gt;"Storage","",IF(V$38="User Defined",V$41,SUMIFS('Background (from TC)'!$AA$4:$AA$1048576,'Background (from TC)'!$D$4:$D$1048576,V$15,'Background (from TC)'!$E$4:$E$1048576,V$16,'Background (from TC)'!$O$4:$O$1048576,V$17))))</f>
        <v/>
      </c>
      <c r="W44" s="44" t="str">
        <f>IF(W15="","",IF(W15&lt;&gt;"Storage","",IF(W$38="User Defined",W$41,SUMIFS('Background (from TC)'!$AA$4:$AA$1048576,'Background (from TC)'!$D$4:$D$1048576,W$15,'Background (from TC)'!$E$4:$E$1048576,W$16,'Background (from TC)'!$O$4:$O$1048576,W$17))))</f>
        <v/>
      </c>
      <c r="X44" s="44" t="str">
        <f>IF(X15="","",IF(X15&lt;&gt;"Storage","",IF(X$38="User Defined",X$41,SUMIFS('Background (from TC)'!$AA$4:$AA$1048576,'Background (from TC)'!$D$4:$D$1048576,X$15,'Background (from TC)'!$E$4:$E$1048576,X$16,'Background (from TC)'!$O$4:$O$1048576,X$17))))</f>
        <v/>
      </c>
      <c r="Y44" s="44" t="str">
        <f>IF(Y15="","",IF(Y15&lt;&gt;"Storage","",IF(Y$38="User Defined",Y$41,SUMIFS('Background (from TC)'!$AA$4:$AA$1048576,'Background (from TC)'!$D$4:$D$1048576,Y$15,'Background (from TC)'!$E$4:$E$1048576,Y$16,'Background (from TC)'!$O$4:$O$1048576,Y$17))))</f>
        <v/>
      </c>
      <c r="Z44" s="44" t="str">
        <f>IF(Z15="","",IF(Z15&lt;&gt;"Storage","",IF(Z$38="User Defined",Z$41,SUMIFS('Background (from TC)'!$AA$4:$AA$1048576,'Background (from TC)'!$D$4:$D$1048576,Z$15,'Background (from TC)'!$E$4:$E$1048576,Z$16,'Background (from TC)'!$O$4:$O$1048576,Z$17))))</f>
        <v/>
      </c>
    </row>
    <row r="45" spans="2:26">
      <c r="B45" s="278" t="s">
        <v>65</v>
      </c>
      <c r="C45" s="55" t="str">
        <f>IF(C15="","",IF(C15&lt;&gt;"Storage","",C42/C43/SUMIFS('Background (from TC)'!$T$4:$T$1048576,'Background (from TC)'!$D$4:$D$1048576,C$15,'Background (from TC)'!$E$4:$E$1048576,C$16,'Background (from TC)'!$O$4:$O$1048576,C$17)))</f>
        <v/>
      </c>
      <c r="D45" s="61" t="str">
        <f>IF(D15="","",IF(D15&lt;&gt;"Storage","",D42/D43/SUMIFS('Background (from TC)'!$T$4:$T$1048576,'Background (from TC)'!$D$4:$D$1048576,D$15,'Background (from TC)'!$E$4:$E$1048576,D$16,'Background (from TC)'!$O$4:$O$1048576,D$17)))</f>
        <v/>
      </c>
      <c r="E45" s="61" t="str">
        <f>IF(E15="","",IF(E15&lt;&gt;"Storage","",E42/E43/SUMIFS('Background (from TC)'!$T$4:$T$1048576,'Background (from TC)'!$D$4:$D$1048576,E$15,'Background (from TC)'!$E$4:$E$1048576,E$16,'Background (from TC)'!$O$4:$O$1048576,E$17)))</f>
        <v/>
      </c>
      <c r="F45" s="61" t="str">
        <f>IF(F15="","",IF(F15&lt;&gt;"Storage","",F42/F43/SUMIFS('Background (from TC)'!$T$4:$T$1048576,'Background (from TC)'!$D$4:$D$1048576,F$15,'Background (from TC)'!$E$4:$E$1048576,F$16,'Background (from TC)'!$O$4:$O$1048576,F$17)))</f>
        <v/>
      </c>
      <c r="G45" s="61" t="str">
        <f>IF(G15="","",IF(G15&lt;&gt;"Storage","",G42/G43/SUMIFS('Background (from TC)'!$T$4:$T$1048576,'Background (from TC)'!$D$4:$D$1048576,G$15,'Background (from TC)'!$E$4:$E$1048576,G$16,'Background (from TC)'!$O$4:$O$1048576,G$17)))</f>
        <v/>
      </c>
      <c r="H45" s="61" t="str">
        <f>IF(H15="","",IF(H15&lt;&gt;"Storage","",H42/H43/SUMIFS('Background (from TC)'!$T$4:$T$1048576,'Background (from TC)'!$D$4:$D$1048576,H$15,'Background (from TC)'!$E$4:$E$1048576,H$16,'Background (from TC)'!$O$4:$O$1048576,H$17)))</f>
        <v/>
      </c>
      <c r="I45" s="61" t="str">
        <f>IF(I15="","",IF(I15&lt;&gt;"Storage","",I42/I43/SUMIFS('Background (from TC)'!$T$4:$T$1048576,'Background (from TC)'!$D$4:$D$1048576,I$15,'Background (from TC)'!$E$4:$E$1048576,I$16,'Background (from TC)'!$O$4:$O$1048576,I$17)))</f>
        <v/>
      </c>
      <c r="J45" s="61" t="str">
        <f>IF(J15="","",IF(J15&lt;&gt;"Storage","",J42/J43/SUMIFS('Background (from TC)'!$T$4:$T$1048576,'Background (from TC)'!$D$4:$D$1048576,J$15,'Background (from TC)'!$E$4:$E$1048576,J$16,'Background (from TC)'!$O$4:$O$1048576,J$17)))</f>
        <v/>
      </c>
      <c r="K45" s="293" t="str">
        <f>IF(K15="","",IF(K15&lt;&gt;"Storage","",K42/K43/SUMIFS('Background (from TC)'!$T$4:$T$1048576,'Background (from TC)'!$D$4:$D$1048576,K$15,'Background (from TC)'!$E$4:$E$1048576,K$16,'Background (from TC)'!$O$4:$O$1048576,K$17)))</f>
        <v/>
      </c>
      <c r="L45" s="61" t="str">
        <f>IF(L15="","",IF(L15&lt;&gt;"Storage","",L42/L43/SUMIFS('Background (from TC)'!$T$4:$T$1048576,'Background (from TC)'!$D$4:$D$1048576,L$15,'Background (from TC)'!$E$4:$E$1048576,L$16,'Background (from TC)'!$O$4:$O$1048576,L$17)))</f>
        <v/>
      </c>
      <c r="M45" s="61" t="str">
        <f>IF(M15="","",IF(M15&lt;&gt;"Storage","",M42/M43/SUMIFS('Background (from TC)'!$T$4:$T$1048576,'Background (from TC)'!$D$4:$D$1048576,M$15,'Background (from TC)'!$E$4:$E$1048576,M$16,'Background (from TC)'!$O$4:$O$1048576,M$17)))</f>
        <v/>
      </c>
      <c r="N45" s="61" t="str">
        <f>IF(N15="","",IF(N15&lt;&gt;"Storage","",N42/N43/SUMIFS('Background (from TC)'!$T$4:$T$1048576,'Background (from TC)'!$D$4:$D$1048576,N$15,'Background (from TC)'!$E$4:$E$1048576,N$16,'Background (from TC)'!$O$4:$O$1048576,N$17)))</f>
        <v/>
      </c>
      <c r="O45" s="61" t="str">
        <f>IF(O15="","",IF(O15&lt;&gt;"Storage","",O42/O43/SUMIFS('Background (from TC)'!$T$4:$T$1048576,'Background (from TC)'!$D$4:$D$1048576,O$15,'Background (from TC)'!$E$4:$E$1048576,O$16,'Background (from TC)'!$O$4:$O$1048576,O$17)))</f>
        <v/>
      </c>
      <c r="P45" s="61" t="str">
        <f>IF(P15="","",IF(P15&lt;&gt;"Storage","",P42/P43/SUMIFS('Background (from TC)'!$T$4:$T$1048576,'Background (from TC)'!$D$4:$D$1048576,P$15,'Background (from TC)'!$E$4:$E$1048576,P$16,'Background (from TC)'!$O$4:$O$1048576,P$17)))</f>
        <v/>
      </c>
      <c r="Q45" s="61" t="str">
        <f>IF(Q15="","",IF(Q15&lt;&gt;"Storage","",Q42/Q43/SUMIFS('Background (from TC)'!$T$4:$T$1048576,'Background (from TC)'!$D$4:$D$1048576,Q$15,'Background (from TC)'!$E$4:$E$1048576,Q$16,'Background (from TC)'!$O$4:$O$1048576,Q$17)))</f>
        <v/>
      </c>
      <c r="R45" s="61" t="str">
        <f>IF(R15="","",IF(R15&lt;&gt;"Storage","",R42/R43/SUMIFS('Background (from TC)'!$T$4:$T$1048576,'Background (from TC)'!$D$4:$D$1048576,R$15,'Background (from TC)'!$E$4:$E$1048576,R$16,'Background (from TC)'!$O$4:$O$1048576,R$17)))</f>
        <v/>
      </c>
      <c r="S45" s="61" t="str">
        <f>IF(S15="","",IF(S15&lt;&gt;"Storage","",S42/S43/SUMIFS('Background (from TC)'!$T$4:$T$1048576,'Background (from TC)'!$D$4:$D$1048576,S$15,'Background (from TC)'!$E$4:$E$1048576,S$16,'Background (from TC)'!$O$4:$O$1048576,S$17)))</f>
        <v/>
      </c>
      <c r="T45" s="61" t="str">
        <f>IF(T15="","",IF(T15&lt;&gt;"Storage","",T42/T43/SUMIFS('Background (from TC)'!$T$4:$T$1048576,'Background (from TC)'!$D$4:$D$1048576,T$15,'Background (from TC)'!$E$4:$E$1048576,T$16,'Background (from TC)'!$O$4:$O$1048576,T$17)))</f>
        <v/>
      </c>
      <c r="U45" s="61" t="str">
        <f>IF(U15="","",IF(U15&lt;&gt;"Storage","",U42/U43/SUMIFS('Background (from TC)'!$T$4:$T$1048576,'Background (from TC)'!$D$4:$D$1048576,U$15,'Background (from TC)'!$E$4:$E$1048576,U$16,'Background (from TC)'!$O$4:$O$1048576,U$17)))</f>
        <v/>
      </c>
      <c r="V45" s="61" t="str">
        <f>IF(V15="","",IF(V15&lt;&gt;"Storage","",V42/V43/SUMIFS('Background (from TC)'!$T$4:$T$1048576,'Background (from TC)'!$D$4:$D$1048576,V$15,'Background (from TC)'!$E$4:$E$1048576,V$16,'Background (from TC)'!$O$4:$O$1048576,V$17)))</f>
        <v/>
      </c>
      <c r="W45" s="61" t="str">
        <f>IF(W15="","",IF(W15&lt;&gt;"Storage","",W42/W43/SUMIFS('Background (from TC)'!$T$4:$T$1048576,'Background (from TC)'!$D$4:$D$1048576,W$15,'Background (from TC)'!$E$4:$E$1048576,W$16,'Background (from TC)'!$O$4:$O$1048576,W$17)))</f>
        <v/>
      </c>
      <c r="X45" s="61" t="str">
        <f>IF(X15="","",IF(X15&lt;&gt;"Storage","",X42/X43/SUMIFS('Background (from TC)'!$T$4:$T$1048576,'Background (from TC)'!$D$4:$D$1048576,X$15,'Background (from TC)'!$E$4:$E$1048576,X$16,'Background (from TC)'!$O$4:$O$1048576,X$17)))</f>
        <v/>
      </c>
      <c r="Y45" s="61" t="str">
        <f>IF(Y15="","",IF(Y15&lt;&gt;"Storage","",Y42/Y43/SUMIFS('Background (from TC)'!$T$4:$T$1048576,'Background (from TC)'!$D$4:$D$1048576,Y$15,'Background (from TC)'!$E$4:$E$1048576,Y$16,'Background (from TC)'!$O$4:$O$1048576,Y$17)))</f>
        <v/>
      </c>
      <c r="Z45" s="61" t="str">
        <f>IF(Z15="","",IF(Z15&lt;&gt;"Storage","",Z42/Z43/SUMIFS('Background (from TC)'!$T$4:$T$1048576,'Background (from TC)'!$D$4:$D$1048576,Z$15,'Background (from TC)'!$E$4:$E$1048576,Z$16,'Background (from TC)'!$O$4:$O$1048576,Z$17)))</f>
        <v/>
      </c>
    </row>
    <row r="46" spans="2:26">
      <c r="B46" s="278" t="s">
        <v>66</v>
      </c>
      <c r="C46" s="55" t="str">
        <f t="shared" ref="C46:Z46" si="4">IF(C15="","",IF(C15&lt;&gt;"Storage","",C42/C44))</f>
        <v/>
      </c>
      <c r="D46" s="61" t="str">
        <f t="shared" si="4"/>
        <v/>
      </c>
      <c r="E46" s="61" t="str">
        <f t="shared" si="4"/>
        <v/>
      </c>
      <c r="F46" s="61" t="str">
        <f t="shared" si="4"/>
        <v/>
      </c>
      <c r="G46" s="61" t="str">
        <f t="shared" si="4"/>
        <v/>
      </c>
      <c r="H46" s="61" t="str">
        <f t="shared" si="4"/>
        <v/>
      </c>
      <c r="I46" s="61" t="str">
        <f t="shared" si="4"/>
        <v/>
      </c>
      <c r="J46" s="61" t="str">
        <f t="shared" si="4"/>
        <v/>
      </c>
      <c r="K46" s="293" t="str">
        <f t="shared" si="4"/>
        <v/>
      </c>
      <c r="L46" s="61" t="str">
        <f t="shared" si="4"/>
        <v/>
      </c>
      <c r="M46" s="61" t="str">
        <f t="shared" si="4"/>
        <v/>
      </c>
      <c r="N46" s="61" t="str">
        <f t="shared" si="4"/>
        <v/>
      </c>
      <c r="O46" s="61" t="str">
        <f t="shared" si="4"/>
        <v/>
      </c>
      <c r="P46" s="61" t="str">
        <f t="shared" si="4"/>
        <v/>
      </c>
      <c r="Q46" s="61" t="str">
        <f t="shared" si="4"/>
        <v/>
      </c>
      <c r="R46" s="61" t="str">
        <f t="shared" si="4"/>
        <v/>
      </c>
      <c r="S46" s="61" t="str">
        <f t="shared" si="4"/>
        <v/>
      </c>
      <c r="T46" s="61" t="str">
        <f t="shared" si="4"/>
        <v/>
      </c>
      <c r="U46" s="61" t="str">
        <f t="shared" si="4"/>
        <v/>
      </c>
      <c r="V46" s="61" t="str">
        <f t="shared" si="4"/>
        <v/>
      </c>
      <c r="W46" s="61" t="str">
        <f t="shared" si="4"/>
        <v/>
      </c>
      <c r="X46" s="61" t="str">
        <f t="shared" si="4"/>
        <v/>
      </c>
      <c r="Y46" s="61" t="str">
        <f t="shared" si="4"/>
        <v/>
      </c>
      <c r="Z46" s="61" t="str">
        <f t="shared" si="4"/>
        <v/>
      </c>
    </row>
    <row r="47" spans="2:26">
      <c r="B47" s="278" t="s">
        <v>67</v>
      </c>
      <c r="C47" s="55"/>
      <c r="D47" s="61"/>
      <c r="E47" s="61"/>
      <c r="F47" s="61"/>
      <c r="G47" s="61"/>
      <c r="H47" s="61"/>
      <c r="I47" s="61"/>
      <c r="J47" s="61"/>
      <c r="K47" s="61">
        <v>300</v>
      </c>
      <c r="L47" s="61">
        <v>365</v>
      </c>
      <c r="M47" s="61"/>
      <c r="N47" s="61"/>
      <c r="O47" s="61"/>
      <c r="P47" s="61"/>
      <c r="Q47" s="61"/>
      <c r="R47" s="61"/>
      <c r="S47" s="61">
        <v>300</v>
      </c>
      <c r="T47" s="61">
        <v>300</v>
      </c>
      <c r="U47" s="61"/>
      <c r="V47" s="61"/>
      <c r="W47" s="61"/>
      <c r="X47" s="61"/>
      <c r="Y47" s="61"/>
      <c r="Z47" s="61"/>
    </row>
    <row r="48" spans="2:26">
      <c r="B48" s="278" t="s">
        <v>68</v>
      </c>
      <c r="C48" s="41"/>
      <c r="D48" s="41"/>
      <c r="E48" s="41"/>
      <c r="F48" s="41"/>
      <c r="G48" s="41"/>
      <c r="H48" s="41"/>
      <c r="I48" s="41"/>
      <c r="J48" s="41"/>
      <c r="K48" s="41">
        <v>1</v>
      </c>
      <c r="L48" s="41">
        <v>1</v>
      </c>
      <c r="M48" s="41"/>
      <c r="N48" s="41"/>
      <c r="O48" s="41"/>
      <c r="P48" s="41"/>
      <c r="Q48" s="41"/>
      <c r="R48" s="41"/>
      <c r="S48" s="41">
        <v>1</v>
      </c>
      <c r="T48" s="41">
        <v>1</v>
      </c>
      <c r="U48" s="41"/>
      <c r="V48" s="41"/>
      <c r="W48" s="41"/>
      <c r="X48" s="41"/>
      <c r="Y48" s="41"/>
      <c r="Z48" s="41"/>
    </row>
    <row r="49" spans="2:26">
      <c r="B49" s="278" t="s">
        <v>69</v>
      </c>
      <c r="C49" s="55" t="str">
        <f t="shared" ref="C49:Z49" si="5">IF(C15&lt;&gt;"Storage","",IFERROR(IF(C38="User defined",C47*IF(C48="",100%,C48),24/SUM(C45:C46)*365*100%),""))</f>
        <v/>
      </c>
      <c r="D49" s="55" t="str">
        <f t="shared" si="5"/>
        <v/>
      </c>
      <c r="E49" s="55" t="str">
        <f t="shared" si="5"/>
        <v/>
      </c>
      <c r="F49" s="55" t="str">
        <f t="shared" si="5"/>
        <v/>
      </c>
      <c r="G49" s="55" t="str">
        <f t="shared" si="5"/>
        <v/>
      </c>
      <c r="H49" s="55" t="str">
        <f t="shared" si="5"/>
        <v/>
      </c>
      <c r="I49" s="55" t="str">
        <f t="shared" si="5"/>
        <v/>
      </c>
      <c r="J49" s="55" t="str">
        <f t="shared" si="5"/>
        <v/>
      </c>
      <c r="K49" s="55" t="str">
        <f t="shared" si="5"/>
        <v/>
      </c>
      <c r="L49" s="55" t="str">
        <f t="shared" si="5"/>
        <v/>
      </c>
      <c r="M49" s="55" t="str">
        <f t="shared" si="5"/>
        <v/>
      </c>
      <c r="N49" s="55" t="str">
        <f t="shared" si="5"/>
        <v/>
      </c>
      <c r="O49" s="55" t="str">
        <f t="shared" si="5"/>
        <v/>
      </c>
      <c r="P49" s="55" t="str">
        <f t="shared" si="5"/>
        <v/>
      </c>
      <c r="Q49" s="55" t="str">
        <f t="shared" si="5"/>
        <v/>
      </c>
      <c r="R49" s="55" t="str">
        <f t="shared" si="5"/>
        <v/>
      </c>
      <c r="S49" s="55" t="str">
        <f t="shared" si="5"/>
        <v/>
      </c>
      <c r="T49" s="55" t="str">
        <f t="shared" si="5"/>
        <v/>
      </c>
      <c r="U49" s="55" t="str">
        <f t="shared" si="5"/>
        <v/>
      </c>
      <c r="V49" s="55" t="str">
        <f t="shared" si="5"/>
        <v/>
      </c>
      <c r="W49" s="55" t="str">
        <f t="shared" si="5"/>
        <v/>
      </c>
      <c r="X49" s="55" t="str">
        <f t="shared" si="5"/>
        <v/>
      </c>
      <c r="Y49" s="55" t="str">
        <f t="shared" si="5"/>
        <v/>
      </c>
      <c r="Z49" s="55" t="str">
        <f t="shared" si="5"/>
        <v/>
      </c>
    </row>
    <row r="50" spans="2:26">
      <c r="B50" s="278" t="s">
        <v>70</v>
      </c>
      <c r="C50" s="55" t="str">
        <f>IF(C15&lt;&gt;"Storage","",C49*C44*C46)</f>
        <v/>
      </c>
      <c r="D50" s="55" t="str">
        <f t="shared" ref="D50:Z50" si="6">IF(D15&lt;&gt;"Storage","",D49*D44*D46)</f>
        <v/>
      </c>
      <c r="E50" s="55" t="str">
        <f t="shared" si="6"/>
        <v/>
      </c>
      <c r="F50" s="55" t="str">
        <f t="shared" si="6"/>
        <v/>
      </c>
      <c r="G50" s="55" t="str">
        <f t="shared" si="6"/>
        <v/>
      </c>
      <c r="H50" s="55" t="str">
        <f t="shared" si="6"/>
        <v/>
      </c>
      <c r="I50" s="55" t="str">
        <f t="shared" si="6"/>
        <v/>
      </c>
      <c r="J50" s="55" t="str">
        <f t="shared" si="6"/>
        <v/>
      </c>
      <c r="K50" s="55" t="str">
        <f t="shared" si="6"/>
        <v/>
      </c>
      <c r="L50" s="55" t="str">
        <f t="shared" si="6"/>
        <v/>
      </c>
      <c r="M50" s="55" t="str">
        <f t="shared" si="6"/>
        <v/>
      </c>
      <c r="N50" s="55" t="str">
        <f t="shared" si="6"/>
        <v/>
      </c>
      <c r="O50" s="55" t="str">
        <f t="shared" si="6"/>
        <v/>
      </c>
      <c r="P50" s="55" t="str">
        <f t="shared" si="6"/>
        <v/>
      </c>
      <c r="Q50" s="55" t="str">
        <f t="shared" si="6"/>
        <v/>
      </c>
      <c r="R50" s="55" t="str">
        <f t="shared" si="6"/>
        <v/>
      </c>
      <c r="S50" s="55" t="str">
        <f t="shared" si="6"/>
        <v/>
      </c>
      <c r="T50" s="55" t="str">
        <f t="shared" si="6"/>
        <v/>
      </c>
      <c r="U50" s="55" t="str">
        <f t="shared" si="6"/>
        <v/>
      </c>
      <c r="V50" s="55" t="str">
        <f t="shared" si="6"/>
        <v/>
      </c>
      <c r="W50" s="55" t="str">
        <f t="shared" si="6"/>
        <v/>
      </c>
      <c r="X50" s="55" t="str">
        <f t="shared" si="6"/>
        <v/>
      </c>
      <c r="Y50" s="55" t="str">
        <f t="shared" si="6"/>
        <v/>
      </c>
      <c r="Z50" s="55" t="str">
        <f t="shared" si="6"/>
        <v/>
      </c>
    </row>
    <row r="51" spans="2:26">
      <c r="B51" s="278" t="s">
        <v>71</v>
      </c>
      <c r="C51" s="55" t="str">
        <f>IF(OR(C15="",C15&lt;&gt;"Storage"),"",SUMIFS('Background (from TC)'!$X$4:$X$1048576,'Background (from TC)'!$D$4:$D$1048576,C$15,'Background (from TC)'!$E$4:$E$1048576,C$16,'Background (from TC)'!$O$4:$O$1048576,C$17))</f>
        <v/>
      </c>
      <c r="D51" s="55" t="str">
        <f>IF(OR(D15="",D15&lt;&gt;"Storage"),"",SUMIFS('Background (from TC)'!$X$4:$X$1048576,'Background (from TC)'!$D$4:$D$1048576,D$15,'Background (from TC)'!$E$4:$E$1048576,D$16,'Background (from TC)'!$O$4:$O$1048576,D$17))</f>
        <v/>
      </c>
      <c r="E51" s="55" t="str">
        <f>IF(OR(E15="",E15&lt;&gt;"Storage"),"",SUMIFS('Background (from TC)'!$X$4:$X$1048576,'Background (from TC)'!$D$4:$D$1048576,E$15,'Background (from TC)'!$E$4:$E$1048576,E$16,'Background (from TC)'!$O$4:$O$1048576,E$17))</f>
        <v/>
      </c>
      <c r="F51" s="55" t="str">
        <f>IF(OR(F15="",F15&lt;&gt;"Storage"),"",SUMIFS('Background (from TC)'!$X$4:$X$1048576,'Background (from TC)'!$D$4:$D$1048576,F$15,'Background (from TC)'!$E$4:$E$1048576,F$16,'Background (from TC)'!$O$4:$O$1048576,F$17))</f>
        <v/>
      </c>
      <c r="G51" s="55" t="str">
        <f>IF(OR(G15="",G15&lt;&gt;"Storage"),"",SUMIFS('Background (from TC)'!$X$4:$X$1048576,'Background (from TC)'!$D$4:$D$1048576,G$15,'Background (from TC)'!$E$4:$E$1048576,G$16,'Background (from TC)'!$O$4:$O$1048576,G$17))</f>
        <v/>
      </c>
      <c r="H51" s="55" t="str">
        <f>IF(OR(H15="",H15&lt;&gt;"Storage"),"",SUMIFS('Background (from TC)'!$X$4:$X$1048576,'Background (from TC)'!$D$4:$D$1048576,H$15,'Background (from TC)'!$E$4:$E$1048576,H$16,'Background (from TC)'!$O$4:$O$1048576,H$17))</f>
        <v/>
      </c>
      <c r="I51" s="55" t="str">
        <f>IF(OR(I15="",I15&lt;&gt;"Storage"),"",SUMIFS('Background (from TC)'!$X$4:$X$1048576,'Background (from TC)'!$D$4:$D$1048576,I$15,'Background (from TC)'!$E$4:$E$1048576,I$16,'Background (from TC)'!$O$4:$O$1048576,I$17))</f>
        <v/>
      </c>
      <c r="J51" s="55" t="str">
        <f>IF(OR(J15="",J15&lt;&gt;"Storage"),"",SUMIFS('Background (from TC)'!$X$4:$X$1048576,'Background (from TC)'!$D$4:$D$1048576,J$15,'Background (from TC)'!$E$4:$E$1048576,J$16,'Background (from TC)'!$O$4:$O$1048576,J$17))</f>
        <v/>
      </c>
      <c r="K51" s="55" t="str">
        <f>IF(OR(K15="",K15&lt;&gt;"Storage"),"",SUMIFS('Background (from TC)'!$X$4:$X$1048576,'Background (from TC)'!$D$4:$D$1048576,K$15,'Background (from TC)'!$E$4:$E$1048576,K$16,'Background (from TC)'!$O$4:$O$1048576,K$17))</f>
        <v/>
      </c>
      <c r="L51" s="55" t="str">
        <f>IF(OR(L15="",L15&lt;&gt;"Storage"),"",SUMIFS('Background (from TC)'!$X$4:$X$1048576,'Background (from TC)'!$D$4:$D$1048576,L$15,'Background (from TC)'!$E$4:$E$1048576,L$16,'Background (from TC)'!$O$4:$O$1048576,L$17))</f>
        <v/>
      </c>
      <c r="M51" s="55" t="str">
        <f>IF(OR(M15="",M15&lt;&gt;"Storage"),"",SUMIFS('Background (from TC)'!$X$4:$X$1048576,'Background (from TC)'!$D$4:$D$1048576,M$15,'Background (from TC)'!$E$4:$E$1048576,M$16,'Background (from TC)'!$O$4:$O$1048576,M$17))</f>
        <v/>
      </c>
      <c r="N51" s="55" t="str">
        <f>IF(OR(N15="",N15&lt;&gt;"Storage"),"",SUMIFS('Background (from TC)'!$X$4:$X$1048576,'Background (from TC)'!$D$4:$D$1048576,N$15,'Background (from TC)'!$E$4:$E$1048576,N$16,'Background (from TC)'!$O$4:$O$1048576,N$17))</f>
        <v/>
      </c>
      <c r="O51" s="55" t="str">
        <f>IF(OR(O15="",O15&lt;&gt;"Storage"),"",SUMIFS('Background (from TC)'!$X$4:$X$1048576,'Background (from TC)'!$D$4:$D$1048576,O$15,'Background (from TC)'!$E$4:$E$1048576,O$16,'Background (from TC)'!$O$4:$O$1048576,O$17))</f>
        <v/>
      </c>
      <c r="P51" s="55" t="str">
        <f>IF(OR(P15="",P15&lt;&gt;"Storage"),"",SUMIFS('Background (from TC)'!$X$4:$X$1048576,'Background (from TC)'!$D$4:$D$1048576,P$15,'Background (from TC)'!$E$4:$E$1048576,P$16,'Background (from TC)'!$O$4:$O$1048576,P$17))</f>
        <v/>
      </c>
      <c r="Q51" s="55" t="str">
        <f>IF(OR(Q15="",Q15&lt;&gt;"Storage"),"",SUMIFS('Background (from TC)'!$X$4:$X$1048576,'Background (from TC)'!$D$4:$D$1048576,Q$15,'Background (from TC)'!$E$4:$E$1048576,Q$16,'Background (from TC)'!$O$4:$O$1048576,Q$17))</f>
        <v/>
      </c>
      <c r="R51" s="55" t="str">
        <f>IF(OR(R15="",R15&lt;&gt;"Storage"),"",SUMIFS('Background (from TC)'!$X$4:$X$1048576,'Background (from TC)'!$D$4:$D$1048576,R$15,'Background (from TC)'!$E$4:$E$1048576,R$16,'Background (from TC)'!$O$4:$O$1048576,R$17))</f>
        <v/>
      </c>
      <c r="S51" s="55" t="str">
        <f>IF(OR(S15="",S15&lt;&gt;"Storage"),"",SUMIFS('Background (from TC)'!$X$4:$X$1048576,'Background (from TC)'!$D$4:$D$1048576,S$15,'Background (from TC)'!$E$4:$E$1048576,S$16,'Background (from TC)'!$O$4:$O$1048576,S$17))</f>
        <v/>
      </c>
      <c r="T51" s="55" t="str">
        <f>IF(OR(T15="",T15&lt;&gt;"Storage"),"",SUMIFS('Background (from TC)'!$X$4:$X$1048576,'Background (from TC)'!$D$4:$D$1048576,T$15,'Background (from TC)'!$E$4:$E$1048576,T$16,'Background (from TC)'!$O$4:$O$1048576,T$17))</f>
        <v/>
      </c>
      <c r="U51" s="55" t="str">
        <f>IF(OR(U15="",U15&lt;&gt;"Storage"),"",SUMIFS('Background (from TC)'!$X$4:$X$1048576,'Background (from TC)'!$D$4:$D$1048576,U$15,'Background (from TC)'!$E$4:$E$1048576,U$16,'Background (from TC)'!$O$4:$O$1048576,U$17))</f>
        <v/>
      </c>
      <c r="V51" s="55" t="str">
        <f>IF(OR(V15="",V15&lt;&gt;"Storage"),"",SUMIFS('Background (from TC)'!$X$4:$X$1048576,'Background (from TC)'!$D$4:$D$1048576,V$15,'Background (from TC)'!$E$4:$E$1048576,V$16,'Background (from TC)'!$O$4:$O$1048576,V$17))</f>
        <v/>
      </c>
      <c r="W51" s="55" t="str">
        <f>IF(OR(W15="",W15&lt;&gt;"Storage"),"",SUMIFS('Background (from TC)'!$X$4:$X$1048576,'Background (from TC)'!$D$4:$D$1048576,W$15,'Background (from TC)'!$E$4:$E$1048576,W$16,'Background (from TC)'!$O$4:$O$1048576,W$17))</f>
        <v/>
      </c>
      <c r="X51" s="55" t="str">
        <f>IF(OR(X15="",X15&lt;&gt;"Storage"),"",SUMIFS('Background (from TC)'!$X$4:$X$1048576,'Background (from TC)'!$D$4:$D$1048576,X$15,'Background (from TC)'!$E$4:$E$1048576,X$16,'Background (from TC)'!$O$4:$O$1048576,X$17))</f>
        <v/>
      </c>
      <c r="Y51" s="55" t="str">
        <f>IF(OR(Y15="",Y15&lt;&gt;"Storage"),"",SUMIFS('Background (from TC)'!$X$4:$X$1048576,'Background (from TC)'!$D$4:$D$1048576,Y$15,'Background (from TC)'!$E$4:$E$1048576,Y$16,'Background (from TC)'!$O$4:$O$1048576,Y$17))</f>
        <v/>
      </c>
      <c r="Z51" s="55" t="str">
        <f>IF(OR(Z15="",Z15&lt;&gt;"Storage"),"",SUMIFS('Background (from TC)'!$X$4:$X$1048576,'Background (from TC)'!$D$4:$D$1048576,Z$15,'Background (from TC)'!$E$4:$E$1048576,Z$16,'Background (from TC)'!$O$4:$O$1048576,Z$17))</f>
        <v/>
      </c>
    </row>
    <row r="52" spans="2:26" ht="15.75" thickBot="1">
      <c r="B52" s="279" t="s">
        <v>72</v>
      </c>
      <c r="C52" s="55" t="str">
        <f>IF(C51="","",C51/C$18)</f>
        <v/>
      </c>
      <c r="D52" s="55" t="str">
        <f t="shared" ref="D52:Z52" si="7">IF(D51="","",D51/D$18)</f>
        <v/>
      </c>
      <c r="E52" s="55" t="str">
        <f t="shared" si="7"/>
        <v/>
      </c>
      <c r="F52" s="55" t="str">
        <f t="shared" si="7"/>
        <v/>
      </c>
      <c r="G52" s="55" t="str">
        <f t="shared" si="7"/>
        <v/>
      </c>
      <c r="H52" s="55" t="str">
        <f t="shared" si="7"/>
        <v/>
      </c>
      <c r="I52" s="55" t="str">
        <f t="shared" si="7"/>
        <v/>
      </c>
      <c r="J52" s="55" t="str">
        <f t="shared" si="7"/>
        <v/>
      </c>
      <c r="K52" s="55" t="str">
        <f t="shared" si="7"/>
        <v/>
      </c>
      <c r="L52" s="55" t="str">
        <f t="shared" si="7"/>
        <v/>
      </c>
      <c r="M52" s="55" t="str">
        <f t="shared" si="7"/>
        <v/>
      </c>
      <c r="N52" s="55" t="str">
        <f t="shared" si="7"/>
        <v/>
      </c>
      <c r="O52" s="55" t="str">
        <f t="shared" si="7"/>
        <v/>
      </c>
      <c r="P52" s="55" t="str">
        <f t="shared" si="7"/>
        <v/>
      </c>
      <c r="Q52" s="55" t="str">
        <f t="shared" si="7"/>
        <v/>
      </c>
      <c r="R52" s="55" t="str">
        <f t="shared" si="7"/>
        <v/>
      </c>
      <c r="S52" s="55" t="str">
        <f t="shared" si="7"/>
        <v/>
      </c>
      <c r="T52" s="55" t="str">
        <f t="shared" si="7"/>
        <v/>
      </c>
      <c r="U52" s="55" t="str">
        <f t="shared" si="7"/>
        <v/>
      </c>
      <c r="V52" s="55" t="str">
        <f t="shared" si="7"/>
        <v/>
      </c>
      <c r="W52" s="55" t="str">
        <f t="shared" si="7"/>
        <v/>
      </c>
      <c r="X52" s="55" t="str">
        <f t="shared" si="7"/>
        <v/>
      </c>
      <c r="Y52" s="55" t="str">
        <f t="shared" si="7"/>
        <v/>
      </c>
      <c r="Z52" s="55" t="str">
        <f t="shared" si="7"/>
        <v/>
      </c>
    </row>
    <row r="53" spans="2:26" ht="15.75" thickBot="1">
      <c r="B53" s="290" t="s">
        <v>43</v>
      </c>
      <c r="C53" s="294" t="str">
        <f t="shared" ref="C53:Z53" si="8">IF(C16="","",IF(C49&gt;C52,"Exceeding maximum possible annual cycles. Please revise",""))</f>
        <v/>
      </c>
      <c r="D53" s="258" t="str">
        <f t="shared" si="8"/>
        <v/>
      </c>
      <c r="E53" s="258" t="str">
        <f t="shared" si="8"/>
        <v/>
      </c>
      <c r="F53" s="258" t="str">
        <f t="shared" si="8"/>
        <v/>
      </c>
      <c r="G53" s="258" t="str">
        <f t="shared" si="8"/>
        <v/>
      </c>
      <c r="H53" s="258" t="str">
        <f t="shared" si="8"/>
        <v/>
      </c>
      <c r="I53" s="258" t="str">
        <f t="shared" si="8"/>
        <v/>
      </c>
      <c r="J53" s="258" t="str">
        <f t="shared" si="8"/>
        <v/>
      </c>
      <c r="K53" s="258" t="str">
        <f t="shared" si="8"/>
        <v/>
      </c>
      <c r="L53" s="258" t="str">
        <f t="shared" si="8"/>
        <v/>
      </c>
      <c r="M53" s="258" t="str">
        <f t="shared" si="8"/>
        <v/>
      </c>
      <c r="N53" s="258" t="str">
        <f t="shared" si="8"/>
        <v/>
      </c>
      <c r="O53" s="258" t="str">
        <f t="shared" si="8"/>
        <v/>
      </c>
      <c r="P53" s="258" t="str">
        <f t="shared" si="8"/>
        <v/>
      </c>
      <c r="Q53" s="258" t="str">
        <f t="shared" si="8"/>
        <v/>
      </c>
      <c r="R53" s="258" t="str">
        <f t="shared" si="8"/>
        <v/>
      </c>
      <c r="S53" s="258" t="str">
        <f t="shared" si="8"/>
        <v/>
      </c>
      <c r="T53" s="258" t="str">
        <f t="shared" si="8"/>
        <v/>
      </c>
      <c r="U53" s="258" t="str">
        <f t="shared" si="8"/>
        <v/>
      </c>
      <c r="V53" s="258" t="str">
        <f t="shared" si="8"/>
        <v/>
      </c>
      <c r="W53" s="258" t="str">
        <f t="shared" si="8"/>
        <v/>
      </c>
      <c r="X53" s="258" t="str">
        <f t="shared" si="8"/>
        <v/>
      </c>
      <c r="Y53" s="258" t="str">
        <f t="shared" si="8"/>
        <v/>
      </c>
      <c r="Z53" s="259" t="str">
        <f t="shared" si="8"/>
        <v/>
      </c>
    </row>
    <row r="54" spans="2:26" ht="15.75">
      <c r="B54" s="271"/>
    </row>
    <row r="55" spans="2:26" ht="15.75">
      <c r="B55" s="286" t="s">
        <v>73</v>
      </c>
    </row>
    <row r="56" spans="2:26">
      <c r="B56" s="278" t="s">
        <v>74</v>
      </c>
      <c r="C56" s="19" t="s">
        <v>46</v>
      </c>
      <c r="D56" s="19" t="s">
        <v>46</v>
      </c>
      <c r="E56" s="19" t="s">
        <v>46</v>
      </c>
      <c r="F56" s="19" t="s">
        <v>46</v>
      </c>
      <c r="G56" s="19" t="s">
        <v>46</v>
      </c>
      <c r="H56" s="19" t="s">
        <v>46</v>
      </c>
      <c r="I56" s="19" t="s">
        <v>46</v>
      </c>
      <c r="J56" s="19" t="s">
        <v>46</v>
      </c>
      <c r="K56" s="19" t="s">
        <v>46</v>
      </c>
      <c r="L56" s="19" t="s">
        <v>46</v>
      </c>
      <c r="M56" s="19" t="s">
        <v>46</v>
      </c>
      <c r="N56" s="19" t="s">
        <v>46</v>
      </c>
      <c r="O56" s="19" t="s">
        <v>46</v>
      </c>
      <c r="P56" s="19" t="s">
        <v>46</v>
      </c>
    </row>
    <row r="57" spans="2:26">
      <c r="B57" s="278" t="s">
        <v>75</v>
      </c>
      <c r="C57" s="43">
        <v>40</v>
      </c>
      <c r="D57" s="43">
        <v>60</v>
      </c>
      <c r="E57" s="43"/>
      <c r="F57" s="43"/>
      <c r="G57" s="43"/>
      <c r="H57" s="43">
        <v>4</v>
      </c>
      <c r="I57" s="43"/>
      <c r="J57" s="43"/>
      <c r="K57" s="43"/>
      <c r="L57" s="43"/>
      <c r="M57" s="43"/>
      <c r="N57" s="43"/>
      <c r="O57" s="43"/>
      <c r="P57" s="43"/>
      <c r="Q57" s="43"/>
      <c r="R57" s="43"/>
      <c r="S57" s="43"/>
      <c r="T57" s="43"/>
      <c r="U57" s="43"/>
      <c r="V57" s="43"/>
      <c r="W57" s="43"/>
      <c r="X57" s="43"/>
      <c r="Y57" s="43"/>
      <c r="Z57" s="43"/>
    </row>
    <row r="58" spans="2:26">
      <c r="B58" s="278" t="s">
        <v>76</v>
      </c>
      <c r="C58" s="43">
        <f>IF(C56="","",IF(C56="User defined",C57,SUMIFS('Background (from TC)'!$M$4:$M$1048576,'Background (from TC)'!$D$4:$D$1048576,C$15,'Background (from TC)'!$E$4:$E$1048576,C$16,'Background (from TC)'!$O$4:$O$1048576,C$17)*C29))</f>
        <v>3.7177777777777781</v>
      </c>
      <c r="D58" s="43">
        <f>IF(D56="","",IF(D56="User defined",D57,SUMIFS('Background (from TC)'!$M$4:$M$1048576,'Background (from TC)'!$D$4:$D$1048576,D$15,'Background (from TC)'!$E$4:$E$1048576,D$16,'Background (from TC)'!$O$4:$O$1048576,D$17)*D29))</f>
        <v>3.7177777777777781</v>
      </c>
      <c r="E58" s="43">
        <f>IF(E56="","",IF(E56="User defined",E57,SUMIFS('Background (from TC)'!$M$4:$M$1048576,'Background (from TC)'!$D$4:$D$1048576,E$15,'Background (from TC)'!$E$4:$E$1048576,E$16,'Background (from TC)'!$O$4:$O$1048576,E$17)*E29))</f>
        <v>10.890499999999999</v>
      </c>
      <c r="F58" s="43">
        <f>IF(F56="","",IF(F56="User defined",F57,SUMIFS('Background (from TC)'!$M$4:$M$1048576,'Background (from TC)'!$D$4:$D$1048576,F$15,'Background (from TC)'!$E$4:$E$1048576,F$16,'Background (from TC)'!$O$4:$O$1048576,F$17)*F29))</f>
        <v>15.189112232808471</v>
      </c>
      <c r="G58" s="43">
        <f>IF(G56="","",IF(G56="User defined",G57,SUMIFS('Background (from TC)'!$M$4:$M$1048576,'Background (from TC)'!$D$4:$D$1048576,G$15,'Background (from TC)'!$E$4:$E$1048576,G$16,'Background (from TC)'!$O$4:$O$1048576,G$17)*G29))</f>
        <v>1.0833342000000008</v>
      </c>
      <c r="H58" s="43">
        <f>IF(H56="","",IF(H56="User defined",H57,SUMIFS('Background (from TC)'!$M$4:$M$1048576,'Background (from TC)'!$D$4:$D$1048576,H$15,'Background (from TC)'!$E$4:$E$1048576,H$16,'Background (from TC)'!$O$4:$O$1048576,H$17)*H29))</f>
        <v>1.0833342000000008</v>
      </c>
      <c r="I58" s="43">
        <f>IF(I56="","",IF(I56="User defined",I57,SUMIFS('Background (from TC)'!$M$4:$M$1048576,'Background (from TC)'!$D$4:$D$1048576,I$15,'Background (from TC)'!$E$4:$E$1048576,I$16,'Background (from TC)'!$O$4:$O$1048576,I$17)*I29))</f>
        <v>4.666666666666667</v>
      </c>
      <c r="J58" s="43">
        <f>IF(J56="","",IF(J56="User defined",J57,SUMIFS('Background (from TC)'!$M$4:$M$1048576,'Background (from TC)'!$D$4:$D$1048576,J$15,'Background (from TC)'!$E$4:$E$1048576,J$16,'Background (from TC)'!$O$4:$O$1048576,J$17)*J29))</f>
        <v>0</v>
      </c>
      <c r="K58" s="43">
        <f>IF(K56="","",IF(K56="User defined",K57,SUMIFS('Background (from TC)'!$M$4:$M$1048576,'Background (from TC)'!$D$4:$D$1048576,K$15,'Background (from TC)'!$E$4:$E$1048576,K$16,'Background (from TC)'!$O$4:$O$1048576,K$17)*K29))</f>
        <v>0</v>
      </c>
      <c r="L58" s="43">
        <f>IF(L56="","",IF(L56="User defined",L57,SUMIFS('Background (from TC)'!$M$4:$M$1048576,'Background (from TC)'!$D$4:$D$1048576,L$15,'Background (from TC)'!$E$4:$E$1048576,L$16,'Background (from TC)'!$O$4:$O$1048576,L$17)*L29))</f>
        <v>0</v>
      </c>
      <c r="M58" s="43">
        <f>IF(M56="","",IF(M56="User defined",M57,SUMIFS('Background (from TC)'!$M$4:$M$1048576,'Background (from TC)'!$D$4:$D$1048576,M$15,'Background (from TC)'!$E$4:$E$1048576,M$16,'Background (from TC)'!$O$4:$O$1048576,M$17)*M29))</f>
        <v>0</v>
      </c>
      <c r="N58" s="43">
        <f>IF(N56="","",IF(N56="User defined",N57,SUMIFS('Background (from TC)'!$M$4:$M$1048576,'Background (from TC)'!$D$4:$D$1048576,N$15,'Background (from TC)'!$E$4:$E$1048576,N$16,'Background (from TC)'!$O$4:$O$1048576,N$17)*N29))</f>
        <v>0</v>
      </c>
      <c r="O58" s="43">
        <f>IF(O56="","",IF(O56="User defined",O57,SUMIFS('Background (from TC)'!$M$4:$M$1048576,'Background (from TC)'!$D$4:$D$1048576,O$15,'Background (from TC)'!$E$4:$E$1048576,O$16,'Background (from TC)'!$O$4:$O$1048576,O$17)*O29))</f>
        <v>0</v>
      </c>
      <c r="P58" s="43">
        <f>IF(P56="","",IF(P56="User defined",P57,SUMIFS('Background (from TC)'!$M$4:$M$1048576,'Background (from TC)'!$D$4:$D$1048576,P$15,'Background (from TC)'!$E$4:$E$1048576,P$16,'Background (from TC)'!$O$4:$O$1048576,P$17)*P29))</f>
        <v>0</v>
      </c>
      <c r="Q58" s="43" t="str">
        <f>IF(Q56="","",IF(Q56="User defined",Q57,SUMIFS('Background (from TC)'!$M$4:$M$1048576,'Background (from TC)'!$D$4:$D$1048576,Q$15,'Background (from TC)'!$E$4:$E$1048576,Q$16,'Background (from TC)'!$O$4:$O$1048576,Q$17)*Q29))</f>
        <v/>
      </c>
      <c r="R58" s="43" t="str">
        <f>IF(R56="","",IF(R56="User defined",R57,SUMIFS('Background (from TC)'!$M$4:$M$1048576,'Background (from TC)'!$D$4:$D$1048576,R$15,'Background (from TC)'!$E$4:$E$1048576,R$16,'Background (from TC)'!$O$4:$O$1048576,R$17)*R29))</f>
        <v/>
      </c>
      <c r="S58" s="43" t="str">
        <f>IF(S56="","",IF(S56="User defined",S57,SUMIFS('Background (from TC)'!$M$4:$M$1048576,'Background (from TC)'!$D$4:$D$1048576,S$15,'Background (from TC)'!$E$4:$E$1048576,S$16,'Background (from TC)'!$O$4:$O$1048576,S$17)*S29))</f>
        <v/>
      </c>
      <c r="T58" s="43" t="str">
        <f>IF(T56="","",IF(T56="User defined",T57,SUMIFS('Background (from TC)'!$M$4:$M$1048576,'Background (from TC)'!$D$4:$D$1048576,T$15,'Background (from TC)'!$E$4:$E$1048576,T$16,'Background (from TC)'!$O$4:$O$1048576,T$17)*T29))</f>
        <v/>
      </c>
      <c r="U58" s="43" t="str">
        <f>IF(U56="","",IF(U56="User defined",U57,SUMIFS('Background (from TC)'!$M$4:$M$1048576,'Background (from TC)'!$D$4:$D$1048576,U$15,'Background (from TC)'!$E$4:$E$1048576,U$16,'Background (from TC)'!$O$4:$O$1048576,U$17)*U29))</f>
        <v/>
      </c>
      <c r="V58" s="43" t="str">
        <f>IF(V56="","",IF(V56="User defined",V57,SUMIFS('Background (from TC)'!$M$4:$M$1048576,'Background (from TC)'!$D$4:$D$1048576,V$15,'Background (from TC)'!$E$4:$E$1048576,V$16,'Background (from TC)'!$O$4:$O$1048576,V$17)*V29))</f>
        <v/>
      </c>
      <c r="W58" s="43" t="str">
        <f>IF(W56="","",IF(W56="User defined",W57,SUMIFS('Background (from TC)'!$M$4:$M$1048576,'Background (from TC)'!$D$4:$D$1048576,W$15,'Background (from TC)'!$E$4:$E$1048576,W$16,'Background (from TC)'!$O$4:$O$1048576,W$17)*W29))</f>
        <v/>
      </c>
      <c r="X58" s="43" t="str">
        <f>IF(X56="","",IF(X56="User defined",X57,SUMIFS('Background (from TC)'!$M$4:$M$1048576,'Background (from TC)'!$D$4:$D$1048576,X$15,'Background (from TC)'!$E$4:$E$1048576,X$16,'Background (from TC)'!$O$4:$O$1048576,X$17)*X29))</f>
        <v/>
      </c>
      <c r="Y58" s="43" t="str">
        <f>IF(Y56="","",IF(Y56="User defined",Y57,SUMIFS('Background (from TC)'!$M$4:$M$1048576,'Background (from TC)'!$D$4:$D$1048576,Y$15,'Background (from TC)'!$E$4:$E$1048576,Y$16,'Background (from TC)'!$O$4:$O$1048576,Y$17)*Y29))</f>
        <v/>
      </c>
      <c r="Z58" s="43" t="str">
        <f>IF(Z56="","",IF(Z56="User defined",Z57,SUMIFS('Background (from TC)'!$M$4:$M$1048576,'Background (from TC)'!$D$4:$D$1048576,Z$15,'Background (from TC)'!$E$4:$E$1048576,Z$16,'Background (from TC)'!$O$4:$O$1048576,Z$17)*Z29))</f>
        <v/>
      </c>
    </row>
    <row r="59" spans="2:26" ht="30">
      <c r="B59" s="280" t="s">
        <v>77</v>
      </c>
      <c r="C59" s="41">
        <f>IFERROR(IF(C15="","",SUMIFS('Background (from TC)'!$S$4:$S$1048576,'Background (from TC)'!$D$4:$D$1048576,C$15,'Background (from TC)'!$E$4:$E$1048576,C$16,'Background (from TC)'!$O$4:$O$1048576,C$17)),"")</f>
        <v>0.39</v>
      </c>
      <c r="D59" s="41">
        <f>IFERROR(IF(D15="","",SUMIFS('Background (from TC)'!$S$4:$S$1048576,'Background (from TC)'!$D$4:$D$1048576,D$15,'Background (from TC)'!$E$4:$E$1048576,D$16,'Background (from TC)'!$O$4:$O$1048576,D$17)),"")</f>
        <v>0.43</v>
      </c>
      <c r="E59" s="41">
        <f>IFERROR(IF(E15="","",SUMIFS('Background (from TC)'!$S$4:$S$1048576,'Background (from TC)'!$D$4:$D$1048576,E$15,'Background (from TC)'!$E$4:$E$1048576,E$16,'Background (from TC)'!$O$4:$O$1048576,E$17)),"")</f>
        <v>0.6</v>
      </c>
      <c r="F59" s="41">
        <f>IFERROR(IF(F15="","",SUMIFS('Background (from TC)'!$S$4:$S$1048576,'Background (from TC)'!$D$4:$D$1048576,F$15,'Background (from TC)'!$E$4:$E$1048576,F$16,'Background (from TC)'!$O$4:$O$1048576,F$17)),"")</f>
        <v>0.47</v>
      </c>
      <c r="G59" s="41">
        <f>IFERROR(IF(G15="","",SUMIFS('Background (from TC)'!$S$4:$S$1048576,'Background (from TC)'!$D$4:$D$1048576,G$15,'Background (from TC)'!$E$4:$E$1048576,G$16,'Background (from TC)'!$O$4:$O$1048576,G$17)),"")</f>
        <v>0.4</v>
      </c>
      <c r="H59" s="41">
        <f>IFERROR(IF(H15="","",SUMIFS('Background (from TC)'!$S$4:$S$1048576,'Background (from TC)'!$D$4:$D$1048576,H$15,'Background (from TC)'!$E$4:$E$1048576,H$16,'Background (from TC)'!$O$4:$O$1048576,H$17)),"")</f>
        <v>0.3</v>
      </c>
      <c r="I59" s="41">
        <f>IFERROR(IF(I15="","",SUMIFS('Background (from TC)'!$S$4:$S$1048576,'Background (from TC)'!$D$4:$D$1048576,I$15,'Background (from TC)'!$E$4:$E$1048576,I$16,'Background (from TC)'!$O$4:$O$1048576,I$17)),"")</f>
        <v>0.31</v>
      </c>
      <c r="J59" s="41">
        <f>IFERROR(IF(J15="","",SUMIFS('Background (from TC)'!$S$4:$S$1048576,'Background (from TC)'!$D$4:$D$1048576,J$15,'Background (from TC)'!$E$4:$E$1048576,J$16,'Background (from TC)'!$O$4:$O$1048576,J$17)),"")</f>
        <v>0.17</v>
      </c>
      <c r="K59" s="41">
        <f>IFERROR(IF(K15="","",SUMIFS('Background (from TC)'!$S$4:$S$1048576,'Background (from TC)'!$D$4:$D$1048576,K$15,'Background (from TC)'!$E$4:$E$1048576,K$16,'Background (from TC)'!$O$4:$O$1048576,K$17)),"")</f>
        <v>0.95</v>
      </c>
      <c r="L59" s="41">
        <f>IFERROR(IF(L15="","",SUMIFS('Background (from TC)'!$S$4:$S$1048576,'Background (from TC)'!$D$4:$D$1048576,L$15,'Background (from TC)'!$E$4:$E$1048576,L$16,'Background (from TC)'!$O$4:$O$1048576,L$17)),"")</f>
        <v>0</v>
      </c>
      <c r="M59" s="41">
        <f>IFERROR(IF(M15="","",SUMIFS('Background (from TC)'!$S$4:$S$1048576,'Background (from TC)'!$D$4:$D$1048576,M$15,'Background (from TC)'!$E$4:$E$1048576,M$16,'Background (from TC)'!$O$4:$O$1048576,M$17)),"")</f>
        <v>0</v>
      </c>
      <c r="N59" s="41">
        <f>IFERROR(IF(N15="","",SUMIFS('Background (from TC)'!$S$4:$S$1048576,'Background (from TC)'!$D$4:$D$1048576,N$15,'Background (from TC)'!$E$4:$E$1048576,N$16,'Background (from TC)'!$O$4:$O$1048576,N$17)),"")</f>
        <v>0</v>
      </c>
      <c r="O59" s="41">
        <f>IFERROR(IF(O15="","",SUMIFS('Background (from TC)'!$S$4:$S$1048576,'Background (from TC)'!$D$4:$D$1048576,O$15,'Background (from TC)'!$E$4:$E$1048576,O$16,'Background (from TC)'!$O$4:$O$1048576,O$17)),"")</f>
        <v>0</v>
      </c>
      <c r="P59" s="41">
        <f>IFERROR(IF(P15="","",SUMIFS('Background (from TC)'!$S$4:$S$1048576,'Background (from TC)'!$D$4:$D$1048576,P$15,'Background (from TC)'!$E$4:$E$1048576,P$16,'Background (from TC)'!$O$4:$O$1048576,P$17)),"")</f>
        <v>0</v>
      </c>
      <c r="Q59" s="41" t="str">
        <f>IFERROR(IF(Q15="","",SUMIFS('Background (from TC)'!$S$4:$S$1048576,'Background (from TC)'!$D$4:$D$1048576,Q$15,'Background (from TC)'!$E$4:$E$1048576,Q$16,'Background (from TC)'!$O$4:$O$1048576,Q$17)),"")</f>
        <v/>
      </c>
      <c r="R59" s="41" t="str">
        <f>IFERROR(IF(R15="","",SUMIFS('Background (from TC)'!$S$4:$S$1048576,'Background (from TC)'!$D$4:$D$1048576,R$15,'Background (from TC)'!$E$4:$E$1048576,R$16,'Background (from TC)'!$O$4:$O$1048576,R$17)),"")</f>
        <v/>
      </c>
      <c r="S59" s="41" t="str">
        <f>IFERROR(IF(S15="","",SUMIFS('Background (from TC)'!$S$4:$S$1048576,'Background (from TC)'!$D$4:$D$1048576,S$15,'Background (from TC)'!$E$4:$E$1048576,S$16,'Background (from TC)'!$O$4:$O$1048576,S$17)),"")</f>
        <v/>
      </c>
      <c r="T59" s="41" t="str">
        <f>IFERROR(IF(T15="","",SUMIFS('Background (from TC)'!$S$4:$S$1048576,'Background (from TC)'!$D$4:$D$1048576,T$15,'Background (from TC)'!$E$4:$E$1048576,T$16,'Background (from TC)'!$O$4:$O$1048576,T$17)),"")</f>
        <v/>
      </c>
      <c r="U59" s="41" t="str">
        <f>IFERROR(IF(U15="","",SUMIFS('Background (from TC)'!$S$4:$S$1048576,'Background (from TC)'!$D$4:$D$1048576,U$15,'Background (from TC)'!$E$4:$E$1048576,U$16,'Background (from TC)'!$O$4:$O$1048576,U$17)),"")</f>
        <v/>
      </c>
      <c r="V59" s="41" t="str">
        <f>IFERROR(IF(V15="","",SUMIFS('Background (from TC)'!$S$4:$S$1048576,'Background (from TC)'!$D$4:$D$1048576,V$15,'Background (from TC)'!$E$4:$E$1048576,V$16,'Background (from TC)'!$O$4:$O$1048576,V$17)),"")</f>
        <v/>
      </c>
      <c r="W59" s="41" t="str">
        <f>IFERROR(IF(W15="","",SUMIFS('Background (from TC)'!$S$4:$S$1048576,'Background (from TC)'!$D$4:$D$1048576,W$15,'Background (from TC)'!$E$4:$E$1048576,W$16,'Background (from TC)'!$O$4:$O$1048576,W$17)),"")</f>
        <v/>
      </c>
      <c r="X59" s="41" t="str">
        <f>IFERROR(IF(X15="","",SUMIFS('Background (from TC)'!$S$4:$S$1048576,'Background (from TC)'!$D$4:$D$1048576,X$15,'Background (from TC)'!$E$4:$E$1048576,X$16,'Background (from TC)'!$O$4:$O$1048576,X$17)),"")</f>
        <v/>
      </c>
      <c r="Y59" s="41" t="str">
        <f>IFERROR(IF(Y15="","",SUMIFS('Background (from TC)'!$S$4:$S$1048576,'Background (from TC)'!$D$4:$D$1048576,Y$15,'Background (from TC)'!$E$4:$E$1048576,Y$16,'Background (from TC)'!$O$4:$O$1048576,Y$17)),"")</f>
        <v/>
      </c>
      <c r="Z59" s="41" t="str">
        <f>IFERROR(IF(Z15="","",SUMIFS('Background (from TC)'!$S$4:$S$1048576,'Background (from TC)'!$D$4:$D$1048576,Z$15,'Background (from TC)'!$E$4:$E$1048576,Z$16,'Background (from TC)'!$O$4:$O$1048576,Z$17)),"")</f>
        <v/>
      </c>
    </row>
    <row r="60" spans="2:26" ht="15.75" thickBot="1">
      <c r="B60" s="281" t="s">
        <v>78</v>
      </c>
      <c r="C60" s="43">
        <f>IF(C56="","",IFERROR(C58*3.6/C59,0))</f>
        <v>34.317948717948724</v>
      </c>
      <c r="D60" s="43">
        <f t="shared" ref="D60:Z60" si="9">IF(D56="","",IFERROR(D58*3.6/D59,0))</f>
        <v>31.125581395348842</v>
      </c>
      <c r="E60" s="43">
        <f t="shared" si="9"/>
        <v>65.343000000000004</v>
      </c>
      <c r="F60" s="43">
        <f t="shared" si="9"/>
        <v>116.34213625129892</v>
      </c>
      <c r="G60" s="43">
        <f t="shared" si="9"/>
        <v>9.7500078000000077</v>
      </c>
      <c r="H60" s="43">
        <f t="shared" si="9"/>
        <v>13.000010400000011</v>
      </c>
      <c r="I60" s="43">
        <f t="shared" si="9"/>
        <v>54.193548387096776</v>
      </c>
      <c r="J60" s="43">
        <f t="shared" si="9"/>
        <v>0</v>
      </c>
      <c r="K60" s="43">
        <f t="shared" si="9"/>
        <v>0</v>
      </c>
      <c r="L60" s="43">
        <f t="shared" si="9"/>
        <v>0</v>
      </c>
      <c r="M60" s="43">
        <f t="shared" si="9"/>
        <v>0</v>
      </c>
      <c r="N60" s="43">
        <f t="shared" si="9"/>
        <v>0</v>
      </c>
      <c r="O60" s="43">
        <f t="shared" si="9"/>
        <v>0</v>
      </c>
      <c r="P60" s="43">
        <f t="shared" si="9"/>
        <v>0</v>
      </c>
      <c r="Q60" s="43" t="str">
        <f t="shared" si="9"/>
        <v/>
      </c>
      <c r="R60" s="43" t="str">
        <f t="shared" si="9"/>
        <v/>
      </c>
      <c r="S60" s="43" t="str">
        <f t="shared" si="9"/>
        <v/>
      </c>
      <c r="T60" s="43" t="str">
        <f t="shared" si="9"/>
        <v/>
      </c>
      <c r="U60" s="43" t="str">
        <f t="shared" si="9"/>
        <v/>
      </c>
      <c r="V60" s="43" t="str">
        <f t="shared" si="9"/>
        <v/>
      </c>
      <c r="W60" s="43" t="str">
        <f t="shared" si="9"/>
        <v/>
      </c>
      <c r="X60" s="43" t="str">
        <f t="shared" si="9"/>
        <v/>
      </c>
      <c r="Y60" s="43" t="str">
        <f t="shared" si="9"/>
        <v/>
      </c>
      <c r="Z60" s="43" t="str">
        <f t="shared" si="9"/>
        <v/>
      </c>
    </row>
    <row r="61" spans="2:26" ht="15.75" thickBot="1">
      <c r="B61" s="273" t="s">
        <v>43</v>
      </c>
      <c r="C61" s="258" t="str">
        <f t="shared" ref="C61:Z61" si="10">IF(OR(AND(C56="User defined",C57=""),AND(C15="Storage",C58="")),"Insert value above","")</f>
        <v/>
      </c>
      <c r="D61" s="258" t="str">
        <f t="shared" si="10"/>
        <v/>
      </c>
      <c r="E61" s="258" t="str">
        <f t="shared" si="10"/>
        <v/>
      </c>
      <c r="F61" s="258" t="str">
        <f t="shared" si="10"/>
        <v/>
      </c>
      <c r="G61" s="258" t="str">
        <f t="shared" si="10"/>
        <v/>
      </c>
      <c r="H61" s="258" t="str">
        <f t="shared" si="10"/>
        <v/>
      </c>
      <c r="I61" s="258" t="str">
        <f t="shared" si="10"/>
        <v/>
      </c>
      <c r="J61" s="258" t="str">
        <f t="shared" si="10"/>
        <v/>
      </c>
      <c r="K61" s="258" t="str">
        <f t="shared" si="10"/>
        <v/>
      </c>
      <c r="L61" s="258" t="str">
        <f t="shared" si="10"/>
        <v/>
      </c>
      <c r="M61" s="258" t="str">
        <f t="shared" si="10"/>
        <v/>
      </c>
      <c r="N61" s="258" t="str">
        <f t="shared" si="10"/>
        <v/>
      </c>
      <c r="O61" s="258" t="str">
        <f t="shared" si="10"/>
        <v/>
      </c>
      <c r="P61" s="258" t="str">
        <f t="shared" si="10"/>
        <v/>
      </c>
      <c r="Q61" s="258" t="str">
        <f t="shared" si="10"/>
        <v/>
      </c>
      <c r="R61" s="258" t="str">
        <f t="shared" si="10"/>
        <v/>
      </c>
      <c r="S61" s="258" t="str">
        <f t="shared" si="10"/>
        <v/>
      </c>
      <c r="T61" s="258" t="str">
        <f t="shared" si="10"/>
        <v/>
      </c>
      <c r="U61" s="258" t="str">
        <f t="shared" si="10"/>
        <v/>
      </c>
      <c r="V61" s="258" t="str">
        <f t="shared" si="10"/>
        <v/>
      </c>
      <c r="W61" s="258" t="str">
        <f t="shared" si="10"/>
        <v/>
      </c>
      <c r="X61" s="258" t="str">
        <f t="shared" si="10"/>
        <v/>
      </c>
      <c r="Y61" s="258" t="str">
        <f t="shared" si="10"/>
        <v/>
      </c>
      <c r="Z61" s="259" t="str">
        <f t="shared" si="10"/>
        <v/>
      </c>
    </row>
    <row r="62" spans="2:26">
      <c r="F62"/>
    </row>
    <row r="63" spans="2:26" ht="15.75">
      <c r="B63" s="286" t="s">
        <v>79</v>
      </c>
      <c r="F63"/>
    </row>
    <row r="64" spans="2:26">
      <c r="B64" s="279" t="s">
        <v>80</v>
      </c>
      <c r="F64"/>
      <c r="G64"/>
      <c r="H64"/>
      <c r="I64"/>
      <c r="J64"/>
      <c r="K64"/>
      <c r="L64"/>
      <c r="M64"/>
      <c r="N64"/>
      <c r="O64"/>
      <c r="P64"/>
      <c r="Q64"/>
      <c r="R64"/>
      <c r="S64"/>
      <c r="T64"/>
      <c r="U64"/>
      <c r="V64"/>
      <c r="W64"/>
      <c r="X64"/>
      <c r="Y64"/>
      <c r="Z64"/>
    </row>
    <row r="66" spans="1:27" ht="15.75">
      <c r="B66" s="286" t="s">
        <v>81</v>
      </c>
    </row>
    <row r="67" spans="1:27">
      <c r="B67" s="282" t="s">
        <v>82</v>
      </c>
      <c r="C67" s="19" t="s">
        <v>83</v>
      </c>
      <c r="D67" s="19" t="s">
        <v>83</v>
      </c>
      <c r="E67" s="19" t="s">
        <v>83</v>
      </c>
      <c r="F67" s="19" t="s">
        <v>83</v>
      </c>
      <c r="G67" s="19" t="s">
        <v>83</v>
      </c>
      <c r="H67" s="19" t="s">
        <v>83</v>
      </c>
      <c r="I67" s="19" t="s">
        <v>83</v>
      </c>
      <c r="J67" s="19" t="s">
        <v>83</v>
      </c>
      <c r="K67" s="19" t="s">
        <v>83</v>
      </c>
      <c r="L67" s="19" t="s">
        <v>83</v>
      </c>
      <c r="M67" s="19" t="s">
        <v>83</v>
      </c>
      <c r="N67" s="19" t="s">
        <v>83</v>
      </c>
      <c r="O67" s="19" t="s">
        <v>83</v>
      </c>
      <c r="P67" s="19" t="s">
        <v>83</v>
      </c>
      <c r="Q67" s="19" t="s">
        <v>83</v>
      </c>
      <c r="R67" s="19" t="s">
        <v>83</v>
      </c>
      <c r="S67" s="19" t="s">
        <v>83</v>
      </c>
      <c r="T67" s="19" t="s">
        <v>83</v>
      </c>
      <c r="U67" s="19" t="s">
        <v>84</v>
      </c>
      <c r="V67" s="19" t="s">
        <v>84</v>
      </c>
      <c r="W67" s="19" t="s">
        <v>84</v>
      </c>
      <c r="X67" s="19" t="s">
        <v>84</v>
      </c>
      <c r="Y67" s="19" t="s">
        <v>84</v>
      </c>
      <c r="Z67" s="19" t="s">
        <v>84</v>
      </c>
    </row>
    <row r="68" spans="1:27">
      <c r="B68" s="278" t="s">
        <v>85</v>
      </c>
      <c r="C68" s="19">
        <v>125</v>
      </c>
      <c r="D68" s="19">
        <v>125</v>
      </c>
      <c r="E68" s="19">
        <v>125</v>
      </c>
      <c r="F68" s="19">
        <v>125</v>
      </c>
      <c r="G68" s="19">
        <v>125</v>
      </c>
      <c r="H68" s="19">
        <v>125</v>
      </c>
      <c r="I68" s="19">
        <v>125</v>
      </c>
      <c r="J68" s="19">
        <v>125</v>
      </c>
      <c r="K68" s="19">
        <v>125</v>
      </c>
      <c r="L68" s="19">
        <v>125</v>
      </c>
      <c r="M68" s="19">
        <v>125</v>
      </c>
      <c r="N68" s="19">
        <v>125</v>
      </c>
      <c r="O68" s="19">
        <v>125</v>
      </c>
      <c r="P68" s="19">
        <v>125</v>
      </c>
      <c r="Q68" s="19">
        <v>125</v>
      </c>
      <c r="R68" s="19">
        <v>125</v>
      </c>
      <c r="S68" s="19">
        <v>125</v>
      </c>
      <c r="T68" s="19">
        <v>125</v>
      </c>
      <c r="U68" s="19">
        <v>125</v>
      </c>
      <c r="V68" s="19">
        <v>125</v>
      </c>
      <c r="W68" s="19">
        <v>125</v>
      </c>
      <c r="X68" s="19">
        <v>125</v>
      </c>
      <c r="Y68" s="19">
        <v>125</v>
      </c>
      <c r="Z68" s="19">
        <v>125</v>
      </c>
    </row>
    <row r="69" spans="1:27">
      <c r="B69" s="278" t="s">
        <v>86</v>
      </c>
      <c r="C69" s="19" t="s">
        <v>46</v>
      </c>
      <c r="D69" s="19" t="s">
        <v>46</v>
      </c>
      <c r="E69" s="19" t="s">
        <v>46</v>
      </c>
      <c r="F69" s="19" t="s">
        <v>46</v>
      </c>
      <c r="G69" s="19" t="s">
        <v>46</v>
      </c>
      <c r="H69" s="19" t="s">
        <v>46</v>
      </c>
      <c r="I69" s="19" t="s">
        <v>46</v>
      </c>
      <c r="J69" s="19" t="s">
        <v>46</v>
      </c>
      <c r="K69" s="19" t="s">
        <v>46</v>
      </c>
      <c r="L69" s="19" t="s">
        <v>46</v>
      </c>
      <c r="M69" s="19" t="s">
        <v>46</v>
      </c>
      <c r="N69" s="19" t="s">
        <v>46</v>
      </c>
      <c r="O69" s="19" t="s">
        <v>46</v>
      </c>
      <c r="P69" s="19" t="s">
        <v>46</v>
      </c>
      <c r="Q69" s="19" t="s">
        <v>46</v>
      </c>
      <c r="R69" s="19" t="s">
        <v>46</v>
      </c>
      <c r="S69" s="19" t="s">
        <v>46</v>
      </c>
      <c r="T69" s="19" t="s">
        <v>46</v>
      </c>
    </row>
    <row r="70" spans="1:27">
      <c r="B70" s="278" t="s">
        <v>87</v>
      </c>
      <c r="C70" s="521">
        <f>IF(C15="","",IF(C79=0,0,SUMIFS('Background (from TC)'!$L:$L,'Background (from TC)'!$D:$D,C15,'Background (from TC)'!$E:$E,C16,'Background (from TC)'!$O:$O,C17)/1000*3.6/C59))</f>
        <v>0.98215384615384627</v>
      </c>
      <c r="D70" s="521">
        <f>IF(D15="","",IF(D79=0,0,SUMIFS('Background (from TC)'!$L:$L,'Background (from TC)'!$D:$D,D15,'Background (from TC)'!$E:$E,D16,'Background (from TC)'!$O:$O,D17)/1000*3.6/D59))</f>
        <v>0.47553488372093022</v>
      </c>
      <c r="E70" s="521">
        <f>IF(E15="","",IF(E79=0,0,SUMIFS('Background (from TC)'!$L:$L,'Background (from TC)'!$D:$D,E15,'Background (from TC)'!$E:$E,E16,'Background (from TC)'!$O:$O,E17)/1000*3.6/E59))</f>
        <v>0.34079999999999999</v>
      </c>
      <c r="F70" s="521">
        <f>IF(F15="","",IF(F79=0,0,SUMIFS('Background (from TC)'!$L:$L,'Background (from TC)'!$D:$D,F15,'Background (from TC)'!$E:$E,F16,'Background (from TC)'!$O:$O,F17)/1000*3.6/F59))</f>
        <v>0.59744680851063836</v>
      </c>
      <c r="G70" s="521">
        <f>IF(G15="","",IF(G79=0,0,SUMIFS('Background (from TC)'!$L:$L,'Background (from TC)'!$D:$D,G15,'Background (from TC)'!$E:$E,G16,'Background (from TC)'!$O:$O,G17)/1000*3.6/G59))</f>
        <v>0</v>
      </c>
      <c r="H70" s="521">
        <f>IF(H15="","",IF(H79=0,0,SUMIFS('Background (from TC)'!$L:$L,'Background (from TC)'!$D:$D,H15,'Background (from TC)'!$E:$E,H16,'Background (from TC)'!$O:$O,H17)/1000*3.6/H59))</f>
        <v>0</v>
      </c>
      <c r="I70" s="521">
        <f>IF(I15="","",IF(I79=0,0,SUMIFS('Background (from TC)'!$L:$L,'Background (from TC)'!$D:$D,I15,'Background (from TC)'!$E:$E,I16,'Background (from TC)'!$O:$O,I17)/1000*3.6/I59))</f>
        <v>0</v>
      </c>
      <c r="J70" s="521">
        <f>IF(J15="","",IF(J79=0,0,SUMIFS('Background (from TC)'!$L:$L,'Background (from TC)'!$D:$D,J15,'Background (from TC)'!$E:$E,J16,'Background (from TC)'!$O:$O,J17)/1000*3.6/J59))</f>
        <v>0</v>
      </c>
      <c r="K70" s="521">
        <f>IF(K15="","",IF(K79=0,0,SUMIFS('Background (from TC)'!$L:$L,'Background (from TC)'!$D:$D,K15,'Background (from TC)'!$E:$E,K16,'Background (from TC)'!$O:$O,K17)/1000*3.6/K59))</f>
        <v>0</v>
      </c>
      <c r="L70" s="521">
        <f>IF(L15="","",IF(L79=0,0,SUMIFS('Background (from TC)'!$L:$L,'Background (from TC)'!$D:$D,L15,'Background (from TC)'!$E:$E,L16,'Background (from TC)'!$O:$O,L17)/1000*3.6/L59))</f>
        <v>0</v>
      </c>
      <c r="M70" s="521">
        <f>IF(M15="","",IF(M79=0,0,SUMIFS('Background (from TC)'!$L:$L,'Background (from TC)'!$D:$D,M15,'Background (from TC)'!$E:$E,M16,'Background (from TC)'!$O:$O,M17)/1000*3.6/M59))</f>
        <v>0</v>
      </c>
      <c r="N70" s="521">
        <f>IF(N15="","",IF(N79=0,0,SUMIFS('Background (from TC)'!$L:$L,'Background (from TC)'!$D:$D,N15,'Background (from TC)'!$E:$E,N16,'Background (from TC)'!$O:$O,N17)/1000*3.6/N59))</f>
        <v>0</v>
      </c>
      <c r="O70" s="521">
        <f>IF(O15="","",IF(O79=0,0,SUMIFS('Background (from TC)'!$L:$L,'Background (from TC)'!$D:$D,O15,'Background (from TC)'!$E:$E,O16,'Background (from TC)'!$O:$O,O17)/1000*3.6/O59))</f>
        <v>0</v>
      </c>
      <c r="P70" s="521">
        <f>IF(P15="","",IF(P79=0,0,SUMIFS('Background (from TC)'!$L:$L,'Background (from TC)'!$D:$D,P15,'Background (from TC)'!$E:$E,P16,'Background (from TC)'!$O:$O,P17)/1000*3.6/P59))</f>
        <v>0</v>
      </c>
      <c r="Q70" s="521" t="str">
        <f>IF(Q15="","",IF(Q79=0,0,SUMIFS('Background (from TC)'!$L:$L,'Background (from TC)'!$D:$D,Q15,'Background (from TC)'!$E:$E,Q16,'Background (from TC)'!$O:$O,Q17)/1000*3.6/Q59))</f>
        <v/>
      </c>
      <c r="R70" s="521" t="str">
        <f>IF(R15="","",IF(R79=0,0,SUMIFS('Background (from TC)'!$L:$L,'Background (from TC)'!$D:$D,R15,'Background (from TC)'!$E:$E,R16,'Background (from TC)'!$O:$O,R17)/1000*3.6/R59))</f>
        <v/>
      </c>
      <c r="S70" s="521" t="str">
        <f>IF(S15="","",IF(S79=0,0,SUMIFS('Background (from TC)'!$L:$L,'Background (from TC)'!$D:$D,S15,'Background (from TC)'!$E:$E,S16,'Background (from TC)'!$O:$O,S17)/1000*3.6/S59))</f>
        <v/>
      </c>
      <c r="T70" s="521" t="str">
        <f>IF(T15="","",IF(T79=0,0,SUMIFS('Background (from TC)'!$L:$L,'Background (from TC)'!$D:$D,T15,'Background (from TC)'!$E:$E,T16,'Background (from TC)'!$O:$O,T17)/1000*3.6/T59))</f>
        <v/>
      </c>
      <c r="U70" s="521" t="str">
        <f>IF(U15="","",IF(U79=0,0,SUMIFS('Background (from TC)'!$L:$L,'Background (from TC)'!$D:$D,U15,'Background (from TC)'!$E:$E,U16,'Background (from TC)'!$O:$O,U17)/1000*3.6/U59))</f>
        <v/>
      </c>
      <c r="V70" s="521" t="str">
        <f>IF(V15="","",IF(V79=0,0,SUMIFS('Background (from TC)'!$L:$L,'Background (from TC)'!$D:$D,V15,'Background (from TC)'!$E:$E,V16,'Background (from TC)'!$O:$O,V17)/1000*3.6/V59))</f>
        <v/>
      </c>
      <c r="W70" s="521" t="str">
        <f>IF(W15="","",IF(W79=0,0,SUMIFS('Background (from TC)'!$L:$L,'Background (from TC)'!$D:$D,W15,'Background (from TC)'!$E:$E,W16,'Background (from TC)'!$O:$O,W17)/1000*3.6/W59))</f>
        <v/>
      </c>
      <c r="X70" s="521" t="str">
        <f>IF(X15="","",IF(X79=0,0,SUMIFS('Background (from TC)'!$L:$L,'Background (from TC)'!$D:$D,X15,'Background (from TC)'!$E:$E,X16,'Background (from TC)'!$O:$O,X17)/1000*3.6/X59))</f>
        <v/>
      </c>
      <c r="Y70" s="521" t="str">
        <f>IF(Y15="","",IF(Y79=0,0,SUMIFS('Background (from TC)'!$L:$L,'Background (from TC)'!$D:$D,Y15,'Background (from TC)'!$E:$E,Y16,'Background (from TC)'!$O:$O,Y17)/1000*3.6/Y59))</f>
        <v/>
      </c>
      <c r="Z70" s="521" t="str">
        <f>IF(Z15="","",IF(Z79=0,0,SUMIFS('Background (from TC)'!$L:$L,'Background (from TC)'!$D:$D,Z15,'Background (from TC)'!$E:$E,Z16,'Background (from TC)'!$O:$O,Z17)/1000*3.6/Z59))</f>
        <v/>
      </c>
    </row>
    <row r="71" spans="1:27">
      <c r="B71" s="278" t="s">
        <v>88</v>
      </c>
      <c r="C71" s="56">
        <v>1.0900000000000001</v>
      </c>
      <c r="D71" s="56">
        <v>2.09</v>
      </c>
      <c r="E71" s="56">
        <v>3.09</v>
      </c>
      <c r="F71" s="56">
        <v>4.09</v>
      </c>
      <c r="G71" s="56">
        <v>5.09</v>
      </c>
      <c r="H71" s="56">
        <v>6.09</v>
      </c>
      <c r="I71" s="56">
        <v>7.09</v>
      </c>
      <c r="J71" s="56">
        <v>1.25</v>
      </c>
      <c r="K71" s="56"/>
      <c r="L71" s="56">
        <v>10.09</v>
      </c>
      <c r="M71" s="56">
        <v>11.09</v>
      </c>
      <c r="N71" s="56">
        <v>12.09</v>
      </c>
      <c r="O71" s="56">
        <v>13.09</v>
      </c>
      <c r="P71" s="56">
        <v>14.09</v>
      </c>
      <c r="Q71" s="56">
        <v>15.09</v>
      </c>
      <c r="R71" s="56">
        <v>16.09</v>
      </c>
      <c r="S71" s="56">
        <v>17.09</v>
      </c>
      <c r="T71" s="56">
        <v>18.09</v>
      </c>
      <c r="U71" s="56">
        <v>19.09</v>
      </c>
      <c r="V71" s="56">
        <v>20.09</v>
      </c>
      <c r="W71" s="56">
        <v>21.09</v>
      </c>
      <c r="X71" s="56">
        <v>22.09</v>
      </c>
      <c r="Y71" s="56">
        <v>23.09</v>
      </c>
      <c r="Z71" s="56">
        <v>24.09</v>
      </c>
    </row>
    <row r="72" spans="1:27">
      <c r="B72" s="279" t="s">
        <v>89</v>
      </c>
      <c r="C72" s="18">
        <f>IF(C69="User defined",C71,C70)</f>
        <v>0.98215384615384627</v>
      </c>
      <c r="D72" s="18">
        <f>IF(D69="User defined",D71,D70)</f>
        <v>0.47553488372093022</v>
      </c>
      <c r="E72" s="18">
        <f t="shared" ref="E72:Z72" si="11">IF(E69="User defined",E71,E70)</f>
        <v>0.34079999999999999</v>
      </c>
      <c r="F72" s="18">
        <f t="shared" si="11"/>
        <v>0.59744680851063836</v>
      </c>
      <c r="G72" s="18">
        <f t="shared" si="11"/>
        <v>0</v>
      </c>
      <c r="H72" s="18">
        <f t="shared" si="11"/>
        <v>0</v>
      </c>
      <c r="I72" s="18">
        <f t="shared" si="11"/>
        <v>0</v>
      </c>
      <c r="J72" s="18">
        <f t="shared" si="11"/>
        <v>0</v>
      </c>
      <c r="K72" s="18">
        <f t="shared" si="11"/>
        <v>0</v>
      </c>
      <c r="L72" s="18">
        <f t="shared" si="11"/>
        <v>0</v>
      </c>
      <c r="M72" s="18">
        <f t="shared" si="11"/>
        <v>0</v>
      </c>
      <c r="N72" s="18">
        <f t="shared" si="11"/>
        <v>0</v>
      </c>
      <c r="O72" s="18">
        <f t="shared" si="11"/>
        <v>0</v>
      </c>
      <c r="P72" s="18">
        <f t="shared" si="11"/>
        <v>0</v>
      </c>
      <c r="Q72" s="18" t="str">
        <f t="shared" si="11"/>
        <v/>
      </c>
      <c r="R72" s="18" t="str">
        <f t="shared" si="11"/>
        <v/>
      </c>
      <c r="S72" s="18" t="str">
        <f t="shared" si="11"/>
        <v/>
      </c>
      <c r="T72" s="18" t="str">
        <f t="shared" si="11"/>
        <v/>
      </c>
      <c r="U72" s="18" t="str">
        <f t="shared" si="11"/>
        <v/>
      </c>
      <c r="V72" s="18" t="str">
        <f t="shared" si="11"/>
        <v/>
      </c>
      <c r="W72" s="18" t="str">
        <f t="shared" si="11"/>
        <v/>
      </c>
      <c r="X72" s="18" t="str">
        <f t="shared" si="11"/>
        <v/>
      </c>
      <c r="Y72" s="18" t="str">
        <f t="shared" si="11"/>
        <v/>
      </c>
      <c r="Z72" s="18" t="str">
        <f t="shared" si="11"/>
        <v/>
      </c>
    </row>
    <row r="73" spans="1:27">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7" ht="15.75">
      <c r="B74" s="286" t="s">
        <v>90</v>
      </c>
    </row>
    <row r="75" spans="1:27" s="19" customFormat="1">
      <c r="A75"/>
      <c r="B75" s="278" t="s">
        <v>91</v>
      </c>
      <c r="C75" s="19" t="s">
        <v>84</v>
      </c>
      <c r="D75" s="19" t="s">
        <v>84</v>
      </c>
      <c r="E75" s="19" t="s">
        <v>84</v>
      </c>
      <c r="F75" s="19" t="s">
        <v>84</v>
      </c>
      <c r="G75" s="19" t="s">
        <v>84</v>
      </c>
      <c r="H75" s="19" t="s">
        <v>84</v>
      </c>
      <c r="I75" s="19" t="s">
        <v>84</v>
      </c>
      <c r="J75" s="19" t="s">
        <v>84</v>
      </c>
      <c r="K75" s="19" t="s">
        <v>84</v>
      </c>
      <c r="L75" s="19" t="s">
        <v>84</v>
      </c>
      <c r="M75" s="19" t="s">
        <v>84</v>
      </c>
      <c r="N75" s="19" t="s">
        <v>84</v>
      </c>
      <c r="O75" s="19" t="s">
        <v>84</v>
      </c>
      <c r="P75" s="19" t="s">
        <v>84</v>
      </c>
      <c r="Q75" s="19" t="s">
        <v>84</v>
      </c>
      <c r="R75" s="19" t="s">
        <v>84</v>
      </c>
      <c r="S75" s="19" t="s">
        <v>84</v>
      </c>
      <c r="T75" s="19" t="s">
        <v>84</v>
      </c>
      <c r="U75" s="19" t="s">
        <v>84</v>
      </c>
      <c r="V75" s="19" t="s">
        <v>84</v>
      </c>
      <c r="W75" s="19" t="s">
        <v>84</v>
      </c>
      <c r="X75" s="19" t="s">
        <v>84</v>
      </c>
      <c r="Y75" s="19" t="s">
        <v>84</v>
      </c>
      <c r="Z75" s="19" t="s">
        <v>84</v>
      </c>
      <c r="AA75" s="276"/>
    </row>
    <row r="76" spans="1:27">
      <c r="B76" s="278" t="s">
        <v>92</v>
      </c>
      <c r="C76" s="35">
        <f>IF(C$15="","",IF(C75="No",0,IF(C15="Storage",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TC)'!$O$4:$O$1048576,C$17)*C43/SUMIFS('Background (from TC)'!$S$4:$S$1048576,'Background (from TC)'!$D$4:$D$1048576,C$15,'Background (from TC)'!$E$4:$E$1048576,C$16,'Background (from TC)'!$O$4:$O$1048576,C$17)+SUMIFS('Background (from TC)'!$AD$4:$AD$1048576,'Background (from TC)'!$D$4:$D$1048576,C$15,'Background (from TC)'!$E$4:$E$1048576,C$16,'Background (from TC)'!$O$4:$O$1048576,C$17)*C42),
SUMIFS('Background (from TC)'!$G$4:$G$1048576,'Background (from TC)'!$D$4:$D$1048576,C$15,'Background (from TC)'!$E$4:$E$1048576,C$16,'Background (from TC)'!$O$4:$O$1048576,C$17)))*C29)</f>
        <v>1.5</v>
      </c>
      <c r="D76" s="35">
        <f>IF(D$15="","",IF(D75="No",0,IF(D15="Storage",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
SUMIFS('Background (from TC)'!$G$4:$G$1048576,'Background (from TC)'!$D$4:$D$1048576,D$15,'Background (from TC)'!$E$4:$E$1048576,D$16,'Background (from TC)'!$O$4:$O$1048576,D$17)))*D29)</f>
        <v>2.3199999999999998</v>
      </c>
      <c r="E76" s="35">
        <f>IF(E$15="","",IF(E75="No",0,IF(E15="Storage",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
SUMIFS('Background (from TC)'!$G$4:$G$1048576,'Background (from TC)'!$D$4:$D$1048576,E$15,'Background (from TC)'!$E$4:$E$1048576,E$16,'Background (from TC)'!$O$4:$O$1048576,E$17)))*E29)</f>
        <v>0.95040000000000002</v>
      </c>
      <c r="F76" s="35">
        <f>IF(F$15="","",IF(F75="No",0,IF(F15="Storage",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
SUMIFS('Background (from TC)'!$G$4:$G$1048576,'Background (from TC)'!$D$4:$D$1048576,F$15,'Background (from TC)'!$E$4:$E$1048576,F$16,'Background (from TC)'!$O$4:$O$1048576,F$17)))*F29)</f>
        <v>0.88919999999999999</v>
      </c>
      <c r="G76" s="35">
        <f>IF(G$15="","",IF(G75="No",0,IF(G15="Storage",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
SUMIFS('Background (from TC)'!$G$4:$G$1048576,'Background (from TC)'!$D$4:$D$1048576,G$15,'Background (from TC)'!$E$4:$E$1048576,G$16,'Background (from TC)'!$O$4:$O$1048576,G$17)))*G29)</f>
        <v>6.8</v>
      </c>
      <c r="H76" s="35">
        <f>IF(H$15="","",IF(H75="No",0,IF(H15="Storage",
(SUMIFS('Background (from TC)'!$AB$4:$AB$1048576,'Background (from TC)'!$D$4:$D$1048576,H$15,'Background (from TC)'!$E$4:$E$1048576,H$16,'Background (from TC)'!$O$4:$O$1048576,H$17)*H42+SUMIFS('Background (from TC)'!$AC$4:$AC$1048576,'Background (from TC)'!$D$4:$D$1048576,H$15,'Background (from TC)'!$E$4:$E$1048576,H$16,'Background (from TC)'!$O$4:$O$1048576,H$17)*H43/SUMIFS('Background (from TC)'!$S$4:$S$1048576,'Background (from TC)'!$D$4:$D$1048576,H$15,'Background (from TC)'!$E$4:$E$1048576,H$16,'Background (from TC)'!$O$4:$O$1048576,H$17)+SUMIFS('Background (from TC)'!$AD$4:$AD$1048576,'Background (from TC)'!$D$4:$D$1048576,H$15,'Background (from TC)'!$E$4:$E$1048576,H$16,'Background (from TC)'!$O$4:$O$1048576,H$17)*H42),
SUMIFS('Background (from TC)'!$G$4:$G$1048576,'Background (from TC)'!$D$4:$D$1048576,H$15,'Background (from TC)'!$E$4:$E$1048576,H$16,'Background (from TC)'!$O$4:$O$1048576,H$17)))*H29)</f>
        <v>7.3</v>
      </c>
      <c r="I76" s="35">
        <f>IF(I$15="","",IF(I75="No",0,IF(I15="Storage",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
SUMIFS('Background (from TC)'!$G$4:$G$1048576,'Background (from TC)'!$D$4:$D$1048576,I$15,'Background (from TC)'!$E$4:$E$1048576,I$16,'Background (from TC)'!$O$4:$O$1048576,I$17)))*I29)</f>
        <v>1.8239999999999998</v>
      </c>
      <c r="J76" s="35">
        <f>IF(J$15="","",IF(J75="No",0,IF(J15="Storage",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
SUMIFS('Background (from TC)'!$G$4:$G$1048576,'Background (from TC)'!$D$4:$D$1048576,J$15,'Background (from TC)'!$E$4:$E$1048576,J$16,'Background (from TC)'!$O$4:$O$1048576,J$17)))*J29)</f>
        <v>3.9600000000000004</v>
      </c>
      <c r="K76" s="35">
        <f>IF(K$15="","",IF(K75="No",0,IF(K15="Storage",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
SUMIFS('Background (from TC)'!$G$4:$G$1048576,'Background (from TC)'!$D$4:$D$1048576,K$15,'Background (from TC)'!$E$4:$E$1048576,K$16,'Background (from TC)'!$O$4:$O$1048576,K$17)))*K29)</f>
        <v>1.9580000000000002</v>
      </c>
      <c r="L76" s="35">
        <f>IF(L$15="","",IF(L75="No",0,IF(L15="Storage",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
SUMIFS('Background (from TC)'!$G$4:$G$1048576,'Background (from TC)'!$D$4:$D$1048576,L$15,'Background (from TC)'!$E$4:$E$1048576,L$16,'Background (from TC)'!$O$4:$O$1048576,L$17)))*L29)</f>
        <v>0.48</v>
      </c>
      <c r="M76" s="35">
        <f>IF(M$15="","",IF(M75="No",0,IF(M15="Storage",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
SUMIFS('Background (from TC)'!$G$4:$G$1048576,'Background (from TC)'!$D$4:$D$1048576,M$15,'Background (from TC)'!$E$4:$E$1048576,M$16,'Background (from TC)'!$O$4:$O$1048576,M$17)))*M29)</f>
        <v>0.48</v>
      </c>
      <c r="N76" s="35">
        <f>IF(N$15="","",IF(N75="No",0,IF(N15="Storage",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
SUMIFS('Background (from TC)'!$G$4:$G$1048576,'Background (from TC)'!$D$4:$D$1048576,N$15,'Background (from TC)'!$E$4:$E$1048576,N$16,'Background (from TC)'!$O$4:$O$1048576,N$17)))*N29)</f>
        <v>0.95</v>
      </c>
      <c r="O76" s="35">
        <f>IF(O$15="","",IF(O75="No",0,IF(O15="Storage",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
SUMIFS('Background (from TC)'!$G$4:$G$1048576,'Background (from TC)'!$D$4:$D$1048576,O$15,'Background (from TC)'!$E$4:$E$1048576,O$16,'Background (from TC)'!$O$4:$O$1048576,O$17)))*O29)</f>
        <v>2.8699999999999997</v>
      </c>
      <c r="P76" s="35">
        <f>IF(P$15="","",IF(P75="No",0,IF(P15="Storage",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
SUMIFS('Background (from TC)'!$G$4:$G$1048576,'Background (from TC)'!$D$4:$D$1048576,P$15,'Background (from TC)'!$E$4:$E$1048576,P$16,'Background (from TC)'!$O$4:$O$1048576,P$17)))*P29)</f>
        <v>3</v>
      </c>
      <c r="Q76" s="35" t="str">
        <f>IF(Q$15="","",IF(Q75="No",0,IF(Q15="Storage",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
SUMIFS('Background (from TC)'!$G$4:$G$1048576,'Background (from TC)'!$D$4:$D$1048576,Q$15,'Background (from TC)'!$E$4:$E$1048576,Q$16,'Background (from TC)'!$O$4:$O$1048576,Q$17)))*Q29)</f>
        <v/>
      </c>
      <c r="R76" s="35" t="str">
        <f>IF(R$15="","",IF(R75="No",0,IF(R15="Storage",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
SUMIFS('Background (from TC)'!$G$4:$G$1048576,'Background (from TC)'!$D$4:$D$1048576,R$15,'Background (from TC)'!$E$4:$E$1048576,R$16,'Background (from TC)'!$O$4:$O$1048576,R$17)))*R29)</f>
        <v/>
      </c>
      <c r="S76" s="35" t="str">
        <f>IF(S$15="","",IF(S75="No",0,IF(S15="Storage",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
SUMIFS('Background (from TC)'!$G$4:$G$1048576,'Background (from TC)'!$D$4:$D$1048576,S$15,'Background (from TC)'!$E$4:$E$1048576,S$16,'Background (from TC)'!$O$4:$O$1048576,S$17)))*S29)</f>
        <v/>
      </c>
      <c r="T76" s="35" t="str">
        <f>IF(T$15="","",IF(T75="No",0,IF(T15="Storage",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
SUMIFS('Background (from TC)'!$G$4:$G$1048576,'Background (from TC)'!$D$4:$D$1048576,T$15,'Background (from TC)'!$E$4:$E$1048576,T$16,'Background (from TC)'!$O$4:$O$1048576,T$17)))*T29)</f>
        <v/>
      </c>
      <c r="U76" s="35" t="str">
        <f>IF(U$15="","",IF(U75="No",0,IF(U15="Storage",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
SUMIFS('Background (from TC)'!$G$4:$G$1048576,'Background (from TC)'!$D$4:$D$1048576,U$15,'Background (from TC)'!$E$4:$E$1048576,U$16,'Background (from TC)'!$O$4:$O$1048576,U$17)))*U29)</f>
        <v/>
      </c>
      <c r="V76" s="35" t="str">
        <f>IF(V$15="","",IF(V75="No",0,IF(V15="Storage",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
SUMIFS('Background (from TC)'!$G$4:$G$1048576,'Background (from TC)'!$D$4:$D$1048576,V$15,'Background (from TC)'!$E$4:$E$1048576,V$16,'Background (from TC)'!$O$4:$O$1048576,V$17)))*V29)</f>
        <v/>
      </c>
      <c r="W76" s="35" t="str">
        <f>IF(W$15="","",IF(W75="No",0,IF(W15="Storage",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
SUMIFS('Background (from TC)'!$G$4:$G$1048576,'Background (from TC)'!$D$4:$D$1048576,W$15,'Background (from TC)'!$E$4:$E$1048576,W$16,'Background (from TC)'!$O$4:$O$1048576,W$17)))*W29)</f>
        <v/>
      </c>
      <c r="X76" s="35" t="str">
        <f>IF(X$15="","",IF(X75="No",0,IF(X15="Storage",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
SUMIFS('Background (from TC)'!$G$4:$G$1048576,'Background (from TC)'!$D$4:$D$1048576,X$15,'Background (from TC)'!$E$4:$E$1048576,X$16,'Background (from TC)'!$O$4:$O$1048576,X$17)))*X29)</f>
        <v/>
      </c>
      <c r="Y76" s="35" t="str">
        <f>IF(Y$15="","",IF(Y75="No",0,IF(Y15="Storage",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
SUMIFS('Background (from TC)'!$G$4:$G$1048576,'Background (from TC)'!$D$4:$D$1048576,Y$15,'Background (from TC)'!$E$4:$E$1048576,Y$16,'Background (from TC)'!$O$4:$O$1048576,Y$17)))*Y29)</f>
        <v/>
      </c>
      <c r="Z76" s="35" t="str">
        <f>IF(Z$15="","",IF(Z75="No",0,IF(Z15="Storage",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
SUMIFS('Background (from TC)'!$G$4:$G$1048576,'Background (from TC)'!$D$4:$D$1048576,Z$15,'Background (from TC)'!$E$4:$E$1048576,Z$16,'Background (from TC)'!$O$4:$O$1048576,Z$17)))*Z29)</f>
        <v/>
      </c>
    </row>
    <row r="77" spans="1:27">
      <c r="B77" s="278" t="s">
        <v>93</v>
      </c>
      <c r="C77" s="35">
        <f>IF(C$15="","",SUMIFS('Background (from TC)'!$H$4:$H$1048576,'Background (from TC)'!$D$4:$D$1048576,C$15,'Background (from TC)'!$E$4:$E$1048576,C$16,'Background (from TC)'!$O$4:$O$1048576,C$17)*C29)</f>
        <v>44.1</v>
      </c>
      <c r="D77" s="35">
        <f>IF(D$15="","",SUMIFS('Background (from TC)'!$H$4:$H$1048576,'Background (from TC)'!$D$4:$D$1048576,D$15,'Background (from TC)'!$E$4:$E$1048576,D$16,'Background (from TC)'!$O$4:$O$1048576,D$17)*D29)</f>
        <v>64.3</v>
      </c>
      <c r="E77" s="35">
        <f>IF(E$15="","",SUMIFS('Background (from TC)'!$H$4:$H$1048576,'Background (from TC)'!$D$4:$D$1048576,E$15,'Background (from TC)'!$E$4:$E$1048576,E$16,'Background (from TC)'!$O$4:$O$1048576,E$17)*E29)</f>
        <v>25.2</v>
      </c>
      <c r="F77" s="35">
        <f>IF(F$15="","",SUMIFS('Background (from TC)'!$H$4:$H$1048576,'Background (from TC)'!$D$4:$D$1048576,F$15,'Background (from TC)'!$E$4:$E$1048576,F$16,'Background (from TC)'!$O$4:$O$1048576,F$17)*F29)</f>
        <v>8.8469999999999995</v>
      </c>
      <c r="G77" s="35">
        <f>IF(G$15="","",SUMIFS('Background (from TC)'!$H$4:$H$1048576,'Background (from TC)'!$D$4:$D$1048576,G$15,'Background (from TC)'!$E$4:$E$1048576,G$16,'Background (from TC)'!$O$4:$O$1048576,G$17)*G29)</f>
        <v>113</v>
      </c>
      <c r="H77" s="35">
        <f>IF(H$15="","",SUMIFS('Background (from TC)'!$H$4:$H$1048576,'Background (from TC)'!$D$4:$D$1048576,H$15,'Background (from TC)'!$E$4:$E$1048576,H$16,'Background (from TC)'!$O$4:$O$1048576,H$17)*H29)</f>
        <v>102</v>
      </c>
      <c r="I77" s="35">
        <f>IF(I$15="","",SUMIFS('Background (from TC)'!$H$4:$H$1048576,'Background (from TC)'!$D$4:$D$1048576,I$15,'Background (from TC)'!$E$4:$E$1048576,I$16,'Background (from TC)'!$O$4:$O$1048576,I$17)*I29)</f>
        <v>43.2</v>
      </c>
      <c r="J77" s="35">
        <f>IF(J$15="","",SUMIFS('Background (from TC)'!$H$4:$H$1048576,'Background (from TC)'!$D$4:$D$1048576,J$15,'Background (from TC)'!$E$4:$E$1048576,J$16,'Background (from TC)'!$O$4:$O$1048576,J$17)*J29)</f>
        <v>99</v>
      </c>
      <c r="K77" s="35">
        <f>IF(K$15="","",SUMIFS('Background (from TC)'!$H$4:$H$1048576,'Background (from TC)'!$D$4:$D$1048576,K$15,'Background (from TC)'!$E$4:$E$1048576,K$16,'Background (from TC)'!$O$4:$O$1048576,K$17)*K29)</f>
        <v>38</v>
      </c>
      <c r="L77" s="35">
        <f>IF(L$15="","",SUMIFS('Background (from TC)'!$H$4:$H$1048576,'Background (from TC)'!$D$4:$D$1048576,L$15,'Background (from TC)'!$E$4:$E$1048576,L$16,'Background (from TC)'!$O$4:$O$1048576,L$17)*L29)</f>
        <v>6.1</v>
      </c>
      <c r="M77" s="35">
        <f>IF(M$15="","",SUMIFS('Background (from TC)'!$H$4:$H$1048576,'Background (from TC)'!$D$4:$D$1048576,M$15,'Background (from TC)'!$E$4:$E$1048576,M$16,'Background (from TC)'!$O$4:$O$1048576,M$17)*M29)</f>
        <v>6.1</v>
      </c>
      <c r="N77" s="35">
        <f>IF(N$15="","",SUMIFS('Background (from TC)'!$H$4:$H$1048576,'Background (from TC)'!$D$4:$D$1048576,N$15,'Background (from TC)'!$E$4:$E$1048576,N$16,'Background (from TC)'!$O$4:$O$1048576,N$17)*N29)</f>
        <v>30</v>
      </c>
      <c r="O77" s="35">
        <f>IF(O$15="","",SUMIFS('Background (from TC)'!$H$4:$H$1048576,'Background (from TC)'!$D$4:$D$1048576,O$15,'Background (from TC)'!$E$4:$E$1048576,O$16,'Background (from TC)'!$O$4:$O$1048576,O$17)*O29)</f>
        <v>81.289927589380909</v>
      </c>
      <c r="P77" s="35">
        <f>IF(P$15="","",SUMIFS('Background (from TC)'!$H$4:$H$1048576,'Background (from TC)'!$D$4:$D$1048576,P$15,'Background (from TC)'!$E$4:$E$1048576,P$16,'Background (from TC)'!$O$4:$O$1048576,P$17)*P29)</f>
        <v>65</v>
      </c>
      <c r="Q77" s="35" t="str">
        <f>IF(Q$15="","",SUMIFS('Background (from TC)'!$H$4:$H$1048576,'Background (from TC)'!$D$4:$D$1048576,Q$15,'Background (from TC)'!$E$4:$E$1048576,Q$16,'Background (from TC)'!$O$4:$O$1048576,Q$17)*Q29)</f>
        <v/>
      </c>
      <c r="R77" s="35" t="str">
        <f>IF(R$15="","",SUMIFS('Background (from TC)'!$H$4:$H$1048576,'Background (from TC)'!$D$4:$D$1048576,R$15,'Background (from TC)'!$E$4:$E$1048576,R$16,'Background (from TC)'!$O$4:$O$1048576,R$17)*R29)</f>
        <v/>
      </c>
      <c r="S77" s="35" t="str">
        <f>IF(S$15="","",SUMIFS('Background (from TC)'!$H$4:$H$1048576,'Background (from TC)'!$D$4:$D$1048576,S$15,'Background (from TC)'!$E$4:$E$1048576,S$16,'Background (from TC)'!$O$4:$O$1048576,S$17)*S29)</f>
        <v/>
      </c>
      <c r="T77" s="35" t="str">
        <f>IF(T$15="","",SUMIFS('Background (from TC)'!$H$4:$H$1048576,'Background (from TC)'!$D$4:$D$1048576,T$15,'Background (from TC)'!$E$4:$E$1048576,T$16,'Background (from TC)'!$O$4:$O$1048576,T$17)*T29)</f>
        <v/>
      </c>
      <c r="U77" s="35" t="str">
        <f>IF(U$15="","",SUMIFS('Background (from TC)'!$H$4:$H$1048576,'Background (from TC)'!$D$4:$D$1048576,U$15,'Background (from TC)'!$E$4:$E$1048576,U$16,'Background (from TC)'!$O$4:$O$1048576,U$17)*U29)</f>
        <v/>
      </c>
      <c r="V77" s="35" t="str">
        <f>IF(V$15="","",SUMIFS('Background (from TC)'!$H$4:$H$1048576,'Background (from TC)'!$D$4:$D$1048576,V$15,'Background (from TC)'!$E$4:$E$1048576,V$16,'Background (from TC)'!$O$4:$O$1048576,V$17)*V29)</f>
        <v/>
      </c>
      <c r="W77" s="35" t="str">
        <f>IF(W$15="","",SUMIFS('Background (from TC)'!$H$4:$H$1048576,'Background (from TC)'!$D$4:$D$1048576,W$15,'Background (from TC)'!$E$4:$E$1048576,W$16,'Background (from TC)'!$O$4:$O$1048576,W$17)*W29)</f>
        <v/>
      </c>
      <c r="X77" s="35" t="str">
        <f>IF(X$15="","",SUMIFS('Background (from TC)'!$H$4:$H$1048576,'Background (from TC)'!$D$4:$D$1048576,X$15,'Background (from TC)'!$E$4:$E$1048576,X$16,'Background (from TC)'!$O$4:$O$1048576,X$17)*X29)</f>
        <v/>
      </c>
      <c r="Y77" s="35" t="str">
        <f>IF(Y$15="","",SUMIFS('Background (from TC)'!$H$4:$H$1048576,'Background (from TC)'!$D$4:$D$1048576,Y$15,'Background (from TC)'!$E$4:$E$1048576,Y$16,'Background (from TC)'!$O$4:$O$1048576,Y$17)*Y29)</f>
        <v/>
      </c>
      <c r="Z77" s="35" t="str">
        <f>IF(Z$15="","",SUMIFS('Background (from TC)'!$H$4:$H$1048576,'Background (from TC)'!$D$4:$D$1048576,Z$15,'Background (from TC)'!$E$4:$E$1048576,Z$16,'Background (from TC)'!$O$4:$O$1048576,Z$17)*Z29)</f>
        <v/>
      </c>
    </row>
    <row r="78" spans="1:27">
      <c r="B78" s="278" t="s">
        <v>94</v>
      </c>
      <c r="C78" s="1074">
        <f>IF(C$15="","",SUMIFS('Background (from TC)'!$I$4:$I$1048576,'Background (from TC)'!$D$4:$D$1048576,C$15,'Background (from TC)'!$E$4:$E$1048576,C$16,'Background (from TC)'!$O$4:$O$1048576,C$17)*C29)</f>
        <v>1.3</v>
      </c>
      <c r="D78" s="1074">
        <f>IF(D$15="","",SUMIFS('Background (from TC)'!$I$4:$I$1048576,'Background (from TC)'!$D$4:$D$1048576,D$15,'Background (from TC)'!$E$4:$E$1048576,D$16,'Background (from TC)'!$O$4:$O$1048576,D$17)*D29)</f>
        <v>12.9</v>
      </c>
      <c r="E78" s="1074">
        <f>IF(E$15="","",SUMIFS('Background (from TC)'!$I$4:$I$1048576,'Background (from TC)'!$D$4:$D$1048576,E$15,'Background (from TC)'!$E$4:$E$1048576,E$16,'Background (from TC)'!$O$4:$O$1048576,E$17)*E29)</f>
        <v>2.4</v>
      </c>
      <c r="F78" s="1074">
        <f>IF(F$15="","",SUMIFS('Background (from TC)'!$I$4:$I$1048576,'Background (from TC)'!$D$4:$D$1048576,F$15,'Background (from TC)'!$E$4:$E$1048576,F$16,'Background (from TC)'!$O$4:$O$1048576,F$17)*F29)</f>
        <v>6.6120000000000001</v>
      </c>
      <c r="G78" s="1074">
        <f>IF(G$15="","",SUMIFS('Background (from TC)'!$I$4:$I$1048576,'Background (from TC)'!$D$4:$D$1048576,G$15,'Background (from TC)'!$E$4:$E$1048576,G$16,'Background (from TC)'!$O$4:$O$1048576,G$17)*G29)</f>
        <v>2.2000000000000002</v>
      </c>
      <c r="H78" s="1074">
        <f>IF(H$15="","",SUMIFS('Background (from TC)'!$I$4:$I$1048576,'Background (from TC)'!$D$4:$D$1048576,H$15,'Background (from TC)'!$E$4:$E$1048576,H$16,'Background (from TC)'!$O$4:$O$1048576,H$17)*H29)</f>
        <v>2.1</v>
      </c>
      <c r="I78" s="1074">
        <f>IF(I$15="","",SUMIFS('Background (from TC)'!$I$4:$I$1048576,'Background (from TC)'!$D$4:$D$1048576,I$15,'Background (from TC)'!$E$4:$E$1048576,I$16,'Background (from TC)'!$O$4:$O$1048576,I$17)*I29)</f>
        <v>2.72</v>
      </c>
      <c r="J78" s="1074">
        <f>IF(J$15="","",SUMIFS('Background (from TC)'!$I$4:$I$1048576,'Background (from TC)'!$D$4:$D$1048576,J$15,'Background (from TC)'!$E$4:$E$1048576,J$16,'Background (from TC)'!$O$4:$O$1048576,J$17)*J29)</f>
        <v>0.24</v>
      </c>
      <c r="K78" s="1074">
        <f>IF(K$15="","",SUMIFS('Background (from TC)'!$I$4:$I$1048576,'Background (from TC)'!$D$4:$D$1048576,K$15,'Background (from TC)'!$E$4:$E$1048576,K$16,'Background (from TC)'!$O$4:$O$1048576,K$17)*K29)</f>
        <v>0.66</v>
      </c>
      <c r="L78" s="1074">
        <f>IF(L$15="","",SUMIFS('Background (from TC)'!$I$4:$I$1048576,'Background (from TC)'!$D$4:$D$1048576,L$15,'Background (from TC)'!$E$4:$E$1048576,L$16,'Background (from TC)'!$O$4:$O$1048576,L$17)*L29)</f>
        <v>0</v>
      </c>
      <c r="M78" s="1074">
        <f>IF(M$15="","",SUMIFS('Background (from TC)'!$I$4:$I$1048576,'Background (from TC)'!$D$4:$D$1048576,M$15,'Background (from TC)'!$E$4:$E$1048576,M$16,'Background (from TC)'!$O$4:$O$1048576,M$17)*M29)</f>
        <v>0</v>
      </c>
      <c r="N78" s="1074">
        <f>IF(N$15="","",SUMIFS('Background (from TC)'!$I$4:$I$1048576,'Background (from TC)'!$D$4:$D$1048576,N$15,'Background (from TC)'!$E$4:$E$1048576,N$16,'Background (from TC)'!$O$4:$O$1048576,N$17)*N29)</f>
        <v>0</v>
      </c>
      <c r="O78" s="1074">
        <f>IF(O$15="","",SUMIFS('Background (from TC)'!$I$4:$I$1048576,'Background (from TC)'!$D$4:$D$1048576,O$15,'Background (from TC)'!$E$4:$E$1048576,O$16,'Background (from TC)'!$O$4:$O$1048576,O$17)*O29)</f>
        <v>3.9</v>
      </c>
      <c r="P78" s="1074">
        <f>IF(P$15="","",SUMIFS('Background (from TC)'!$I$4:$I$1048576,'Background (from TC)'!$D$4:$D$1048576,P$15,'Background (from TC)'!$E$4:$E$1048576,P$16,'Background (from TC)'!$O$4:$O$1048576,P$17)*P29)</f>
        <v>0</v>
      </c>
      <c r="Q78" s="1074" t="str">
        <f>IF(Q$15="","",SUMIFS('Background (from TC)'!$I$4:$I$1048576,'Background (from TC)'!$D$4:$D$1048576,Q$15,'Background (from TC)'!$E$4:$E$1048576,Q$16,'Background (from TC)'!$O$4:$O$1048576,Q$17)*Q29)</f>
        <v/>
      </c>
      <c r="R78" s="1074" t="str">
        <f>IF(R$15="","",SUMIFS('Background (from TC)'!$I$4:$I$1048576,'Background (from TC)'!$D$4:$D$1048576,R$15,'Background (from TC)'!$E$4:$E$1048576,R$16,'Background (from TC)'!$O$4:$O$1048576,R$17)*R29)</f>
        <v/>
      </c>
      <c r="S78" s="1074" t="str">
        <f>IF(S$15="","",SUMIFS('Background (from TC)'!$I$4:$I$1048576,'Background (from TC)'!$D$4:$D$1048576,S$15,'Background (from TC)'!$E$4:$E$1048576,S$16,'Background (from TC)'!$O$4:$O$1048576,S$17)*S29)</f>
        <v/>
      </c>
      <c r="T78" s="1074" t="str">
        <f>IF(T$15="","",SUMIFS('Background (from TC)'!$I$4:$I$1048576,'Background (from TC)'!$D$4:$D$1048576,T$15,'Background (from TC)'!$E$4:$E$1048576,T$16,'Background (from TC)'!$O$4:$O$1048576,T$17)*T29)</f>
        <v/>
      </c>
      <c r="U78" s="1074" t="str">
        <f>IF(U$15="","",SUMIFS('Background (from TC)'!$I$4:$I$1048576,'Background (from TC)'!$D$4:$D$1048576,U$15,'Background (from TC)'!$E$4:$E$1048576,U$16,'Background (from TC)'!$O$4:$O$1048576,U$17)*U29)</f>
        <v/>
      </c>
      <c r="V78" s="1074" t="str">
        <f>IF(V$15="","",SUMIFS('Background (from TC)'!$I$4:$I$1048576,'Background (from TC)'!$D$4:$D$1048576,V$15,'Background (from TC)'!$E$4:$E$1048576,V$16,'Background (from TC)'!$O$4:$O$1048576,V$17)*V29)</f>
        <v/>
      </c>
      <c r="W78" s="1074" t="str">
        <f>IF(W$15="","",SUMIFS('Background (from TC)'!$I$4:$I$1048576,'Background (from TC)'!$D$4:$D$1048576,W$15,'Background (from TC)'!$E$4:$E$1048576,W$16,'Background (from TC)'!$O$4:$O$1048576,W$17)*W29)</f>
        <v/>
      </c>
      <c r="X78" s="1074" t="str">
        <f>IF(X$15="","",SUMIFS('Background (from TC)'!$I$4:$I$1048576,'Background (from TC)'!$D$4:$D$1048576,X$15,'Background (from TC)'!$E$4:$E$1048576,X$16,'Background (from TC)'!$O$4:$O$1048576,X$17)*X29)</f>
        <v/>
      </c>
      <c r="Y78" s="1074" t="str">
        <f>IF(Y$15="","",SUMIFS('Background (from TC)'!$I$4:$I$1048576,'Background (from TC)'!$D$4:$D$1048576,Y$15,'Background (from TC)'!$E$4:$E$1048576,Y$16,'Background (from TC)'!$O$4:$O$1048576,Y$17)*Y29)</f>
        <v/>
      </c>
      <c r="Z78" s="1074" t="str">
        <f>IF(Z$15="","",SUMIFS('Background (from TC)'!$I$4:$I$1048576,'Background (from TC)'!$D$4:$D$1048576,Z$15,'Background (from TC)'!$E$4:$E$1048576,Z$16,'Background (from TC)'!$O$4:$O$1048576,Z$17)*Z29)</f>
        <v/>
      </c>
    </row>
    <row r="79" spans="1:27">
      <c r="B79" s="278" t="s">
        <v>78</v>
      </c>
      <c r="C79" s="35">
        <f t="shared" ref="C79:Z79" si="12">IF(C$15="","",IF(C60="",0,C60))</f>
        <v>34.317948717948724</v>
      </c>
      <c r="D79" s="35">
        <f t="shared" si="12"/>
        <v>31.125581395348842</v>
      </c>
      <c r="E79" s="35">
        <f t="shared" si="12"/>
        <v>65.343000000000004</v>
      </c>
      <c r="F79" s="35">
        <f t="shared" si="12"/>
        <v>116.34213625129892</v>
      </c>
      <c r="G79" s="35">
        <f t="shared" si="12"/>
        <v>9.7500078000000077</v>
      </c>
      <c r="H79" s="35">
        <f t="shared" si="12"/>
        <v>13.000010400000011</v>
      </c>
      <c r="I79" s="35">
        <f t="shared" si="12"/>
        <v>54.193548387096776</v>
      </c>
      <c r="J79" s="35">
        <f t="shared" si="12"/>
        <v>0</v>
      </c>
      <c r="K79" s="35">
        <f t="shared" si="12"/>
        <v>0</v>
      </c>
      <c r="L79" s="35">
        <f t="shared" si="12"/>
        <v>0</v>
      </c>
      <c r="M79" s="35">
        <f t="shared" si="12"/>
        <v>0</v>
      </c>
      <c r="N79" s="35">
        <f t="shared" si="12"/>
        <v>0</v>
      </c>
      <c r="O79" s="35">
        <f t="shared" si="12"/>
        <v>0</v>
      </c>
      <c r="P79" s="35">
        <f t="shared" si="12"/>
        <v>0</v>
      </c>
      <c r="Q79" s="35" t="str">
        <f t="shared" si="12"/>
        <v/>
      </c>
      <c r="R79" s="35" t="str">
        <f t="shared" si="12"/>
        <v/>
      </c>
      <c r="S79" s="35" t="str">
        <f t="shared" si="12"/>
        <v/>
      </c>
      <c r="T79" s="35" t="str">
        <f t="shared" si="12"/>
        <v/>
      </c>
      <c r="U79" s="35" t="str">
        <f t="shared" si="12"/>
        <v/>
      </c>
      <c r="V79" s="35" t="str">
        <f t="shared" si="12"/>
        <v/>
      </c>
      <c r="W79" s="35" t="str">
        <f t="shared" si="12"/>
        <v/>
      </c>
      <c r="X79" s="35" t="str">
        <f t="shared" si="12"/>
        <v/>
      </c>
      <c r="Y79" s="35" t="str">
        <f t="shared" si="12"/>
        <v/>
      </c>
      <c r="Z79" s="35" t="str">
        <f t="shared" si="12"/>
        <v/>
      </c>
    </row>
    <row r="80" spans="1:27">
      <c r="B80" s="278" t="s">
        <v>95</v>
      </c>
      <c r="C80" s="35">
        <f>IF(C$15="","",SUMIFS('Background (from TC)'!$J$4:$J$1048576,'Background (from TC)'!$D$4:$D$1048576,C$15,'Background (from TC)'!$E$4:$E$1048576,C$16,'Background (from TC)'!$O$4:$O$1048576,C$17)*C29*C64)</f>
        <v>0</v>
      </c>
      <c r="D80" s="35">
        <f>IF(D$15="","",SUMIFS('Background (from TC)'!$J$4:$J$1048576,'Background (from TC)'!$D$4:$D$1048576,D$15,'Background (from TC)'!$E$4:$E$1048576,D$16,'Background (from TC)'!$O$4:$O$1048576,D$17)*D29*D64)</f>
        <v>0</v>
      </c>
      <c r="E80" s="35">
        <f>IF(E$15="","",SUMIFS('Background (from TC)'!$J$4:$J$1048576,'Background (from TC)'!$D$4:$D$1048576,E$15,'Background (from TC)'!$E$4:$E$1048576,E$16,'Background (from TC)'!$O$4:$O$1048576,E$17)*E29*E64)</f>
        <v>0</v>
      </c>
      <c r="F80" s="35">
        <f>IF(F$15="","",SUMIFS('Background (from TC)'!$J$4:$J$1048576,'Background (from TC)'!$D$4:$D$1048576,F$15,'Background (from TC)'!$E$4:$E$1048576,F$16,'Background (from TC)'!$O$4:$O$1048576,F$17)*F29*F64)</f>
        <v>0</v>
      </c>
      <c r="G80" s="35">
        <f>IF(G$15="","",SUMIFS('Background (from TC)'!$J$4:$J$1048576,'Background (from TC)'!$D$4:$D$1048576,G$15,'Background (from TC)'!$E$4:$E$1048576,G$16,'Background (from TC)'!$O$4:$O$1048576,G$17)*G29*G64)</f>
        <v>0</v>
      </c>
      <c r="H80" s="35">
        <f>IF(H$15="","",SUMIFS('Background (from TC)'!$J$4:$J$1048576,'Background (from TC)'!$D$4:$D$1048576,H$15,'Background (from TC)'!$E$4:$E$1048576,H$16,'Background (from TC)'!$O$4:$O$1048576,H$17)*H29*H64)</f>
        <v>0</v>
      </c>
      <c r="I80" s="35">
        <f>IF(I$15="","",SUMIFS('Background (from TC)'!$J$4:$J$1048576,'Background (from TC)'!$D$4:$D$1048576,I$15,'Background (from TC)'!$E$4:$E$1048576,I$16,'Background (from TC)'!$O$4:$O$1048576,I$17)*I29*I64)</f>
        <v>0</v>
      </c>
      <c r="J80" s="35">
        <f>IF(J$15="","",SUMIFS('Background (from TC)'!$J$4:$J$1048576,'Background (from TC)'!$D$4:$D$1048576,J$15,'Background (from TC)'!$E$4:$E$1048576,J$16,'Background (from TC)'!$O$4:$O$1048576,J$17)*J29*J64)</f>
        <v>0</v>
      </c>
      <c r="K80" s="35">
        <f>IF(K$15="","",SUMIFS('Background (from TC)'!$J$4:$J$1048576,'Background (from TC)'!$D$4:$D$1048576,K$15,'Background (from TC)'!$E$4:$E$1048576,K$16,'Background (from TC)'!$O$4:$O$1048576,K$17)*K29*K64)</f>
        <v>0</v>
      </c>
      <c r="L80" s="35">
        <f>IF(L$15="","",SUMIFS('Background (from TC)'!$J$4:$J$1048576,'Background (from TC)'!$D$4:$D$1048576,L$15,'Background (from TC)'!$E$4:$E$1048576,L$16,'Background (from TC)'!$O$4:$O$1048576,L$17)*L29*L64)</f>
        <v>0</v>
      </c>
      <c r="M80" s="35">
        <f>IF(M$15="","",SUMIFS('Background (from TC)'!$J$4:$J$1048576,'Background (from TC)'!$D$4:$D$1048576,M$15,'Background (from TC)'!$E$4:$E$1048576,M$16,'Background (from TC)'!$O$4:$O$1048576,M$17)*M29*M64)</f>
        <v>0</v>
      </c>
      <c r="N80" s="35">
        <f>IF(N$15="","",SUMIFS('Background (from TC)'!$J$4:$J$1048576,'Background (from TC)'!$D$4:$D$1048576,N$15,'Background (from TC)'!$E$4:$E$1048576,N$16,'Background (from TC)'!$O$4:$O$1048576,N$17)*N29*N64)</f>
        <v>0</v>
      </c>
      <c r="O80" s="35">
        <f>IF(O$15="","",SUMIFS('Background (from TC)'!$J$4:$J$1048576,'Background (from TC)'!$D$4:$D$1048576,O$15,'Background (from TC)'!$E$4:$E$1048576,O$16,'Background (from TC)'!$O$4:$O$1048576,O$17)*O29*O64)</f>
        <v>0</v>
      </c>
      <c r="P80" s="35">
        <f>IF(P$15="","",SUMIFS('Background (from TC)'!$J$4:$J$1048576,'Background (from TC)'!$D$4:$D$1048576,P$15,'Background (from TC)'!$E$4:$E$1048576,P$16,'Background (from TC)'!$O$4:$O$1048576,P$17)*P29*P64)</f>
        <v>0</v>
      </c>
      <c r="Q80" s="35" t="str">
        <f>IF(Q$15="","",SUMIFS('Background (from TC)'!$J$4:$J$1048576,'Background (from TC)'!$D$4:$D$1048576,Q$15,'Background (from TC)'!$E$4:$E$1048576,Q$16,'Background (from TC)'!$O$4:$O$1048576,Q$17)*Q29*Q64)</f>
        <v/>
      </c>
      <c r="R80" s="35" t="str">
        <f>IF(R$15="","",SUMIFS('Background (from TC)'!$J$4:$J$1048576,'Background (from TC)'!$D$4:$D$1048576,R$15,'Background (from TC)'!$E$4:$E$1048576,R$16,'Background (from TC)'!$O$4:$O$1048576,R$17)*R29*R64)</f>
        <v/>
      </c>
      <c r="S80" s="35" t="str">
        <f>IF(S$15="","",SUMIFS('Background (from TC)'!$J$4:$J$1048576,'Background (from TC)'!$D$4:$D$1048576,S$15,'Background (from TC)'!$E$4:$E$1048576,S$16,'Background (from TC)'!$O$4:$O$1048576,S$17)*S29*S64)</f>
        <v/>
      </c>
      <c r="T80" s="35" t="str">
        <f>IF(T$15="","",SUMIFS('Background (from TC)'!$J$4:$J$1048576,'Background (from TC)'!$D$4:$D$1048576,T$15,'Background (from TC)'!$E$4:$E$1048576,T$16,'Background (from TC)'!$O$4:$O$1048576,T$17)*T29*T64)</f>
        <v/>
      </c>
      <c r="U80" s="35" t="str">
        <f>IF(U$15="","",SUMIFS('Background (from TC)'!$J$4:$J$1048576,'Background (from TC)'!$D$4:$D$1048576,U$15,'Background (from TC)'!$E$4:$E$1048576,U$16,'Background (from TC)'!$O$4:$O$1048576,U$17)*U29*U64)</f>
        <v/>
      </c>
      <c r="V80" s="35" t="str">
        <f>IF(V$15="","",SUMIFS('Background (from TC)'!$J$4:$J$1048576,'Background (from TC)'!$D$4:$D$1048576,V$15,'Background (from TC)'!$E$4:$E$1048576,V$16,'Background (from TC)'!$O$4:$O$1048576,V$17)*V29*V64)</f>
        <v/>
      </c>
      <c r="W80" s="35" t="str">
        <f>IF(W$15="","",SUMIFS('Background (from TC)'!$J$4:$J$1048576,'Background (from TC)'!$D$4:$D$1048576,W$15,'Background (from TC)'!$E$4:$E$1048576,W$16,'Background (from TC)'!$O$4:$O$1048576,W$17)*W29*W64)</f>
        <v/>
      </c>
      <c r="X80" s="35" t="str">
        <f>IF(X$15="","",SUMIFS('Background (from TC)'!$J$4:$J$1048576,'Background (from TC)'!$D$4:$D$1048576,X$15,'Background (from TC)'!$E$4:$E$1048576,X$16,'Background (from TC)'!$O$4:$O$1048576,X$17)*X29*X64)</f>
        <v/>
      </c>
      <c r="Y80" s="35" t="str">
        <f>IF(Y$15="","",SUMIFS('Background (from TC)'!$J$4:$J$1048576,'Background (from TC)'!$D$4:$D$1048576,Y$15,'Background (from TC)'!$E$4:$E$1048576,Y$16,'Background (from TC)'!$O$4:$O$1048576,Y$17)*Y29*Y64)</f>
        <v/>
      </c>
      <c r="Z80" s="35" t="str">
        <f>IF(Z$15="","",SUMIFS('Background (from TC)'!$J$4:$J$1048576,'Background (from TC)'!$D$4:$D$1048576,Z$15,'Background (from TC)'!$E$4:$E$1048576,Z$16,'Background (from TC)'!$O$4:$O$1048576,Z$17)*Z29*Z64)</f>
        <v/>
      </c>
    </row>
    <row r="81" spans="2:26">
      <c r="B81" s="278" t="s">
        <v>96</v>
      </c>
      <c r="C81" s="35">
        <f>IF(C$15="","",SUMIFS('Background (from TC)'!$N$4:$N$1048576,'Background (from TC)'!$D$4:$D$1048576,C$15,'Background (from TC)'!$E$4:$E$1048576,C$16,'Background (from TC)'!$O$4:$O$1048576,C$17))</f>
        <v>0</v>
      </c>
      <c r="D81" s="35">
        <f>IF(D$15="","",SUMIFS('Background (from TC)'!$N$4:$N$1048576,'Background (from TC)'!$D$4:$D$1048576,D$15,'Background (from TC)'!$E$4:$E$1048576,D$16,'Background (from TC)'!$O$4:$O$1048576,D$17))</f>
        <v>0</v>
      </c>
      <c r="E81" s="35">
        <f>IF(E$15="","",SUMIFS('Background (from TC)'!$N$4:$N$1048576,'Background (from TC)'!$D$4:$D$1048576,E$15,'Background (from TC)'!$E$4:$E$1048576,E$16,'Background (from TC)'!$O$4:$O$1048576,E$17))</f>
        <v>0</v>
      </c>
      <c r="F81" s="35">
        <f>IF(F$15="","",SUMIFS('Background (from TC)'!$N$4:$N$1048576,'Background (from TC)'!$D$4:$D$1048576,F$15,'Background (from TC)'!$E$4:$E$1048576,F$16,'Background (from TC)'!$O$4:$O$1048576,F$17))</f>
        <v>0</v>
      </c>
      <c r="G81" s="35">
        <f>IF(G$15="","",SUMIFS('Background (from TC)'!$N$4:$N$1048576,'Background (from TC)'!$D$4:$D$1048576,G$15,'Background (from TC)'!$E$4:$E$1048576,G$16,'Background (from TC)'!$O$4:$O$1048576,G$17))</f>
        <v>0</v>
      </c>
      <c r="H81" s="35">
        <f>IF(H$15="","",SUMIFS('Background (from TC)'!$N$4:$N$1048576,'Background (from TC)'!$D$4:$D$1048576,H$15,'Background (from TC)'!$E$4:$E$1048576,H$16,'Background (from TC)'!$O$4:$O$1048576,H$17))</f>
        <v>0</v>
      </c>
      <c r="I81" s="35">
        <f>IF(I$15="","",SUMIFS('Background (from TC)'!$N$4:$N$1048576,'Background (from TC)'!$D$4:$D$1048576,I$15,'Background (from TC)'!$E$4:$E$1048576,I$16,'Background (from TC)'!$O$4:$O$1048576,I$17))</f>
        <v>0</v>
      </c>
      <c r="J81" s="35">
        <f>IF(J$15="","",SUMIFS('Background (from TC)'!$N$4:$N$1048576,'Background (from TC)'!$D$4:$D$1048576,J$15,'Background (from TC)'!$E$4:$E$1048576,J$16,'Background (from TC)'!$O$4:$O$1048576,J$17))</f>
        <v>0.3</v>
      </c>
      <c r="K81" s="35">
        <f>IF(K$15="","",SUMIFS('Background (from TC)'!$N$4:$N$1048576,'Background (from TC)'!$D$4:$D$1048576,K$15,'Background (from TC)'!$E$4:$E$1048576,K$16,'Background (from TC)'!$O$4:$O$1048576,K$17))</f>
        <v>0</v>
      </c>
      <c r="L81" s="35">
        <f>IF(L$15="","",SUMIFS('Background (from TC)'!$N$4:$N$1048576,'Background (from TC)'!$D$4:$D$1048576,L$15,'Background (from TC)'!$E$4:$E$1048576,L$16,'Background (from TC)'!$O$4:$O$1048576,L$17))</f>
        <v>0</v>
      </c>
      <c r="M81" s="35">
        <f>IF(M$15="","",SUMIFS('Background (from TC)'!$N$4:$N$1048576,'Background (from TC)'!$D$4:$D$1048576,M$15,'Background (from TC)'!$E$4:$E$1048576,M$16,'Background (from TC)'!$O$4:$O$1048576,M$17))</f>
        <v>0</v>
      </c>
      <c r="N81" s="35">
        <f>IF(N$15="","",SUMIFS('Background (from TC)'!$N$4:$N$1048576,'Background (from TC)'!$D$4:$D$1048576,N$15,'Background (from TC)'!$E$4:$E$1048576,N$16,'Background (from TC)'!$O$4:$O$1048576,N$17))</f>
        <v>0</v>
      </c>
      <c r="O81" s="35">
        <f>IF(O$15="","",SUMIFS('Background (from TC)'!$N$4:$N$1048576,'Background (from TC)'!$D$4:$D$1048576,O$15,'Background (from TC)'!$E$4:$E$1048576,O$16,'Background (from TC)'!$O$4:$O$1048576,O$17))</f>
        <v>0</v>
      </c>
      <c r="P81" s="35">
        <f>IF(P$15="","",SUMIFS('Background (from TC)'!$N$4:$N$1048576,'Background (from TC)'!$D$4:$D$1048576,P$15,'Background (from TC)'!$E$4:$E$1048576,P$16,'Background (from TC)'!$O$4:$O$1048576,P$17))</f>
        <v>0</v>
      </c>
      <c r="Q81" s="35" t="str">
        <f>IF(Q$15="","",SUMIFS('Background (from TC)'!$N$4:$N$1048576,'Background (from TC)'!$D$4:$D$1048576,Q$15,'Background (from TC)'!$E$4:$E$1048576,Q$16,'Background (from TC)'!$O$4:$O$1048576,Q$17))</f>
        <v/>
      </c>
      <c r="R81" s="35" t="str">
        <f>IF(R$15="","",SUMIFS('Background (from TC)'!$N$4:$N$1048576,'Background (from TC)'!$D$4:$D$1048576,R$15,'Background (from TC)'!$E$4:$E$1048576,R$16,'Background (from TC)'!$O$4:$O$1048576,R$17))</f>
        <v/>
      </c>
      <c r="S81" s="35" t="str">
        <f>IF(S$15="","",SUMIFS('Background (from TC)'!$N$4:$N$1048576,'Background (from TC)'!$D$4:$D$1048576,S$15,'Background (from TC)'!$E$4:$E$1048576,S$16,'Background (from TC)'!$O$4:$O$1048576,S$17))</f>
        <v/>
      </c>
      <c r="T81" s="35" t="str">
        <f>IF(T$15="","",SUMIFS('Background (from TC)'!$N$4:$N$1048576,'Background (from TC)'!$D$4:$D$1048576,T$15,'Background (from TC)'!$E$4:$E$1048576,T$16,'Background (from TC)'!$O$4:$O$1048576,T$17))</f>
        <v/>
      </c>
      <c r="U81" s="35" t="str">
        <f>IF(U$15="","",SUMIFS('Background (from TC)'!$N$4:$N$1048576,'Background (from TC)'!$D$4:$D$1048576,U$15,'Background (from TC)'!$E$4:$E$1048576,U$16,'Background (from TC)'!$O$4:$O$1048576,U$17))</f>
        <v/>
      </c>
      <c r="V81" s="35" t="str">
        <f>IF(V$15="","",SUMIFS('Background (from TC)'!$N$4:$N$1048576,'Background (from TC)'!$D$4:$D$1048576,V$15,'Background (from TC)'!$E$4:$E$1048576,V$16,'Background (from TC)'!$O$4:$O$1048576,V$17))</f>
        <v/>
      </c>
      <c r="W81" s="35" t="str">
        <f>IF(W$15="","",SUMIFS('Background (from TC)'!$N$4:$N$1048576,'Background (from TC)'!$D$4:$D$1048576,W$15,'Background (from TC)'!$E$4:$E$1048576,W$16,'Background (from TC)'!$O$4:$O$1048576,W$17))</f>
        <v/>
      </c>
      <c r="X81" s="35" t="str">
        <f>IF(X$15="","",SUMIFS('Background (from TC)'!$N$4:$N$1048576,'Background (from TC)'!$D$4:$D$1048576,X$15,'Background (from TC)'!$E$4:$E$1048576,X$16,'Background (from TC)'!$O$4:$O$1048576,X$17))</f>
        <v/>
      </c>
      <c r="Y81" s="35" t="str">
        <f>IF(Y$15="","",SUMIFS('Background (from TC)'!$N$4:$N$1048576,'Background (from TC)'!$D$4:$D$1048576,Y$15,'Background (from TC)'!$E$4:$E$1048576,Y$16,'Background (from TC)'!$O$4:$O$1048576,Y$17))</f>
        <v/>
      </c>
      <c r="Z81" s="35" t="str">
        <f>IF(Z$15="","",SUMIFS('Background (from TC)'!$N$4:$N$1048576,'Background (from TC)'!$D$4:$D$1048576,Z$15,'Background (from TC)'!$E$4:$E$1048576,Z$16,'Background (from TC)'!$O$4:$O$1048576,Z$17))</f>
        <v/>
      </c>
    </row>
    <row r="82" spans="2:26">
      <c r="B82" s="278"/>
      <c r="C82" s="35"/>
      <c r="D82" s="35"/>
      <c r="E82" s="35"/>
      <c r="F82" s="43"/>
      <c r="G82" s="43"/>
      <c r="H82" s="43"/>
      <c r="I82" s="43"/>
      <c r="J82" s="43"/>
      <c r="K82" s="43"/>
      <c r="L82" s="43"/>
      <c r="M82" s="43"/>
      <c r="N82" s="43"/>
      <c r="O82" s="43"/>
      <c r="P82" s="43"/>
      <c r="Q82" s="43"/>
      <c r="R82" s="43"/>
      <c r="S82" s="43"/>
      <c r="T82" s="43"/>
      <c r="U82" s="43"/>
      <c r="V82" s="43"/>
      <c r="W82" s="43"/>
      <c r="X82" s="43"/>
      <c r="Y82" s="43"/>
      <c r="Z82" s="43"/>
    </row>
    <row r="83" spans="2:26">
      <c r="B83" s="278" t="s">
        <v>97</v>
      </c>
      <c r="C83" s="35"/>
      <c r="D83" s="35"/>
      <c r="E83" s="35"/>
      <c r="F83" s="43"/>
      <c r="G83" s="43"/>
      <c r="H83" s="43"/>
      <c r="I83" s="43"/>
      <c r="J83" s="43"/>
      <c r="K83" s="43"/>
      <c r="L83" s="43"/>
      <c r="M83" s="43"/>
      <c r="N83" s="43"/>
      <c r="O83" s="43"/>
      <c r="P83" s="43"/>
      <c r="Q83" s="43"/>
      <c r="R83" s="43"/>
      <c r="S83" s="43"/>
      <c r="T83" s="43"/>
      <c r="U83" s="43"/>
      <c r="V83" s="43"/>
      <c r="W83" s="43"/>
      <c r="X83" s="43"/>
      <c r="Y83" s="43"/>
      <c r="Z83" s="43"/>
    </row>
    <row r="84" spans="2:26">
      <c r="B84" s="278" t="s">
        <v>98</v>
      </c>
      <c r="C84" s="35">
        <f t="shared" ref="C84:Z84" si="13">IF(C15="","",C76*10^6*C25/IF(C15="Storage",C50,C34))</f>
        <v>22.731267482707267</v>
      </c>
      <c r="D84" s="35">
        <f t="shared" si="13"/>
        <v>35.157693706587239</v>
      </c>
      <c r="E84" s="35">
        <f t="shared" si="13"/>
        <v>20.940747161879163</v>
      </c>
      <c r="F84" s="35">
        <f t="shared" si="13"/>
        <v>19.592289958273309</v>
      </c>
      <c r="G84" s="35">
        <f t="shared" si="13"/>
        <v>97.462951819061118</v>
      </c>
      <c r="H84" s="35">
        <f t="shared" si="13"/>
        <v>105.18171007666795</v>
      </c>
      <c r="I84" s="35">
        <f t="shared" si="13"/>
        <v>40.189312734919604</v>
      </c>
      <c r="J84" s="35">
        <f t="shared" si="13"/>
        <v>59.942040964673275</v>
      </c>
      <c r="K84" s="35">
        <f t="shared" si="13"/>
        <v>44.203210399835008</v>
      </c>
      <c r="L84" s="35">
        <f t="shared" si="13"/>
        <v>26.326928567866059</v>
      </c>
      <c r="M84" s="35">
        <f t="shared" si="13"/>
        <v>25.010582139472756</v>
      </c>
      <c r="N84" s="35">
        <f t="shared" si="13"/>
        <v>32.708430621836058</v>
      </c>
      <c r="O84" s="35">
        <f t="shared" si="13"/>
        <v>84.766522576305618</v>
      </c>
      <c r="P84" s="35">
        <f t="shared" si="13"/>
        <v>95.20049705335316</v>
      </c>
      <c r="Q84" s="35" t="str">
        <f t="shared" si="13"/>
        <v/>
      </c>
      <c r="R84" s="35" t="str">
        <f t="shared" si="13"/>
        <v/>
      </c>
      <c r="S84" s="35" t="str">
        <f t="shared" si="13"/>
        <v/>
      </c>
      <c r="T84" s="35" t="str">
        <f t="shared" si="13"/>
        <v/>
      </c>
      <c r="U84" s="35" t="str">
        <f t="shared" si="13"/>
        <v/>
      </c>
      <c r="V84" s="35" t="str">
        <f t="shared" si="13"/>
        <v/>
      </c>
      <c r="W84" s="35" t="str">
        <f t="shared" si="13"/>
        <v/>
      </c>
      <c r="X84" s="35" t="str">
        <f t="shared" si="13"/>
        <v/>
      </c>
      <c r="Y84" s="35" t="str">
        <f t="shared" si="13"/>
        <v/>
      </c>
      <c r="Z84" s="35" t="str">
        <f t="shared" si="13"/>
        <v/>
      </c>
    </row>
    <row r="85" spans="2:26">
      <c r="B85" s="278" t="s">
        <v>99</v>
      </c>
      <c r="C85" s="35">
        <f t="shared" ref="C85:Z85" si="14">IF(C15="","",C77*10^3/IF(C15="Storage",C50,C34))</f>
        <v>6.3</v>
      </c>
      <c r="D85" s="35">
        <f t="shared" si="14"/>
        <v>9.1857142857142851</v>
      </c>
      <c r="E85" s="35">
        <f t="shared" si="14"/>
        <v>5.04</v>
      </c>
      <c r="F85" s="35">
        <f t="shared" si="14"/>
        <v>1.7694000000000001</v>
      </c>
      <c r="G85" s="35">
        <f t="shared" si="14"/>
        <v>16.142857142857142</v>
      </c>
      <c r="H85" s="35">
        <f t="shared" si="14"/>
        <v>14.571428571428571</v>
      </c>
      <c r="I85" s="35">
        <f t="shared" si="14"/>
        <v>8.64</v>
      </c>
      <c r="J85" s="35">
        <f t="shared" si="14"/>
        <v>14.126712328767123</v>
      </c>
      <c r="K85" s="35">
        <f t="shared" si="14"/>
        <v>8.5056853791744995</v>
      </c>
      <c r="L85" s="35">
        <f t="shared" si="14"/>
        <v>3.2266596138587675</v>
      </c>
      <c r="M85" s="35">
        <f t="shared" si="14"/>
        <v>3.0653266331658293</v>
      </c>
      <c r="N85" s="35">
        <f t="shared" si="14"/>
        <v>9.7370392996253692</v>
      </c>
      <c r="O85" s="35">
        <f t="shared" si="14"/>
        <v>22.633346583522918</v>
      </c>
      <c r="P85" s="35">
        <f t="shared" si="14"/>
        <v>19.444683763629229</v>
      </c>
      <c r="Q85" s="35" t="str">
        <f t="shared" si="14"/>
        <v/>
      </c>
      <c r="R85" s="35" t="str">
        <f t="shared" si="14"/>
        <v/>
      </c>
      <c r="S85" s="35" t="str">
        <f t="shared" si="14"/>
        <v/>
      </c>
      <c r="T85" s="35" t="str">
        <f t="shared" si="14"/>
        <v/>
      </c>
      <c r="U85" s="35" t="str">
        <f t="shared" si="14"/>
        <v/>
      </c>
      <c r="V85" s="35" t="str">
        <f t="shared" si="14"/>
        <v/>
      </c>
      <c r="W85" s="35" t="str">
        <f t="shared" si="14"/>
        <v/>
      </c>
      <c r="X85" s="35" t="str">
        <f t="shared" si="14"/>
        <v/>
      </c>
      <c r="Y85" s="35" t="str">
        <f t="shared" si="14"/>
        <v/>
      </c>
      <c r="Z85" s="35" t="str">
        <f t="shared" si="14"/>
        <v/>
      </c>
    </row>
    <row r="86" spans="2:26">
      <c r="B86" s="278" t="s">
        <v>100</v>
      </c>
      <c r="C86" s="1074">
        <f t="shared" ref="C86:Z86" si="15">IF(C15="","",C78)</f>
        <v>1.3</v>
      </c>
      <c r="D86" s="1074">
        <f t="shared" si="15"/>
        <v>12.9</v>
      </c>
      <c r="E86" s="1074">
        <f t="shared" si="15"/>
        <v>2.4</v>
      </c>
      <c r="F86" s="1074">
        <f t="shared" si="15"/>
        <v>6.6120000000000001</v>
      </c>
      <c r="G86" s="1074">
        <f t="shared" si="15"/>
        <v>2.2000000000000002</v>
      </c>
      <c r="H86" s="1074">
        <f t="shared" si="15"/>
        <v>2.1</v>
      </c>
      <c r="I86" s="1074">
        <f t="shared" si="15"/>
        <v>2.72</v>
      </c>
      <c r="J86" s="1074">
        <f t="shared" si="15"/>
        <v>0.24</v>
      </c>
      <c r="K86" s="1074">
        <f t="shared" si="15"/>
        <v>0.66</v>
      </c>
      <c r="L86" s="1074">
        <f t="shared" si="15"/>
        <v>0</v>
      </c>
      <c r="M86" s="1074">
        <f t="shared" si="15"/>
        <v>0</v>
      </c>
      <c r="N86" s="1074">
        <f t="shared" si="15"/>
        <v>0</v>
      </c>
      <c r="O86" s="1074">
        <f t="shared" si="15"/>
        <v>3.9</v>
      </c>
      <c r="P86" s="1074">
        <f t="shared" si="15"/>
        <v>0</v>
      </c>
      <c r="Q86" s="1074" t="str">
        <f t="shared" si="15"/>
        <v/>
      </c>
      <c r="R86" s="1074" t="str">
        <f t="shared" si="15"/>
        <v/>
      </c>
      <c r="S86" s="1074" t="str">
        <f t="shared" si="15"/>
        <v/>
      </c>
      <c r="T86" s="1074" t="str">
        <f t="shared" si="15"/>
        <v/>
      </c>
      <c r="U86" s="1074" t="str">
        <f t="shared" si="15"/>
        <v/>
      </c>
      <c r="V86" s="1074" t="str">
        <f t="shared" si="15"/>
        <v/>
      </c>
      <c r="W86" s="1074" t="str">
        <f t="shared" si="15"/>
        <v/>
      </c>
      <c r="X86" s="1074" t="str">
        <f t="shared" si="15"/>
        <v/>
      </c>
      <c r="Y86" s="1074" t="str">
        <f t="shared" si="15"/>
        <v/>
      </c>
      <c r="Z86" s="1074" t="str">
        <f t="shared" si="15"/>
        <v/>
      </c>
    </row>
    <row r="87" spans="2:26">
      <c r="B87" s="278" t="s">
        <v>101</v>
      </c>
      <c r="C87" s="35">
        <f t="shared" ref="C87:Z87" si="16">IF(C15="","",C79)</f>
        <v>34.317948717948724</v>
      </c>
      <c r="D87" s="35">
        <f t="shared" si="16"/>
        <v>31.125581395348842</v>
      </c>
      <c r="E87" s="35">
        <f t="shared" si="16"/>
        <v>65.343000000000004</v>
      </c>
      <c r="F87" s="35">
        <f t="shared" si="16"/>
        <v>116.34213625129892</v>
      </c>
      <c r="G87" s="35">
        <f t="shared" si="16"/>
        <v>9.7500078000000077</v>
      </c>
      <c r="H87" s="35">
        <f t="shared" si="16"/>
        <v>13.000010400000011</v>
      </c>
      <c r="I87" s="35">
        <f t="shared" si="16"/>
        <v>54.193548387096776</v>
      </c>
      <c r="J87" s="35">
        <f t="shared" si="16"/>
        <v>0</v>
      </c>
      <c r="K87" s="35">
        <f t="shared" si="16"/>
        <v>0</v>
      </c>
      <c r="L87" s="35">
        <f t="shared" si="16"/>
        <v>0</v>
      </c>
      <c r="M87" s="35">
        <f t="shared" si="16"/>
        <v>0</v>
      </c>
      <c r="N87" s="35">
        <f t="shared" si="16"/>
        <v>0</v>
      </c>
      <c r="O87" s="35">
        <f t="shared" si="16"/>
        <v>0</v>
      </c>
      <c r="P87" s="35">
        <f t="shared" si="16"/>
        <v>0</v>
      </c>
      <c r="Q87" s="35" t="str">
        <f t="shared" si="16"/>
        <v/>
      </c>
      <c r="R87" s="35" t="str">
        <f t="shared" si="16"/>
        <v/>
      </c>
      <c r="S87" s="35" t="str">
        <f t="shared" si="16"/>
        <v/>
      </c>
      <c r="T87" s="35" t="str">
        <f t="shared" si="16"/>
        <v/>
      </c>
      <c r="U87" s="35" t="str">
        <f t="shared" si="16"/>
        <v/>
      </c>
      <c r="V87" s="35" t="str">
        <f t="shared" si="16"/>
        <v/>
      </c>
      <c r="W87" s="35" t="str">
        <f t="shared" si="16"/>
        <v/>
      </c>
      <c r="X87" s="35" t="str">
        <f t="shared" si="16"/>
        <v/>
      </c>
      <c r="Y87" s="35" t="str">
        <f t="shared" si="16"/>
        <v/>
      </c>
      <c r="Z87" s="35" t="str">
        <f t="shared" si="16"/>
        <v/>
      </c>
    </row>
    <row r="88" spans="2:26">
      <c r="B88" s="278" t="s">
        <v>102</v>
      </c>
      <c r="C88" s="35">
        <f t="shared" ref="C88:Z88" si="17">IF(C15="","",C80/IF(C15="Storage",C50,C34))</f>
        <v>0</v>
      </c>
      <c r="D88" s="35">
        <f t="shared" si="17"/>
        <v>0</v>
      </c>
      <c r="E88" s="35">
        <f t="shared" si="17"/>
        <v>0</v>
      </c>
      <c r="F88" s="35">
        <f t="shared" si="17"/>
        <v>0</v>
      </c>
      <c r="G88" s="35">
        <f t="shared" si="17"/>
        <v>0</v>
      </c>
      <c r="H88" s="35">
        <f t="shared" si="17"/>
        <v>0</v>
      </c>
      <c r="I88" s="35">
        <f t="shared" si="17"/>
        <v>0</v>
      </c>
      <c r="J88" s="35">
        <f t="shared" si="17"/>
        <v>0</v>
      </c>
      <c r="K88" s="35">
        <f t="shared" si="17"/>
        <v>0</v>
      </c>
      <c r="L88" s="35">
        <f t="shared" si="17"/>
        <v>0</v>
      </c>
      <c r="M88" s="35">
        <f t="shared" si="17"/>
        <v>0</v>
      </c>
      <c r="N88" s="35">
        <f t="shared" si="17"/>
        <v>0</v>
      </c>
      <c r="O88" s="35">
        <f t="shared" si="17"/>
        <v>0</v>
      </c>
      <c r="P88" s="35">
        <f t="shared" si="17"/>
        <v>0</v>
      </c>
      <c r="Q88" s="35" t="str">
        <f t="shared" si="17"/>
        <v/>
      </c>
      <c r="R88" s="35" t="str">
        <f t="shared" si="17"/>
        <v/>
      </c>
      <c r="S88" s="35" t="str">
        <f t="shared" si="17"/>
        <v/>
      </c>
      <c r="T88" s="35" t="str">
        <f t="shared" si="17"/>
        <v/>
      </c>
      <c r="U88" s="35" t="str">
        <f t="shared" si="17"/>
        <v/>
      </c>
      <c r="V88" s="35" t="str">
        <f t="shared" si="17"/>
        <v/>
      </c>
      <c r="W88" s="35" t="str">
        <f t="shared" si="17"/>
        <v/>
      </c>
      <c r="X88" s="35" t="str">
        <f t="shared" si="17"/>
        <v/>
      </c>
      <c r="Y88" s="35" t="str">
        <f t="shared" si="17"/>
        <v/>
      </c>
      <c r="Z88" s="35" t="str">
        <f t="shared" si="17"/>
        <v/>
      </c>
    </row>
    <row r="89" spans="2:26">
      <c r="B89" s="278" t="s">
        <v>103</v>
      </c>
      <c r="C89" s="35">
        <f t="shared" ref="C89:Z89" si="18">IF(C15="","",C81*10^6*C25/IF(C15="Storage",C50,C34))</f>
        <v>0</v>
      </c>
      <c r="D89" s="35">
        <f t="shared" si="18"/>
        <v>0</v>
      </c>
      <c r="E89" s="35">
        <f t="shared" si="18"/>
        <v>0</v>
      </c>
      <c r="F89" s="35">
        <f t="shared" si="18"/>
        <v>0</v>
      </c>
      <c r="G89" s="35">
        <f t="shared" si="18"/>
        <v>0</v>
      </c>
      <c r="H89" s="35">
        <f t="shared" si="18"/>
        <v>0</v>
      </c>
      <c r="I89" s="35">
        <f t="shared" si="18"/>
        <v>0</v>
      </c>
      <c r="J89" s="35">
        <f t="shared" si="18"/>
        <v>4.5410637094449449</v>
      </c>
      <c r="K89" s="35">
        <f t="shared" si="18"/>
        <v>0</v>
      </c>
      <c r="L89" s="35">
        <f t="shared" si="18"/>
        <v>0</v>
      </c>
      <c r="M89" s="35">
        <f t="shared" si="18"/>
        <v>0</v>
      </c>
      <c r="N89" s="35">
        <f t="shared" si="18"/>
        <v>0</v>
      </c>
      <c r="O89" s="35">
        <f t="shared" si="18"/>
        <v>0</v>
      </c>
      <c r="P89" s="35">
        <f t="shared" si="18"/>
        <v>0</v>
      </c>
      <c r="Q89" s="35" t="str">
        <f t="shared" si="18"/>
        <v/>
      </c>
      <c r="R89" s="35" t="str">
        <f t="shared" si="18"/>
        <v/>
      </c>
      <c r="S89" s="35" t="str">
        <f t="shared" si="18"/>
        <v/>
      </c>
      <c r="T89" s="35" t="str">
        <f t="shared" si="18"/>
        <v/>
      </c>
      <c r="U89" s="35" t="str">
        <f t="shared" si="18"/>
        <v/>
      </c>
      <c r="V89" s="35" t="str">
        <f t="shared" si="18"/>
        <v/>
      </c>
      <c r="W89" s="35" t="str">
        <f t="shared" si="18"/>
        <v/>
      </c>
      <c r="X89" s="35" t="str">
        <f t="shared" si="18"/>
        <v/>
      </c>
      <c r="Y89" s="35" t="str">
        <f t="shared" si="18"/>
        <v/>
      </c>
      <c r="Z89" s="35" t="str">
        <f t="shared" si="18"/>
        <v/>
      </c>
    </row>
    <row r="90" spans="2:26">
      <c r="B90" s="278" t="s">
        <v>104</v>
      </c>
      <c r="C90" s="35">
        <f t="shared" ref="C90:Z90" si="19">IF(C15="","",IF(C67="Yes",C68*C72,0))</f>
        <v>0</v>
      </c>
      <c r="D90" s="35">
        <f t="shared" si="19"/>
        <v>0</v>
      </c>
      <c r="E90" s="35">
        <f t="shared" si="19"/>
        <v>0</v>
      </c>
      <c r="F90" s="35">
        <f t="shared" si="19"/>
        <v>0</v>
      </c>
      <c r="G90" s="35">
        <f t="shared" si="19"/>
        <v>0</v>
      </c>
      <c r="H90" s="35">
        <f t="shared" si="19"/>
        <v>0</v>
      </c>
      <c r="I90" s="35">
        <f t="shared" si="19"/>
        <v>0</v>
      </c>
      <c r="J90" s="35">
        <f t="shared" si="19"/>
        <v>0</v>
      </c>
      <c r="K90" s="35">
        <f t="shared" si="19"/>
        <v>0</v>
      </c>
      <c r="L90" s="35">
        <f t="shared" si="19"/>
        <v>0</v>
      </c>
      <c r="M90" s="35">
        <f t="shared" si="19"/>
        <v>0</v>
      </c>
      <c r="N90" s="35">
        <f t="shared" si="19"/>
        <v>0</v>
      </c>
      <c r="O90" s="35">
        <f t="shared" si="19"/>
        <v>0</v>
      </c>
      <c r="P90" s="35">
        <f t="shared" si="19"/>
        <v>0</v>
      </c>
      <c r="Q90" s="35" t="str">
        <f t="shared" si="19"/>
        <v/>
      </c>
      <c r="R90" s="35" t="str">
        <f t="shared" si="19"/>
        <v/>
      </c>
      <c r="S90" s="35" t="str">
        <f t="shared" si="19"/>
        <v/>
      </c>
      <c r="T90" s="35" t="str">
        <f t="shared" si="19"/>
        <v/>
      </c>
      <c r="U90" s="35" t="str">
        <f t="shared" si="19"/>
        <v/>
      </c>
      <c r="V90" s="35" t="str">
        <f t="shared" si="19"/>
        <v/>
      </c>
      <c r="W90" s="35" t="str">
        <f t="shared" si="19"/>
        <v/>
      </c>
      <c r="X90" s="35" t="str">
        <f t="shared" si="19"/>
        <v/>
      </c>
      <c r="Y90" s="35" t="str">
        <f t="shared" si="19"/>
        <v/>
      </c>
      <c r="Z90" s="35" t="str">
        <f t="shared" si="19"/>
        <v/>
      </c>
    </row>
    <row r="91" spans="2:26">
      <c r="B91" s="278"/>
      <c r="C91" s="35"/>
      <c r="D91" s="35"/>
      <c r="E91" s="35"/>
      <c r="F91" s="43"/>
      <c r="G91" s="43"/>
      <c r="H91" s="43"/>
      <c r="I91" s="43"/>
      <c r="J91" s="43"/>
      <c r="K91" s="43"/>
      <c r="L91" s="43"/>
      <c r="M91" s="43"/>
      <c r="N91" s="43"/>
      <c r="O91" s="43"/>
      <c r="P91" s="43"/>
      <c r="Q91" s="43"/>
      <c r="R91" s="43"/>
      <c r="S91" s="43"/>
      <c r="T91" s="43"/>
      <c r="U91" s="43"/>
      <c r="V91" s="43"/>
      <c r="W91" s="43"/>
      <c r="X91" s="43"/>
      <c r="Y91" s="43"/>
      <c r="Z91" s="43"/>
    </row>
    <row r="92" spans="2:26" ht="15.75" thickBot="1">
      <c r="B92" s="272" t="s">
        <v>105</v>
      </c>
      <c r="C92" s="408">
        <f>IF(C15="","",SUM(C84:C90))</f>
        <v>64.649216200655985</v>
      </c>
      <c r="D92" s="408">
        <f t="shared" ref="D92:Z92" si="20">IF(D15="","",SUM(D84:D90))</f>
        <v>88.368989387650359</v>
      </c>
      <c r="E92" s="408">
        <f t="shared" si="20"/>
        <v>93.72374716187916</v>
      </c>
      <c r="F92" s="408">
        <f t="shared" si="20"/>
        <v>144.31582620957224</v>
      </c>
      <c r="G92" s="408">
        <f t="shared" si="20"/>
        <v>125.55581676191827</v>
      </c>
      <c r="H92" s="408">
        <f t="shared" si="20"/>
        <v>134.85314904809653</v>
      </c>
      <c r="I92" s="408">
        <f t="shared" si="20"/>
        <v>105.74286112201638</v>
      </c>
      <c r="J92" s="408">
        <f t="shared" si="20"/>
        <v>78.849817002885331</v>
      </c>
      <c r="K92" s="408">
        <f t="shared" si="20"/>
        <v>53.368895779009506</v>
      </c>
      <c r="L92" s="408">
        <f t="shared" si="20"/>
        <v>29.553588181724827</v>
      </c>
      <c r="M92" s="408">
        <f t="shared" si="20"/>
        <v>28.075908772638584</v>
      </c>
      <c r="N92" s="408">
        <f t="shared" si="20"/>
        <v>42.445469921461424</v>
      </c>
      <c r="O92" s="408">
        <f t="shared" si="20"/>
        <v>111.29986915982855</v>
      </c>
      <c r="P92" s="408">
        <f t="shared" si="20"/>
        <v>114.64518081698239</v>
      </c>
      <c r="Q92" s="408" t="str">
        <f t="shared" si="20"/>
        <v/>
      </c>
      <c r="R92" s="408" t="str">
        <f t="shared" si="20"/>
        <v/>
      </c>
      <c r="S92" s="408" t="str">
        <f t="shared" si="20"/>
        <v/>
      </c>
      <c r="T92" s="408" t="str">
        <f t="shared" si="20"/>
        <v/>
      </c>
      <c r="U92" s="408" t="str">
        <f t="shared" si="20"/>
        <v/>
      </c>
      <c r="V92" s="408" t="str">
        <f t="shared" si="20"/>
        <v/>
      </c>
      <c r="W92" s="408" t="str">
        <f t="shared" si="20"/>
        <v/>
      </c>
      <c r="X92" s="408" t="str">
        <f t="shared" si="20"/>
        <v/>
      </c>
      <c r="Y92" s="408" t="str">
        <f t="shared" si="20"/>
        <v/>
      </c>
      <c r="Z92" s="408" t="str">
        <f t="shared" si="20"/>
        <v/>
      </c>
    </row>
    <row r="93" spans="2:26" ht="15.75" thickBot="1">
      <c r="B93" s="273" t="s">
        <v>43</v>
      </c>
      <c r="C93" s="59" t="str">
        <f>IF(ISERROR(C92),"Populate cells above","")</f>
        <v/>
      </c>
      <c r="D93" s="59" t="str">
        <f t="shared" ref="D93:Z93" si="21">IF(ISERROR(D92),"Populate cells above","")</f>
        <v/>
      </c>
      <c r="E93" s="59" t="str">
        <f t="shared" si="21"/>
        <v/>
      </c>
      <c r="F93" s="57" t="str">
        <f t="shared" si="21"/>
        <v/>
      </c>
      <c r="G93" s="57" t="str">
        <f t="shared" si="21"/>
        <v/>
      </c>
      <c r="H93" s="57" t="str">
        <f t="shared" si="21"/>
        <v/>
      </c>
      <c r="I93" s="57" t="str">
        <f t="shared" si="21"/>
        <v/>
      </c>
      <c r="J93" s="57" t="str">
        <f t="shared" si="21"/>
        <v/>
      </c>
      <c r="K93" s="57" t="str">
        <f t="shared" si="21"/>
        <v/>
      </c>
      <c r="L93" s="57" t="str">
        <f t="shared" si="21"/>
        <v/>
      </c>
      <c r="M93" s="57" t="str">
        <f t="shared" si="21"/>
        <v/>
      </c>
      <c r="N93" s="57" t="str">
        <f t="shared" si="21"/>
        <v/>
      </c>
      <c r="O93" s="57" t="str">
        <f t="shared" si="21"/>
        <v/>
      </c>
      <c r="P93" s="57" t="str">
        <f t="shared" si="21"/>
        <v/>
      </c>
      <c r="Q93" s="57" t="str">
        <f t="shared" si="21"/>
        <v/>
      </c>
      <c r="R93" s="57" t="str">
        <f t="shared" si="21"/>
        <v/>
      </c>
      <c r="S93" s="57" t="str">
        <f t="shared" si="21"/>
        <v/>
      </c>
      <c r="T93" s="57" t="str">
        <f t="shared" si="21"/>
        <v/>
      </c>
      <c r="U93" s="57" t="str">
        <f t="shared" si="21"/>
        <v/>
      </c>
      <c r="V93" s="57" t="str">
        <f t="shared" si="21"/>
        <v/>
      </c>
      <c r="W93" s="57" t="str">
        <f t="shared" si="21"/>
        <v/>
      </c>
      <c r="X93" s="57" t="str">
        <f t="shared" si="21"/>
        <v/>
      </c>
      <c r="Y93" s="57" t="str">
        <f t="shared" si="21"/>
        <v/>
      </c>
      <c r="Z93" s="58" t="str">
        <f t="shared" si="21"/>
        <v/>
      </c>
    </row>
    <row r="94" spans="2:26">
      <c r="B94" s="278" t="s">
        <v>106</v>
      </c>
      <c r="C94" t="str">
        <f>IF(C92="","",TEXT(C92,"#,#0")&amp;" $/MWh")</f>
        <v>65 $/MWh</v>
      </c>
      <c r="D94" t="str">
        <f t="shared" ref="D94:Z94" si="22">IF(D92="","",TEXT(D92,"#,#0")&amp;" $/MWh")</f>
        <v>88 $/MWh</v>
      </c>
      <c r="E94" t="str">
        <f t="shared" si="22"/>
        <v>94 $/MWh</v>
      </c>
      <c r="F94" t="str">
        <f t="shared" si="22"/>
        <v>144 $/MWh</v>
      </c>
      <c r="G94" t="str">
        <f t="shared" si="22"/>
        <v>126 $/MWh</v>
      </c>
      <c r="H94" t="str">
        <f t="shared" si="22"/>
        <v>135 $/MWh</v>
      </c>
      <c r="I94" t="str">
        <f t="shared" si="22"/>
        <v>106 $/MWh</v>
      </c>
      <c r="J94" t="str">
        <f t="shared" si="22"/>
        <v>79 $/MWh</v>
      </c>
      <c r="K94" t="str">
        <f t="shared" si="22"/>
        <v>53 $/MWh</v>
      </c>
      <c r="L94" t="str">
        <f t="shared" si="22"/>
        <v>30 $/MWh</v>
      </c>
      <c r="M94" t="str">
        <f t="shared" si="22"/>
        <v>28 $/MWh</v>
      </c>
      <c r="N94" t="str">
        <f t="shared" si="22"/>
        <v>42 $/MWh</v>
      </c>
      <c r="O94" t="str">
        <f t="shared" si="22"/>
        <v>111 $/MWh</v>
      </c>
      <c r="P94" t="str">
        <f t="shared" si="22"/>
        <v>115 $/MWh</v>
      </c>
      <c r="Q94" t="str">
        <f t="shared" si="22"/>
        <v/>
      </c>
      <c r="R94" t="str">
        <f t="shared" si="22"/>
        <v/>
      </c>
      <c r="S94" t="str">
        <f t="shared" si="22"/>
        <v/>
      </c>
      <c r="T94" t="str">
        <f t="shared" si="22"/>
        <v/>
      </c>
      <c r="U94" t="str">
        <f t="shared" si="22"/>
        <v/>
      </c>
      <c r="V94" t="str">
        <f t="shared" si="22"/>
        <v/>
      </c>
      <c r="W94" t="str">
        <f t="shared" si="22"/>
        <v/>
      </c>
      <c r="X94" t="str">
        <f t="shared" si="22"/>
        <v/>
      </c>
      <c r="Y94" t="str">
        <f t="shared" si="22"/>
        <v/>
      </c>
      <c r="Z94" t="str">
        <f t="shared" si="22"/>
        <v/>
      </c>
    </row>
    <row r="95" spans="2:26">
      <c r="B95" s="1"/>
    </row>
    <row r="98" spans="1:30">
      <c r="D98" s="54"/>
      <c r="E98" s="54"/>
    </row>
    <row r="99" spans="1:30" s="19" customFormat="1">
      <c r="A99"/>
      <c r="C99" s="11"/>
      <c r="D99"/>
      <c r="E99" s="54"/>
      <c r="AA99" s="39"/>
      <c r="AB99"/>
      <c r="AC99"/>
      <c r="AD99"/>
    </row>
    <row r="100" spans="1:30" s="19" customFormat="1">
      <c r="A100"/>
      <c r="C100" s="8"/>
      <c r="D100" s="8"/>
      <c r="E100" s="8"/>
      <c r="F100" s="8"/>
      <c r="G100" s="8"/>
      <c r="H100" s="8"/>
      <c r="I100" s="8"/>
      <c r="J100" s="8"/>
      <c r="K100" s="8"/>
      <c r="L100" s="8"/>
      <c r="T100" s="8"/>
      <c r="AA100" s="39"/>
      <c r="AB100"/>
      <c r="AC100"/>
      <c r="AD100"/>
    </row>
    <row r="101" spans="1:30">
      <c r="B101" s="63" t="s">
        <v>1005</v>
      </c>
      <c r="F101"/>
    </row>
    <row r="102" spans="1:30">
      <c r="B102" s="390" t="str">
        <f>"LCOEs of Newly Invested Units: "&amp;C11</f>
        <v>LCOEs of Newly Invested Units: 2050</v>
      </c>
      <c r="E102" s="19"/>
    </row>
    <row r="103" spans="1:30" s="19" customFormat="1">
      <c r="A103"/>
      <c r="B103"/>
      <c r="C103" s="9"/>
      <c r="D103"/>
      <c r="AA103" s="39"/>
      <c r="AB103"/>
      <c r="AC103"/>
      <c r="AD103"/>
    </row>
    <row r="104" spans="1:30">
      <c r="C104" s="409"/>
      <c r="D104" s="409"/>
      <c r="E104" s="409"/>
      <c r="F104" s="409"/>
    </row>
    <row r="105" spans="1:30" s="19" customFormat="1">
      <c r="A105"/>
      <c r="B105"/>
      <c r="C105" s="409"/>
      <c r="D105" s="409"/>
      <c r="E105" s="409"/>
      <c r="F105" s="409"/>
      <c r="AA105" s="39"/>
      <c r="AB105"/>
      <c r="AC105"/>
      <c r="AD105"/>
    </row>
    <row r="106" spans="1:30">
      <c r="C106" s="409"/>
      <c r="D106" s="409"/>
      <c r="E106" s="409"/>
      <c r="F106" s="409"/>
    </row>
    <row r="107" spans="1:30" s="19" customFormat="1">
      <c r="A107"/>
      <c r="B107"/>
      <c r="C107" s="409"/>
      <c r="D107" s="409"/>
      <c r="E107" s="409"/>
      <c r="F107" s="409"/>
      <c r="AA107" s="39"/>
      <c r="AB107"/>
      <c r="AC107"/>
      <c r="AD107"/>
    </row>
    <row r="108" spans="1:30">
      <c r="C108" s="409"/>
      <c r="D108" s="409"/>
      <c r="E108" s="409"/>
      <c r="F108" s="409"/>
    </row>
    <row r="109" spans="1:30">
      <c r="C109" s="409"/>
      <c r="D109" s="409"/>
      <c r="E109" s="409"/>
      <c r="F109" s="409"/>
    </row>
    <row r="110" spans="1:30" s="19" customFormat="1">
      <c r="A110"/>
      <c r="B110"/>
      <c r="C110" s="409"/>
      <c r="D110" s="409"/>
      <c r="E110" s="409"/>
      <c r="F110" s="409"/>
      <c r="AA110" s="39"/>
      <c r="AB110"/>
      <c r="AC110"/>
      <c r="AD110"/>
    </row>
    <row r="111" spans="1:30">
      <c r="C111" s="409"/>
      <c r="D111" s="409"/>
      <c r="E111" s="409"/>
      <c r="F111" s="409"/>
    </row>
    <row r="112" spans="1:30">
      <c r="C112" s="8"/>
      <c r="D112" s="8"/>
      <c r="E112" s="8"/>
      <c r="F112" s="8"/>
    </row>
    <row r="113" spans="3:22">
      <c r="C113" s="409"/>
      <c r="D113" s="409"/>
      <c r="E113" s="409"/>
      <c r="F113" s="409"/>
    </row>
    <row r="124" spans="3:22">
      <c r="Q124"/>
      <c r="R124"/>
      <c r="S124"/>
      <c r="T124"/>
      <c r="U124"/>
      <c r="V124"/>
    </row>
    <row r="125" spans="3:22">
      <c r="Q125"/>
      <c r="R125"/>
      <c r="S125"/>
      <c r="T125"/>
      <c r="U125"/>
      <c r="V125"/>
    </row>
    <row r="126" spans="3:22">
      <c r="Q126"/>
      <c r="R126"/>
      <c r="S126"/>
      <c r="T126"/>
      <c r="U126"/>
      <c r="V126"/>
    </row>
    <row r="127" spans="3:22">
      <c r="Q127"/>
      <c r="R127"/>
      <c r="S127"/>
      <c r="T127"/>
      <c r="U127"/>
      <c r="V127"/>
    </row>
    <row r="128" spans="3:22">
      <c r="Q128"/>
      <c r="R128"/>
      <c r="S128"/>
      <c r="T128"/>
      <c r="U128"/>
      <c r="V128"/>
    </row>
    <row r="129" spans="3:22">
      <c r="Q129"/>
      <c r="R129"/>
      <c r="S129"/>
      <c r="T129"/>
      <c r="U129"/>
      <c r="V129"/>
    </row>
    <row r="130" spans="3:22">
      <c r="Q130"/>
      <c r="R130"/>
      <c r="S130"/>
      <c r="T130"/>
      <c r="U130"/>
      <c r="V130"/>
    </row>
    <row r="131" spans="3:22">
      <c r="Q131"/>
      <c r="R131"/>
      <c r="S131"/>
      <c r="T131"/>
      <c r="U131"/>
      <c r="V131"/>
    </row>
    <row r="132" spans="3:22">
      <c r="Q132"/>
      <c r="R132"/>
      <c r="S132"/>
      <c r="T132"/>
      <c r="U132"/>
      <c r="V132"/>
    </row>
    <row r="133" spans="3:22">
      <c r="Q133"/>
      <c r="R133"/>
      <c r="S133"/>
      <c r="T133"/>
      <c r="U133"/>
      <c r="V133"/>
    </row>
    <row r="134" spans="3:22">
      <c r="Q134"/>
      <c r="R134"/>
      <c r="S134"/>
      <c r="T134"/>
      <c r="U134"/>
      <c r="V134"/>
    </row>
    <row r="135" spans="3:22">
      <c r="Q135"/>
      <c r="R135"/>
      <c r="S135"/>
      <c r="T135"/>
      <c r="U135"/>
      <c r="V135"/>
    </row>
    <row r="136" spans="3:22">
      <c r="Q136"/>
      <c r="R136"/>
      <c r="S136"/>
      <c r="T136"/>
      <c r="U136"/>
      <c r="V136"/>
    </row>
    <row r="137" spans="3:22">
      <c r="Q137"/>
      <c r="R137"/>
      <c r="S137"/>
      <c r="T137"/>
      <c r="U137"/>
      <c r="V137"/>
    </row>
    <row r="138" spans="3:22">
      <c r="Q138"/>
      <c r="R138"/>
      <c r="S138"/>
      <c r="T138"/>
      <c r="U138"/>
      <c r="V138"/>
    </row>
    <row r="139" spans="3:22">
      <c r="C139" s="46"/>
      <c r="D139" s="46"/>
      <c r="E139" s="46"/>
      <c r="F139" s="46"/>
      <c r="G139" s="46"/>
      <c r="H139" s="46"/>
      <c r="I139" s="46"/>
      <c r="J139" s="46"/>
      <c r="K139" s="46"/>
      <c r="L139" s="46"/>
      <c r="M139" s="46"/>
      <c r="N139" s="46"/>
      <c r="O139" s="46"/>
      <c r="P139" s="46"/>
      <c r="Q139"/>
      <c r="R139"/>
      <c r="S139"/>
      <c r="T139"/>
      <c r="U139"/>
      <c r="V139"/>
    </row>
    <row r="140" spans="3:22">
      <c r="C140" s="46"/>
      <c r="D140" s="46"/>
      <c r="E140" s="46"/>
      <c r="F140" s="46"/>
      <c r="G140" s="46"/>
      <c r="H140" s="46"/>
      <c r="I140" s="46"/>
      <c r="J140" s="46"/>
      <c r="K140" s="46"/>
      <c r="L140" s="46"/>
      <c r="M140" s="46"/>
      <c r="N140" s="46"/>
      <c r="O140" s="46"/>
      <c r="P140" s="46"/>
      <c r="Q140"/>
      <c r="R140"/>
      <c r="S140"/>
      <c r="T140"/>
      <c r="U140"/>
      <c r="V140"/>
    </row>
    <row r="141" spans="3:22">
      <c r="C141" s="46"/>
      <c r="D141" s="46"/>
      <c r="E141" s="46"/>
      <c r="F141" s="46"/>
      <c r="G141" s="46"/>
      <c r="H141" s="46"/>
      <c r="I141" s="46"/>
      <c r="J141" s="46"/>
      <c r="K141" s="46"/>
      <c r="L141" s="46"/>
      <c r="M141" s="46"/>
      <c r="N141" s="46"/>
      <c r="O141" s="46"/>
      <c r="P141" s="46"/>
      <c r="Q141"/>
      <c r="R141"/>
      <c r="S141"/>
      <c r="T141"/>
      <c r="U141"/>
      <c r="V141"/>
    </row>
    <row r="142" spans="3:22">
      <c r="C142" s="46"/>
      <c r="D142" s="46"/>
      <c r="E142" s="46"/>
      <c r="F142" s="46"/>
      <c r="G142" s="46">
        <v>2023</v>
      </c>
      <c r="H142" s="46">
        <v>2030</v>
      </c>
      <c r="I142" s="46">
        <v>2050</v>
      </c>
      <c r="J142" s="46"/>
      <c r="K142" s="46"/>
      <c r="L142" s="46"/>
      <c r="M142" s="46"/>
      <c r="N142" s="46"/>
      <c r="O142" s="46"/>
      <c r="P142" s="46"/>
    </row>
    <row r="143" spans="3:22">
      <c r="C143" s="46" t="s">
        <v>131</v>
      </c>
      <c r="D143" s="46" t="str">
        <f>G$13</f>
        <v>Nuclear</v>
      </c>
      <c r="E143" s="46" t="str">
        <f>G$14</f>
        <v>PWR</v>
      </c>
      <c r="F143" s="46" t="s">
        <v>132</v>
      </c>
      <c r="G143" s="1065" cm="1">
        <f t="array" ref="G143:G152">TRANSPOSE('2023 LCOEs'!G92:P92)</f>
        <v>161.13129096786827</v>
      </c>
      <c r="H143" s="1065" cm="1">
        <f t="array" ref="H143:H152">TRANSPOSE('2030 LCOEs'!G92:P92)</f>
        <v>143.50521669735463</v>
      </c>
      <c r="I143" s="1065" cm="1">
        <f t="array" ref="I143:I152">TRANSPOSE('2050 LCOEs'!G92:P92)</f>
        <v>125.55581676191827</v>
      </c>
      <c r="J143" s="1066">
        <f>(I143-G143)/G143</f>
        <v>-0.22078563382852948</v>
      </c>
      <c r="K143" s="510">
        <f>I143-G143</f>
        <v>-35.575474205950002</v>
      </c>
      <c r="L143" s="46"/>
      <c r="M143" s="46"/>
      <c r="N143" s="46"/>
      <c r="O143" s="46"/>
      <c r="P143" s="46"/>
    </row>
    <row r="144" spans="3:22">
      <c r="C144" s="46"/>
      <c r="D144" s="46"/>
      <c r="E144" s="46" t="str">
        <f>H$14</f>
        <v>SMR</v>
      </c>
      <c r="F144" s="46" t="s">
        <v>133</v>
      </c>
      <c r="G144" s="1065">
        <v>0</v>
      </c>
      <c r="H144" s="1065">
        <v>172.60022433970676</v>
      </c>
      <c r="I144" s="1065">
        <v>134.85314904809653</v>
      </c>
      <c r="J144" s="1066">
        <f>(I144-H144)/H144</f>
        <v>-0.21869655984523828</v>
      </c>
      <c r="K144" s="510">
        <f>I144-H144</f>
        <v>-37.74707529161023</v>
      </c>
      <c r="L144" s="46"/>
      <c r="M144" s="46"/>
      <c r="N144" s="46"/>
      <c r="O144" s="46"/>
      <c r="P144" s="46"/>
    </row>
    <row r="145" spans="3:16">
      <c r="C145" s="46" t="s">
        <v>134</v>
      </c>
      <c r="D145" s="46" t="str">
        <f>I$13</f>
        <v>Biomass</v>
      </c>
      <c r="E145" s="46" t="str">
        <f>I$14</f>
        <v>Small</v>
      </c>
      <c r="F145" s="46" t="s">
        <v>15</v>
      </c>
      <c r="G145" s="1065">
        <v>118.63018930574628</v>
      </c>
      <c r="H145" s="1065">
        <v>112.97689162306781</v>
      </c>
      <c r="I145" s="1065">
        <v>105.74286112201638</v>
      </c>
      <c r="J145" s="1066">
        <f t="shared" ref="J145:J152" si="23">(I145-G145)/G145</f>
        <v>-0.10863447373008332</v>
      </c>
      <c r="K145" s="510">
        <f t="shared" ref="K145:K152" si="24">I145-G145</f>
        <v>-12.887328183729906</v>
      </c>
      <c r="L145" s="46"/>
      <c r="M145" s="46"/>
      <c r="N145" s="46"/>
      <c r="O145" s="46"/>
      <c r="P145" s="46"/>
    </row>
    <row r="146" spans="3:16">
      <c r="C146" s="46"/>
      <c r="D146" s="46" t="str">
        <f>J$13</f>
        <v>Geothermal</v>
      </c>
      <c r="E146" s="46" t="str">
        <f>J$14</f>
        <v>Large</v>
      </c>
      <c r="F146" s="46" t="s">
        <v>14</v>
      </c>
      <c r="G146" s="1065">
        <v>87.412416060563928</v>
      </c>
      <c r="H146" s="1065">
        <v>87.10967847993426</v>
      </c>
      <c r="I146" s="1065">
        <v>78.849817002885331</v>
      </c>
      <c r="J146" s="1066">
        <f t="shared" si="23"/>
        <v>-9.7956325240409522E-2</v>
      </c>
      <c r="K146" s="510">
        <f t="shared" si="24"/>
        <v>-8.5625990576785966</v>
      </c>
      <c r="L146" s="46"/>
      <c r="M146" s="46"/>
      <c r="N146" s="46"/>
      <c r="O146" s="46"/>
      <c r="P146" s="46"/>
    </row>
    <row r="147" spans="3:16">
      <c r="C147" s="46"/>
      <c r="D147" s="46" t="str">
        <f>K$13</f>
        <v>Hydro</v>
      </c>
      <c r="E147" s="46" t="str">
        <f>K$14</f>
        <v>Large</v>
      </c>
      <c r="F147" s="46" t="s">
        <v>20</v>
      </c>
      <c r="G147" s="1065">
        <v>60.031383047153696</v>
      </c>
      <c r="H147" s="1065">
        <v>57.567054254052586</v>
      </c>
      <c r="I147" s="1065">
        <v>53.368895779009506</v>
      </c>
      <c r="J147" s="1066">
        <f t="shared" si="23"/>
        <v>-0.11098340451211848</v>
      </c>
      <c r="K147" s="510">
        <f t="shared" si="24"/>
        <v>-6.66248726814419</v>
      </c>
      <c r="L147" s="46"/>
      <c r="M147" s="46"/>
      <c r="N147" s="46"/>
      <c r="O147" s="46"/>
      <c r="P147" s="46"/>
    </row>
    <row r="148" spans="3:16">
      <c r="C148" s="46" t="s">
        <v>127</v>
      </c>
      <c r="D148" s="46" t="str">
        <f>L$13</f>
        <v>Solar PV</v>
      </c>
      <c r="E148" s="46" t="str">
        <f>L$14</f>
        <v>Ground-mounted</v>
      </c>
      <c r="F148" s="46" t="s">
        <v>135</v>
      </c>
      <c r="G148" s="1065">
        <v>62.215151638822405</v>
      </c>
      <c r="H148" s="1065">
        <v>42.420347589716144</v>
      </c>
      <c r="I148" s="1065">
        <v>29.553588181724827</v>
      </c>
      <c r="J148" s="1066">
        <f t="shared" si="23"/>
        <v>-0.52497763963845556</v>
      </c>
      <c r="K148" s="510">
        <f t="shared" si="24"/>
        <v>-32.661563457097579</v>
      </c>
      <c r="L148" s="46"/>
      <c r="M148" s="46"/>
      <c r="N148" s="46"/>
      <c r="O148" s="46"/>
      <c r="P148" s="46"/>
    </row>
    <row r="149" spans="3:16">
      <c r="C149" s="46"/>
      <c r="D149" s="46"/>
      <c r="E149" s="46" t="str">
        <f>M$14</f>
        <v>Floating</v>
      </c>
      <c r="F149" s="46" t="s">
        <v>136</v>
      </c>
      <c r="G149" s="1065">
        <v>75.463355008237755</v>
      </c>
      <c r="H149" s="1065">
        <v>45.445004130307851</v>
      </c>
      <c r="I149" s="1065">
        <v>28.075908772638584</v>
      </c>
      <c r="J149" s="1066">
        <f t="shared" si="23"/>
        <v>-0.62795308041136322</v>
      </c>
      <c r="K149" s="510">
        <f t="shared" si="24"/>
        <v>-47.387446235599171</v>
      </c>
      <c r="L149" s="46"/>
      <c r="M149" s="46"/>
      <c r="N149" s="46"/>
      <c r="O149" s="46"/>
      <c r="P149" s="46"/>
    </row>
    <row r="150" spans="3:16">
      <c r="C150" s="46"/>
      <c r="D150" s="46" t="str">
        <f>N$13</f>
        <v>Wind Turbines</v>
      </c>
      <c r="E150" s="46" t="str">
        <f>N$14</f>
        <v>Onshore</v>
      </c>
      <c r="F150" s="46" t="s">
        <v>137</v>
      </c>
      <c r="G150" s="1065">
        <v>91.700486147893528</v>
      </c>
      <c r="H150" s="1065">
        <v>59.625404464471799</v>
      </c>
      <c r="I150" s="1065">
        <v>42.445469921461424</v>
      </c>
      <c r="J150" s="1066">
        <f t="shared" si="23"/>
        <v>-0.53712928137582783</v>
      </c>
      <c r="K150" s="510">
        <f t="shared" si="24"/>
        <v>-49.255016226432105</v>
      </c>
      <c r="L150" s="46"/>
      <c r="M150" s="46"/>
      <c r="N150" s="46"/>
      <c r="O150" s="46"/>
      <c r="P150" s="46"/>
    </row>
    <row r="151" spans="3:16">
      <c r="C151" s="46"/>
      <c r="D151" s="46"/>
      <c r="E151" s="46" t="str">
        <f>O$14</f>
        <v>Offshore</v>
      </c>
      <c r="F151" s="46" t="s">
        <v>138</v>
      </c>
      <c r="G151" s="1065">
        <v>189.00431222850085</v>
      </c>
      <c r="H151" s="1065">
        <v>152.33045964558792</v>
      </c>
      <c r="I151" s="1065">
        <v>111.29986915982855</v>
      </c>
      <c r="J151" s="1066">
        <f t="shared" si="23"/>
        <v>-0.4111252391677172</v>
      </c>
      <c r="K151" s="510">
        <f t="shared" si="24"/>
        <v>-77.704443068672305</v>
      </c>
      <c r="L151" s="46"/>
      <c r="M151" s="46"/>
      <c r="N151" s="46"/>
      <c r="O151" s="46"/>
      <c r="P151" s="46"/>
    </row>
    <row r="152" spans="3:16">
      <c r="C152" s="46"/>
      <c r="D152" s="46"/>
      <c r="E152" s="46" t="str">
        <f>P$14</f>
        <v>Floating</v>
      </c>
      <c r="F152" s="46" t="s">
        <v>139</v>
      </c>
      <c r="G152" s="1065">
        <v>271.9532037648832</v>
      </c>
      <c r="H152" s="1065">
        <v>178.12661973746037</v>
      </c>
      <c r="I152" s="1065">
        <v>114.64518081698239</v>
      </c>
      <c r="J152" s="1066">
        <f t="shared" si="23"/>
        <v>-0.57843783698868012</v>
      </c>
      <c r="K152" s="510">
        <f t="shared" si="24"/>
        <v>-157.30802294790081</v>
      </c>
      <c r="L152" s="46"/>
      <c r="M152" s="46"/>
      <c r="N152" s="46"/>
      <c r="O152" s="46"/>
      <c r="P152" s="46"/>
    </row>
    <row r="153" spans="3:16">
      <c r="C153" s="46"/>
      <c r="D153" s="46"/>
      <c r="E153" s="46"/>
      <c r="F153" s="46"/>
      <c r="G153" s="46"/>
      <c r="H153" s="46"/>
      <c r="I153" s="46"/>
      <c r="J153" s="46"/>
      <c r="K153" s="46"/>
      <c r="L153" s="46"/>
      <c r="M153" s="46"/>
      <c r="N153" s="46"/>
      <c r="O153" s="46"/>
      <c r="P153" s="46"/>
    </row>
    <row r="154" spans="3:16">
      <c r="C154" s="46"/>
      <c r="D154" s="46"/>
      <c r="E154" s="46"/>
      <c r="F154" s="46"/>
      <c r="G154" s="46"/>
      <c r="H154" s="46"/>
      <c r="I154" s="46"/>
      <c r="J154" s="46"/>
      <c r="K154" s="46"/>
      <c r="L154" s="46"/>
      <c r="M154" s="46"/>
      <c r="N154" s="46"/>
      <c r="O154" s="46"/>
      <c r="P154" s="46"/>
    </row>
    <row r="155" spans="3:16">
      <c r="C155" s="46"/>
      <c r="D155" s="46"/>
      <c r="E155" s="46"/>
      <c r="F155" s="46"/>
      <c r="G155" s="46"/>
      <c r="H155" s="46"/>
      <c r="I155" s="46"/>
      <c r="J155" s="46"/>
      <c r="K155" s="46"/>
      <c r="L155" s="46"/>
      <c r="M155" s="46"/>
      <c r="N155" s="46"/>
      <c r="O155" s="46"/>
      <c r="P155" s="46"/>
    </row>
    <row r="156" spans="3:16">
      <c r="C156" s="46"/>
      <c r="D156" s="46"/>
      <c r="E156" s="46"/>
      <c r="F156" s="46"/>
      <c r="G156" s="46"/>
      <c r="H156" s="46"/>
      <c r="I156" s="46"/>
      <c r="J156" s="46"/>
      <c r="K156" s="46"/>
      <c r="L156" s="46"/>
      <c r="M156" s="46"/>
      <c r="N156" s="46"/>
      <c r="O156" s="46"/>
      <c r="P156" s="46"/>
    </row>
  </sheetData>
  <mergeCells count="1">
    <mergeCell ref="A11:A14"/>
  </mergeCells>
  <conditionalFormatting sqref="C32:Y32">
    <cfRule type="expression" dxfId="147" priority="65">
      <formula>NOT(ISBLANK(C$15))</formula>
    </cfRule>
  </conditionalFormatting>
  <conditionalFormatting sqref="C15:Z15">
    <cfRule type="notContainsBlanks" dxfId="146" priority="11">
      <formula>LEN(TRIM(C15))&gt;0</formula>
    </cfRule>
  </conditionalFormatting>
  <conditionalFormatting sqref="C16:Z17">
    <cfRule type="expression" dxfId="145" priority="1">
      <formula>NOT(ISBLANK(C$15))</formula>
    </cfRule>
  </conditionalFormatting>
  <conditionalFormatting sqref="C18:Z18">
    <cfRule type="notContainsBlanks" dxfId="144" priority="46">
      <formula>LEN(TRIM(C18))&gt;0</formula>
    </cfRule>
  </conditionalFormatting>
  <conditionalFormatting sqref="C19:Z19">
    <cfRule type="containsText" dxfId="143" priority="14" operator="containsText" text="Technology unavailable in this year. Please revise">
      <formula>NOT(ISERROR(SEARCH("Technology unavailable in this year. Please revise",C19)))</formula>
    </cfRule>
  </conditionalFormatting>
  <conditionalFormatting sqref="C19:Z20">
    <cfRule type="containsText" dxfId="142" priority="50" operator="containsText" text="Incompatible combination of Fuel and Technology">
      <formula>NOT(ISERROR(SEARCH("Incompatible combination of Fuel and Technology",C19)))</formula>
    </cfRule>
  </conditionalFormatting>
  <conditionalFormatting sqref="C22:Z22">
    <cfRule type="expression" dxfId="141" priority="69">
      <formula>NOT(ISBLANK(C$15))</formula>
    </cfRule>
  </conditionalFormatting>
  <conditionalFormatting sqref="C23:Z23">
    <cfRule type="expression" dxfId="140" priority="70">
      <formula>C22="Generic"</formula>
    </cfRule>
    <cfRule type="expression" dxfId="139" priority="68">
      <formula>C22="User defined"</formula>
    </cfRule>
  </conditionalFormatting>
  <conditionalFormatting sqref="C24:Z25">
    <cfRule type="notContainsBlanks" dxfId="138" priority="66">
      <formula>LEN(TRIM(C24))&gt;0</formula>
    </cfRule>
  </conditionalFormatting>
  <conditionalFormatting sqref="C26:Z27 C30:Z30">
    <cfRule type="containsText" dxfId="137" priority="67" operator="containsText" text="Insert value above">
      <formula>NOT(ISERROR(SEARCH("Insert value above",C26)))</formula>
    </cfRule>
    <cfRule type="containsText" dxfId="136" priority="61" operator="containsText" text="Value should be between 0 and 1">
      <formula>NOT(ISERROR(SEARCH("Value should be between 0 and 1",C26)))</formula>
    </cfRule>
  </conditionalFormatting>
  <conditionalFormatting sqref="C28:Z29">
    <cfRule type="notContainsBlanks" dxfId="135" priority="15">
      <formula>LEN(TRIM(C28))&gt;0</formula>
    </cfRule>
  </conditionalFormatting>
  <conditionalFormatting sqref="C32:Z32">
    <cfRule type="expression" dxfId="134" priority="54">
      <formula>C$15="Storage"</formula>
    </cfRule>
  </conditionalFormatting>
  <conditionalFormatting sqref="C33:Z33">
    <cfRule type="expression" dxfId="133" priority="8">
      <formula>C32="User defined"</formula>
    </cfRule>
    <cfRule type="expression" dxfId="132" priority="9">
      <formula>C32="Generic"</formula>
    </cfRule>
  </conditionalFormatting>
  <conditionalFormatting sqref="C33:Z34">
    <cfRule type="expression" dxfId="131" priority="7">
      <formula>C$15="Storage"</formula>
    </cfRule>
  </conditionalFormatting>
  <conditionalFormatting sqref="C34:Z34">
    <cfRule type="notContainsBlanks" dxfId="130" priority="62">
      <formula>LEN(TRIM(C34))&gt;0</formula>
    </cfRule>
  </conditionalFormatting>
  <conditionalFormatting sqref="C35:Z37">
    <cfRule type="containsText" dxfId="129" priority="42" operator="containsText" text="Absence of generic data, please switch to User Defined and insert FLHs">
      <formula>NOT(ISERROR(SEARCH("Absence of generic data, please switch to User Defined and insert FLHs",C35)))</formula>
    </cfRule>
    <cfRule type="containsText" dxfId="128" priority="60" operator="containsText" text="Insert value above">
      <formula>NOT(ISERROR(SEARCH("Insert value above",C35)))</formula>
    </cfRule>
    <cfRule type="containsText" dxfId="127" priority="59" operator="containsText" text="Value should be between 0 and 1">
      <formula>NOT(ISERROR(SEARCH("Value should be between 0 and 1",C35)))</formula>
    </cfRule>
  </conditionalFormatting>
  <conditionalFormatting sqref="C38:Z38">
    <cfRule type="expression" dxfId="126" priority="20">
      <formula>C$15="Storage"</formula>
    </cfRule>
  </conditionalFormatting>
  <conditionalFormatting sqref="C38:Z48">
    <cfRule type="expression" dxfId="125" priority="19">
      <formula>C$15&lt;&gt;"Storage"</formula>
    </cfRule>
  </conditionalFormatting>
  <conditionalFormatting sqref="C38:Z52">
    <cfRule type="expression" dxfId="124" priority="18">
      <formula>C$15=""</formula>
    </cfRule>
  </conditionalFormatting>
  <conditionalFormatting sqref="C39:Z41">
    <cfRule type="expression" dxfId="123" priority="44">
      <formula>C$38="User defined"</formula>
    </cfRule>
    <cfRule type="expression" dxfId="122" priority="58">
      <formula>C$38&lt;&gt;"User defined"</formula>
    </cfRule>
  </conditionalFormatting>
  <conditionalFormatting sqref="C42:Z46">
    <cfRule type="expression" dxfId="121" priority="43">
      <formula>C$38&lt;&gt;""</formula>
    </cfRule>
  </conditionalFormatting>
  <conditionalFormatting sqref="C45:Z48">
    <cfRule type="expression" dxfId="120" priority="45">
      <formula>C$38=""</formula>
    </cfRule>
    <cfRule type="expression" dxfId="119" priority="57">
      <formula>C$38&lt;&gt;""</formula>
    </cfRule>
  </conditionalFormatting>
  <conditionalFormatting sqref="C47:Z48">
    <cfRule type="expression" dxfId="118" priority="56">
      <formula>C$38="Generic"</formula>
    </cfRule>
    <cfRule type="expression" dxfId="117" priority="55">
      <formula>C$38="User defined"</formula>
    </cfRule>
  </conditionalFormatting>
  <conditionalFormatting sqref="C49:Z52">
    <cfRule type="expression" dxfId="116" priority="73">
      <formula>C$38=""</formula>
    </cfRule>
    <cfRule type="expression" dxfId="115" priority="74">
      <formula>C$15="Storage"</formula>
    </cfRule>
    <cfRule type="expression" dxfId="114" priority="75">
      <formula>C$15&lt;&gt;"Storage"</formula>
    </cfRule>
  </conditionalFormatting>
  <conditionalFormatting sqref="C53:Z53">
    <cfRule type="containsText" dxfId="113" priority="21" operator="containsText" text="Exceeding maximum possible annual cycles. Please revise">
      <formula>NOT(ISERROR(SEARCH("Exceeding maximum possible annual cycles. Please revise",C53)))</formula>
    </cfRule>
  </conditionalFormatting>
  <conditionalFormatting sqref="C56:Z56">
    <cfRule type="expression" dxfId="112" priority="72">
      <formula>NOT(ISBLANK(C$15))</formula>
    </cfRule>
  </conditionalFormatting>
  <conditionalFormatting sqref="C56:Z60">
    <cfRule type="expression" dxfId="111" priority="16">
      <formula>C$15=""</formula>
    </cfRule>
  </conditionalFormatting>
  <conditionalFormatting sqref="C57:Z57">
    <cfRule type="expression" dxfId="110" priority="41">
      <formula>C56&lt;&gt;"User Defined"</formula>
    </cfRule>
  </conditionalFormatting>
  <conditionalFormatting sqref="C57:Z58">
    <cfRule type="expression" dxfId="109" priority="37">
      <formula>C56="User defined"</formula>
    </cfRule>
  </conditionalFormatting>
  <conditionalFormatting sqref="C58:Z60">
    <cfRule type="expression" dxfId="108" priority="17">
      <formula>C$15&lt;&gt;""</formula>
    </cfRule>
  </conditionalFormatting>
  <conditionalFormatting sqref="C59:Z59">
    <cfRule type="expression" dxfId="107" priority="76">
      <formula>NOT(OR(C$15="Storage",C$56="User Defined"))</formula>
    </cfRule>
  </conditionalFormatting>
  <conditionalFormatting sqref="C61:Z61">
    <cfRule type="containsText" dxfId="106" priority="39" operator="containsText" text="Value should be between 0 and 1">
      <formula>NOT(ISERROR(SEARCH("Value should be between 0 and 1",C61)))</formula>
    </cfRule>
    <cfRule type="containsText" dxfId="105" priority="38" operator="containsText" text="Absence of generic data, please switch to User Defined and insert FLHs">
      <formula>NOT(ISERROR(SEARCH("Absence of generic data, please switch to User Defined and insert FLHs",C61)))</formula>
    </cfRule>
    <cfRule type="containsText" dxfId="104" priority="40" operator="containsText" text="Insert value above">
      <formula>NOT(ISERROR(SEARCH("Insert value above",C61)))</formula>
    </cfRule>
  </conditionalFormatting>
  <conditionalFormatting sqref="C64:Z64">
    <cfRule type="expression" dxfId="103" priority="81">
      <formula>C$15=""</formula>
    </cfRule>
  </conditionalFormatting>
  <conditionalFormatting sqref="C67:Z67">
    <cfRule type="expression" dxfId="102" priority="30">
      <formula>AND(NOT(ISBLANK(C$15)),C67="No")</formula>
    </cfRule>
    <cfRule type="expression" dxfId="101" priority="32">
      <formula>NOT(ISBLANK(C$15))</formula>
    </cfRule>
    <cfRule type="expression" dxfId="100" priority="31">
      <formula>AND(NOT(ISBLANK(C$15)),C67="Yes")</formula>
    </cfRule>
  </conditionalFormatting>
  <conditionalFormatting sqref="C67:Z68 C72:Z72">
    <cfRule type="expression" dxfId="99" priority="27">
      <formula>ISBLANK(C$15)</formula>
    </cfRule>
  </conditionalFormatting>
  <conditionalFormatting sqref="C68:Z68 C72:Z72">
    <cfRule type="expression" dxfId="98" priority="28">
      <formula>C$67="No"</formula>
    </cfRule>
    <cfRule type="expression" dxfId="97" priority="29">
      <formula>C$67="Yes"</formula>
    </cfRule>
  </conditionalFormatting>
  <conditionalFormatting sqref="C69:Z69">
    <cfRule type="expression" dxfId="96" priority="77">
      <formula>NOT(ISNUMBER(C$60))</formula>
    </cfRule>
    <cfRule type="expression" dxfId="95" priority="78">
      <formula>NOT(ISBLANK(C$15))</formula>
    </cfRule>
  </conditionalFormatting>
  <conditionalFormatting sqref="C69:Z71">
    <cfRule type="expression" dxfId="94" priority="79">
      <formula>C$67="No"</formula>
    </cfRule>
    <cfRule type="expression" dxfId="93" priority="80">
      <formula>C$15="Storage"</formula>
    </cfRule>
    <cfRule type="expression" dxfId="92" priority="22">
      <formula>C$15=""</formula>
    </cfRule>
  </conditionalFormatting>
  <conditionalFormatting sqref="C70:Z70">
    <cfRule type="expression" dxfId="91" priority="24">
      <formula>C69="User defined"</formula>
    </cfRule>
    <cfRule type="expression" dxfId="90" priority="23">
      <formula>C69&lt;&gt;"User defined"</formula>
    </cfRule>
  </conditionalFormatting>
  <conditionalFormatting sqref="C71:Z71">
    <cfRule type="expression" dxfId="89" priority="26">
      <formula>C69&lt;&gt;"User defined"</formula>
    </cfRule>
    <cfRule type="expression" dxfId="88" priority="25">
      <formula>C69="User defined"</formula>
    </cfRule>
  </conditionalFormatting>
  <conditionalFormatting sqref="C75:Z75">
    <cfRule type="expression" dxfId="87" priority="33">
      <formula>ISBLANK(C$15)</formula>
    </cfRule>
    <cfRule type="expression" dxfId="86" priority="35">
      <formula>AND(NOT(ISBLANK(C$15)),C75="Yes")</formula>
    </cfRule>
    <cfRule type="expression" dxfId="85" priority="36">
      <formula>NOT(ISBLANK(C$15))</formula>
    </cfRule>
    <cfRule type="expression" dxfId="84" priority="34">
      <formula>AND(NOT(ISBLANK(C$15)),C75="No")</formula>
    </cfRule>
  </conditionalFormatting>
  <conditionalFormatting sqref="C76:Z81 C84:Z90">
    <cfRule type="expression" dxfId="83" priority="48">
      <formula>NOT(ISBLANK(C$15))</formula>
    </cfRule>
  </conditionalFormatting>
  <conditionalFormatting sqref="C92:Z92">
    <cfRule type="expression" dxfId="82" priority="47">
      <formula>NOT(ISBLANK(C$15))</formula>
    </cfRule>
  </conditionalFormatting>
  <conditionalFormatting sqref="C93:Z93">
    <cfRule type="containsText" dxfId="81" priority="52" operator="containsText" text="Populate cells above">
      <formula>NOT(ISERROR(SEARCH("Populate cells above",C93)))</formula>
    </cfRule>
  </conditionalFormatting>
  <conditionalFormatting sqref="J143:J152">
    <cfRule type="colorScale" priority="5">
      <colorScale>
        <cfvo type="min"/>
        <cfvo type="percentile" val="50"/>
        <cfvo type="max"/>
        <color rgb="FF63BE7B"/>
        <color rgb="FFFFEB84"/>
        <color rgb="FFF8696B"/>
      </colorScale>
    </cfRule>
    <cfRule type="colorScale" priority="2">
      <colorScale>
        <cfvo type="min"/>
        <cfvo type="max"/>
        <color rgb="FF63BE7B"/>
        <color rgb="FFFCFCFF"/>
      </colorScale>
    </cfRule>
  </conditionalFormatting>
  <conditionalFormatting sqref="Z73">
    <cfRule type="expression" dxfId="80" priority="49">
      <formula>NOT(ISBLANK(Z$15))</formula>
    </cfRule>
  </conditionalFormatting>
  <dataValidations count="2">
    <dataValidation type="list" allowBlank="1" showInputMessage="1" showErrorMessage="1" sqref="C22:Z22 C32:Y32 C69:Z69 C56:Z56 C38:Z38" xr:uid="{CC8AAE37-3482-4BBA-90E2-448E1C379BA4}">
      <formula1>"Generic, User defined"</formula1>
    </dataValidation>
    <dataValidation type="list" allowBlank="1" showInputMessage="1" showErrorMessage="1" sqref="C75:Z75 C67:Z67" xr:uid="{54B90B9D-BBB7-4B1E-A7FA-348AE18A9AEA}">
      <formula1>"Yes, No"</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84" id="{EAA69EC1-A208-41F9-BB82-4DC2F97CDF96}">
            <xm:f>SUMIFS('Background (from TC)'!$J$4:$J$1048576,'Background (from TC)'!$D$4:$D$1048576,C$15,'Background (from TC)'!$E$4:$E$1048576,C$16,'Background (from TC)'!$O$4:$O$1048576,C$17)=""</xm:f>
            <x14:dxf>
              <font>
                <color theme="0" tint="-0.24994659260841701"/>
              </font>
              <fill>
                <patternFill>
                  <bgColor theme="0" tint="-0.24994659260841701"/>
                </patternFill>
              </fill>
            </x14:dxf>
          </x14:cfRule>
          <x14:cfRule type="expression" priority="83" id="{30C64568-72A6-4908-BDD0-FF38A75C57E3}">
            <xm:f>SUMIFS('Background (from TC)'!$J$4:$J$1048576,'Background (from TC)'!$D$4:$D$1048576,C$15,'Background (from TC)'!$E$4:$E$1048576,C$16,'Background (from TC)'!$O$4:$O$1048576,C$17)=0</xm:f>
            <x14:dxf>
              <font>
                <color theme="0" tint="-0.24994659260841701"/>
              </font>
              <fill>
                <patternFill>
                  <bgColor theme="0" tint="-0.24994659260841701"/>
                </patternFill>
              </fill>
            </x14:dxf>
          </x14:cfRule>
          <x14:cfRule type="expression" priority="82" id="{59B61496-9CBA-41B1-BFCC-DBAFF4C56024}">
            <xm:f>SUMIFS('Background (from TC)'!$J$4:$J$1048576,'Background (from TC)'!$D$4:$D$1048576,C$15,'Background (from TC)'!$E$4:$E$1048576,C$16,'Background (from TC)'!$O$4:$O$1048576,C$17)&gt;0</xm:f>
            <x14:dxf>
              <fill>
                <patternFill>
                  <bgColor theme="6" tint="0.79998168889431442"/>
                </patternFill>
              </fill>
            </x14:dxf>
          </x14:cfRule>
          <xm:sqref>C64:Z64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E360C4B-0A4E-4E38-9862-BE095019FF7C}">
          <x14:formula1>
            <xm:f>OFFSET('Background (from TC)'!$A$4,,,COUNTIF('Background (from TC)'!$A$4:$A$1048576,"?*"))</xm:f>
          </x14:formula1>
          <xm:sqref>C15:Z15</xm:sqref>
        </x14:dataValidation>
        <x14:dataValidation type="list" allowBlank="1" showInputMessage="1" showErrorMessage="1" xr:uid="{B09A84E9-516D-4B92-B499-0E02AD461136}">
          <x14:formula1>
            <xm:f>OFFSET('Background (from TC)'!$C$4,,,COUNTIF('Background (from TC)'!$C$4:$C$1048576,"&lt;&gt;"))</xm:f>
          </x14:formula1>
          <xm:sqref>D17:Z17 C17</xm:sqref>
        </x14:dataValidation>
        <x14:dataValidation type="list" allowBlank="1" showInputMessage="1" showErrorMessage="1" xr:uid="{69D7EB06-DED4-4013-A672-698087CF7A8C}">
          <x14:formula1>
            <xm:f>OFFSET('Fuel - Technology Mapping'!$A$3,0,MATCH(C$15,'Fuel - Technology Mapping'!1:1,0)-1,1000000)</xm:f>
          </x14:formula1>
          <xm:sqref>C16:Z16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636C-A4D0-4AEA-ADE9-3425041A3DA5}">
  <sheetPr>
    <tabColor theme="0"/>
  </sheetPr>
  <dimension ref="A2:AA119"/>
  <sheetViews>
    <sheetView showGridLines="0" zoomScale="90" zoomScaleNormal="90" workbookViewId="0"/>
  </sheetViews>
  <sheetFormatPr defaultColWidth="8.7109375" defaultRowHeight="15"/>
  <cols>
    <col min="1" max="1" width="8.7109375" style="3"/>
    <col min="2" max="2" width="65.42578125" bestFit="1" customWidth="1"/>
    <col min="3" max="3" width="37.140625" customWidth="1"/>
    <col min="4" max="4" width="29.85546875" bestFit="1" customWidth="1"/>
    <col min="5" max="5" width="8.85546875" customWidth="1"/>
    <col min="6" max="6" width="8.28515625" style="19" customWidth="1"/>
    <col min="7" max="26" width="8.7109375" style="19"/>
    <col min="27" max="27" width="8.7109375" style="39"/>
    <col min="28" max="16384" width="8.7109375" style="3"/>
  </cols>
  <sheetData>
    <row r="2" spans="2:26">
      <c r="B2" s="1" t="s">
        <v>0</v>
      </c>
      <c r="C2" s="1" t="s">
        <v>1</v>
      </c>
    </row>
    <row r="3" spans="2:26">
      <c r="B3" s="33"/>
      <c r="C3" s="15" t="s">
        <v>2</v>
      </c>
    </row>
    <row r="4" spans="2:26">
      <c r="B4" s="38"/>
      <c r="C4" s="15" t="s">
        <v>3</v>
      </c>
    </row>
    <row r="5" spans="2:26">
      <c r="B5" s="10"/>
      <c r="C5" s="15" t="s">
        <v>4</v>
      </c>
    </row>
    <row r="6" spans="2:26">
      <c r="B6" s="40"/>
      <c r="C6" s="15" t="s">
        <v>6</v>
      </c>
    </row>
    <row r="7" spans="2:26">
      <c r="C7" s="63" t="s">
        <v>964</v>
      </c>
    </row>
    <row r="8" spans="2:26" ht="15.75" thickBot="1"/>
    <row r="9" spans="2:26">
      <c r="B9" s="397" t="s">
        <v>156</v>
      </c>
      <c r="C9" s="398">
        <v>2022</v>
      </c>
    </row>
    <row r="10" spans="2:26" ht="15.75" thickBot="1">
      <c r="B10" s="400" t="s">
        <v>8</v>
      </c>
      <c r="C10" s="399">
        <v>0.02</v>
      </c>
    </row>
    <row r="11" spans="2:26">
      <c r="B11" s="1072"/>
      <c r="C11" s="1073"/>
    </row>
    <row r="13" spans="2:26">
      <c r="B13" s="285" t="s">
        <v>157</v>
      </c>
      <c r="C13" s="47">
        <v>25</v>
      </c>
      <c r="D13" s="67"/>
    </row>
    <row r="14" spans="2:26" ht="15.75">
      <c r="B14" s="286" t="s">
        <v>9</v>
      </c>
      <c r="C14" s="283" t="s">
        <v>158</v>
      </c>
      <c r="D14" s="1056" t="s">
        <v>1004</v>
      </c>
    </row>
    <row r="15" spans="2:26">
      <c r="B15" s="278" t="s">
        <v>10</v>
      </c>
      <c r="C15" s="45" t="s">
        <v>120</v>
      </c>
      <c r="D15" s="68" t="s">
        <v>21</v>
      </c>
      <c r="E15" s="45"/>
      <c r="F15" s="45"/>
      <c r="G15" s="45"/>
      <c r="H15" s="45"/>
      <c r="I15" s="45"/>
      <c r="J15" s="45"/>
      <c r="K15" s="45"/>
      <c r="L15" s="45"/>
      <c r="M15" s="45"/>
      <c r="N15" s="45"/>
      <c r="O15" s="45"/>
      <c r="P15" s="45"/>
      <c r="Q15" s="45"/>
      <c r="R15" s="45"/>
      <c r="S15" s="45"/>
      <c r="T15" s="45"/>
      <c r="U15" s="45"/>
      <c r="V15" s="45"/>
      <c r="W15" s="45"/>
      <c r="X15" s="45"/>
      <c r="Y15" s="45"/>
      <c r="Z15" s="45"/>
    </row>
    <row r="16" spans="2:26">
      <c r="B16" s="278" t="s">
        <v>145</v>
      </c>
      <c r="C16" s="270" t="s">
        <v>121</v>
      </c>
      <c r="D16" s="45" t="s">
        <v>36</v>
      </c>
      <c r="E16" s="45"/>
      <c r="F16" s="45"/>
      <c r="G16" s="45"/>
      <c r="H16" s="45"/>
      <c r="I16" s="45"/>
      <c r="J16" s="45"/>
      <c r="K16" s="45"/>
      <c r="L16" s="45"/>
      <c r="M16" s="45"/>
      <c r="N16" s="45"/>
      <c r="O16" s="45"/>
      <c r="P16" s="45"/>
      <c r="Q16" s="45"/>
      <c r="R16" s="45"/>
      <c r="S16" s="45"/>
      <c r="T16" s="45"/>
      <c r="U16" s="45"/>
      <c r="V16" s="45"/>
      <c r="W16" s="45"/>
      <c r="X16" s="45"/>
      <c r="Y16" s="45"/>
      <c r="Z16" s="45"/>
    </row>
    <row r="17" spans="2:26" ht="15.75" thickBot="1">
      <c r="B17" s="278" t="s">
        <v>41</v>
      </c>
      <c r="C17" s="1071">
        <v>2050</v>
      </c>
      <c r="D17" s="1134">
        <v>2050</v>
      </c>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row>
    <row r="18" spans="2:26" ht="15.75" thickBot="1">
      <c r="B18" s="273" t="s">
        <v>43</v>
      </c>
      <c r="C18" s="258" t="str">
        <f>IF(C16="","",IF(C17=0,"Technology unavailable in this year. Please revise",IF(INDEX('Background (from TC)'!$D:$D,MATCH(C16,'Background (from TC)'!$E:$E,0))=C15,"","Incompatible combination of Fuel and Technology")))</f>
        <v/>
      </c>
      <c r="D18" s="258" t="str">
        <f>IF(D16="","",IF(D17=0,"Technology unavailable in this year. Please revise",IF(INDEX('Background (from TC)'!$D:$D,MATCH(D16,'Background (from TC)'!$E:$E,0))=D15,"","Incompatible combination of Fuel and Technology")))</f>
        <v/>
      </c>
      <c r="E18" s="1135" t="str">
        <f>IF(E16="","",IF(E17=0,"Technology unavailable in this year. Please revise",IF(INDEX('Background (from TC)'!$D:$D,MATCH(E16,'Background (from TC)'!$E:$E,0))=E15,"","Incompatible combination of Fuel and Technology")))</f>
        <v/>
      </c>
      <c r="F18" s="1135" t="str">
        <f>IF(F16="","",IF(F17=0,"Technology unavailable in this year. Please revise",IF(INDEX('Background (from TC)'!$D:$D,MATCH(F16,'Background (from TC)'!$E:$E,0))=F15,"","Incompatible combination of Fuel and Technology")))</f>
        <v/>
      </c>
      <c r="G18" s="1135" t="str">
        <f>IF(G16="","",IF(G17=0,"Technology unavailable in this year. Please revise",IF(INDEX('Background (from TC)'!$D:$D,MATCH(G16,'Background (from TC)'!$E:$E,0))=G15,"","Incompatible combination of Fuel and Technology")))</f>
        <v/>
      </c>
      <c r="H18" s="1135" t="str">
        <f>IF(H16="","",IF(H17=0,"Technology unavailable in this year. Please revise",IF(INDEX('Background (from TC)'!$D:$D,MATCH(H16,'Background (from TC)'!$E:$E,0))=H15,"","Incompatible combination of Fuel and Technology")))</f>
        <v/>
      </c>
      <c r="I18" s="1135" t="str">
        <f>IF(I16="","",IF(I17=0,"Technology unavailable in this year. Please revise",IF(INDEX('Background (from TC)'!$D:$D,MATCH(I16,'Background (from TC)'!$E:$E,0))=I15,"","Incompatible combination of Fuel and Technology")))</f>
        <v/>
      </c>
      <c r="J18" s="1135" t="str">
        <f>IF(J16="","",IF(J17=0,"Technology unavailable in this year. Please revise",IF(INDEX('Background (from TC)'!$D:$D,MATCH(J16,'Background (from TC)'!$E:$E,0))=J15,"","Incompatible combination of Fuel and Technology")))</f>
        <v/>
      </c>
      <c r="K18" s="1135" t="str">
        <f>IF(K16="","",IF(K17=0,"Technology unavailable in this year. Please revise",IF(INDEX('Background (from TC)'!$D:$D,MATCH(K16,'Background (from TC)'!$E:$E,0))=K15,"","Incompatible combination of Fuel and Technology")))</f>
        <v/>
      </c>
      <c r="L18" s="1135" t="str">
        <f>IF(L16="","",IF(L17=0,"Technology unavailable in this year. Please revise",IF(INDEX('Background (from TC)'!$D:$D,MATCH(L16,'Background (from TC)'!$E:$E,0))=L15,"","Incompatible combination of Fuel and Technology")))</f>
        <v/>
      </c>
      <c r="M18" s="1135" t="str">
        <f>IF(M16="","",IF(M17=0,"Technology unavailable in this year. Please revise",IF(INDEX('Background (from TC)'!$D:$D,MATCH(M16,'Background (from TC)'!$E:$E,0))=M15,"","Incompatible combination of Fuel and Technology")))</f>
        <v/>
      </c>
      <c r="N18" s="1135" t="str">
        <f>IF(N16="","",IF(N17=0,"Technology unavailable in this year. Please revise",IF(INDEX('Background (from TC)'!$D:$D,MATCH(N16,'Background (from TC)'!$E:$E,0))=N15,"","Incompatible combination of Fuel and Technology")))</f>
        <v/>
      </c>
      <c r="O18" s="1135" t="str">
        <f>IF(O16="","",IF(O17=0,"Technology unavailable in this year. Please revise",IF(INDEX('Background (from TC)'!$D:$D,MATCH(O16,'Background (from TC)'!$E:$E,0))=O15,"","Incompatible combination of Fuel and Technology")))</f>
        <v/>
      </c>
      <c r="P18" s="1135" t="str">
        <f>IF(P16="","",IF(P17=0,"Technology unavailable in this year. Please revise",IF(INDEX('Background (from TC)'!$D:$D,MATCH(P16,'Background (from TC)'!$E:$E,0))=P15,"","Incompatible combination of Fuel and Technology")))</f>
        <v/>
      </c>
      <c r="Q18" s="1135" t="str">
        <f>IF(Q16="","",IF(Q17=0,"Technology unavailable in this year. Please revise",IF(INDEX('Background (from TC)'!$D:$D,MATCH(Q16,'Background (from TC)'!$E:$E,0))=Q15,"","Incompatible combination of Fuel and Technology")))</f>
        <v/>
      </c>
      <c r="R18" s="1135" t="str">
        <f>IF(R16="","",IF(R17=0,"Technology unavailable in this year. Please revise",IF(INDEX('Background (from TC)'!$D:$D,MATCH(R16,'Background (from TC)'!$E:$E,0))=R15,"","Incompatible combination of Fuel and Technology")))</f>
        <v/>
      </c>
      <c r="S18" s="1135" t="str">
        <f>IF(S16="","",IF(S17=0,"Technology unavailable in this year. Please revise",IF(INDEX('Background (from TC)'!$D:$D,MATCH(S16,'Background (from TC)'!$E:$E,0))=S15,"","Incompatible combination of Fuel and Technology")))</f>
        <v/>
      </c>
      <c r="T18" s="1135" t="str">
        <f>IF(T16="","",IF(T17=0,"Technology unavailable in this year. Please revise",IF(INDEX('Background (from TC)'!$D:$D,MATCH(T16,'Background (from TC)'!$E:$E,0))=T15,"","Incompatible combination of Fuel and Technology")))</f>
        <v/>
      </c>
      <c r="U18" s="1135" t="str">
        <f>IF(U16="","",IF(U17=0,"Technology unavailable in this year. Please revise",IF(INDEX('Background (from TC)'!$D:$D,MATCH(U16,'Background (from TC)'!$E:$E,0))=U15,"","Incompatible combination of Fuel and Technology")))</f>
        <v/>
      </c>
      <c r="V18" s="1135" t="str">
        <f>IF(V16="","",IF(V17=0,"Technology unavailable in this year. Please revise",IF(INDEX('Background (from TC)'!$D:$D,MATCH(V16,'Background (from TC)'!$E:$E,0))=V15,"","Incompatible combination of Fuel and Technology")))</f>
        <v/>
      </c>
      <c r="W18" s="1135" t="str">
        <f>IF(W16="","",IF(W17=0,"Technology unavailable in this year. Please revise",IF(INDEX('Background (from TC)'!$D:$D,MATCH(W16,'Background (from TC)'!$E:$E,0))=W15,"","Incompatible combination of Fuel and Technology")))</f>
        <v/>
      </c>
      <c r="X18" s="1135" t="str">
        <f>IF(X16="","",IF(X17=0,"Technology unavailable in this year. Please revise",IF(INDEX('Background (from TC)'!$D:$D,MATCH(X16,'Background (from TC)'!$E:$E,0))=X15,"","Incompatible combination of Fuel and Technology")))</f>
        <v/>
      </c>
      <c r="Y18" s="1135" t="str">
        <f>IF(Y16="","",IF(Y17=0,"Technology unavailable in this year. Please revise",IF(INDEX('Background (from TC)'!$D:$D,MATCH(Y16,'Background (from TC)'!$E:$E,0))=Y15,"","Incompatible combination of Fuel and Technology")))</f>
        <v/>
      </c>
      <c r="Z18" s="1135" t="str">
        <f>IF(Z16="","",IF(Z17=0,"Technology unavailable in this year. Please revise",IF(INDEX('Background (from TC)'!$D:$D,MATCH(Z16,'Background (from TC)'!$E:$E,0))=Z15,"","Incompatible combination of Fuel and Technology")))</f>
        <v/>
      </c>
    </row>
    <row r="19" spans="2:26">
      <c r="C19" s="19"/>
      <c r="D19" s="69"/>
      <c r="E19" s="19"/>
    </row>
    <row r="20" spans="2:26">
      <c r="C20" s="19"/>
      <c r="D20" s="69"/>
      <c r="E20" s="19"/>
    </row>
    <row r="21" spans="2:26" ht="15.75">
      <c r="B21" s="271" t="s">
        <v>44</v>
      </c>
      <c r="C21" s="19"/>
      <c r="D21" s="69"/>
      <c r="E21" s="19"/>
    </row>
    <row r="22" spans="2:26">
      <c r="B22" s="282" t="s">
        <v>45</v>
      </c>
      <c r="C22" s="44" t="s">
        <v>46</v>
      </c>
      <c r="D22" s="70" t="s">
        <v>46</v>
      </c>
      <c r="E22" s="44"/>
      <c r="F22" s="44"/>
      <c r="G22" s="44"/>
      <c r="H22" s="44"/>
      <c r="I22" s="44"/>
      <c r="J22" s="44"/>
      <c r="K22" s="44"/>
      <c r="L22" s="44"/>
      <c r="M22" s="44"/>
      <c r="N22" s="44"/>
      <c r="O22" s="44"/>
      <c r="P22" s="44"/>
      <c r="Q22" s="44"/>
      <c r="R22" s="44"/>
      <c r="S22" s="44"/>
      <c r="T22" s="44"/>
      <c r="U22" s="44"/>
      <c r="V22" s="44"/>
      <c r="W22" s="44"/>
      <c r="X22" s="44"/>
      <c r="Y22" s="44"/>
      <c r="Z22" s="44"/>
    </row>
    <row r="23" spans="2:26">
      <c r="B23" s="278" t="s">
        <v>47</v>
      </c>
      <c r="C23" s="41"/>
      <c r="D23" s="71"/>
      <c r="E23" s="19"/>
    </row>
    <row r="24" spans="2:26">
      <c r="B24" s="278" t="s">
        <v>48</v>
      </c>
      <c r="C24" s="42">
        <f>IF(C22="","",IF(C22="User defined",C23,SUMIFS('Background (from TC)'!$AE$4:$AE$1048576,'Background (from TC)'!$D$4:$D$1048576,C$15,'Background (from TC)'!$E$4:$E$1048576,C$16,'Background (from TC)'!$O$4:$O$1048576,C$17)))</f>
        <v>0.1</v>
      </c>
      <c r="D24" s="71">
        <f>IF(D22="","",IF(D22="User defined",D23,SUMIFS('Background (from TC)'!$AE$4:$AE$1048576,'Background (from TC)'!$D$4:$D$1048576,D$15,'Background (from TC)'!$E$4:$E$1048576,D$16,'Background (from TC)'!$O$4:$O$1048576,D$17)))</f>
        <v>0.1</v>
      </c>
      <c r="E24" s="42" t="str">
        <f>IF(E22="","",IF(E22="User defined",E23,SUMIFS('Background (from TC)'!$AE$4:$AE$1048576,'Background (from TC)'!$D$4:$D$1048576,E$15,'Background (from TC)'!$E$4:$E$1048576,E$16,'Background (from TC)'!$O$4:$O$1048576,E$17)))</f>
        <v/>
      </c>
      <c r="F24" s="42" t="str">
        <f>IF(F22="","",IF(F22="User defined",F23,SUMIFS('Background (from TC)'!$AE$4:$AE$1048576,'Background (from TC)'!$D$4:$D$1048576,F$15,'Background (from TC)'!$E$4:$E$1048576,F$16,'Background (from TC)'!$O$4:$O$1048576,F$17)))</f>
        <v/>
      </c>
      <c r="G24" s="42" t="str">
        <f>IF(G22="","",IF(G22="User defined",G23,SUMIFS('Background (from TC)'!$AE$4:$AE$1048576,'Background (from TC)'!$D$4:$D$1048576,G$15,'Background (from TC)'!$E$4:$E$1048576,G$16,'Background (from TC)'!$O$4:$O$1048576,G$17)))</f>
        <v/>
      </c>
      <c r="H24" s="42" t="str">
        <f>IF(H22="","",IF(H22="User defined",H23,SUMIFS('Background (from TC)'!$AE$4:$AE$1048576,'Background (from TC)'!$D$4:$D$1048576,H$15,'Background (from TC)'!$E$4:$E$1048576,H$16,'Background (from TC)'!$O$4:$O$1048576,H$17)))</f>
        <v/>
      </c>
      <c r="I24" s="42" t="str">
        <f>IF(I22="","",IF(I22="User defined",I23,SUMIFS('Background (from TC)'!$AE$4:$AE$1048576,'Background (from TC)'!$D$4:$D$1048576,I$15,'Background (from TC)'!$E$4:$E$1048576,I$16,'Background (from TC)'!$O$4:$O$1048576,I$17)))</f>
        <v/>
      </c>
      <c r="J24" s="42" t="str">
        <f>IF(J22="","",IF(J22="User defined",J23,SUMIFS('Background (from TC)'!$AE$4:$AE$1048576,'Background (from TC)'!$D$4:$D$1048576,J$15,'Background (from TC)'!$E$4:$E$1048576,J$16,'Background (from TC)'!$O$4:$O$1048576,J$17)))</f>
        <v/>
      </c>
      <c r="K24" s="42" t="str">
        <f>IF(K22="","",IF(K22="User defined",K23,SUMIFS('Background (from TC)'!$AE$4:$AE$1048576,'Background (from TC)'!$D$4:$D$1048576,K$15,'Background (from TC)'!$E$4:$E$1048576,K$16,'Background (from TC)'!$O$4:$O$1048576,K$17)))</f>
        <v/>
      </c>
      <c r="L24" s="42" t="str">
        <f>IF(L22="","",IF(L22="User defined",L23,SUMIFS('Background (from TC)'!$AE$4:$AE$1048576,'Background (from TC)'!$D$4:$D$1048576,L$15,'Background (from TC)'!$E$4:$E$1048576,L$16,'Background (from TC)'!$O$4:$O$1048576,L$17)))</f>
        <v/>
      </c>
      <c r="M24" s="42" t="str">
        <f>IF(M22="","",IF(M22="User defined",M23,SUMIFS('Background (from TC)'!$AE$4:$AE$1048576,'Background (from TC)'!$D$4:$D$1048576,M$15,'Background (from TC)'!$E$4:$E$1048576,M$16,'Background (from TC)'!$O$4:$O$1048576,M$17)))</f>
        <v/>
      </c>
      <c r="N24" s="42" t="str">
        <f>IF(N22="","",IF(N22="User defined",N23,SUMIFS('Background (from TC)'!$AE$4:$AE$1048576,'Background (from TC)'!$D$4:$D$1048576,N$15,'Background (from TC)'!$E$4:$E$1048576,N$16,'Background (from TC)'!$O$4:$O$1048576,N$17)))</f>
        <v/>
      </c>
      <c r="O24" s="42" t="str">
        <f>IF(O22="","",IF(O22="User defined",O23,SUMIFS('Background (from TC)'!$AE$4:$AE$1048576,'Background (from TC)'!$D$4:$D$1048576,O$15,'Background (from TC)'!$E$4:$E$1048576,O$16,'Background (from TC)'!$O$4:$O$1048576,O$17)))</f>
        <v/>
      </c>
      <c r="P24" s="42" t="str">
        <f>IF(P22="","",IF(P22="User defined",P23,SUMIFS('Background (from TC)'!$AE$4:$AE$1048576,'Background (from TC)'!$D$4:$D$1048576,P$15,'Background (from TC)'!$E$4:$E$1048576,P$16,'Background (from TC)'!$O$4:$O$1048576,P$17)))</f>
        <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f t="shared" ref="C25:Z25" si="0">IF(C22="","",-PMT(C24,$C$13,1))</f>
        <v>0.11016807219002085</v>
      </c>
      <c r="D25" s="72">
        <f t="shared" si="0"/>
        <v>0.11016807219002085</v>
      </c>
      <c r="E25" s="41" t="str">
        <f t="shared" si="0"/>
        <v/>
      </c>
      <c r="F25" s="41" t="str">
        <f t="shared" si="0"/>
        <v/>
      </c>
      <c r="G25" s="41" t="str">
        <f t="shared" si="0"/>
        <v/>
      </c>
      <c r="H25" s="41" t="str">
        <f t="shared" si="0"/>
        <v/>
      </c>
      <c r="I25" s="41" t="str">
        <f t="shared" si="0"/>
        <v/>
      </c>
      <c r="J25" s="41" t="str">
        <f t="shared" si="0"/>
        <v/>
      </c>
      <c r="K25" s="41" t="str">
        <f t="shared" si="0"/>
        <v/>
      </c>
      <c r="L25" s="41" t="str">
        <f t="shared" si="0"/>
        <v/>
      </c>
      <c r="M25" s="41" t="str">
        <f t="shared" si="0"/>
        <v/>
      </c>
      <c r="N25" s="41" t="str">
        <f t="shared" si="0"/>
        <v/>
      </c>
      <c r="O25" s="41" t="str">
        <f t="shared" si="0"/>
        <v/>
      </c>
      <c r="P25" s="41" t="str">
        <f t="shared" si="0"/>
        <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73"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272"/>
      <c r="D27" s="67"/>
    </row>
    <row r="28" spans="2:26">
      <c r="B28" s="278" t="s">
        <v>50</v>
      </c>
      <c r="C28" s="61">
        <f>IF(C22="","",SUMIFS('Background (from TC)'!$F$4:$F$1048576,'Background (from TC)'!$D$4:$D$1048576,C$15,'Background (from TC)'!$E$4:$E$1048576,C$16,'Background (from TC)'!$O$4:$O$1048576,C$17))</f>
        <v>2022</v>
      </c>
      <c r="D28" s="404">
        <f>IF(D22="","",SUMIFS('Background (from TC)'!$F$4:$F$1048576,'Background (from TC)'!$D$4:$D$1048576,D$15,'Background (from TC)'!$E$4:$E$1048576,D$16,'Background (from TC)'!$O$4:$O$1048576,D$17))</f>
        <v>2022</v>
      </c>
      <c r="E28" s="61" t="str">
        <f>IF(E22="","",SUMIFS('Background (from TC)'!$F$4:$F$1048576,'Background (from TC)'!$D$4:$D$1048576,E$15,'Background (from TC)'!$E$4:$E$1048576,E$16,'Background (from TC)'!$O$4:$O$1048576,E$17))</f>
        <v/>
      </c>
      <c r="F28" s="61" t="str">
        <f>IF(F22="","",SUMIFS('Background (from TC)'!$F$4:$F$1048576,'Background (from TC)'!$D$4:$D$1048576,F$15,'Background (from TC)'!$E$4:$E$1048576,F$16,'Background (from TC)'!$O$4:$O$1048576,F$17))</f>
        <v/>
      </c>
      <c r="G28" s="61" t="str">
        <f>IF(G22="","",SUMIFS('Background (from TC)'!$F$4:$F$1048576,'Background (from TC)'!$D$4:$D$1048576,G$15,'Background (from TC)'!$E$4:$E$1048576,G$16,'Background (from TC)'!$O$4:$O$1048576,G$17))</f>
        <v/>
      </c>
      <c r="H28" s="61" t="str">
        <f>IF(H22="","",SUMIFS('Background (from TC)'!$F$4:$F$1048576,'Background (from TC)'!$D$4:$D$1048576,H$15,'Background (from TC)'!$E$4:$E$1048576,H$16,'Background (from TC)'!$O$4:$O$1048576,H$17))</f>
        <v/>
      </c>
      <c r="I28" s="61" t="str">
        <f>IF(I22="","",SUMIFS('Background (from TC)'!$F$4:$F$1048576,'Background (from TC)'!$D$4:$D$1048576,I$15,'Background (from TC)'!$E$4:$E$1048576,I$16,'Background (from TC)'!$O$4:$O$1048576,I$17))</f>
        <v/>
      </c>
      <c r="J28" s="61" t="str">
        <f>IF(J22="","",SUMIFS('Background (from TC)'!$F$4:$F$1048576,'Background (from TC)'!$D$4:$D$1048576,J$15,'Background (from TC)'!$E$4:$E$1048576,J$16,'Background (from TC)'!$O$4:$O$1048576,J$17))</f>
        <v/>
      </c>
      <c r="K28" s="61" t="str">
        <f>IF(K22="","",SUMIFS('Background (from TC)'!$F$4:$F$1048576,'Background (from TC)'!$D$4:$D$1048576,K$15,'Background (from TC)'!$E$4:$E$1048576,K$16,'Background (from TC)'!$O$4:$O$1048576,K$17))</f>
        <v/>
      </c>
      <c r="L28" s="61" t="str">
        <f>IF(L22="","",SUMIFS('Background (from TC)'!$F$4:$F$1048576,'Background (from TC)'!$D$4:$D$1048576,L$15,'Background (from TC)'!$E$4:$E$1048576,L$16,'Background (from TC)'!$O$4:$O$1048576,L$17))</f>
        <v/>
      </c>
      <c r="M28" s="61" t="str">
        <f>IF(M22="","",SUMIFS('Background (from TC)'!$F$4:$F$1048576,'Background (from TC)'!$D$4:$D$1048576,M$15,'Background (from TC)'!$E$4:$E$1048576,M$16,'Background (from TC)'!$O$4:$O$1048576,M$17))</f>
        <v/>
      </c>
      <c r="N28" s="61" t="str">
        <f>IF(N22="","",SUMIFS('Background (from TC)'!$F$4:$F$1048576,'Background (from TC)'!$D$4:$D$1048576,N$15,'Background (from TC)'!$E$4:$E$1048576,N$16,'Background (from TC)'!$O$4:$O$1048576,N$17))</f>
        <v/>
      </c>
      <c r="O28" s="61" t="str">
        <f>IF(O22="","",SUMIFS('Background (from TC)'!$F$4:$F$1048576,'Background (from TC)'!$D$4:$D$1048576,O$15,'Background (from TC)'!$E$4:$E$1048576,O$16,'Background (from TC)'!$O$4:$O$1048576,O$17))</f>
        <v/>
      </c>
      <c r="P28" s="61" t="str">
        <f>IF(P22="","",SUMIFS('Background (from TC)'!$F$4:$F$1048576,'Background (from TC)'!$D$4:$D$1048576,P$15,'Background (from TC)'!$E$4:$E$1048576,P$16,'Background (from TC)'!$O$4:$O$1048576,P$17))</f>
        <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f>IF(C22="","",(1+$C$10)^($C$9-C28))</f>
        <v>1</v>
      </c>
      <c r="D29" s="403">
        <f t="shared" ref="D29:Z29" si="2">IF(D22="","",(1+$C$10)^($C$9-D28))</f>
        <v>1</v>
      </c>
      <c r="E29" s="402" t="str">
        <f t="shared" si="2"/>
        <v/>
      </c>
      <c r="F29" s="402" t="str">
        <f t="shared" si="2"/>
        <v/>
      </c>
      <c r="G29" s="402" t="str">
        <f t="shared" si="2"/>
        <v/>
      </c>
      <c r="H29" s="402" t="str">
        <f t="shared" si="2"/>
        <v/>
      </c>
      <c r="I29" s="402" t="str">
        <f t="shared" si="2"/>
        <v/>
      </c>
      <c r="J29" s="402" t="str">
        <f t="shared" si="2"/>
        <v/>
      </c>
      <c r="K29" s="402" t="str">
        <f t="shared" si="2"/>
        <v/>
      </c>
      <c r="L29" s="402" t="str">
        <f t="shared" si="2"/>
        <v/>
      </c>
      <c r="M29" s="402" t="str">
        <f t="shared" si="2"/>
        <v/>
      </c>
      <c r="N29" s="402" t="str">
        <f t="shared" si="2"/>
        <v/>
      </c>
      <c r="O29" s="402" t="str">
        <f t="shared" si="2"/>
        <v/>
      </c>
      <c r="P29" s="402" t="str">
        <f t="shared" si="2"/>
        <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
      <c r="D30" s="67"/>
    </row>
    <row r="31" spans="2:26" ht="15.75">
      <c r="B31" s="286" t="s">
        <v>52</v>
      </c>
      <c r="D31" s="67"/>
    </row>
    <row r="32" spans="2:26">
      <c r="B32" s="278" t="s">
        <v>53</v>
      </c>
      <c r="C32" s="19"/>
      <c r="D32" s="69" t="s">
        <v>46</v>
      </c>
      <c r="E32" s="19"/>
    </row>
    <row r="33" spans="1:27">
      <c r="B33" s="278" t="s">
        <v>55</v>
      </c>
      <c r="C33" s="43"/>
      <c r="D33" s="74"/>
      <c r="E33" s="43"/>
      <c r="F33" s="43"/>
      <c r="G33" s="43"/>
      <c r="H33" s="43"/>
      <c r="I33" s="43"/>
      <c r="J33" s="43"/>
      <c r="K33" s="43"/>
      <c r="L33" s="43"/>
      <c r="M33" s="43"/>
      <c r="N33" s="43"/>
      <c r="O33" s="43"/>
      <c r="P33" s="43"/>
      <c r="Q33" s="43"/>
      <c r="R33" s="43"/>
      <c r="S33" s="43"/>
      <c r="T33" s="43"/>
      <c r="U33" s="43"/>
      <c r="V33" s="43"/>
      <c r="W33" s="43"/>
      <c r="X33" s="43"/>
      <c r="Y33" s="43"/>
      <c r="Z33" s="43"/>
    </row>
    <row r="34" spans="1:27" ht="15.75" thickBot="1">
      <c r="B34" s="278" t="s">
        <v>56</v>
      </c>
      <c r="C34" s="266"/>
      <c r="D34" s="246">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1890.5</v>
      </c>
      <c r="E34" s="246" t="str">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
      </c>
      <c r="F34" s="246" t="str">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
      </c>
      <c r="G34" s="246" t="str">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
      </c>
      <c r="H34" s="246" t="str">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
      </c>
      <c r="I34" s="246" t="str">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
      </c>
      <c r="J34" s="246" t="str">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
      </c>
      <c r="K34" s="246" t="str">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
      </c>
      <c r="L34" s="246" t="str">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
      </c>
      <c r="M34" s="246" t="str">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
      </c>
      <c r="N34" s="246" t="str">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
      </c>
      <c r="O34" s="246" t="str">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
      </c>
      <c r="P34" s="246" t="str">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
      </c>
      <c r="Q34" s="246"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246"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246" t="str">
        <f>IF(S32="","",IF(S32="User defined",S33,IF(SUMIFS('Background (from TC)'!$R$4:$R$1048576,'Background (from TC)'!$D$4:$D$1048576,S$15,'Background (from TC)'!$E$4:$E$1048576,S$16,'Background (from TC)'!$O$4:$O$1048576,S$17)=0,4000,SUMIFS('Background (from TC)'!$R$4:$R$1048576,'Background (from TC)'!$D$4:$D$1048576,S$15,'Background (from TC)'!$E$4:$E$1048576,S$16,'Background (from TC)'!$O$4:$O$1048576,S$17))))</f>
        <v/>
      </c>
      <c r="T34" s="246" t="str">
        <f>IF(T32="","",IF(T32="User defined",T33,IF(SUMIFS('Background (from TC)'!$R$4:$R$1048576,'Background (from TC)'!$D$4:$D$1048576,T$15,'Background (from TC)'!$E$4:$E$1048576,T$16,'Background (from TC)'!$O$4:$O$1048576,T$17)=0,4000,SUMIFS('Background (from TC)'!$R$4:$R$1048576,'Background (from TC)'!$D$4:$D$1048576,T$15,'Background (from TC)'!$E$4:$E$1048576,T$16,'Background (from TC)'!$O$4:$O$1048576,T$17))))</f>
        <v/>
      </c>
      <c r="U34" s="246"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246"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246"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246"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246"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246"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1:27" ht="15.75" thickBot="1">
      <c r="B35" s="273" t="s">
        <v>43</v>
      </c>
      <c r="C35" s="258" t="str">
        <f>IF(AND(C32="User defined",C33=""),"Insert value above",IF(AND(C32="User defined",OR(C33&lt;0,C33&gt;8760)),"Value should be between 0 and 8760",""))</f>
        <v/>
      </c>
      <c r="D35" s="257" t="str">
        <f>IF(AND(D32="User defined",D33=""),"Insert value above",IF(AND(D32="User defined",OR(D33&lt;0,D33&gt;8760)),"Value should be between 0 and 8760",IF(AND(D32="Generic",OR(D34=0,NOT(ISNUMBER(D34)))),"Absence of generic data, please switch to User Defined and insert FLHs","")))</f>
        <v/>
      </c>
      <c r="E35" s="258" t="str">
        <f t="shared" ref="E35:Z35" si="3">IF(AND(E32="User defined",E33=""),"Insert value above",IF(AND(E32="User defined",OR(E33&lt;0,E33&gt;8760)),"Value should be between 0 and 8760",IF(AND(E32="Generic",OR(E34=0,NOT(ISNUMBER(E34)))),"Absence of generic data, please switch to User Defined and insert FLHs","")))</f>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9" t="str">
        <f t="shared" si="3"/>
        <v/>
      </c>
    </row>
    <row r="36" spans="1:27">
      <c r="B36" s="15"/>
      <c r="C36" s="274"/>
      <c r="D36" s="275"/>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1:27" ht="15.75">
      <c r="B37" s="286" t="s">
        <v>57</v>
      </c>
      <c r="C37" s="19"/>
      <c r="D37" s="69"/>
      <c r="E37" s="19"/>
    </row>
    <row r="38" spans="1:27">
      <c r="B38" s="282" t="s">
        <v>58</v>
      </c>
      <c r="C38" s="44" t="s">
        <v>54</v>
      </c>
      <c r="D38" s="70"/>
      <c r="E38" s="44"/>
      <c r="F38" s="44"/>
      <c r="G38" s="44"/>
      <c r="H38" s="44"/>
      <c r="I38" s="44"/>
      <c r="J38" s="44"/>
      <c r="K38" s="44"/>
      <c r="L38" s="44"/>
      <c r="M38" s="44"/>
      <c r="N38" s="44"/>
      <c r="O38" s="44"/>
      <c r="P38" s="44"/>
      <c r="Q38" s="44"/>
      <c r="R38" s="44"/>
      <c r="S38" s="44"/>
      <c r="T38" s="44"/>
      <c r="U38" s="44"/>
      <c r="V38" s="44"/>
      <c r="W38" s="44"/>
      <c r="X38" s="44"/>
      <c r="Y38" s="44"/>
      <c r="Z38" s="44"/>
    </row>
    <row r="39" spans="1:27">
      <c r="B39" s="278" t="s">
        <v>59</v>
      </c>
      <c r="C39" s="44">
        <v>4</v>
      </c>
      <c r="D39" s="70"/>
      <c r="E39" s="44"/>
      <c r="F39" s="44"/>
      <c r="G39" s="44"/>
      <c r="H39" s="44"/>
      <c r="I39" s="44"/>
      <c r="J39" s="44"/>
      <c r="K39" s="44"/>
      <c r="L39" s="44"/>
      <c r="M39" s="44"/>
      <c r="N39" s="44"/>
      <c r="O39" s="44"/>
      <c r="P39" s="44"/>
      <c r="Q39" s="44"/>
      <c r="R39" s="44"/>
      <c r="S39" s="44"/>
      <c r="T39" s="44"/>
      <c r="U39" s="44"/>
      <c r="V39" s="44"/>
      <c r="W39" s="44"/>
      <c r="X39" s="44"/>
      <c r="Y39" s="44"/>
      <c r="Z39" s="44"/>
    </row>
    <row r="40" spans="1:27">
      <c r="B40" s="278" t="s">
        <v>60</v>
      </c>
      <c r="C40" s="44">
        <v>0.5</v>
      </c>
      <c r="D40" s="70"/>
      <c r="E40" s="44"/>
      <c r="F40" s="44"/>
      <c r="G40" s="44"/>
      <c r="H40" s="44"/>
      <c r="I40" s="44"/>
      <c r="J40" s="44"/>
      <c r="K40" s="44"/>
      <c r="L40" s="44"/>
      <c r="M40" s="44"/>
      <c r="N40" s="44"/>
      <c r="O40" s="44"/>
      <c r="P40" s="44"/>
      <c r="Q40" s="44"/>
      <c r="R40" s="44"/>
      <c r="S40" s="44"/>
      <c r="T40" s="44"/>
      <c r="U40" s="44"/>
      <c r="V40" s="44"/>
      <c r="W40" s="44"/>
      <c r="X40" s="44"/>
      <c r="Y40" s="44"/>
      <c r="Z40" s="44"/>
    </row>
    <row r="41" spans="1:27">
      <c r="B41" s="278" t="s">
        <v>61</v>
      </c>
      <c r="C41" s="44">
        <v>0.5</v>
      </c>
      <c r="D41" s="70"/>
      <c r="E41" s="44"/>
      <c r="F41" s="44"/>
      <c r="G41" s="44"/>
      <c r="H41" s="44"/>
      <c r="I41" s="44"/>
      <c r="J41" s="44"/>
      <c r="K41" s="44"/>
      <c r="L41" s="44"/>
      <c r="M41" s="44"/>
      <c r="N41" s="44"/>
      <c r="O41" s="44"/>
      <c r="P41" s="44"/>
      <c r="Q41" s="44"/>
      <c r="R41" s="44"/>
      <c r="S41" s="44"/>
      <c r="T41" s="44"/>
      <c r="U41" s="44"/>
      <c r="V41" s="44"/>
      <c r="W41" s="44"/>
      <c r="X41" s="44"/>
      <c r="Y41" s="44"/>
      <c r="Z41" s="44"/>
    </row>
    <row r="42" spans="1:27">
      <c r="B42" s="278" t="s">
        <v>62</v>
      </c>
      <c r="C42" s="44">
        <f>IF(C15="","",IF(C15&lt;&gt;"Storage","",IF(C$38="User Defined",C$39,SUMIFS('Background (from TC)'!$Y$4:$Y$1048576,'Background (from TC)'!$D$4:$D$1048576,C$15,'Background (from TC)'!$E$4:$E$1048576,C$16,'Background (from TC)'!$O$4:$O$1048576,C$17))))</f>
        <v>4</v>
      </c>
      <c r="D42" s="70"/>
      <c r="E42" s="44"/>
      <c r="F42" s="44"/>
      <c r="G42" s="44"/>
      <c r="H42" s="44"/>
      <c r="I42" s="44"/>
      <c r="J42" s="44"/>
      <c r="K42" s="44"/>
      <c r="L42" s="44"/>
      <c r="M42" s="44"/>
      <c r="N42" s="44"/>
      <c r="O42" s="44"/>
      <c r="P42" s="44"/>
      <c r="Q42" s="44"/>
      <c r="R42" s="44"/>
      <c r="S42" s="44"/>
      <c r="T42" s="44"/>
      <c r="U42" s="44"/>
      <c r="V42" s="44"/>
      <c r="W42" s="44"/>
      <c r="X42" s="44"/>
      <c r="Y42" s="44"/>
      <c r="Z42" s="44"/>
    </row>
    <row r="43" spans="1:27">
      <c r="B43" s="278" t="s">
        <v>63</v>
      </c>
      <c r="C43" s="44">
        <f>IF(C15="","",IF(C15&lt;&gt;"Storage","",IF(C$38="User Defined",C$40,SUMIFS('Background (from TC)'!$Z$4:$Z$1048576,'Background (from TC)'!$D$4:$D$1048576,C$15,'Background (from TC)'!$E$4:$E$1048576,C$16,'Background (from TC)'!$O$4:$O$1048576,C$17))))</f>
        <v>0.5</v>
      </c>
      <c r="D43" s="70"/>
      <c r="E43" s="44"/>
      <c r="F43" s="44"/>
      <c r="G43" s="44"/>
      <c r="H43" s="44"/>
      <c r="I43" s="44"/>
      <c r="J43" s="44"/>
      <c r="K43" s="44"/>
      <c r="L43" s="44"/>
      <c r="M43" s="44"/>
      <c r="N43" s="44"/>
      <c r="O43" s="44"/>
      <c r="P43" s="44"/>
      <c r="Q43" s="44"/>
      <c r="R43" s="44"/>
      <c r="S43" s="44"/>
      <c r="T43" s="44"/>
      <c r="U43" s="44"/>
      <c r="V43" s="44"/>
      <c r="W43" s="44"/>
      <c r="X43" s="44"/>
      <c r="Y43" s="44"/>
      <c r="Z43" s="44"/>
    </row>
    <row r="44" spans="1:27">
      <c r="B44" s="278" t="s">
        <v>64</v>
      </c>
      <c r="C44" s="44">
        <f>IF(C16="","",IF(C15&lt;&gt;"Storage","",IF(C$38="User Defined",C$41,SUMIFS('Background (from TC)'!$AA$4:$AA$1048576,'Background (from TC)'!$D$4:$D$1048576,C$15,'Background (from TC)'!$E$4:$E$1048576,C$16,'Background (from TC)'!$O$4:$O$1048576,C$17))))</f>
        <v>0.5</v>
      </c>
      <c r="D44" s="70"/>
      <c r="E44" s="44"/>
      <c r="F44" s="44"/>
      <c r="G44" s="44"/>
      <c r="H44" s="44"/>
      <c r="I44" s="44"/>
      <c r="J44" s="44"/>
      <c r="K44" s="44"/>
      <c r="L44" s="44"/>
      <c r="M44" s="44"/>
      <c r="N44" s="44"/>
      <c r="O44" s="44"/>
      <c r="P44" s="44"/>
      <c r="Q44" s="44"/>
      <c r="R44" s="44"/>
      <c r="S44" s="44"/>
      <c r="T44" s="44"/>
      <c r="U44" s="44"/>
      <c r="V44" s="44"/>
      <c r="W44" s="44"/>
      <c r="X44" s="44"/>
      <c r="Y44" s="44"/>
      <c r="Z44" s="44"/>
    </row>
    <row r="45" spans="1:27">
      <c r="B45" s="278" t="s">
        <v>65</v>
      </c>
      <c r="C45" s="64">
        <f>IF(C15="","",IF(C15&lt;&gt;"Storage","",C42/C43/SUMIFS('Background (from TC)'!$T$4:$T$1048576,'Background (from TC)'!$D$4:$D$1048576,C$15,'Background (from TC)'!$E$4:$E$1048576,C$16,'Background (from TC)'!$O$4:$O$1048576,C$17)))</f>
        <v>8.3405765622829904</v>
      </c>
      <c r="D45" s="75"/>
      <c r="E45" s="11"/>
      <c r="F45" s="11"/>
      <c r="G45" s="11"/>
      <c r="H45" s="11"/>
      <c r="I45" s="11"/>
      <c r="J45" s="11"/>
      <c r="K45" s="11"/>
      <c r="L45" s="11"/>
      <c r="M45" s="11"/>
      <c r="N45" s="11"/>
      <c r="O45" s="11"/>
      <c r="P45" s="11"/>
      <c r="Q45" s="11"/>
      <c r="R45" s="11"/>
      <c r="S45" s="11"/>
      <c r="T45" s="11"/>
      <c r="U45" s="11"/>
      <c r="V45" s="11"/>
      <c r="W45" s="11"/>
      <c r="X45" s="11"/>
      <c r="Y45" s="11"/>
      <c r="Z45" s="11"/>
    </row>
    <row r="46" spans="1:27">
      <c r="B46" s="278" t="s">
        <v>66</v>
      </c>
      <c r="C46" s="64">
        <f>IF(C15="","",IF(C15&lt;&gt;"Storage","",C42/C44))</f>
        <v>8</v>
      </c>
      <c r="D46" s="75"/>
      <c r="E46" s="11"/>
      <c r="F46" s="11"/>
      <c r="G46" s="11"/>
      <c r="H46" s="11"/>
      <c r="I46" s="11"/>
      <c r="J46" s="11"/>
      <c r="K46" s="11"/>
      <c r="L46" s="11"/>
      <c r="M46" s="11"/>
      <c r="N46" s="11"/>
      <c r="O46" s="11"/>
      <c r="P46" s="11"/>
      <c r="Q46" s="11"/>
      <c r="R46" s="11"/>
      <c r="S46" s="11"/>
      <c r="T46" s="11"/>
      <c r="U46" s="11"/>
      <c r="V46" s="11"/>
      <c r="W46" s="11"/>
      <c r="X46" s="11"/>
      <c r="Y46" s="11"/>
      <c r="Z46" s="11"/>
    </row>
    <row r="47" spans="1:27">
      <c r="B47" s="278" t="s">
        <v>67</v>
      </c>
      <c r="C47" s="64">
        <v>365</v>
      </c>
      <c r="D47" s="75"/>
      <c r="E47" s="11"/>
      <c r="F47" s="11"/>
      <c r="G47" s="11"/>
      <c r="H47" s="11"/>
      <c r="I47" s="11"/>
      <c r="J47" s="11"/>
      <c r="K47" s="11"/>
      <c r="L47" s="11"/>
      <c r="M47" s="11"/>
      <c r="N47" s="11"/>
      <c r="O47" s="11"/>
      <c r="P47" s="11"/>
      <c r="Q47" s="11"/>
      <c r="R47" s="11"/>
      <c r="S47" s="11"/>
      <c r="T47" s="11"/>
      <c r="U47" s="11"/>
      <c r="V47" s="11"/>
      <c r="W47" s="11"/>
      <c r="X47" s="11"/>
      <c r="Y47" s="11"/>
      <c r="Z47" s="11"/>
    </row>
    <row r="48" spans="1:27" s="298" customFormat="1">
      <c r="A48" s="3"/>
      <c r="B48" s="278" t="s">
        <v>68</v>
      </c>
      <c r="C48" s="295">
        <v>1</v>
      </c>
      <c r="D48" s="296"/>
      <c r="E48" s="13"/>
      <c r="F48" s="13"/>
      <c r="G48" s="13"/>
      <c r="H48" s="13"/>
      <c r="I48" s="13"/>
      <c r="J48" s="13"/>
      <c r="K48" s="13"/>
      <c r="L48" s="13"/>
      <c r="M48" s="13"/>
      <c r="N48" s="13"/>
      <c r="O48" s="13"/>
      <c r="P48" s="13"/>
      <c r="Q48" s="13"/>
      <c r="R48" s="13"/>
      <c r="S48" s="13"/>
      <c r="T48" s="13"/>
      <c r="U48" s="13"/>
      <c r="V48" s="13"/>
      <c r="W48" s="13"/>
      <c r="X48" s="13"/>
      <c r="Y48" s="13"/>
      <c r="Z48" s="13"/>
      <c r="AA48" s="297"/>
    </row>
    <row r="49" spans="1:26">
      <c r="B49" s="278" t="s">
        <v>69</v>
      </c>
      <c r="C49" s="64">
        <f>IF(C15&lt;&gt;"Storage","",IFERROR(IF(C38="User defined",C47*IF(C48="",100%,C48),24/SUM(C45:C46)*365*100%),""))</f>
        <v>365</v>
      </c>
      <c r="D49" s="76"/>
      <c r="E49" s="64"/>
      <c r="F49" s="64"/>
      <c r="G49" s="64"/>
      <c r="H49" s="64"/>
      <c r="I49" s="64"/>
      <c r="J49" s="64"/>
      <c r="K49" s="64"/>
      <c r="L49" s="64"/>
      <c r="M49" s="64"/>
      <c r="N49" s="64"/>
      <c r="O49" s="64"/>
      <c r="P49" s="64"/>
      <c r="Q49" s="64"/>
      <c r="R49" s="64"/>
      <c r="S49" s="64"/>
      <c r="T49" s="64"/>
      <c r="U49" s="64"/>
      <c r="V49" s="64"/>
      <c r="W49" s="64"/>
      <c r="X49" s="64"/>
      <c r="Y49" s="64"/>
      <c r="Z49" s="64"/>
    </row>
    <row r="50" spans="1:26">
      <c r="B50" s="278" t="s">
        <v>159</v>
      </c>
      <c r="C50" s="64">
        <f>IF(C15&lt;&gt;"Storage","",C49*C44*C46*C54)</f>
        <v>1400.3828048073142</v>
      </c>
      <c r="D50" s="76"/>
      <c r="E50" s="64"/>
      <c r="F50" s="64"/>
      <c r="G50" s="64"/>
      <c r="H50" s="64"/>
      <c r="I50" s="64"/>
      <c r="J50" s="64"/>
      <c r="K50" s="64"/>
      <c r="L50" s="64"/>
      <c r="M50" s="64"/>
      <c r="N50" s="64"/>
      <c r="O50" s="64"/>
      <c r="P50" s="64"/>
      <c r="Q50" s="64"/>
      <c r="R50" s="64"/>
      <c r="S50" s="64"/>
      <c r="T50" s="64"/>
      <c r="U50" s="64"/>
      <c r="V50" s="64"/>
      <c r="W50" s="64"/>
      <c r="X50" s="64"/>
      <c r="Y50" s="64"/>
      <c r="Z50" s="64"/>
    </row>
    <row r="51" spans="1:26">
      <c r="B51" s="278" t="s">
        <v>71</v>
      </c>
      <c r="C51" s="64">
        <f>IF(OR(C15="",C15&lt;&gt;"Storage"),"",SUMIFS('Background (from TC)'!$X$4:$X$1048576,'Background (from TC)'!$D$4:$D$1048576,C$15,'Background (from TC)'!$E$4:$E$1048576,C$16,'Background (from TC)'!$O$4:$O$1048576,C$17))</f>
        <v>15000</v>
      </c>
      <c r="D51" s="76"/>
      <c r="E51" s="64"/>
      <c r="F51" s="64"/>
      <c r="G51" s="64"/>
      <c r="H51" s="64"/>
      <c r="I51" s="64"/>
      <c r="J51" s="64"/>
      <c r="K51" s="64"/>
      <c r="L51" s="64"/>
      <c r="M51" s="64"/>
      <c r="N51" s="64"/>
      <c r="O51" s="64"/>
      <c r="P51" s="64"/>
      <c r="Q51" s="64"/>
      <c r="R51" s="64"/>
      <c r="S51" s="64"/>
      <c r="T51" s="64"/>
      <c r="U51" s="64"/>
      <c r="V51" s="64"/>
      <c r="W51" s="64"/>
      <c r="X51" s="64"/>
      <c r="Y51" s="64"/>
      <c r="Z51" s="64"/>
    </row>
    <row r="52" spans="1:26">
      <c r="B52" s="278" t="s">
        <v>72</v>
      </c>
      <c r="C52" s="64">
        <f>IF(C51="","",C51/C$13)</f>
        <v>600</v>
      </c>
      <c r="D52" s="76"/>
      <c r="E52" s="64"/>
      <c r="F52" s="64"/>
      <c r="G52" s="64"/>
      <c r="H52" s="64"/>
      <c r="I52" s="64"/>
      <c r="J52" s="64"/>
      <c r="K52" s="64"/>
      <c r="L52" s="64"/>
      <c r="M52" s="64"/>
      <c r="N52" s="64"/>
      <c r="O52" s="64"/>
      <c r="P52" s="64"/>
      <c r="Q52" s="64"/>
      <c r="R52" s="64"/>
      <c r="S52" s="64"/>
      <c r="T52" s="64"/>
      <c r="U52" s="64"/>
      <c r="V52" s="64"/>
      <c r="W52" s="64"/>
      <c r="X52" s="64"/>
      <c r="Y52" s="64"/>
      <c r="Z52" s="64"/>
    </row>
    <row r="53" spans="1:26">
      <c r="B53" s="278" t="s">
        <v>160</v>
      </c>
      <c r="C53" s="41">
        <f>IF(OR(C15="",C15&lt;&gt;"Storage"),"",SUMIFS('Background (from TC)'!$T$4:$T$1048576,'Background (from TC)'!$D$4:$D$1048576,C$15,'Background (from TC)'!$E$4:$E$1048576,C$16,'Background (from TC)'!$O$4:$O$1048576,C$17))</f>
        <v>0.95916630466254393</v>
      </c>
      <c r="D53" s="72"/>
      <c r="E53" s="41"/>
      <c r="F53" s="41"/>
      <c r="G53" s="41"/>
      <c r="H53" s="41"/>
      <c r="I53" s="41"/>
      <c r="J53" s="41"/>
      <c r="K53" s="41"/>
      <c r="L53" s="41"/>
      <c r="M53" s="41"/>
      <c r="N53" s="41"/>
      <c r="O53" s="41"/>
      <c r="P53" s="41"/>
      <c r="Q53" s="41"/>
      <c r="R53" s="41"/>
      <c r="S53" s="41"/>
      <c r="T53" s="41"/>
      <c r="U53" s="41"/>
      <c r="V53" s="41"/>
      <c r="W53" s="41"/>
      <c r="X53" s="41"/>
      <c r="Y53" s="41"/>
      <c r="Z53" s="41"/>
    </row>
    <row r="54" spans="1:26" ht="15.75" thickBot="1">
      <c r="B54" s="278" t="s">
        <v>161</v>
      </c>
      <c r="C54" s="41">
        <f>IF(OR(C15="",C15&lt;&gt;"Storage"),"",SUMIFS('Background (from TC)'!$U$4:$U$1048576,'Background (from TC)'!$D$4:$D$1048576,C$15,'Background (from TC)'!$E$4:$E$1048576,C$16,'Background (from TC)'!$O$4:$O$1048576,C$17))</f>
        <v>0.95916630466254393</v>
      </c>
      <c r="D54" s="72"/>
      <c r="E54" s="41"/>
      <c r="F54" s="41"/>
      <c r="G54" s="41"/>
      <c r="H54" s="41"/>
      <c r="I54" s="41"/>
      <c r="J54" s="41"/>
      <c r="K54" s="41"/>
      <c r="L54" s="41"/>
      <c r="M54" s="41"/>
      <c r="N54" s="41"/>
      <c r="O54" s="41"/>
      <c r="P54" s="41"/>
      <c r="Q54" s="41"/>
      <c r="R54" s="41"/>
      <c r="S54" s="41"/>
      <c r="T54" s="41"/>
      <c r="U54" s="41"/>
      <c r="V54" s="41"/>
      <c r="W54" s="41"/>
      <c r="X54" s="41"/>
      <c r="Y54" s="41"/>
      <c r="Z54" s="41"/>
    </row>
    <row r="55" spans="1:26" ht="15.75" thickBot="1">
      <c r="B55" s="273" t="s">
        <v>43</v>
      </c>
      <c r="C55" s="65" t="str">
        <f t="shared" ref="C55:Z55" si="4">IF(C52&lt;C47,"Annual cycles exceed feasible","")</f>
        <v/>
      </c>
      <c r="D55" s="77" t="str">
        <f t="shared" si="4"/>
        <v/>
      </c>
      <c r="E55" s="65" t="str">
        <f t="shared" si="4"/>
        <v/>
      </c>
      <c r="F55" s="65" t="str">
        <f t="shared" si="4"/>
        <v/>
      </c>
      <c r="G55" s="65" t="str">
        <f t="shared" si="4"/>
        <v/>
      </c>
      <c r="H55" s="65" t="str">
        <f t="shared" si="4"/>
        <v/>
      </c>
      <c r="I55" s="65" t="str">
        <f t="shared" si="4"/>
        <v/>
      </c>
      <c r="J55" s="65" t="str">
        <f t="shared" si="4"/>
        <v/>
      </c>
      <c r="K55" s="65" t="str">
        <f t="shared" si="4"/>
        <v/>
      </c>
      <c r="L55" s="65" t="str">
        <f t="shared" si="4"/>
        <v/>
      </c>
      <c r="M55" s="65" t="str">
        <f t="shared" si="4"/>
        <v/>
      </c>
      <c r="N55" s="65" t="str">
        <f t="shared" si="4"/>
        <v/>
      </c>
      <c r="O55" s="65" t="str">
        <f t="shared" si="4"/>
        <v/>
      </c>
      <c r="P55" s="65" t="str">
        <f t="shared" si="4"/>
        <v/>
      </c>
      <c r="Q55" s="65" t="str">
        <f t="shared" si="4"/>
        <v/>
      </c>
      <c r="R55" s="65" t="str">
        <f t="shared" si="4"/>
        <v/>
      </c>
      <c r="S55" s="65" t="str">
        <f t="shared" si="4"/>
        <v/>
      </c>
      <c r="T55" s="65" t="str">
        <f t="shared" si="4"/>
        <v/>
      </c>
      <c r="U55" s="65" t="str">
        <f t="shared" si="4"/>
        <v/>
      </c>
      <c r="V55" s="65" t="str">
        <f t="shared" si="4"/>
        <v/>
      </c>
      <c r="W55" s="65" t="str">
        <f t="shared" si="4"/>
        <v/>
      </c>
      <c r="X55" s="65" t="str">
        <f t="shared" si="4"/>
        <v/>
      </c>
      <c r="Y55" s="65" t="str">
        <f t="shared" si="4"/>
        <v/>
      </c>
      <c r="Z55" s="66" t="str">
        <f t="shared" si="4"/>
        <v/>
      </c>
    </row>
    <row r="56" spans="1:26">
      <c r="D56" s="67"/>
    </row>
    <row r="57" spans="1:26" ht="15.75">
      <c r="B57" s="286" t="s">
        <v>73</v>
      </c>
      <c r="C57" s="41"/>
      <c r="D57" s="71"/>
      <c r="E57" s="19"/>
    </row>
    <row r="58" spans="1:26">
      <c r="B58" s="282" t="s">
        <v>74</v>
      </c>
      <c r="C58" s="265" t="s">
        <v>54</v>
      </c>
      <c r="D58" s="19" t="s">
        <v>46</v>
      </c>
      <c r="E58" s="19"/>
    </row>
    <row r="59" spans="1:26">
      <c r="B59" s="278" t="s">
        <v>75</v>
      </c>
      <c r="C59" s="266">
        <v>0</v>
      </c>
      <c r="D59" s="43"/>
      <c r="E59" s="43"/>
      <c r="F59" s="43"/>
      <c r="G59" s="43"/>
      <c r="H59" s="43"/>
      <c r="I59" s="43"/>
      <c r="J59" s="43"/>
      <c r="K59" s="43"/>
      <c r="L59" s="43"/>
      <c r="M59" s="43"/>
      <c r="N59" s="43"/>
      <c r="O59" s="43"/>
      <c r="P59" s="43"/>
      <c r="Q59" s="43"/>
      <c r="R59" s="43"/>
      <c r="S59" s="43"/>
      <c r="T59" s="43"/>
      <c r="U59" s="43"/>
      <c r="V59" s="43"/>
      <c r="W59" s="43"/>
      <c r="X59" s="43"/>
      <c r="Y59" s="43"/>
      <c r="Z59" s="43"/>
    </row>
    <row r="60" spans="1:26">
      <c r="B60" s="278" t="s">
        <v>76</v>
      </c>
      <c r="C60" s="266">
        <f>IF(C58="","",IF(C58="User defined",C59,SUMIFS('Background (from TC)'!$M$4:$M$1048576,'Background (from TC)'!$D$4:$D$1048576,C$15,'Background (from TC)'!$E$4:$E$1048576,C$16,'Background (from TC)'!$O$4:$O$1048576,C$17))*C29)</f>
        <v>0</v>
      </c>
      <c r="D60" s="43">
        <f>IF(D58="","",IF(D58="User defined",D59,SUMIFS('Background (from TC)'!$M$4:$M$1048576,'Background (from TC)'!$D$4:$D$1048576,D$15,'Background (from TC)'!$E$4:$E$1048576,D$16,'Background (from TC)'!$O$4:$O$1048576,D$17))*D29)</f>
        <v>0</v>
      </c>
      <c r="E60" s="43" t="str">
        <f>IF(E58="","",IF(E58="User defined",E59,SUMIFS('Background (from TC)'!$M$4:$M$1048576,'Background (from TC)'!$D$4:$D$1048576,E$15,'Background (from TC)'!$E$4:$E$1048576,E$16,'Background (from TC)'!$O$4:$O$1048576,E$17))*E29)</f>
        <v/>
      </c>
      <c r="F60" s="43" t="str">
        <f>IF(F58="","",IF(F58="User defined",F59,SUMIFS('Background (from TC)'!$M$4:$M$1048576,'Background (from TC)'!$D$4:$D$1048576,F$15,'Background (from TC)'!$E$4:$E$1048576,F$16,'Background (from TC)'!$O$4:$O$1048576,F$17))*F29)</f>
        <v/>
      </c>
      <c r="G60" s="43" t="str">
        <f>IF(G58="","",IF(G58="User defined",G59,SUMIFS('Background (from TC)'!$M$4:$M$1048576,'Background (from TC)'!$D$4:$D$1048576,G$15,'Background (from TC)'!$E$4:$E$1048576,G$16,'Background (from TC)'!$O$4:$O$1048576,G$17))*G29)</f>
        <v/>
      </c>
      <c r="H60" s="43" t="str">
        <f>IF(H58="","",IF(H58="User defined",H59,SUMIFS('Background (from TC)'!$M$4:$M$1048576,'Background (from TC)'!$D$4:$D$1048576,H$15,'Background (from TC)'!$E$4:$E$1048576,H$16,'Background (from TC)'!$O$4:$O$1048576,H$17))*H29)</f>
        <v/>
      </c>
      <c r="I60" s="43" t="str">
        <f>IF(I58="","",IF(I58="User defined",I59,SUMIFS('Background (from TC)'!$M$4:$M$1048576,'Background (from TC)'!$D$4:$D$1048576,I$15,'Background (from TC)'!$E$4:$E$1048576,I$16,'Background (from TC)'!$O$4:$O$1048576,I$17))*I29)</f>
        <v/>
      </c>
      <c r="J60" s="43" t="str">
        <f>IF(J58="","",IF(J58="User defined",J59,SUMIFS('Background (from TC)'!$M$4:$M$1048576,'Background (from TC)'!$D$4:$D$1048576,J$15,'Background (from TC)'!$E$4:$E$1048576,J$16,'Background (from TC)'!$O$4:$O$1048576,J$17))*J29)</f>
        <v/>
      </c>
      <c r="K60" s="43" t="str">
        <f>IF(K58="","",IF(K58="User defined",K59,SUMIFS('Background (from TC)'!$M$4:$M$1048576,'Background (from TC)'!$D$4:$D$1048576,K$15,'Background (from TC)'!$E$4:$E$1048576,K$16,'Background (from TC)'!$O$4:$O$1048576,K$17))*K29)</f>
        <v/>
      </c>
      <c r="L60" s="43" t="str">
        <f>IF(L58="","",IF(L58="User defined",L59,SUMIFS('Background (from TC)'!$M$4:$M$1048576,'Background (from TC)'!$D$4:$D$1048576,L$15,'Background (from TC)'!$E$4:$E$1048576,L$16,'Background (from TC)'!$O$4:$O$1048576,L$17))*L29)</f>
        <v/>
      </c>
      <c r="M60" s="43" t="str">
        <f>IF(M58="","",IF(M58="User defined",M59,SUMIFS('Background (from TC)'!$M$4:$M$1048576,'Background (from TC)'!$D$4:$D$1048576,M$15,'Background (from TC)'!$E$4:$E$1048576,M$16,'Background (from TC)'!$O$4:$O$1048576,M$17))*M29)</f>
        <v/>
      </c>
      <c r="N60" s="43" t="str">
        <f>IF(N58="","",IF(N58="User defined",N59,SUMIFS('Background (from TC)'!$M$4:$M$1048576,'Background (from TC)'!$D$4:$D$1048576,N$15,'Background (from TC)'!$E$4:$E$1048576,N$16,'Background (from TC)'!$O$4:$O$1048576,N$17))*N29)</f>
        <v/>
      </c>
      <c r="O60" s="43" t="str">
        <f>IF(O58="","",IF(O58="User defined",O59,SUMIFS('Background (from TC)'!$M$4:$M$1048576,'Background (from TC)'!$D$4:$D$1048576,O$15,'Background (from TC)'!$E$4:$E$1048576,O$16,'Background (from TC)'!$O$4:$O$1048576,O$17))*O29)</f>
        <v/>
      </c>
      <c r="P60" s="43" t="str">
        <f>IF(P58="","",IF(P58="User defined",P59,SUMIFS('Background (from TC)'!$M$4:$M$1048576,'Background (from TC)'!$D$4:$D$1048576,P$15,'Background (from TC)'!$E$4:$E$1048576,P$16,'Background (from TC)'!$O$4:$O$1048576,P$17))*P29)</f>
        <v/>
      </c>
      <c r="Q60" s="43" t="str">
        <f>IF(Q58="","",IF(Q58="User defined",Q59,SUMIFS('Background (from TC)'!$M$4:$M$1048576,'Background (from TC)'!$D$4:$D$1048576,Q$15,'Background (from TC)'!$E$4:$E$1048576,Q$16,'Background (from TC)'!$O$4:$O$1048576,Q$17))*Q29)</f>
        <v/>
      </c>
      <c r="R60" s="43" t="str">
        <f>IF(R58="","",IF(R58="User defined",R59,SUMIFS('Background (from TC)'!$M$4:$M$1048576,'Background (from TC)'!$D$4:$D$1048576,R$15,'Background (from TC)'!$E$4:$E$1048576,R$16,'Background (from TC)'!$O$4:$O$1048576,R$17))*R29)</f>
        <v/>
      </c>
      <c r="S60" s="43" t="str">
        <f>IF(S58="","",IF(S58="User defined",S59,SUMIFS('Background (from TC)'!$M$4:$M$1048576,'Background (from TC)'!$D$4:$D$1048576,S$15,'Background (from TC)'!$E$4:$E$1048576,S$16,'Background (from TC)'!$O$4:$O$1048576,S$17))*S29)</f>
        <v/>
      </c>
      <c r="T60" s="43" t="str">
        <f>IF(T58="","",IF(T58="User defined",T59,SUMIFS('Background (from TC)'!$M$4:$M$1048576,'Background (from TC)'!$D$4:$D$1048576,T$15,'Background (from TC)'!$E$4:$E$1048576,T$16,'Background (from TC)'!$O$4:$O$1048576,T$17))*T29)</f>
        <v/>
      </c>
      <c r="U60" s="43" t="str">
        <f>IF(U58="","",IF(U58="User defined",U59,SUMIFS('Background (from TC)'!$M$4:$M$1048576,'Background (from TC)'!$D$4:$D$1048576,U$15,'Background (from TC)'!$E$4:$E$1048576,U$16,'Background (from TC)'!$O$4:$O$1048576,U$17))*U29)</f>
        <v/>
      </c>
      <c r="V60" s="43" t="str">
        <f>IF(V58="","",IF(V58="User defined",V59,SUMIFS('Background (from TC)'!$M$4:$M$1048576,'Background (from TC)'!$D$4:$D$1048576,V$15,'Background (from TC)'!$E$4:$E$1048576,V$16,'Background (from TC)'!$O$4:$O$1048576,V$17))*V29)</f>
        <v/>
      </c>
      <c r="W60" s="43" t="str">
        <f>IF(W58="","",IF(W58="User defined",W59,SUMIFS('Background (from TC)'!$M$4:$M$1048576,'Background (from TC)'!$D$4:$D$1048576,W$15,'Background (from TC)'!$E$4:$E$1048576,W$16,'Background (from TC)'!$O$4:$O$1048576,W$17))*W29)</f>
        <v/>
      </c>
      <c r="X60" s="43" t="str">
        <f>IF(X58="","",IF(X58="User defined",X59,SUMIFS('Background (from TC)'!$M$4:$M$1048576,'Background (from TC)'!$D$4:$D$1048576,X$15,'Background (from TC)'!$E$4:$E$1048576,X$16,'Background (from TC)'!$O$4:$O$1048576,X$17))*X29)</f>
        <v/>
      </c>
      <c r="Y60" s="43" t="str">
        <f>IF(Y58="","",IF(Y58="User defined",Y59,SUMIFS('Background (from TC)'!$M$4:$M$1048576,'Background (from TC)'!$D$4:$D$1048576,Y$15,'Background (from TC)'!$E$4:$E$1048576,Y$16,'Background (from TC)'!$O$4:$O$1048576,Y$17))*Y29)</f>
        <v/>
      </c>
      <c r="Z60" s="43" t="str">
        <f>IF(Z58="","",IF(Z58="User defined",Z59,SUMIFS('Background (from TC)'!$M$4:$M$1048576,'Background (from TC)'!$D$4:$D$1048576,Z$15,'Background (from TC)'!$E$4:$E$1048576,Z$16,'Background (from TC)'!$O$4:$O$1048576,Z$17))*Z29)</f>
        <v/>
      </c>
    </row>
    <row r="61" spans="1:26" ht="30">
      <c r="A61"/>
      <c r="B61" s="280" t="s">
        <v>77</v>
      </c>
      <c r="C61" s="267">
        <f>IFERROR(IF(C15="","",SUMIFS('Background (from TC)'!$S$4:$S$1048576,'Background (from TC)'!$D$4:$D$1048576,C$15,'Background (from TC)'!$E$4:$E$1048576,C$16,'Background (from TC)'!$O$4:$O$1048576,C$17)),"")</f>
        <v>0.92</v>
      </c>
      <c r="D61" s="41">
        <f>IFERROR(IF(D15="","",SUMIFS('Background (from TC)'!$S$4:$S$1048576,'Background (from TC)'!$D$4:$D$1048576,D$15,'Background (from TC)'!$E$4:$E$1048576,D$16,'Background (from TC)'!$O$4:$O$1048576,D$17)),"")</f>
        <v>0</v>
      </c>
      <c r="E61" s="41" t="str">
        <f>IFERROR(IF(E15="","",SUMIFS('Background (from TC)'!$S$4:$S$1048576,'Background (from TC)'!$D$4:$D$1048576,E$15,'Background (from TC)'!$E$4:$E$1048576,E$16,'Background (from TC)'!$O$4:$O$1048576,E$17)),"")</f>
        <v/>
      </c>
      <c r="F61" s="41" t="str">
        <f>IFERROR(IF(F15="","",SUMIFS('Background (from TC)'!$S$4:$S$1048576,'Background (from TC)'!$D$4:$D$1048576,F$15,'Background (from TC)'!$E$4:$E$1048576,F$16,'Background (from TC)'!$O$4:$O$1048576,F$17)),"")</f>
        <v/>
      </c>
      <c r="G61" s="41" t="str">
        <f>IFERROR(IF(G15="","",SUMIFS('Background (from TC)'!$S$4:$S$1048576,'Background (from TC)'!$D$4:$D$1048576,G$15,'Background (from TC)'!$E$4:$E$1048576,G$16,'Background (from TC)'!$O$4:$O$1048576,G$17)),"")</f>
        <v/>
      </c>
      <c r="H61" s="41" t="str">
        <f>IFERROR(IF(H15="","",SUMIFS('Background (from TC)'!$S$4:$S$1048576,'Background (from TC)'!$D$4:$D$1048576,H$15,'Background (from TC)'!$E$4:$E$1048576,H$16,'Background (from TC)'!$O$4:$O$1048576,H$17)),"")</f>
        <v/>
      </c>
      <c r="I61" s="41" t="str">
        <f>IFERROR(IF(I15="","",SUMIFS('Background (from TC)'!$S$4:$S$1048576,'Background (from TC)'!$D$4:$D$1048576,I$15,'Background (from TC)'!$E$4:$E$1048576,I$16,'Background (from TC)'!$O$4:$O$1048576,I$17)),"")</f>
        <v/>
      </c>
      <c r="J61" s="41" t="str">
        <f>IFERROR(IF(J15="","",SUMIFS('Background (from TC)'!$S$4:$S$1048576,'Background (from TC)'!$D$4:$D$1048576,J$15,'Background (from TC)'!$E$4:$E$1048576,J$16,'Background (from TC)'!$O$4:$O$1048576,J$17)),"")</f>
        <v/>
      </c>
      <c r="K61" s="41" t="str">
        <f>IFERROR(IF(K15="","",SUMIFS('Background (from TC)'!$S$4:$S$1048576,'Background (from TC)'!$D$4:$D$1048576,K$15,'Background (from TC)'!$E$4:$E$1048576,K$16,'Background (from TC)'!$O$4:$O$1048576,K$17)),"")</f>
        <v/>
      </c>
      <c r="L61" s="41" t="str">
        <f>IFERROR(IF(L15="","",SUMIFS('Background (from TC)'!$S$4:$S$1048576,'Background (from TC)'!$D$4:$D$1048576,L$15,'Background (from TC)'!$E$4:$E$1048576,L$16,'Background (from TC)'!$O$4:$O$1048576,L$17)),"")</f>
        <v/>
      </c>
      <c r="M61" s="41" t="str">
        <f>IFERROR(IF(M15="","",SUMIFS('Background (from TC)'!$S$4:$S$1048576,'Background (from TC)'!$D$4:$D$1048576,M$15,'Background (from TC)'!$E$4:$E$1048576,M$16,'Background (from TC)'!$O$4:$O$1048576,M$17)),"")</f>
        <v/>
      </c>
      <c r="N61" s="41" t="str">
        <f>IFERROR(IF(N15="","",SUMIFS('Background (from TC)'!$S$4:$S$1048576,'Background (from TC)'!$D$4:$D$1048576,N$15,'Background (from TC)'!$E$4:$E$1048576,N$16,'Background (from TC)'!$O$4:$O$1048576,N$17)),"")</f>
        <v/>
      </c>
      <c r="O61" s="41" t="str">
        <f>IFERROR(IF(O15="","",SUMIFS('Background (from TC)'!$S$4:$S$1048576,'Background (from TC)'!$D$4:$D$1048576,O$15,'Background (from TC)'!$E$4:$E$1048576,O$16,'Background (from TC)'!$O$4:$O$1048576,O$17)),"")</f>
        <v/>
      </c>
      <c r="P61" s="41" t="str">
        <f>IFERROR(IF(P15="","",SUMIFS('Background (from TC)'!$S$4:$S$1048576,'Background (from TC)'!$D$4:$D$1048576,P$15,'Background (from TC)'!$E$4:$E$1048576,P$16,'Background (from TC)'!$O$4:$O$1048576,P$17)),"")</f>
        <v/>
      </c>
      <c r="Q61" s="41" t="str">
        <f>IFERROR(IF(Q15="","",SUMIFS('Background (from TC)'!$S$4:$S$1048576,'Background (from TC)'!$D$4:$D$1048576,Q$15,'Background (from TC)'!$E$4:$E$1048576,Q$16,'Background (from TC)'!$O$4:$O$1048576,Q$17)),"")</f>
        <v/>
      </c>
      <c r="R61" s="41" t="str">
        <f>IFERROR(IF(R15="","",SUMIFS('Background (from TC)'!$S$4:$S$1048576,'Background (from TC)'!$D$4:$D$1048576,R$15,'Background (from TC)'!$E$4:$E$1048576,R$16,'Background (from TC)'!$O$4:$O$1048576,R$17)),"")</f>
        <v/>
      </c>
      <c r="S61" s="41" t="str">
        <f>IFERROR(IF(S15="","",SUMIFS('Background (from TC)'!$S$4:$S$1048576,'Background (from TC)'!$D$4:$D$1048576,S$15,'Background (from TC)'!$E$4:$E$1048576,S$16,'Background (from TC)'!$O$4:$O$1048576,S$17)),"")</f>
        <v/>
      </c>
      <c r="T61" s="41" t="str">
        <f>IFERROR(IF(T15="","",SUMIFS('Background (from TC)'!$S$4:$S$1048576,'Background (from TC)'!$D$4:$D$1048576,T$15,'Background (from TC)'!$E$4:$E$1048576,T$16,'Background (from TC)'!$O$4:$O$1048576,T$17)),"")</f>
        <v/>
      </c>
      <c r="U61" s="41" t="str">
        <f>IFERROR(IF(U15="","",SUMIFS('Background (from TC)'!$S$4:$S$1048576,'Background (from TC)'!$D$4:$D$1048576,U$15,'Background (from TC)'!$E$4:$E$1048576,U$16,'Background (from TC)'!$O$4:$O$1048576,U$17)),"")</f>
        <v/>
      </c>
      <c r="V61" s="41" t="str">
        <f>IFERROR(IF(V15="","",SUMIFS('Background (from TC)'!$S$4:$S$1048576,'Background (from TC)'!$D$4:$D$1048576,V$15,'Background (from TC)'!$E$4:$E$1048576,V$16,'Background (from TC)'!$O$4:$O$1048576,V$17)),"")</f>
        <v/>
      </c>
      <c r="W61" s="41" t="str">
        <f>IFERROR(IF(W15="","",SUMIFS('Background (from TC)'!$S$4:$S$1048576,'Background (from TC)'!$D$4:$D$1048576,W$15,'Background (from TC)'!$E$4:$E$1048576,W$16,'Background (from TC)'!$O$4:$O$1048576,W$17)),"")</f>
        <v/>
      </c>
      <c r="X61" s="41" t="str">
        <f>IFERROR(IF(X15="","",SUMIFS('Background (from TC)'!$S$4:$S$1048576,'Background (from TC)'!$D$4:$D$1048576,X$15,'Background (from TC)'!$E$4:$E$1048576,X$16,'Background (from TC)'!$O$4:$O$1048576,X$17)),"")</f>
        <v/>
      </c>
      <c r="Y61" s="41" t="str">
        <f>IFERROR(IF(Y15="","",SUMIFS('Background (from TC)'!$S$4:$S$1048576,'Background (from TC)'!$D$4:$D$1048576,Y$15,'Background (from TC)'!$E$4:$E$1048576,Y$16,'Background (from TC)'!$O$4:$O$1048576,Y$17)),"")</f>
        <v/>
      </c>
      <c r="Z61" s="41" t="str">
        <f>IFERROR(IF(Z15="","",SUMIFS('Background (from TC)'!$S$4:$S$1048576,'Background (from TC)'!$D$4:$D$1048576,Z$15,'Background (from TC)'!$E$4:$E$1048576,Z$16,'Background (from TC)'!$O$4:$O$1048576,Z$17)),"")</f>
        <v/>
      </c>
    </row>
    <row r="62" spans="1:26" ht="15.75" thickBot="1">
      <c r="A62"/>
      <c r="B62" s="281" t="s">
        <v>78</v>
      </c>
      <c r="C62" s="268">
        <f>IF(C58="","",IFERROR(IF(C58="User defined",C59*3.6/C61,C60*3.6/C61),0))</f>
        <v>0</v>
      </c>
      <c r="D62" s="56" t="str">
        <f>IFERROR(IF(D58="User defined",D59*3.6/D61,IF(D15="Storage",D60/D61,IF(SUMIFS('Background (from TC)'!$M$4:$M$1048576,'Background (from TC)'!$D$4:$D$1048576,D$15,'Background (from TC)'!$E$4:$E$1048576,D$16,'Background (from TC)'!$O$4:$O$1048576,D$17)=0,"",SUMIFS('Background (from TC)'!$M$4:$M$1048576,'Background (from TC)'!$D$4:$D$1048576,D$15,'Background (from TC)'!$E$4:$E$1048576,D$16,'Background (from TC)'!$O$4:$O$1048576,D$17)*3.6/D61))),"")</f>
        <v/>
      </c>
      <c r="E62" s="56" t="str">
        <f>IFERROR(IF(E58="User defined",E59/(3.6*E61),IF(E15="Storage",E60/E61,IF(SUMIFS('Background (from TC)'!$M$4:$M$1048576,'Background (from TC)'!$D$4:$D$1048576,E$15,'Background (from TC)'!$E$4:$E$1048576,E$16,'Background (from TC)'!$O$4:$O$1048576,E$17)=0,"",SUMIFS('Background (from TC)'!$M$4:$M$1048576,'Background (from TC)'!$D$4:$D$1048576,E$15,'Background (from TC)'!$E$4:$E$1048576,E$16,'Background (from TC)'!$O$4:$O$1048576,E$17)/(3.6*E61)))),"")</f>
        <v/>
      </c>
      <c r="F62" s="56" t="str">
        <f>IFERROR(IF(F58="User defined",F59/(3.6*F61),IF(F15="Storage",F60/F61,IF(SUMIFS('Background (from TC)'!$M$4:$M$1048576,'Background (from TC)'!$D$4:$D$1048576,F$15,'Background (from TC)'!$E$4:$E$1048576,F$16,'Background (from TC)'!$O$4:$O$1048576,F$17)=0,"",SUMIFS('Background (from TC)'!$M$4:$M$1048576,'Background (from TC)'!$D$4:$D$1048576,F$15,'Background (from TC)'!$E$4:$E$1048576,F$16,'Background (from TC)'!$O$4:$O$1048576,F$17)/(3.6*F61)))),"")</f>
        <v/>
      </c>
      <c r="G62" s="56" t="str">
        <f>IFERROR(IF(G58="User defined",G59/(3.6*G61),IF(G15="Storage",G60/G61,IF(SUMIFS('Background (from TC)'!$M$4:$M$1048576,'Background (from TC)'!$D$4:$D$1048576,G$15,'Background (from TC)'!$E$4:$E$1048576,G$16,'Background (from TC)'!$O$4:$O$1048576,G$17)=0,"",SUMIFS('Background (from TC)'!$M$4:$M$1048576,'Background (from TC)'!$D$4:$D$1048576,G$15,'Background (from TC)'!$E$4:$E$1048576,G$16,'Background (from TC)'!$O$4:$O$1048576,G$17)/(3.6*G61)))),"")</f>
        <v/>
      </c>
      <c r="H62" s="56" t="str">
        <f>IFERROR(IF(H58="User defined",H59/(3.6*H61),IF(H15="Storage",H60/H61,IF(SUMIFS('Background (from TC)'!$M$4:$M$1048576,'Background (from TC)'!$D$4:$D$1048576,H$15,'Background (from TC)'!$E$4:$E$1048576,H$16,'Background (from TC)'!$O$4:$O$1048576,H$17)=0,"",SUMIFS('Background (from TC)'!$M$4:$M$1048576,'Background (from TC)'!$D$4:$D$1048576,H$15,'Background (from TC)'!$E$4:$E$1048576,H$16,'Background (from TC)'!$O$4:$O$1048576,H$17)/(3.6*H61)))),"")</f>
        <v/>
      </c>
      <c r="I62" s="56" t="str">
        <f>IFERROR(IF(I58="User defined",I59/(3.6*I61),IF(I15="Storage",I60/I61,IF(SUMIFS('Background (from TC)'!$M$4:$M$1048576,'Background (from TC)'!$D$4:$D$1048576,I$15,'Background (from TC)'!$E$4:$E$1048576,I$16,'Background (from TC)'!$O$4:$O$1048576,I$17)=0,"",SUMIFS('Background (from TC)'!$M$4:$M$1048576,'Background (from TC)'!$D$4:$D$1048576,I$15,'Background (from TC)'!$E$4:$E$1048576,I$16,'Background (from TC)'!$O$4:$O$1048576,I$17)/(3.6*I61)))),"")</f>
        <v/>
      </c>
      <c r="J62" s="56" t="str">
        <f>IFERROR(IF(J58="User defined",J59/(3.6*J61),IF(J15="Storage",J60/J61,IF(SUMIFS('Background (from TC)'!$M$4:$M$1048576,'Background (from TC)'!$D$4:$D$1048576,J$15,'Background (from TC)'!$E$4:$E$1048576,J$16,'Background (from TC)'!$O$4:$O$1048576,J$17)=0,"",SUMIFS('Background (from TC)'!$M$4:$M$1048576,'Background (from TC)'!$D$4:$D$1048576,J$15,'Background (from TC)'!$E$4:$E$1048576,J$16,'Background (from TC)'!$O$4:$O$1048576,J$17)/(3.6*J61)))),"")</f>
        <v/>
      </c>
      <c r="K62" s="56" t="str">
        <f>IFERROR(IF(K58="User defined",K59/(3.6*K61),IF(K15="Storage",K60/K61,IF(SUMIFS('Background (from TC)'!$M$4:$M$1048576,'Background (from TC)'!$D$4:$D$1048576,K$15,'Background (from TC)'!$E$4:$E$1048576,K$16,'Background (from TC)'!$O$4:$O$1048576,K$17)=0,"",SUMIFS('Background (from TC)'!$M$4:$M$1048576,'Background (from TC)'!$D$4:$D$1048576,K$15,'Background (from TC)'!$E$4:$E$1048576,K$16,'Background (from TC)'!$O$4:$O$1048576,K$17)/(3.6*K61)))),"")</f>
        <v/>
      </c>
      <c r="L62" s="56" t="str">
        <f>IFERROR(IF(L58="User defined",L59/(3.6*L61),IF(L15="Storage",L60/L61,IF(SUMIFS('Background (from TC)'!$M$4:$M$1048576,'Background (from TC)'!$D$4:$D$1048576,L$15,'Background (from TC)'!$E$4:$E$1048576,L$16,'Background (from TC)'!$O$4:$O$1048576,L$17)=0,"",SUMIFS('Background (from TC)'!$M$4:$M$1048576,'Background (from TC)'!$D$4:$D$1048576,L$15,'Background (from TC)'!$E$4:$E$1048576,L$16,'Background (from TC)'!$O$4:$O$1048576,L$17)/(3.6*L61)))),"")</f>
        <v/>
      </c>
      <c r="M62" s="56" t="str">
        <f>IFERROR(IF(M58="User defined",M59/(3.6*M61),IF(M15="Storage",M60/M61,IF(SUMIFS('Background (from TC)'!$M$4:$M$1048576,'Background (from TC)'!$D$4:$D$1048576,M$15,'Background (from TC)'!$E$4:$E$1048576,M$16,'Background (from TC)'!$O$4:$O$1048576,M$17)=0,"",SUMIFS('Background (from TC)'!$M$4:$M$1048576,'Background (from TC)'!$D$4:$D$1048576,M$15,'Background (from TC)'!$E$4:$E$1048576,M$16,'Background (from TC)'!$O$4:$O$1048576,M$17)/(3.6*M61)))),"")</f>
        <v/>
      </c>
      <c r="N62" s="56" t="str">
        <f>IFERROR(IF(N58="User defined",N59/(3.6*N61),IF(N15="Storage",N60/N61,IF(SUMIFS('Background (from TC)'!$M$4:$M$1048576,'Background (from TC)'!$D$4:$D$1048576,N$15,'Background (from TC)'!$E$4:$E$1048576,N$16,'Background (from TC)'!$O$4:$O$1048576,N$17)=0,"",SUMIFS('Background (from TC)'!$M$4:$M$1048576,'Background (from TC)'!$D$4:$D$1048576,N$15,'Background (from TC)'!$E$4:$E$1048576,N$16,'Background (from TC)'!$O$4:$O$1048576,N$17)/(3.6*N61)))),"")</f>
        <v/>
      </c>
      <c r="O62" s="56" t="str">
        <f>IFERROR(IF(O58="User defined",O59/(3.6*O61),IF(O15="Storage",O60/O61,IF(SUMIFS('Background (from TC)'!$M$4:$M$1048576,'Background (from TC)'!$D$4:$D$1048576,O$15,'Background (from TC)'!$E$4:$E$1048576,O$16,'Background (from TC)'!$O$4:$O$1048576,O$17)=0,"",SUMIFS('Background (from TC)'!$M$4:$M$1048576,'Background (from TC)'!$D$4:$D$1048576,O$15,'Background (from TC)'!$E$4:$E$1048576,O$16,'Background (from TC)'!$O$4:$O$1048576,O$17)/(3.6*O61)))),"")</f>
        <v/>
      </c>
      <c r="P62" s="56" t="str">
        <f>IFERROR(IF(P58="User defined",P59/(3.6*P61),IF(P15="Storage",P60/P61,IF(SUMIFS('Background (from TC)'!$M$4:$M$1048576,'Background (from TC)'!$D$4:$D$1048576,P$15,'Background (from TC)'!$E$4:$E$1048576,P$16,'Background (from TC)'!$O$4:$O$1048576,P$17)=0,"",SUMIFS('Background (from TC)'!$M$4:$M$1048576,'Background (from TC)'!$D$4:$D$1048576,P$15,'Background (from TC)'!$E$4:$E$1048576,P$16,'Background (from TC)'!$O$4:$O$1048576,P$17)/(3.6*P61)))),"")</f>
        <v/>
      </c>
      <c r="Q62" s="56" t="str">
        <f>IFERROR(IF(Q58="User defined",Q59/(3.6*Q61),IF(Q15="Storage",Q60/Q61,IF(SUMIFS('Background (from TC)'!$M$4:$M$1048576,'Background (from TC)'!$D$4:$D$1048576,Q$15,'Background (from TC)'!$E$4:$E$1048576,Q$16,'Background (from TC)'!$O$4:$O$1048576,Q$17)=0,"",SUMIFS('Background (from TC)'!$M$4:$M$1048576,'Background (from TC)'!$D$4:$D$1048576,Q$15,'Background (from TC)'!$E$4:$E$1048576,Q$16,'Background (from TC)'!$O$4:$O$1048576,Q$17)/(3.6*Q61)))),"")</f>
        <v/>
      </c>
      <c r="R62" s="56" t="str">
        <f>IFERROR(IF(R58="User defined",R59/(3.6*R61),IF(R15="Storage",R60/R61,IF(SUMIFS('Background (from TC)'!$M$4:$M$1048576,'Background (from TC)'!$D$4:$D$1048576,R$15,'Background (from TC)'!$E$4:$E$1048576,R$16,'Background (from TC)'!$O$4:$O$1048576,R$17)=0,"",SUMIFS('Background (from TC)'!$M$4:$M$1048576,'Background (from TC)'!$D$4:$D$1048576,R$15,'Background (from TC)'!$E$4:$E$1048576,R$16,'Background (from TC)'!$O$4:$O$1048576,R$17)/(3.6*R61)))),"")</f>
        <v/>
      </c>
      <c r="S62" s="56" t="str">
        <f>IFERROR(IF(S58="User defined",S59/(3.6*S61),IF(S15="Storage",S60/S61,IF(SUMIFS('Background (from TC)'!$M$4:$M$1048576,'Background (from TC)'!$D$4:$D$1048576,S$15,'Background (from TC)'!$E$4:$E$1048576,S$16,'Background (from TC)'!$O$4:$O$1048576,S$17)=0,"",SUMIFS('Background (from TC)'!$M$4:$M$1048576,'Background (from TC)'!$D$4:$D$1048576,S$15,'Background (from TC)'!$E$4:$E$1048576,S$16,'Background (from TC)'!$O$4:$O$1048576,S$17)/(3.6*S61)))),"")</f>
        <v/>
      </c>
      <c r="T62" s="56" t="str">
        <f>IFERROR(IF(T58="User defined",T59/(3.6*T61),IF(T15="Storage",T60/T61,IF(SUMIFS('Background (from TC)'!$M$4:$M$1048576,'Background (from TC)'!$D$4:$D$1048576,T$15,'Background (from TC)'!$E$4:$E$1048576,T$16,'Background (from TC)'!$O$4:$O$1048576,T$17)=0,"",SUMIFS('Background (from TC)'!$M$4:$M$1048576,'Background (from TC)'!$D$4:$D$1048576,T$15,'Background (from TC)'!$E$4:$E$1048576,T$16,'Background (from TC)'!$O$4:$O$1048576,T$17)/(3.6*T61)))),"")</f>
        <v/>
      </c>
      <c r="U62" s="56" t="str">
        <f>IFERROR(IF(U58="User defined",U59/(3.6*U61),IF(U15="Storage",U60/U61,IF(SUMIFS('Background (from TC)'!$M$4:$M$1048576,'Background (from TC)'!$D$4:$D$1048576,U$15,'Background (from TC)'!$E$4:$E$1048576,U$16,'Background (from TC)'!$O$4:$O$1048576,U$17)=0,"",SUMIFS('Background (from TC)'!$M$4:$M$1048576,'Background (from TC)'!$D$4:$D$1048576,U$15,'Background (from TC)'!$E$4:$E$1048576,U$16,'Background (from TC)'!$O$4:$O$1048576,U$17)/(3.6*U61)))),"")</f>
        <v/>
      </c>
      <c r="V62" s="56" t="str">
        <f>IFERROR(IF(V58="User defined",V59/(3.6*V61),IF(V15="Storage",V60/V61,IF(SUMIFS('Background (from TC)'!$M$4:$M$1048576,'Background (from TC)'!$D$4:$D$1048576,V$15,'Background (from TC)'!$E$4:$E$1048576,V$16,'Background (from TC)'!$O$4:$O$1048576,V$17)=0,"",SUMIFS('Background (from TC)'!$M$4:$M$1048576,'Background (from TC)'!$D$4:$D$1048576,V$15,'Background (from TC)'!$E$4:$E$1048576,V$16,'Background (from TC)'!$O$4:$O$1048576,V$17)/(3.6*V61)))),"")</f>
        <v/>
      </c>
      <c r="W62" s="56" t="str">
        <f>IFERROR(IF(W58="User defined",W59/(3.6*W61),IF(W15="Storage",W60/W61,IF(SUMIFS('Background (from TC)'!$M$4:$M$1048576,'Background (from TC)'!$D$4:$D$1048576,W$15,'Background (from TC)'!$E$4:$E$1048576,W$16,'Background (from TC)'!$O$4:$O$1048576,W$17)=0,"",SUMIFS('Background (from TC)'!$M$4:$M$1048576,'Background (from TC)'!$D$4:$D$1048576,W$15,'Background (from TC)'!$E$4:$E$1048576,W$16,'Background (from TC)'!$O$4:$O$1048576,W$17)/(3.6*W61)))),"")</f>
        <v/>
      </c>
      <c r="X62" s="56" t="str">
        <f>IFERROR(IF(X58="User defined",X59/(3.6*X61),IF(X15="Storage",X60/X61,IF(SUMIFS('Background (from TC)'!$M$4:$M$1048576,'Background (from TC)'!$D$4:$D$1048576,X$15,'Background (from TC)'!$E$4:$E$1048576,X$16,'Background (from TC)'!$O$4:$O$1048576,X$17)=0,"",SUMIFS('Background (from TC)'!$M$4:$M$1048576,'Background (from TC)'!$D$4:$D$1048576,X$15,'Background (from TC)'!$E$4:$E$1048576,X$16,'Background (from TC)'!$O$4:$O$1048576,X$17)/(3.6*X61)))),"")</f>
        <v/>
      </c>
      <c r="Y62" s="56" t="str">
        <f>IFERROR(IF(Y58="User defined",Y59/(3.6*Y61),IF(Y15="Storage",Y60/Y61,IF(SUMIFS('Background (from TC)'!$M$4:$M$1048576,'Background (from TC)'!$D$4:$D$1048576,Y$15,'Background (from TC)'!$E$4:$E$1048576,Y$16,'Background (from TC)'!$O$4:$O$1048576,Y$17)=0,"",SUMIFS('Background (from TC)'!$M$4:$M$1048576,'Background (from TC)'!$D$4:$D$1048576,Y$15,'Background (from TC)'!$E$4:$E$1048576,Y$16,'Background (from TC)'!$O$4:$O$1048576,Y$17)/(3.6*Y61)))),"")</f>
        <v/>
      </c>
      <c r="Z62" s="56" t="str">
        <f>IFERROR(IF(Z58="User defined",Z59/(3.6*Z61),IF(Z15="Storage",Z60/Z61,IF(SUMIFS('Background (from TC)'!$M$4:$M$1048576,'Background (from TC)'!$D$4:$D$1048576,Z$15,'Background (from TC)'!$E$4:$E$1048576,Z$16,'Background (from TC)'!$O$4:$O$1048576,Z$17)=0,"",SUMIFS('Background (from TC)'!$M$4:$M$1048576,'Background (from TC)'!$D$4:$D$1048576,Z$15,'Background (from TC)'!$E$4:$E$1048576,Z$16,'Background (from TC)'!$O$4:$O$1048576,Z$17)/(3.6*Z61)))),"")</f>
        <v/>
      </c>
    </row>
    <row r="63" spans="1:26" ht="15.75" thickBot="1">
      <c r="B63" s="273" t="s">
        <v>43</v>
      </c>
      <c r="C63" s="258" t="str">
        <f t="shared" ref="C63:Z63" si="5">IF(OR(AND(C58="User defined",C59=""),AND(C15="Storage",C60="")),"Insert value above","")</f>
        <v/>
      </c>
      <c r="D63" s="257" t="str">
        <f t="shared" si="5"/>
        <v/>
      </c>
      <c r="E63" s="258" t="str">
        <f t="shared" si="5"/>
        <v/>
      </c>
      <c r="F63" s="258" t="str">
        <f t="shared" si="5"/>
        <v/>
      </c>
      <c r="G63" s="258" t="str">
        <f t="shared" si="5"/>
        <v/>
      </c>
      <c r="H63" s="258" t="str">
        <f t="shared" si="5"/>
        <v/>
      </c>
      <c r="I63" s="258" t="str">
        <f t="shared" si="5"/>
        <v/>
      </c>
      <c r="J63" s="258" t="str">
        <f t="shared" si="5"/>
        <v/>
      </c>
      <c r="K63" s="258" t="str">
        <f t="shared" si="5"/>
        <v/>
      </c>
      <c r="L63" s="258" t="str">
        <f t="shared" si="5"/>
        <v/>
      </c>
      <c r="M63" s="258" t="str">
        <f t="shared" si="5"/>
        <v/>
      </c>
      <c r="N63" s="258" t="str">
        <f t="shared" si="5"/>
        <v/>
      </c>
      <c r="O63" s="258" t="str">
        <f t="shared" si="5"/>
        <v/>
      </c>
      <c r="P63" s="258" t="str">
        <f t="shared" si="5"/>
        <v/>
      </c>
      <c r="Q63" s="258" t="str">
        <f t="shared" si="5"/>
        <v/>
      </c>
      <c r="R63" s="258" t="str">
        <f t="shared" si="5"/>
        <v/>
      </c>
      <c r="S63" s="258" t="str">
        <f t="shared" si="5"/>
        <v/>
      </c>
      <c r="T63" s="258" t="str">
        <f t="shared" si="5"/>
        <v/>
      </c>
      <c r="U63" s="258" t="str">
        <f t="shared" si="5"/>
        <v/>
      </c>
      <c r="V63" s="258" t="str">
        <f t="shared" si="5"/>
        <v/>
      </c>
      <c r="W63" s="258" t="str">
        <f t="shared" si="5"/>
        <v/>
      </c>
      <c r="X63" s="258" t="str">
        <f t="shared" si="5"/>
        <v/>
      </c>
      <c r="Y63" s="258" t="str">
        <f t="shared" si="5"/>
        <v/>
      </c>
      <c r="Z63" s="259" t="str">
        <f t="shared" si="5"/>
        <v/>
      </c>
    </row>
    <row r="64" spans="1:26">
      <c r="B64" s="15"/>
      <c r="C64" s="284"/>
      <c r="D64" s="275"/>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2:26" ht="15.75">
      <c r="B65" s="286" t="s">
        <v>79</v>
      </c>
      <c r="D65" s="67"/>
    </row>
    <row r="66" spans="2:26">
      <c r="B66" s="279" t="s">
        <v>80</v>
      </c>
      <c r="D66" s="67"/>
    </row>
    <row r="67" spans="2:26">
      <c r="B67" s="1"/>
      <c r="D67" s="67"/>
    </row>
    <row r="68" spans="2:26" ht="15.75">
      <c r="B68" s="286" t="s">
        <v>81</v>
      </c>
      <c r="D68" s="67"/>
    </row>
    <row r="69" spans="2:26">
      <c r="B69" s="278" t="s">
        <v>82</v>
      </c>
      <c r="C69" s="33"/>
      <c r="D69" s="69" t="s">
        <v>83</v>
      </c>
      <c r="E69" s="19"/>
    </row>
    <row r="70" spans="2:26">
      <c r="B70" s="278" t="s">
        <v>85</v>
      </c>
      <c r="C70" s="33"/>
      <c r="D70" s="69"/>
      <c r="E70" s="19"/>
    </row>
    <row r="71" spans="2:26">
      <c r="B71" s="278" t="s">
        <v>86</v>
      </c>
      <c r="C71" s="33"/>
      <c r="D71" s="69" t="s">
        <v>46</v>
      </c>
      <c r="E71" s="19"/>
    </row>
    <row r="72" spans="2:26">
      <c r="B72" s="278" t="s">
        <v>87</v>
      </c>
      <c r="C72" s="33"/>
      <c r="D72" s="287">
        <f>IF(D17="","",IF(D81=0,0,SUMIFS('Background (from TC)'!$L:$L,'Background (from TC)'!$D:$D,D17,'Background (from TC)'!$E:$E,D18,'Background (from TC)'!$O:$O,D19)/1000*3.6/D61))</f>
        <v>0</v>
      </c>
      <c r="E72" s="19"/>
    </row>
    <row r="73" spans="2:26">
      <c r="B73" s="278" t="s">
        <v>88</v>
      </c>
      <c r="C73" s="33"/>
      <c r="D73" s="287">
        <v>2.09</v>
      </c>
      <c r="E73" s="19"/>
    </row>
    <row r="74" spans="2:26">
      <c r="B74" s="279" t="s">
        <v>89</v>
      </c>
      <c r="C74" s="33"/>
      <c r="D74" s="78">
        <v>1.0900000000000001</v>
      </c>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2:26">
      <c r="D75" s="67"/>
    </row>
    <row r="76" spans="2:26" ht="15.75">
      <c r="B76" s="286" t="s">
        <v>90</v>
      </c>
      <c r="D76" s="67"/>
    </row>
    <row r="77" spans="2:26">
      <c r="B77" s="278" t="s">
        <v>162</v>
      </c>
      <c r="D77" s="69" t="s">
        <v>84</v>
      </c>
      <c r="E77" s="19"/>
      <c r="F77" s="19" t="s">
        <v>84</v>
      </c>
      <c r="G77" s="19" t="s">
        <v>84</v>
      </c>
      <c r="H77" s="19" t="s">
        <v>84</v>
      </c>
      <c r="I77" s="19" t="s">
        <v>84</v>
      </c>
      <c r="J77" s="19" t="s">
        <v>84</v>
      </c>
      <c r="K77" s="19" t="s">
        <v>84</v>
      </c>
      <c r="L77" s="19" t="s">
        <v>84</v>
      </c>
      <c r="M77" s="19" t="s">
        <v>84</v>
      </c>
      <c r="N77" s="19" t="s">
        <v>84</v>
      </c>
      <c r="O77" s="19" t="s">
        <v>84</v>
      </c>
      <c r="P77" s="19" t="s">
        <v>84</v>
      </c>
      <c r="Q77" s="19" t="s">
        <v>84</v>
      </c>
      <c r="R77" s="19" t="s">
        <v>84</v>
      </c>
      <c r="S77" s="19" t="s">
        <v>84</v>
      </c>
      <c r="T77" s="19" t="s">
        <v>84</v>
      </c>
      <c r="U77" s="19" t="s">
        <v>84</v>
      </c>
      <c r="V77" s="19" t="s">
        <v>84</v>
      </c>
      <c r="W77" s="19" t="s">
        <v>84</v>
      </c>
      <c r="X77" s="19" t="s">
        <v>84</v>
      </c>
      <c r="Y77" s="19" t="s">
        <v>84</v>
      </c>
      <c r="Z77" s="19" t="s">
        <v>84</v>
      </c>
    </row>
    <row r="78" spans="2:26">
      <c r="B78" s="278" t="s">
        <v>92</v>
      </c>
      <c r="C78" s="35">
        <f>IF(C$15="","",IF(C77="No",0,IF(C15="Storage",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TC)'!$O$4:$O$1048576,C$17)*C43/C46+SUMIFS('Background (from TC)'!$AD$4:$AD$1048576,'Background (from TC)'!$D$4:$D$1048576,C$15,'Background (from TC)'!$E$4:$E$1048576,C$16,'Background (from TC)'!$O$4:$O$1048576,C$17)*C42),
SUMIFS('Background (from TC)'!$G$4:$G$1048576,'Background (from TC)'!$D$4:$D$1048576,C$15,'Background (from TC)'!$E$4:$E$1048576,C$16,'Background (from TC)'!$O$4:$O$1048576,C$17)))*C29)</f>
        <v>0.68194907466803512</v>
      </c>
      <c r="D78" s="1079">
        <f>IF(D$15="","",IF(D77="No",0,IF(D15="Storage",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TC)'!$O$4:$O$1048576,D$17)*D42)/D42,
SUMIFS('Background (from TC)'!$G$4:$G$1048576,'Background (from TC)'!$D$4:$D$1048576,D$15,'Background (from TC)'!$E$4:$E$1048576,D$16,'Background (from TC)'!$O$4:$O$1048576,D$17)))*D29)</f>
        <v>0.48</v>
      </c>
      <c r="E78" s="35" t="str">
        <f>IF(E$15="","",IF(E77="No",0,IF(E15="Storage",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TC)'!$O$4:$O$1048576,E$17)*E42)/E42,
SUMIFS('Background (from TC)'!$G$4:$G$1048576,'Background (from TC)'!$D$4:$D$1048576,E$15,'Background (from TC)'!$E$4:$E$1048576,E$16,'Background (from TC)'!$O$4:$O$1048576,E$17)))*E29)</f>
        <v/>
      </c>
      <c r="F78" s="43" t="str">
        <f>IF(F$15="","",IF(F77="No",0,IF(F15="Storage",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TC)'!$O$4:$O$1048576,F$17)*F42)/F42,
SUMIFS('Background (from TC)'!$G$4:$G$1048576,'Background (from TC)'!$D$4:$D$1048576,F$15,'Background (from TC)'!$E$4:$E$1048576,F$16,'Background (from TC)'!$O$4:$O$1048576,F$17)))*F29)</f>
        <v/>
      </c>
      <c r="G78" s="43" t="str">
        <f>IF(G$15="","",IF(G77="No",0,IF(G15="Storage",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TC)'!$O$4:$O$1048576,G$17)*G42)/G42,
SUMIFS('Background (from TC)'!$G$4:$G$1048576,'Background (from TC)'!$D$4:$D$1048576,G$15,'Background (from TC)'!$E$4:$E$1048576,G$16,'Background (from TC)'!$O$4:$O$1048576,G$17)))*G29)</f>
        <v/>
      </c>
      <c r="H78" s="43" t="str">
        <f>IF(H$15="","",IF(H77="No",0,IF(H15="Storage",
(SUMIFS('Background (from TC)'!$AB$4:$AB$1048576,'Background (from TC)'!$D$4:$D$1048576,H$15,'Background (from TC)'!$E$4:$E$1048576,H$16,'Background (from TC)'!$O$4:$O$1048576,H$17)*H42+SUMIFS('Background (from TC)'!$AC$4:$AC$1048576,'Background (from TC)'!$D$4:$D$1048576,H$15,'Background (from TC)'!$E$4:$E$1048576,H$16,'Background (from TC)'!$O$4:$O$1048576,H$17)*H43/SUMIFS('Background (from TC)'!$S$4:$S$1048576,'Background (from TC)'!$D$4:$D$1048576,H$15,'Background (from TC)'!$E$4:$E$1048576,H$16,'Background (from TC)'!$O$4:$O$1048576,H$17)+SUMIFS('Background (from TC)'!$AD$4:$AD$1048576,'Background (from TC)'!$D$4:$D$1048576,H$15,'Background (from TC)'!$E$4:$E$1048576,H$16,'Background (from TC)'!$O$4:$O$1048576,H$17)*H42)/H42,
SUMIFS('Background (from TC)'!$G$4:$G$1048576,'Background (from TC)'!$D$4:$D$1048576,H$15,'Background (from TC)'!$E$4:$E$1048576,H$16,'Background (from TC)'!$O$4:$O$1048576,H$17)))*H29)</f>
        <v/>
      </c>
      <c r="I78" s="43" t="str">
        <f>IF(I$15="","",IF(I77="No",0,IF(I15="Storage",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TC)'!$O$4:$O$1048576,I$17)*I42)/I42,
SUMIFS('Background (from TC)'!$G$4:$G$1048576,'Background (from TC)'!$D$4:$D$1048576,I$15,'Background (from TC)'!$E$4:$E$1048576,I$16,'Background (from TC)'!$O$4:$O$1048576,I$17)))*I29)</f>
        <v/>
      </c>
      <c r="J78" s="43" t="str">
        <f>IF(J$15="","",IF(J77="No",0,IF(J15="Storage",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TC)'!$O$4:$O$1048576,J$17)*J42)/J42,
SUMIFS('Background (from TC)'!$G$4:$G$1048576,'Background (from TC)'!$D$4:$D$1048576,J$15,'Background (from TC)'!$E$4:$E$1048576,J$16,'Background (from TC)'!$O$4:$O$1048576,J$17)))*J29)</f>
        <v/>
      </c>
      <c r="K78" s="43" t="str">
        <f>IF(K$15="","",IF(K77="No",0,IF(K15="Storage",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TC)'!$O$4:$O$1048576,K$17)*K42)/K42,
SUMIFS('Background (from TC)'!$G$4:$G$1048576,'Background (from TC)'!$D$4:$D$1048576,K$15,'Background (from TC)'!$E$4:$E$1048576,K$16,'Background (from TC)'!$O$4:$O$1048576,K$17)))*K29)</f>
        <v/>
      </c>
      <c r="L78" s="43" t="str">
        <f>IF(L$15="","",IF(L77="No",0,IF(L15="Storage",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TC)'!$O$4:$O$1048576,L$17)*L42)/L42,
SUMIFS('Background (from TC)'!$G$4:$G$1048576,'Background (from TC)'!$D$4:$D$1048576,L$15,'Background (from TC)'!$E$4:$E$1048576,L$16,'Background (from TC)'!$O$4:$O$1048576,L$17)))*L29)</f>
        <v/>
      </c>
      <c r="M78" s="43" t="str">
        <f>IF(M$15="","",IF(M77="No",0,IF(M15="Storage",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TC)'!$O$4:$O$1048576,M$17)*M42)/M42,
SUMIFS('Background (from TC)'!$G$4:$G$1048576,'Background (from TC)'!$D$4:$D$1048576,M$15,'Background (from TC)'!$E$4:$E$1048576,M$16,'Background (from TC)'!$O$4:$O$1048576,M$17)))*M29)</f>
        <v/>
      </c>
      <c r="N78" s="43" t="str">
        <f>IF(N$15="","",IF(N77="No",0,IF(N15="Storage",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TC)'!$O$4:$O$1048576,N$17)*N42)/N42,
SUMIFS('Background (from TC)'!$G$4:$G$1048576,'Background (from TC)'!$D$4:$D$1048576,N$15,'Background (from TC)'!$E$4:$E$1048576,N$16,'Background (from TC)'!$O$4:$O$1048576,N$17)))*N29)</f>
        <v/>
      </c>
      <c r="O78" s="43" t="str">
        <f>IF(O$15="","",IF(O77="No",0,IF(O15="Storage",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TC)'!$O$4:$O$1048576,O$17)*O42)/O42,
SUMIFS('Background (from TC)'!$G$4:$G$1048576,'Background (from TC)'!$D$4:$D$1048576,O$15,'Background (from TC)'!$E$4:$E$1048576,O$16,'Background (from TC)'!$O$4:$O$1048576,O$17)))*O29)</f>
        <v/>
      </c>
      <c r="P78" s="43" t="str">
        <f>IF(P$15="","",IF(P77="No",0,IF(P15="Storage",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TC)'!$O$4:$O$1048576,P$17)*P42)/P42,
SUMIFS('Background (from TC)'!$G$4:$G$1048576,'Background (from TC)'!$D$4:$D$1048576,P$15,'Background (from TC)'!$E$4:$E$1048576,P$16,'Background (from TC)'!$O$4:$O$1048576,P$17)))*P29)</f>
        <v/>
      </c>
      <c r="Q78" s="43" t="str">
        <f>IF(Q$15="","",IF(Q77="No",0,IF(Q15="Storage",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TC)'!$O$4:$O$1048576,Q$17)*Q42)/Q42,
SUMIFS('Background (from TC)'!$G$4:$G$1048576,'Background (from TC)'!$D$4:$D$1048576,Q$15,'Background (from TC)'!$E$4:$E$1048576,Q$16,'Background (from TC)'!$O$4:$O$1048576,Q$17)))*Q29)</f>
        <v/>
      </c>
      <c r="R78" s="43" t="str">
        <f>IF(R$15="","",IF(R77="No",0,IF(R15="Storage",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TC)'!$O$4:$O$1048576,R$17)*R42)/R42,
SUMIFS('Background (from TC)'!$G$4:$G$1048576,'Background (from TC)'!$D$4:$D$1048576,R$15,'Background (from TC)'!$E$4:$E$1048576,R$16,'Background (from TC)'!$O$4:$O$1048576,R$17)))*R29)</f>
        <v/>
      </c>
      <c r="S78" s="43" t="str">
        <f>IF(S$15="","",IF(S77="No",0,IF(S15="Storage",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TC)'!$O$4:$O$1048576,S$17)*S42)/S42,
SUMIFS('Background (from TC)'!$G$4:$G$1048576,'Background (from TC)'!$D$4:$D$1048576,S$15,'Background (from TC)'!$E$4:$E$1048576,S$16,'Background (from TC)'!$O$4:$O$1048576,S$17)))*S29)</f>
        <v/>
      </c>
      <c r="T78" s="43" t="str">
        <f>IF(T$15="","",IF(T77="No",0,IF(T15="Storage",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TC)'!$O$4:$O$1048576,T$17)*T42)/T42,
SUMIFS('Background (from TC)'!$G$4:$G$1048576,'Background (from TC)'!$D$4:$D$1048576,T$15,'Background (from TC)'!$E$4:$E$1048576,T$16,'Background (from TC)'!$O$4:$O$1048576,T$17)))*T29)</f>
        <v/>
      </c>
      <c r="U78" s="43" t="str">
        <f>IF(U$15="","",IF(U77="No",0,IF(U15="Storage",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TC)'!$O$4:$O$1048576,U$17)*U42)/U42,
SUMIFS('Background (from TC)'!$G$4:$G$1048576,'Background (from TC)'!$D$4:$D$1048576,U$15,'Background (from TC)'!$E$4:$E$1048576,U$16,'Background (from TC)'!$O$4:$O$1048576,U$17)))*U29)</f>
        <v/>
      </c>
      <c r="V78" s="43" t="str">
        <f>IF(V$15="","",IF(V77="No",0,IF(V15="Storage",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TC)'!$O$4:$O$1048576,V$17)*V42)/V42,
SUMIFS('Background (from TC)'!$G$4:$G$1048576,'Background (from TC)'!$D$4:$D$1048576,V$15,'Background (from TC)'!$E$4:$E$1048576,V$16,'Background (from TC)'!$O$4:$O$1048576,V$17)))*V29)</f>
        <v/>
      </c>
      <c r="W78" s="43" t="str">
        <f>IF(W$15="","",IF(W77="No",0,IF(W15="Storage",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TC)'!$O$4:$O$1048576,W$17)*W42)/W42,
SUMIFS('Background (from TC)'!$G$4:$G$1048576,'Background (from TC)'!$D$4:$D$1048576,W$15,'Background (from TC)'!$E$4:$E$1048576,W$16,'Background (from TC)'!$O$4:$O$1048576,W$17)))*W29)</f>
        <v/>
      </c>
      <c r="X78" s="43" t="str">
        <f>IF(X$15="","",IF(X77="No",0,IF(X15="Storage",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TC)'!$O$4:$O$1048576,X$17)*X42)/X42,
SUMIFS('Background (from TC)'!$G$4:$G$1048576,'Background (from TC)'!$D$4:$D$1048576,X$15,'Background (from TC)'!$E$4:$E$1048576,X$16,'Background (from TC)'!$O$4:$O$1048576,X$17)))*X29)</f>
        <v/>
      </c>
      <c r="Y78" s="43" t="str">
        <f>IF(Y$15="","",IF(Y77="No",0,IF(Y15="Storage",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TC)'!$O$4:$O$1048576,Y$17)*Y42)/Y42,
SUMIFS('Background (from TC)'!$G$4:$G$1048576,'Background (from TC)'!$D$4:$D$1048576,Y$15,'Background (from TC)'!$E$4:$E$1048576,Y$16,'Background (from TC)'!$O$4:$O$1048576,Y$17)))*Y29)</f>
        <v/>
      </c>
      <c r="Z78" s="43" t="str">
        <f>IF(Z$15="","",IF(Z77="No",0,IF(Z15="Storage",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TC)'!$O$4:$O$1048576,Z$17)*Z42)/Z42,
SUMIFS('Background (from TC)'!$G$4:$G$1048576,'Background (from TC)'!$D$4:$D$1048576,Z$15,'Background (from TC)'!$E$4:$E$1048576,Z$16,'Background (from TC)'!$O$4:$O$1048576,Z$17)))*Z29)</f>
        <v/>
      </c>
    </row>
    <row r="79" spans="2:26">
      <c r="B79" s="278" t="s">
        <v>93</v>
      </c>
      <c r="C79" s="35">
        <f>IF(C$15="","",SUMIFS('Background (from TC)'!$H$4:$H$1048576,'Background (from TC)'!$D$4:$D$1048576,C$15,'Background (from TC)'!$E$4:$E$1048576,C$16,'Background (from TC)'!$O$4:$O$1048576,C$17)*C29*C43)</f>
        <v>3.6749999999999998</v>
      </c>
      <c r="D79" s="1079">
        <f>IF(D$15="","",SUMIFS('Background (from TC)'!$H$4:$H$1048576,'Background (from TC)'!$D$4:$D$1048576,D$15,'Background (from TC)'!$E$4:$E$1048576,D$16,'Background (from TC)'!$O$4:$O$1048576,D$17)*D29)</f>
        <v>6.1</v>
      </c>
      <c r="E79" s="35" t="str">
        <f>IF(E$15="","",SUMIFS('Background (from TC)'!$H$4:$H$1048576,'Background (from TC)'!$D$4:$D$1048576,E$15,'Background (from TC)'!$E$4:$E$1048576,E$16,'Background (from TC)'!$O$4:$O$1048576,E$17)*E29)</f>
        <v/>
      </c>
      <c r="F79" s="43" t="str">
        <f>IF(F$15="","",SUMIFS('Background (from TC)'!$H$4:$H$1048576,'Background (from TC)'!$D$4:$D$1048576,F$15,'Background (from TC)'!$E$4:$E$1048576,F$16,'Background (from TC)'!$O$4:$O$1048576,F$17)*F29)</f>
        <v/>
      </c>
      <c r="G79" s="43" t="str">
        <f>IF(G$15="","",SUMIFS('Background (from TC)'!$H$4:$H$1048576,'Background (from TC)'!$D$4:$D$1048576,G$15,'Background (from TC)'!$E$4:$E$1048576,G$16,'Background (from TC)'!$O$4:$O$1048576,G$17)*G29)</f>
        <v/>
      </c>
      <c r="H79" s="43" t="str">
        <f>IF(H$15="","",SUMIFS('Background (from TC)'!$H$4:$H$1048576,'Background (from TC)'!$D$4:$D$1048576,H$15,'Background (from TC)'!$E$4:$E$1048576,H$16,'Background (from TC)'!$O$4:$O$1048576,H$17)*H29)</f>
        <v/>
      </c>
      <c r="I79" s="43" t="str">
        <f>IF(I$15="","",SUMIFS('Background (from TC)'!$H$4:$H$1048576,'Background (from TC)'!$D$4:$D$1048576,I$15,'Background (from TC)'!$E$4:$E$1048576,I$16,'Background (from TC)'!$O$4:$O$1048576,I$17)*I29)</f>
        <v/>
      </c>
      <c r="J79" s="43" t="str">
        <f>IF(J$15="","",SUMIFS('Background (from TC)'!$H$4:$H$1048576,'Background (from TC)'!$D$4:$D$1048576,J$15,'Background (from TC)'!$E$4:$E$1048576,J$16,'Background (from TC)'!$O$4:$O$1048576,J$17)*J29)</f>
        <v/>
      </c>
      <c r="K79" s="43" t="str">
        <f>IF(K$15="","",SUMIFS('Background (from TC)'!$H$4:$H$1048576,'Background (from TC)'!$D$4:$D$1048576,K$15,'Background (from TC)'!$E$4:$E$1048576,K$16,'Background (from TC)'!$O$4:$O$1048576,K$17)*K29)</f>
        <v/>
      </c>
      <c r="L79" s="43" t="str">
        <f>IF(L$15="","",SUMIFS('Background (from TC)'!$H$4:$H$1048576,'Background (from TC)'!$D$4:$D$1048576,L$15,'Background (from TC)'!$E$4:$E$1048576,L$16,'Background (from TC)'!$O$4:$O$1048576,L$17)*L29)</f>
        <v/>
      </c>
      <c r="M79" s="43" t="str">
        <f>IF(M$15="","",SUMIFS('Background (from TC)'!$H$4:$H$1048576,'Background (from TC)'!$D$4:$D$1048576,M$15,'Background (from TC)'!$E$4:$E$1048576,M$16,'Background (from TC)'!$O$4:$O$1048576,M$17)*M29)</f>
        <v/>
      </c>
      <c r="N79" s="43" t="str">
        <f>IF(N$15="","",SUMIFS('Background (from TC)'!$H$4:$H$1048576,'Background (from TC)'!$D$4:$D$1048576,N$15,'Background (from TC)'!$E$4:$E$1048576,N$16,'Background (from TC)'!$O$4:$O$1048576,N$17)*N29)</f>
        <v/>
      </c>
      <c r="O79" s="43" t="str">
        <f>IF(O$15="","",SUMIFS('Background (from TC)'!$H$4:$H$1048576,'Background (from TC)'!$D$4:$D$1048576,O$15,'Background (from TC)'!$E$4:$E$1048576,O$16,'Background (from TC)'!$O$4:$O$1048576,O$17)*O29)</f>
        <v/>
      </c>
      <c r="P79" s="43" t="str">
        <f>IF(P$15="","",SUMIFS('Background (from TC)'!$H$4:$H$1048576,'Background (from TC)'!$D$4:$D$1048576,P$15,'Background (from TC)'!$E$4:$E$1048576,P$16,'Background (from TC)'!$O$4:$O$1048576,P$17)*P29)</f>
        <v/>
      </c>
      <c r="Q79" s="43" t="str">
        <f>IF(Q$15="","",SUMIFS('Background (from TC)'!$H$4:$H$1048576,'Background (from TC)'!$D$4:$D$1048576,Q$15,'Background (from TC)'!$E$4:$E$1048576,Q$16,'Background (from TC)'!$O$4:$O$1048576,Q$17)*Q29)</f>
        <v/>
      </c>
      <c r="R79" s="43" t="str">
        <f>IF(R$15="","",SUMIFS('Background (from TC)'!$H$4:$H$1048576,'Background (from TC)'!$D$4:$D$1048576,R$15,'Background (from TC)'!$E$4:$E$1048576,R$16,'Background (from TC)'!$O$4:$O$1048576,R$17)*R29)</f>
        <v/>
      </c>
      <c r="S79" s="43" t="str">
        <f>IF(S$15="","",SUMIFS('Background (from TC)'!$H$4:$H$1048576,'Background (from TC)'!$D$4:$D$1048576,S$15,'Background (from TC)'!$E$4:$E$1048576,S$16,'Background (from TC)'!$O$4:$O$1048576,S$17)*S29)</f>
        <v/>
      </c>
      <c r="T79" s="43" t="str">
        <f>IF(T$15="","",SUMIFS('Background (from TC)'!$H$4:$H$1048576,'Background (from TC)'!$D$4:$D$1048576,T$15,'Background (from TC)'!$E$4:$E$1048576,T$16,'Background (from TC)'!$O$4:$O$1048576,T$17)*T29)</f>
        <v/>
      </c>
      <c r="U79" s="43" t="str">
        <f>IF(U$15="","",SUMIFS('Background (from TC)'!$H$4:$H$1048576,'Background (from TC)'!$D$4:$D$1048576,U$15,'Background (from TC)'!$E$4:$E$1048576,U$16,'Background (from TC)'!$O$4:$O$1048576,U$17)*U29)</f>
        <v/>
      </c>
      <c r="V79" s="43" t="str">
        <f>IF(V$15="","",SUMIFS('Background (from TC)'!$H$4:$H$1048576,'Background (from TC)'!$D$4:$D$1048576,V$15,'Background (from TC)'!$E$4:$E$1048576,V$16,'Background (from TC)'!$O$4:$O$1048576,V$17)*V29)</f>
        <v/>
      </c>
      <c r="W79" s="43" t="str">
        <f>IF(W$15="","",SUMIFS('Background (from TC)'!$H$4:$H$1048576,'Background (from TC)'!$D$4:$D$1048576,W$15,'Background (from TC)'!$E$4:$E$1048576,W$16,'Background (from TC)'!$O$4:$O$1048576,W$17)*W29)</f>
        <v/>
      </c>
      <c r="X79" s="43" t="str">
        <f>IF(X$15="","",SUMIFS('Background (from TC)'!$H$4:$H$1048576,'Background (from TC)'!$D$4:$D$1048576,X$15,'Background (from TC)'!$E$4:$E$1048576,X$16,'Background (from TC)'!$O$4:$O$1048576,X$17)*X29)</f>
        <v/>
      </c>
      <c r="Y79" s="43" t="str">
        <f>IF(Y$15="","",SUMIFS('Background (from TC)'!$H$4:$H$1048576,'Background (from TC)'!$D$4:$D$1048576,Y$15,'Background (from TC)'!$E$4:$E$1048576,Y$16,'Background (from TC)'!$O$4:$O$1048576,Y$17)*Y29)</f>
        <v/>
      </c>
      <c r="Z79" s="43" t="str">
        <f>IF(Z$15="","",SUMIFS('Background (from TC)'!$H$4:$H$1048576,'Background (from TC)'!$D$4:$D$1048576,Z$15,'Background (from TC)'!$E$4:$E$1048576,Z$16,'Background (from TC)'!$O$4:$O$1048576,Z$17)*Z29)</f>
        <v/>
      </c>
    </row>
    <row r="80" spans="2:26">
      <c r="B80" s="278" t="s">
        <v>94</v>
      </c>
      <c r="C80" s="1074">
        <f>IF(C$15="","",SUMIFS('Background (from TC)'!$I$4:$I$1048576,'Background (from TC)'!$D$4:$D$1048576,C$15,'Background (from TC)'!$E$4:$E$1048576,C$16,'Background (from TC)'!$O$4:$O$1048576,C$17)*C29)</f>
        <v>1.6</v>
      </c>
      <c r="D80" s="1077">
        <f>IF(D$15="","",SUMIFS('Background (from TC)'!$I$4:$I$1048576,'Background (from TC)'!$D$4:$D$1048576,D$15,'Background (from TC)'!$E$4:$E$1048576,D$16,'Background (from TC)'!$O$4:$O$1048576,D$17)*D29)</f>
        <v>0</v>
      </c>
      <c r="E80" s="1074" t="str">
        <f>IF(E$15="","",SUMIFS('Background (from TC)'!$I$4:$I$1048576,'Background (from TC)'!$D$4:$D$1048576,E$15,'Background (from TC)'!$E$4:$E$1048576,E$16,'Background (from TC)'!$O$4:$O$1048576,E$17)*E29)</f>
        <v/>
      </c>
      <c r="F80" s="521" t="str">
        <f>IF(F$15="","",SUMIFS('Background (from TC)'!$I$4:$I$1048576,'Background (from TC)'!$D$4:$D$1048576,F$15,'Background (from TC)'!$E$4:$E$1048576,F$16,'Background (from TC)'!$O$4:$O$1048576,F$17)*F29)</f>
        <v/>
      </c>
      <c r="G80" s="521" t="str">
        <f>IF(G$15="","",SUMIFS('Background (from TC)'!$I$4:$I$1048576,'Background (from TC)'!$D$4:$D$1048576,G$15,'Background (from TC)'!$E$4:$E$1048576,G$16,'Background (from TC)'!$O$4:$O$1048576,G$17)*G29)</f>
        <v/>
      </c>
      <c r="H80" s="521" t="str">
        <f>IF(H$15="","",SUMIFS('Background (from TC)'!$I$4:$I$1048576,'Background (from TC)'!$D$4:$D$1048576,H$15,'Background (from TC)'!$E$4:$E$1048576,H$16,'Background (from TC)'!$O$4:$O$1048576,H$17)*H29)</f>
        <v/>
      </c>
      <c r="I80" s="521" t="str">
        <f>IF(I$15="","",SUMIFS('Background (from TC)'!$I$4:$I$1048576,'Background (from TC)'!$D$4:$D$1048576,I$15,'Background (from TC)'!$E$4:$E$1048576,I$16,'Background (from TC)'!$O$4:$O$1048576,I$17)*I29)</f>
        <v/>
      </c>
      <c r="J80" s="521" t="str">
        <f>IF(J$15="","",SUMIFS('Background (from TC)'!$I$4:$I$1048576,'Background (from TC)'!$D$4:$D$1048576,J$15,'Background (from TC)'!$E$4:$E$1048576,J$16,'Background (from TC)'!$O$4:$O$1048576,J$17)*J29)</f>
        <v/>
      </c>
      <c r="K80" s="521" t="str">
        <f>IF(K$15="","",SUMIFS('Background (from TC)'!$I$4:$I$1048576,'Background (from TC)'!$D$4:$D$1048576,K$15,'Background (from TC)'!$E$4:$E$1048576,K$16,'Background (from TC)'!$O$4:$O$1048576,K$17)*K29)</f>
        <v/>
      </c>
      <c r="L80" s="521" t="str">
        <f>IF(L$15="","",SUMIFS('Background (from TC)'!$I$4:$I$1048576,'Background (from TC)'!$D$4:$D$1048576,L$15,'Background (from TC)'!$E$4:$E$1048576,L$16,'Background (from TC)'!$O$4:$O$1048576,L$17)*L29)</f>
        <v/>
      </c>
      <c r="M80" s="521" t="str">
        <f>IF(M$15="","",SUMIFS('Background (from TC)'!$I$4:$I$1048576,'Background (from TC)'!$D$4:$D$1048576,M$15,'Background (from TC)'!$E$4:$E$1048576,M$16,'Background (from TC)'!$O$4:$O$1048576,M$17)*M29)</f>
        <v/>
      </c>
      <c r="N80" s="521" t="str">
        <f>IF(N$15="","",SUMIFS('Background (from TC)'!$I$4:$I$1048576,'Background (from TC)'!$D$4:$D$1048576,N$15,'Background (from TC)'!$E$4:$E$1048576,N$16,'Background (from TC)'!$O$4:$O$1048576,N$17)*N29)</f>
        <v/>
      </c>
      <c r="O80" s="521" t="str">
        <f>IF(O$15="","",SUMIFS('Background (from TC)'!$I$4:$I$1048576,'Background (from TC)'!$D$4:$D$1048576,O$15,'Background (from TC)'!$E$4:$E$1048576,O$16,'Background (from TC)'!$O$4:$O$1048576,O$17)*O29)</f>
        <v/>
      </c>
      <c r="P80" s="521" t="str">
        <f>IF(P$15="","",SUMIFS('Background (from TC)'!$I$4:$I$1048576,'Background (from TC)'!$D$4:$D$1048576,P$15,'Background (from TC)'!$E$4:$E$1048576,P$16,'Background (from TC)'!$O$4:$O$1048576,P$17)*P29)</f>
        <v/>
      </c>
      <c r="Q80" s="521" t="str">
        <f>IF(Q$15="","",SUMIFS('Background (from TC)'!$I$4:$I$1048576,'Background (from TC)'!$D$4:$D$1048576,Q$15,'Background (from TC)'!$E$4:$E$1048576,Q$16,'Background (from TC)'!$O$4:$O$1048576,Q$17)*Q29)</f>
        <v/>
      </c>
      <c r="R80" s="521" t="str">
        <f>IF(R$15="","",SUMIFS('Background (from TC)'!$I$4:$I$1048576,'Background (from TC)'!$D$4:$D$1048576,R$15,'Background (from TC)'!$E$4:$E$1048576,R$16,'Background (from TC)'!$O$4:$O$1048576,R$17)*R29)</f>
        <v/>
      </c>
      <c r="S80" s="521" t="str">
        <f>IF(S$15="","",SUMIFS('Background (from TC)'!$I$4:$I$1048576,'Background (from TC)'!$D$4:$D$1048576,S$15,'Background (from TC)'!$E$4:$E$1048576,S$16,'Background (from TC)'!$O$4:$O$1048576,S$17)*S29)</f>
        <v/>
      </c>
      <c r="T80" s="521" t="str">
        <f>IF(T$15="","",SUMIFS('Background (from TC)'!$I$4:$I$1048576,'Background (from TC)'!$D$4:$D$1048576,T$15,'Background (from TC)'!$E$4:$E$1048576,T$16,'Background (from TC)'!$O$4:$O$1048576,T$17)*T29)</f>
        <v/>
      </c>
      <c r="U80" s="521" t="str">
        <f>IF(U$15="","",SUMIFS('Background (from TC)'!$I$4:$I$1048576,'Background (from TC)'!$D$4:$D$1048576,U$15,'Background (from TC)'!$E$4:$E$1048576,U$16,'Background (from TC)'!$O$4:$O$1048576,U$17)*U29)</f>
        <v/>
      </c>
      <c r="V80" s="521" t="str">
        <f>IF(V$15="","",SUMIFS('Background (from TC)'!$I$4:$I$1048576,'Background (from TC)'!$D$4:$D$1048576,V$15,'Background (from TC)'!$E$4:$E$1048576,V$16,'Background (from TC)'!$O$4:$O$1048576,V$17)*V29)</f>
        <v/>
      </c>
      <c r="W80" s="521" t="str">
        <f>IF(W$15="","",SUMIFS('Background (from TC)'!$I$4:$I$1048576,'Background (from TC)'!$D$4:$D$1048576,W$15,'Background (from TC)'!$E$4:$E$1048576,W$16,'Background (from TC)'!$O$4:$O$1048576,W$17)*W29)</f>
        <v/>
      </c>
      <c r="X80" s="521" t="str">
        <f>IF(X$15="","",SUMIFS('Background (from TC)'!$I$4:$I$1048576,'Background (from TC)'!$D$4:$D$1048576,X$15,'Background (from TC)'!$E$4:$E$1048576,X$16,'Background (from TC)'!$O$4:$O$1048576,X$17)*X29)</f>
        <v/>
      </c>
      <c r="Y80" s="521" t="str">
        <f>IF(Y$15="","",SUMIFS('Background (from TC)'!$I$4:$I$1048576,'Background (from TC)'!$D$4:$D$1048576,Y$15,'Background (from TC)'!$E$4:$E$1048576,Y$16,'Background (from TC)'!$O$4:$O$1048576,Y$17)*Y29)</f>
        <v/>
      </c>
      <c r="Z80" s="521" t="str">
        <f>IF(Z$15="","",SUMIFS('Background (from TC)'!$I$4:$I$1048576,'Background (from TC)'!$D$4:$D$1048576,Z$15,'Background (from TC)'!$E$4:$E$1048576,Z$16,'Background (from TC)'!$O$4:$O$1048576,Z$17)*Z29)</f>
        <v/>
      </c>
    </row>
    <row r="81" spans="2:26">
      <c r="B81" s="278" t="s">
        <v>78</v>
      </c>
      <c r="C81" s="232">
        <f t="shared" ref="C81:Z81" si="6">IF(C$15="","",IF(C62="",0,C62))</f>
        <v>0</v>
      </c>
      <c r="D81" s="1079">
        <f t="shared" si="6"/>
        <v>0</v>
      </c>
      <c r="E81" s="232" t="str">
        <f t="shared" si="6"/>
        <v/>
      </c>
      <c r="F81" s="232" t="str">
        <f t="shared" si="6"/>
        <v/>
      </c>
      <c r="G81" s="232" t="str">
        <f t="shared" si="6"/>
        <v/>
      </c>
      <c r="H81" s="232" t="str">
        <f t="shared" si="6"/>
        <v/>
      </c>
      <c r="I81" s="232" t="str">
        <f t="shared" si="6"/>
        <v/>
      </c>
      <c r="J81" s="232" t="str">
        <f t="shared" si="6"/>
        <v/>
      </c>
      <c r="K81" s="232" t="str">
        <f t="shared" si="6"/>
        <v/>
      </c>
      <c r="L81" s="232" t="str">
        <f t="shared" si="6"/>
        <v/>
      </c>
      <c r="M81" s="232" t="str">
        <f t="shared" si="6"/>
        <v/>
      </c>
      <c r="N81" s="232" t="str">
        <f t="shared" si="6"/>
        <v/>
      </c>
      <c r="O81" s="232" t="str">
        <f t="shared" si="6"/>
        <v/>
      </c>
      <c r="P81" s="232" t="str">
        <f t="shared" si="6"/>
        <v/>
      </c>
      <c r="Q81" s="232" t="str">
        <f t="shared" si="6"/>
        <v/>
      </c>
      <c r="R81" s="232" t="str">
        <f t="shared" si="6"/>
        <v/>
      </c>
      <c r="S81" s="232" t="str">
        <f t="shared" si="6"/>
        <v/>
      </c>
      <c r="T81" s="232" t="str">
        <f t="shared" si="6"/>
        <v/>
      </c>
      <c r="U81" s="232" t="str">
        <f t="shared" si="6"/>
        <v/>
      </c>
      <c r="V81" s="232" t="str">
        <f t="shared" si="6"/>
        <v/>
      </c>
      <c r="W81" s="232" t="str">
        <f t="shared" si="6"/>
        <v/>
      </c>
      <c r="X81" s="232" t="str">
        <f t="shared" si="6"/>
        <v/>
      </c>
      <c r="Y81" s="232" t="str">
        <f t="shared" si="6"/>
        <v/>
      </c>
      <c r="Z81" s="232" t="str">
        <f t="shared" si="6"/>
        <v/>
      </c>
    </row>
    <row r="82" spans="2:26">
      <c r="B82" s="278" t="s">
        <v>95</v>
      </c>
      <c r="C82" s="35">
        <f>IF(C$15="","",SUMIFS('Background (from TC)'!$J$4:$J$1048576,'Background (from TC)'!$D$4:$D$1048576,C$15,'Background (from TC)'!$E$4:$E$1048576,C$16,'Background (from TC)'!$O$4:$O$1048576,C$17)*C29*C66)</f>
        <v>0</v>
      </c>
      <c r="D82" s="1079">
        <f>IF(D$15="","",SUMIFS('Background (from TC)'!$J$4:$J$1048576,'Background (from TC)'!$D$4:$D$1048576,D$15,'Background (from TC)'!$E$4:$E$1048576,D$16,'Background (from TC)'!$O$4:$O$1048576,D$17)*D29*D66)</f>
        <v>0</v>
      </c>
      <c r="E82" s="35" t="str">
        <f>IF(E$15="","",SUMIFS('Background (from TC)'!$J$4:$J$1048576,'Background (from TC)'!$D$4:$D$1048576,E$15,'Background (from TC)'!$E$4:$E$1048576,E$16,'Background (from TC)'!$O$4:$O$1048576,E$17)*E29*E66)</f>
        <v/>
      </c>
      <c r="F82" s="43" t="str">
        <f>IF(F$15="","",SUMIFS('Background (from TC)'!$J$4:$J$1048576,'Background (from TC)'!$D$4:$D$1048576,F$15,'Background (from TC)'!$E$4:$E$1048576,F$16,'Background (from TC)'!$O$4:$O$1048576,F$17)*F29*F66)</f>
        <v/>
      </c>
      <c r="G82" s="43" t="str">
        <f>IF(G$15="","",SUMIFS('Background (from TC)'!$J$4:$J$1048576,'Background (from TC)'!$D$4:$D$1048576,G$15,'Background (from TC)'!$E$4:$E$1048576,G$16,'Background (from TC)'!$O$4:$O$1048576,G$17)*G29*G66)</f>
        <v/>
      </c>
      <c r="H82" s="43" t="str">
        <f>IF(H$15="","",SUMIFS('Background (from TC)'!$J$4:$J$1048576,'Background (from TC)'!$D$4:$D$1048576,H$15,'Background (from TC)'!$E$4:$E$1048576,H$16,'Background (from TC)'!$O$4:$O$1048576,H$17)*H29*H66)</f>
        <v/>
      </c>
      <c r="I82" s="43" t="str">
        <f>IF(I$15="","",SUMIFS('Background (from TC)'!$J$4:$J$1048576,'Background (from TC)'!$D$4:$D$1048576,I$15,'Background (from TC)'!$E$4:$E$1048576,I$16,'Background (from TC)'!$O$4:$O$1048576,I$17)*I29*I66)</f>
        <v/>
      </c>
      <c r="J82" s="43" t="str">
        <f>IF(J$15="","",SUMIFS('Background (from TC)'!$J$4:$J$1048576,'Background (from TC)'!$D$4:$D$1048576,J$15,'Background (from TC)'!$E$4:$E$1048576,J$16,'Background (from TC)'!$O$4:$O$1048576,J$17)*J29*J66)</f>
        <v/>
      </c>
      <c r="K82" s="43" t="str">
        <f>IF(K$15="","",SUMIFS('Background (from TC)'!$J$4:$J$1048576,'Background (from TC)'!$D$4:$D$1048576,K$15,'Background (from TC)'!$E$4:$E$1048576,K$16,'Background (from TC)'!$O$4:$O$1048576,K$17)*K29*K66)</f>
        <v/>
      </c>
      <c r="L82" s="43" t="str">
        <f>IF(L$15="","",SUMIFS('Background (from TC)'!$J$4:$J$1048576,'Background (from TC)'!$D$4:$D$1048576,L$15,'Background (from TC)'!$E$4:$E$1048576,L$16,'Background (from TC)'!$O$4:$O$1048576,L$17)*L29*L66)</f>
        <v/>
      </c>
      <c r="M82" s="43" t="str">
        <f>IF(M$15="","",SUMIFS('Background (from TC)'!$J$4:$J$1048576,'Background (from TC)'!$D$4:$D$1048576,M$15,'Background (from TC)'!$E$4:$E$1048576,M$16,'Background (from TC)'!$O$4:$O$1048576,M$17)*M29*M66)</f>
        <v/>
      </c>
      <c r="N82" s="43" t="str">
        <f>IF(N$15="","",SUMIFS('Background (from TC)'!$J$4:$J$1048576,'Background (from TC)'!$D$4:$D$1048576,N$15,'Background (from TC)'!$E$4:$E$1048576,N$16,'Background (from TC)'!$O$4:$O$1048576,N$17)*N29*N66)</f>
        <v/>
      </c>
      <c r="O82" s="43" t="str">
        <f>IF(O$15="","",SUMIFS('Background (from TC)'!$J$4:$J$1048576,'Background (from TC)'!$D$4:$D$1048576,O$15,'Background (from TC)'!$E$4:$E$1048576,O$16,'Background (from TC)'!$O$4:$O$1048576,O$17)*O29*O66)</f>
        <v/>
      </c>
      <c r="P82" s="43" t="str">
        <f>IF(P$15="","",SUMIFS('Background (from TC)'!$J$4:$J$1048576,'Background (from TC)'!$D$4:$D$1048576,P$15,'Background (from TC)'!$E$4:$E$1048576,P$16,'Background (from TC)'!$O$4:$O$1048576,P$17)*P29*P66)</f>
        <v/>
      </c>
      <c r="Q82" s="43" t="str">
        <f>IF(Q$15="","",SUMIFS('Background (from TC)'!$J$4:$J$1048576,'Background (from TC)'!$D$4:$D$1048576,Q$15,'Background (from TC)'!$E$4:$E$1048576,Q$16,'Background (from TC)'!$O$4:$O$1048576,Q$17)*Q29*Q66)</f>
        <v/>
      </c>
      <c r="R82" s="43" t="str">
        <f>IF(R$15="","",SUMIFS('Background (from TC)'!$J$4:$J$1048576,'Background (from TC)'!$D$4:$D$1048576,R$15,'Background (from TC)'!$E$4:$E$1048576,R$16,'Background (from TC)'!$O$4:$O$1048576,R$17)*R29*R66)</f>
        <v/>
      </c>
      <c r="S82" s="43" t="str">
        <f>IF(S$15="","",SUMIFS('Background (from TC)'!$J$4:$J$1048576,'Background (from TC)'!$D$4:$D$1048576,S$15,'Background (from TC)'!$E$4:$E$1048576,S$16,'Background (from TC)'!$O$4:$O$1048576,S$17)*S29*S66)</f>
        <v/>
      </c>
      <c r="T82" s="43" t="str">
        <f>IF(T$15="","",SUMIFS('Background (from TC)'!$J$4:$J$1048576,'Background (from TC)'!$D$4:$D$1048576,T$15,'Background (from TC)'!$E$4:$E$1048576,T$16,'Background (from TC)'!$O$4:$O$1048576,T$17)*T29*T66)</f>
        <v/>
      </c>
      <c r="U82" s="43" t="str">
        <f>IF(U$15="","",SUMIFS('Background (from TC)'!$J$4:$J$1048576,'Background (from TC)'!$D$4:$D$1048576,U$15,'Background (from TC)'!$E$4:$E$1048576,U$16,'Background (from TC)'!$O$4:$O$1048576,U$17)*U29*U66)</f>
        <v/>
      </c>
      <c r="V82" s="43" t="str">
        <f>IF(V$15="","",SUMIFS('Background (from TC)'!$J$4:$J$1048576,'Background (from TC)'!$D$4:$D$1048576,V$15,'Background (from TC)'!$E$4:$E$1048576,V$16,'Background (from TC)'!$O$4:$O$1048576,V$17)*V29*V66)</f>
        <v/>
      </c>
      <c r="W82" s="43" t="str">
        <f>IF(W$15="","",SUMIFS('Background (from TC)'!$J$4:$J$1048576,'Background (from TC)'!$D$4:$D$1048576,W$15,'Background (from TC)'!$E$4:$E$1048576,W$16,'Background (from TC)'!$O$4:$O$1048576,W$17)*W29*W66)</f>
        <v/>
      </c>
      <c r="X82" s="43" t="str">
        <f>IF(X$15="","",SUMIFS('Background (from TC)'!$J$4:$J$1048576,'Background (from TC)'!$D$4:$D$1048576,X$15,'Background (from TC)'!$E$4:$E$1048576,X$16,'Background (from TC)'!$O$4:$O$1048576,X$17)*X29*X66)</f>
        <v/>
      </c>
      <c r="Y82" s="43" t="str">
        <f>IF(Y$15="","",SUMIFS('Background (from TC)'!$J$4:$J$1048576,'Background (from TC)'!$D$4:$D$1048576,Y$15,'Background (from TC)'!$E$4:$E$1048576,Y$16,'Background (from TC)'!$O$4:$O$1048576,Y$17)*Y29*Y66)</f>
        <v/>
      </c>
      <c r="Z82" s="43" t="str">
        <f>IF(Z$15="","",SUMIFS('Background (from TC)'!$J$4:$J$1048576,'Background (from TC)'!$D$4:$D$1048576,Z$15,'Background (from TC)'!$E$4:$E$1048576,Z$16,'Background (from TC)'!$O$4:$O$1048576,Z$17)*Z29*Z66)</f>
        <v/>
      </c>
    </row>
    <row r="83" spans="2:26">
      <c r="B83" s="278" t="s">
        <v>96</v>
      </c>
      <c r="C83" s="35">
        <f>IF(C$15="","",SUMIFS('Background (from TC)'!$N$4:$N$1048576,'Background (from TC)'!$D$4:$D$1048576,C$15,'Background (from TC)'!$E$4:$E$1048576,C$16,'Background (from TC)'!$O$4:$O$1048576,C$17)*C29)</f>
        <v>0</v>
      </c>
      <c r="D83" s="1079">
        <f>IF(D$15="","",SUMIFS('Background (from TC)'!$N$4:$N$1048576,'Background (from TC)'!$D$4:$D$1048576,D$15,'Background (from TC)'!$E$4:$E$1048576,D$16,'Background (from TC)'!$O$4:$O$1048576,D$17)*D29)</f>
        <v>0</v>
      </c>
      <c r="E83" s="35" t="str">
        <f>IF(E$15="","",SUMIFS('Background (from TC)'!$N$4:$N$1048576,'Background (from TC)'!$D$4:$D$1048576,E$15,'Background (from TC)'!$E$4:$E$1048576,E$16,'Background (from TC)'!$O$4:$O$1048576,E$17)*E29)</f>
        <v/>
      </c>
      <c r="F83" s="43" t="str">
        <f>IF(F$15="","",SUMIFS('Background (from TC)'!$N$4:$N$1048576,'Background (from TC)'!$D$4:$D$1048576,F$15,'Background (from TC)'!$E$4:$E$1048576,F$16,'Background (from TC)'!$O$4:$O$1048576,F$17)*F29)</f>
        <v/>
      </c>
      <c r="G83" s="43" t="str">
        <f>IF(G$15="","",SUMIFS('Background (from TC)'!$N$4:$N$1048576,'Background (from TC)'!$D$4:$D$1048576,G$15,'Background (from TC)'!$E$4:$E$1048576,G$16,'Background (from TC)'!$O$4:$O$1048576,G$17)*G29)</f>
        <v/>
      </c>
      <c r="H83" s="43" t="str">
        <f>IF(H$15="","",SUMIFS('Background (from TC)'!$N$4:$N$1048576,'Background (from TC)'!$D$4:$D$1048576,H$15,'Background (from TC)'!$E$4:$E$1048576,H$16,'Background (from TC)'!$O$4:$O$1048576,H$17)*H29)</f>
        <v/>
      </c>
      <c r="I83" s="43" t="str">
        <f>IF(I$15="","",SUMIFS('Background (from TC)'!$N$4:$N$1048576,'Background (from TC)'!$D$4:$D$1048576,I$15,'Background (from TC)'!$E$4:$E$1048576,I$16,'Background (from TC)'!$O$4:$O$1048576,I$17)*I29)</f>
        <v/>
      </c>
      <c r="J83" s="43" t="str">
        <f>IF(J$15="","",SUMIFS('Background (from TC)'!$N$4:$N$1048576,'Background (from TC)'!$D$4:$D$1048576,J$15,'Background (from TC)'!$E$4:$E$1048576,J$16,'Background (from TC)'!$O$4:$O$1048576,J$17)*J29)</f>
        <v/>
      </c>
      <c r="K83" s="43" t="str">
        <f>IF(K$15="","",SUMIFS('Background (from TC)'!$N$4:$N$1048576,'Background (from TC)'!$D$4:$D$1048576,K$15,'Background (from TC)'!$E$4:$E$1048576,K$16,'Background (from TC)'!$O$4:$O$1048576,K$17)*K29)</f>
        <v/>
      </c>
      <c r="L83" s="43" t="str">
        <f>IF(L$15="","",SUMIFS('Background (from TC)'!$N$4:$N$1048576,'Background (from TC)'!$D$4:$D$1048576,L$15,'Background (from TC)'!$E$4:$E$1048576,L$16,'Background (from TC)'!$O$4:$O$1048576,L$17)*L29)</f>
        <v/>
      </c>
      <c r="M83" s="43" t="str">
        <f>IF(M$15="","",SUMIFS('Background (from TC)'!$N$4:$N$1048576,'Background (from TC)'!$D$4:$D$1048576,M$15,'Background (from TC)'!$E$4:$E$1048576,M$16,'Background (from TC)'!$O$4:$O$1048576,M$17)*M29)</f>
        <v/>
      </c>
      <c r="N83" s="43" t="str">
        <f>IF(N$15="","",SUMIFS('Background (from TC)'!$N$4:$N$1048576,'Background (from TC)'!$D$4:$D$1048576,N$15,'Background (from TC)'!$E$4:$E$1048576,N$16,'Background (from TC)'!$O$4:$O$1048576,N$17)*N29)</f>
        <v/>
      </c>
      <c r="O83" s="43" t="str">
        <f>IF(O$15="","",SUMIFS('Background (from TC)'!$N$4:$N$1048576,'Background (from TC)'!$D$4:$D$1048576,O$15,'Background (from TC)'!$E$4:$E$1048576,O$16,'Background (from TC)'!$O$4:$O$1048576,O$17)*O29)</f>
        <v/>
      </c>
      <c r="P83" s="43" t="str">
        <f>IF(P$15="","",SUMIFS('Background (from TC)'!$N$4:$N$1048576,'Background (from TC)'!$D$4:$D$1048576,P$15,'Background (from TC)'!$E$4:$E$1048576,P$16,'Background (from TC)'!$O$4:$O$1048576,P$17)*P29)</f>
        <v/>
      </c>
      <c r="Q83" s="43" t="str">
        <f>IF(Q$15="","",SUMIFS('Background (from TC)'!$N$4:$N$1048576,'Background (from TC)'!$D$4:$D$1048576,Q$15,'Background (from TC)'!$E$4:$E$1048576,Q$16,'Background (from TC)'!$O$4:$O$1048576,Q$17)*Q29)</f>
        <v/>
      </c>
      <c r="R83" s="43" t="str">
        <f>IF(R$15="","",SUMIFS('Background (from TC)'!$N$4:$N$1048576,'Background (from TC)'!$D$4:$D$1048576,R$15,'Background (from TC)'!$E$4:$E$1048576,R$16,'Background (from TC)'!$O$4:$O$1048576,R$17)*R29)</f>
        <v/>
      </c>
      <c r="S83" s="43" t="str">
        <f>IF(S$15="","",SUMIFS('Background (from TC)'!$N$4:$N$1048576,'Background (from TC)'!$D$4:$D$1048576,S$15,'Background (from TC)'!$E$4:$E$1048576,S$16,'Background (from TC)'!$O$4:$O$1048576,S$17)*S29)</f>
        <v/>
      </c>
      <c r="T83" s="43" t="str">
        <f>IF(T$15="","",SUMIFS('Background (from TC)'!$N$4:$N$1048576,'Background (from TC)'!$D$4:$D$1048576,T$15,'Background (from TC)'!$E$4:$E$1048576,T$16,'Background (from TC)'!$O$4:$O$1048576,T$17)*T29)</f>
        <v/>
      </c>
      <c r="U83" s="43" t="str">
        <f>IF(U$15="","",SUMIFS('Background (from TC)'!$N$4:$N$1048576,'Background (from TC)'!$D$4:$D$1048576,U$15,'Background (from TC)'!$E$4:$E$1048576,U$16,'Background (from TC)'!$O$4:$O$1048576,U$17)*U29)</f>
        <v/>
      </c>
      <c r="V83" s="43" t="str">
        <f>IF(V$15="","",SUMIFS('Background (from TC)'!$N$4:$N$1048576,'Background (from TC)'!$D$4:$D$1048576,V$15,'Background (from TC)'!$E$4:$E$1048576,V$16,'Background (from TC)'!$O$4:$O$1048576,V$17)*V29)</f>
        <v/>
      </c>
      <c r="W83" s="43" t="str">
        <f>IF(W$15="","",SUMIFS('Background (from TC)'!$N$4:$N$1048576,'Background (from TC)'!$D$4:$D$1048576,W$15,'Background (from TC)'!$E$4:$E$1048576,W$16,'Background (from TC)'!$O$4:$O$1048576,W$17)*W29)</f>
        <v/>
      </c>
      <c r="X83" s="43" t="str">
        <f>IF(X$15="","",SUMIFS('Background (from TC)'!$N$4:$N$1048576,'Background (from TC)'!$D$4:$D$1048576,X$15,'Background (from TC)'!$E$4:$E$1048576,X$16,'Background (from TC)'!$O$4:$O$1048576,X$17)*X29)</f>
        <v/>
      </c>
      <c r="Y83" s="43" t="str">
        <f>IF(Y$15="","",SUMIFS('Background (from TC)'!$N$4:$N$1048576,'Background (from TC)'!$D$4:$D$1048576,Y$15,'Background (from TC)'!$E$4:$E$1048576,Y$16,'Background (from TC)'!$O$4:$O$1048576,Y$17)*Y29)</f>
        <v/>
      </c>
      <c r="Z83" s="43" t="str">
        <f>IF(Z$15="","",SUMIFS('Background (from TC)'!$N$4:$N$1048576,'Background (from TC)'!$D$4:$D$1048576,Z$15,'Background (from TC)'!$E$4:$E$1048576,Z$16,'Background (from TC)'!$O$4:$O$1048576,Z$17)*Z29)</f>
        <v/>
      </c>
    </row>
    <row r="84" spans="2:26">
      <c r="B84" s="278"/>
      <c r="C84" s="35"/>
      <c r="D84" s="1079"/>
      <c r="E84" s="35"/>
      <c r="F84" s="43"/>
      <c r="G84" s="43"/>
      <c r="H84" s="43"/>
      <c r="I84" s="43"/>
      <c r="J84" s="43"/>
      <c r="K84" s="43"/>
      <c r="L84" s="43"/>
      <c r="M84" s="43"/>
      <c r="N84" s="43"/>
      <c r="O84" s="43"/>
      <c r="P84" s="43"/>
      <c r="Q84" s="43"/>
      <c r="R84" s="43"/>
      <c r="S84" s="43"/>
      <c r="T84" s="43"/>
      <c r="U84" s="43"/>
      <c r="V84" s="43"/>
      <c r="W84" s="43"/>
      <c r="X84" s="43"/>
      <c r="Y84" s="43"/>
      <c r="Z84" s="43"/>
    </row>
    <row r="85" spans="2:26">
      <c r="B85" s="278" t="s">
        <v>163</v>
      </c>
      <c r="C85" s="81">
        <f>IF(C$15="","",SUMIFS($C$34:$Z$34,$C$15:$Z$15,"&lt;&gt;"&amp;"Storage"))</f>
        <v>1890.5</v>
      </c>
      <c r="D85" s="1079"/>
      <c r="E85" s="35"/>
      <c r="F85" s="43"/>
      <c r="G85" s="43"/>
      <c r="H85" s="43"/>
      <c r="I85" s="43"/>
      <c r="J85" s="43"/>
      <c r="K85" s="43"/>
      <c r="L85" s="43"/>
      <c r="M85" s="43"/>
      <c r="N85" s="43"/>
      <c r="O85" s="43"/>
      <c r="P85" s="43"/>
      <c r="Q85" s="43"/>
      <c r="R85" s="43"/>
      <c r="S85" s="43"/>
      <c r="T85" s="43"/>
      <c r="U85" s="43"/>
      <c r="V85" s="43"/>
      <c r="W85" s="43"/>
      <c r="X85" s="43"/>
      <c r="Y85" s="43"/>
      <c r="Z85" s="43"/>
    </row>
    <row r="86" spans="2:26">
      <c r="B86" s="278" t="s">
        <v>164</v>
      </c>
      <c r="C86" s="81">
        <f>IF(C$15="","",C50/C54)</f>
        <v>1460</v>
      </c>
      <c r="D86" s="1079"/>
      <c r="E86" s="35"/>
      <c r="F86" s="43"/>
      <c r="G86" s="43"/>
      <c r="H86" s="43"/>
      <c r="I86" s="43"/>
      <c r="J86" s="43"/>
      <c r="K86" s="43"/>
      <c r="L86" s="43"/>
      <c r="M86" s="43"/>
      <c r="N86" s="43"/>
      <c r="O86" s="43"/>
      <c r="P86" s="43"/>
      <c r="Q86" s="43"/>
      <c r="R86" s="43"/>
      <c r="S86" s="43"/>
      <c r="T86" s="43"/>
      <c r="U86" s="43"/>
      <c r="V86" s="43"/>
      <c r="W86" s="43"/>
      <c r="X86" s="43"/>
      <c r="Y86" s="43"/>
      <c r="Z86" s="43"/>
    </row>
    <row r="87" spans="2:26">
      <c r="B87" s="278" t="s">
        <v>165</v>
      </c>
      <c r="C87" s="81">
        <f>IF(C$15="","",C86*(1-C53))</f>
        <v>59.617195192685855</v>
      </c>
      <c r="D87" s="1079"/>
      <c r="E87" s="35"/>
      <c r="F87" s="43"/>
      <c r="G87" s="43"/>
      <c r="H87" s="43"/>
      <c r="I87" s="43"/>
      <c r="J87" s="43"/>
      <c r="K87" s="43"/>
      <c r="L87" s="43"/>
      <c r="M87" s="43"/>
      <c r="N87" s="43"/>
      <c r="O87" s="43"/>
      <c r="P87" s="43"/>
      <c r="Q87" s="43"/>
      <c r="R87" s="43"/>
      <c r="S87" s="43"/>
      <c r="T87" s="43"/>
      <c r="U87" s="43"/>
      <c r="V87" s="43"/>
      <c r="W87" s="43"/>
      <c r="X87" s="43"/>
      <c r="Y87" s="43"/>
      <c r="Z87" s="43"/>
    </row>
    <row r="88" spans="2:26">
      <c r="B88" s="278" t="s">
        <v>166</v>
      </c>
      <c r="C88" s="81">
        <f>IF(C$15="","",C86*(1-C54))</f>
        <v>59.617195192685855</v>
      </c>
      <c r="D88" s="1079"/>
      <c r="E88" s="35"/>
      <c r="F88" s="43"/>
      <c r="G88" s="43"/>
      <c r="H88" s="43"/>
      <c r="I88" s="43"/>
      <c r="J88" s="43"/>
      <c r="K88" s="43"/>
      <c r="L88" s="43"/>
      <c r="M88" s="43"/>
      <c r="N88" s="43"/>
      <c r="O88" s="43"/>
      <c r="P88" s="43"/>
      <c r="Q88" s="43"/>
      <c r="R88" s="43"/>
      <c r="S88" s="43"/>
      <c r="T88" s="43"/>
      <c r="U88" s="43"/>
      <c r="V88" s="43"/>
      <c r="W88" s="43"/>
      <c r="X88" s="43"/>
      <c r="Y88" s="43"/>
      <c r="Z88" s="43"/>
    </row>
    <row r="89" spans="2:26">
      <c r="B89" s="278" t="s">
        <v>167</v>
      </c>
      <c r="C89" s="81">
        <f>IF(C$15="","",C85-C86-C87)</f>
        <v>370.88280480731413</v>
      </c>
      <c r="D89" s="1079"/>
      <c r="E89" s="35"/>
      <c r="F89" s="43"/>
      <c r="G89" s="43"/>
      <c r="H89" s="43"/>
      <c r="I89" s="43"/>
      <c r="J89" s="43"/>
      <c r="K89" s="43"/>
      <c r="L89" s="43"/>
      <c r="M89" s="43"/>
      <c r="N89" s="43"/>
      <c r="O89" s="43"/>
      <c r="P89" s="43"/>
      <c r="Q89" s="43"/>
      <c r="R89" s="43"/>
      <c r="S89" s="43"/>
      <c r="T89" s="43"/>
      <c r="U89" s="43"/>
      <c r="V89" s="43"/>
      <c r="W89" s="43"/>
      <c r="X89" s="43"/>
      <c r="Y89" s="43"/>
      <c r="Z89" s="43"/>
    </row>
    <row r="90" spans="2:26">
      <c r="B90" s="278" t="s">
        <v>168</v>
      </c>
      <c r="C90" s="81">
        <f>IF(C$15="","",C86-C88)</f>
        <v>1400.3828048073142</v>
      </c>
      <c r="D90" s="1079"/>
      <c r="E90" s="35"/>
      <c r="F90" s="43"/>
      <c r="G90" s="43"/>
      <c r="H90" s="43"/>
      <c r="I90" s="43"/>
      <c r="J90" s="43"/>
      <c r="K90" s="43"/>
      <c r="L90" s="43"/>
      <c r="M90" s="43"/>
      <c r="N90" s="43"/>
      <c r="O90" s="43"/>
      <c r="P90" s="43"/>
      <c r="Q90" s="43"/>
      <c r="R90" s="43"/>
      <c r="S90" s="43"/>
      <c r="T90" s="43"/>
      <c r="U90" s="43"/>
      <c r="V90" s="43"/>
      <c r="W90" s="43"/>
      <c r="X90" s="43"/>
      <c r="Y90" s="43"/>
      <c r="Z90" s="43"/>
    </row>
    <row r="91" spans="2:26">
      <c r="B91" s="278" t="s">
        <v>169</v>
      </c>
      <c r="C91" s="81">
        <f>IF(C$15="","",SUM(C89:C90))</f>
        <v>1771.2656096146284</v>
      </c>
      <c r="D91" s="1079"/>
      <c r="E91" s="35"/>
      <c r="F91" s="43"/>
      <c r="G91" s="43"/>
      <c r="H91" s="43"/>
      <c r="I91" s="43"/>
      <c r="J91" s="43"/>
      <c r="K91" s="43"/>
      <c r="L91" s="43"/>
      <c r="M91" s="43"/>
      <c r="N91" s="43"/>
      <c r="O91" s="43"/>
      <c r="P91" s="43"/>
      <c r="Q91" s="43"/>
      <c r="R91" s="43"/>
      <c r="S91" s="43"/>
      <c r="T91" s="43"/>
      <c r="U91" s="43"/>
      <c r="V91" s="43"/>
      <c r="W91" s="43"/>
      <c r="X91" s="43"/>
      <c r="Y91" s="43"/>
      <c r="Z91" s="43"/>
    </row>
    <row r="92" spans="2:26">
      <c r="B92" s="278"/>
      <c r="C92" s="35"/>
      <c r="D92" s="1079"/>
      <c r="E92" s="35"/>
      <c r="F92" s="43"/>
      <c r="G92" s="43"/>
      <c r="H92" s="43"/>
      <c r="I92" s="43"/>
      <c r="J92" s="43"/>
      <c r="K92" s="43"/>
      <c r="L92" s="43"/>
      <c r="M92" s="43"/>
      <c r="N92" s="43"/>
      <c r="O92" s="43"/>
      <c r="P92" s="43"/>
      <c r="Q92" s="43"/>
      <c r="R92" s="43"/>
      <c r="S92" s="43"/>
      <c r="T92" s="43"/>
      <c r="U92" s="43"/>
      <c r="V92" s="43"/>
      <c r="W92" s="43"/>
      <c r="X92" s="43"/>
      <c r="Y92" s="43"/>
      <c r="Z92" s="43"/>
    </row>
    <row r="93" spans="2:26">
      <c r="B93" s="278" t="s">
        <v>97</v>
      </c>
      <c r="C93" s="35"/>
      <c r="D93" s="1079"/>
      <c r="E93" s="35"/>
      <c r="F93" s="43"/>
      <c r="G93" s="43"/>
      <c r="H93" s="43"/>
      <c r="I93" s="43"/>
      <c r="J93" s="43"/>
      <c r="K93" s="43"/>
      <c r="L93" s="43"/>
      <c r="M93" s="43"/>
      <c r="N93" s="43"/>
      <c r="O93" s="43"/>
      <c r="P93" s="43"/>
      <c r="Q93" s="43"/>
      <c r="R93" s="43"/>
      <c r="S93" s="43"/>
      <c r="T93" s="43"/>
      <c r="U93" s="43"/>
      <c r="V93" s="43"/>
      <c r="W93" s="43"/>
      <c r="X93" s="43"/>
      <c r="Y93" s="43"/>
      <c r="Z93" s="43"/>
    </row>
    <row r="94" spans="2:26">
      <c r="B94" s="278" t="s">
        <v>98</v>
      </c>
      <c r="C94" s="1080">
        <f>IF(C$15="","",SUM(SUMPRODUCT($C$25:$Z$25,$C$78:$Z$78))*10^6/$C$91)</f>
        <v>72.270182881836064</v>
      </c>
      <c r="D94" s="108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row>
    <row r="95" spans="2:26">
      <c r="B95" s="278" t="s">
        <v>99</v>
      </c>
      <c r="C95" s="1080">
        <f>IF(C$15="","",SUM($C$79:$Z$79)*10^3/$C$91)</f>
        <v>5.5186528473991716</v>
      </c>
      <c r="D95" s="1081"/>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row>
    <row r="96" spans="2:26">
      <c r="B96" s="278" t="s">
        <v>100</v>
      </c>
      <c r="C96" s="1078">
        <f>IF(C$15="","",SUM($C$80:$Z$80))</f>
        <v>1.6</v>
      </c>
      <c r="D96" s="1081"/>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row>
    <row r="97" spans="2:26">
      <c r="B97" s="278" t="s">
        <v>101</v>
      </c>
      <c r="C97" s="1080">
        <f>IF(C$15="","",SUM(C81:Z81))</f>
        <v>0</v>
      </c>
      <c r="D97" s="1081"/>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row>
    <row r="98" spans="2:26">
      <c r="B98" s="278" t="s">
        <v>102</v>
      </c>
      <c r="C98" s="1080">
        <f>IF(C$15="","",SUM(C82:Z82))</f>
        <v>0</v>
      </c>
      <c r="D98" s="1081"/>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row>
    <row r="99" spans="2:26">
      <c r="B99" s="278" t="s">
        <v>103</v>
      </c>
      <c r="C99" s="1080">
        <f>IF(C$15="","",SUM(C83:Z83))</f>
        <v>0</v>
      </c>
      <c r="D99" s="1081"/>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row>
    <row r="100" spans="2:26">
      <c r="B100" s="278"/>
      <c r="C100" s="35"/>
      <c r="D100" s="1079"/>
      <c r="E100" s="35"/>
      <c r="F100" s="43"/>
      <c r="G100" s="43"/>
      <c r="H100" s="43"/>
      <c r="I100" s="43"/>
      <c r="J100" s="43"/>
      <c r="K100" s="43"/>
      <c r="L100" s="43"/>
      <c r="M100" s="43"/>
      <c r="N100" s="43"/>
      <c r="O100" s="43"/>
      <c r="P100" s="43"/>
      <c r="Q100" s="43"/>
      <c r="R100" s="43"/>
      <c r="S100" s="43"/>
      <c r="T100" s="43"/>
      <c r="U100" s="43"/>
      <c r="V100" s="43"/>
      <c r="W100" s="43"/>
      <c r="X100" s="43"/>
      <c r="Y100" s="43"/>
      <c r="Z100" s="43"/>
    </row>
    <row r="101" spans="2:26" ht="15.75" thickBot="1">
      <c r="B101" s="272" t="s">
        <v>170</v>
      </c>
      <c r="C101" s="1083">
        <f>IF(C15="","",SUM(C94:C97))</f>
        <v>79.388835729235225</v>
      </c>
      <c r="D101" s="1084"/>
      <c r="E101" s="1085"/>
      <c r="F101" s="1086"/>
      <c r="G101" s="1086"/>
      <c r="H101" s="1086"/>
      <c r="I101" s="1086"/>
      <c r="J101" s="1086"/>
      <c r="K101" s="1086"/>
      <c r="L101" s="1086"/>
      <c r="M101" s="1086"/>
      <c r="N101" s="1086"/>
      <c r="O101" s="1086"/>
      <c r="P101" s="1086"/>
      <c r="Q101" s="1086"/>
      <c r="R101" s="1086"/>
      <c r="S101" s="1086"/>
      <c r="T101" s="1086"/>
      <c r="U101" s="1086"/>
      <c r="V101" s="1086"/>
      <c r="W101" s="1086"/>
      <c r="X101" s="1086"/>
      <c r="Y101" s="1086"/>
      <c r="Z101" s="1086"/>
    </row>
    <row r="102" spans="2:26" ht="15.75" thickBot="1">
      <c r="B102" s="273" t="s">
        <v>43</v>
      </c>
      <c r="C102" s="59" t="str">
        <f>IF(ISERROR(C101),"Populate cells above","")</f>
        <v/>
      </c>
      <c r="D102" s="67"/>
    </row>
    <row r="104" spans="2:26">
      <c r="B104" s="1"/>
    </row>
    <row r="107" spans="2:26">
      <c r="C107" s="54"/>
      <c r="D107" s="54"/>
      <c r="E107" s="54"/>
    </row>
    <row r="108" spans="2:26">
      <c r="C108" s="54"/>
      <c r="E108" s="54"/>
    </row>
    <row r="109" spans="2:26">
      <c r="C109" s="8"/>
      <c r="E109" s="8"/>
    </row>
    <row r="112" spans="2:26">
      <c r="C112" s="9"/>
    </row>
    <row r="114" spans="3:3">
      <c r="C114" s="9"/>
    </row>
    <row r="116" spans="3:3">
      <c r="C116" s="9"/>
    </row>
    <row r="119" spans="3:3">
      <c r="C119" s="54"/>
    </row>
  </sheetData>
  <conditionalFormatting sqref="C32:Y32">
    <cfRule type="expression" dxfId="76" priority="56">
      <formula>NOT(ISBLANK(C$15))</formula>
    </cfRule>
  </conditionalFormatting>
  <conditionalFormatting sqref="C15:Z15">
    <cfRule type="notContainsBlanks" dxfId="75" priority="62">
      <formula>LEN(TRIM(C15))&gt;0</formula>
    </cfRule>
  </conditionalFormatting>
  <conditionalFormatting sqref="C16:Z16">
    <cfRule type="expression" dxfId="74" priority="40">
      <formula>NOT(ISBLANK(C$15))</formula>
    </cfRule>
  </conditionalFormatting>
  <conditionalFormatting sqref="C17:Z17">
    <cfRule type="expression" dxfId="73" priority="1">
      <formula>NOT(ISBLANK(C$16))</formula>
    </cfRule>
  </conditionalFormatting>
  <conditionalFormatting sqref="C18:Z18">
    <cfRule type="containsText" dxfId="72" priority="2" operator="containsText" text="Technology unavailable in this year. Please revise">
      <formula>NOT(ISERROR(SEARCH("Technology unavailable in this year. Please revise",C18)))</formula>
    </cfRule>
    <cfRule type="containsText" dxfId="71" priority="43" operator="containsText" text="Incompatible combination of Fuel and Technology">
      <formula>NOT(ISERROR(SEARCH("Incompatible combination of Fuel and Technology",C18)))</formula>
    </cfRule>
  </conditionalFormatting>
  <conditionalFormatting sqref="C22:Z22">
    <cfRule type="expression" dxfId="70" priority="60">
      <formula>NOT(ISBLANK(C$15))</formula>
    </cfRule>
  </conditionalFormatting>
  <conditionalFormatting sqref="C23:Z23">
    <cfRule type="expression" dxfId="69" priority="61">
      <formula>C22="Generic"</formula>
    </cfRule>
    <cfRule type="expression" dxfId="68" priority="59">
      <formula>C22="User defined"</formula>
    </cfRule>
  </conditionalFormatting>
  <conditionalFormatting sqref="C24:Z25">
    <cfRule type="notContainsBlanks" dxfId="67" priority="57">
      <formula>LEN(TRIM(C24))&gt;0</formula>
    </cfRule>
  </conditionalFormatting>
  <conditionalFormatting sqref="C26:Z26">
    <cfRule type="containsText" dxfId="66" priority="58" operator="containsText" text="Insert value above">
      <formula>NOT(ISERROR(SEARCH("Insert value above",C26)))</formula>
    </cfRule>
    <cfRule type="containsText" dxfId="65" priority="52" operator="containsText" text="Value should be between 0 and 1">
      <formula>NOT(ISERROR(SEARCH("Value should be between 0 and 1",C26)))</formula>
    </cfRule>
  </conditionalFormatting>
  <conditionalFormatting sqref="C28:Z29">
    <cfRule type="notContainsBlanks" dxfId="64" priority="3">
      <formula>LEN(TRIM(C28))&gt;0</formula>
    </cfRule>
  </conditionalFormatting>
  <conditionalFormatting sqref="C32:Z32">
    <cfRule type="expression" dxfId="63" priority="48">
      <formula>C$15="Storage"</formula>
    </cfRule>
  </conditionalFormatting>
  <conditionalFormatting sqref="C33:Z33">
    <cfRule type="expression" dxfId="62" priority="55">
      <formula>C32="Generic"</formula>
    </cfRule>
    <cfRule type="expression" dxfId="61" priority="54">
      <formula>C32="User defined"</formula>
    </cfRule>
  </conditionalFormatting>
  <conditionalFormatting sqref="C33:Z34">
    <cfRule type="expression" dxfId="60" priority="47">
      <formula>C$15="Storage"</formula>
    </cfRule>
  </conditionalFormatting>
  <conditionalFormatting sqref="C34:Z34">
    <cfRule type="notContainsBlanks" dxfId="59" priority="53">
      <formula>LEN(TRIM(C34))&gt;0</formula>
    </cfRule>
  </conditionalFormatting>
  <conditionalFormatting sqref="C35:Z37">
    <cfRule type="containsText" dxfId="58" priority="41" operator="containsText" text="Absence of generic data, please switch to User Defined and insert FLHs">
      <formula>NOT(ISERROR(SEARCH("Absence of generic data, please switch to User Defined and insert FLHs",C35)))</formula>
    </cfRule>
    <cfRule type="containsText" dxfId="57" priority="51" operator="containsText" text="Insert value above">
      <formula>NOT(ISERROR(SEARCH("Insert value above",C35)))</formula>
    </cfRule>
    <cfRule type="containsText" dxfId="56" priority="50" operator="containsText" text="Value should be between 0 and 1">
      <formula>NOT(ISERROR(SEARCH("Value should be between 0 and 1",C35)))</formula>
    </cfRule>
  </conditionalFormatting>
  <conditionalFormatting sqref="C38:Z38">
    <cfRule type="expression" dxfId="55" priority="49">
      <formula>C$15="Storage"</formula>
    </cfRule>
  </conditionalFormatting>
  <conditionalFormatting sqref="C39:Z41">
    <cfRule type="expression" dxfId="54" priority="12">
      <formula>C$38="User defined"</formula>
    </cfRule>
    <cfRule type="expression" dxfId="53" priority="13">
      <formula>C$38&lt;&gt;"User defined"</formula>
    </cfRule>
  </conditionalFormatting>
  <conditionalFormatting sqref="C39:Z44">
    <cfRule type="expression" dxfId="52" priority="10">
      <formula>C$15=""</formula>
    </cfRule>
  </conditionalFormatting>
  <conditionalFormatting sqref="C42:Z44">
    <cfRule type="expression" dxfId="51" priority="11">
      <formula>C$38&lt;&gt;""</formula>
    </cfRule>
  </conditionalFormatting>
  <conditionalFormatting sqref="C45:Z48">
    <cfRule type="expression" dxfId="50" priority="8">
      <formula>C$38="User defined"</formula>
    </cfRule>
    <cfRule type="expression" dxfId="49" priority="9">
      <formula>C$38="Generic"</formula>
    </cfRule>
  </conditionalFormatting>
  <conditionalFormatting sqref="C47:Z48">
    <cfRule type="expression" dxfId="48" priority="6">
      <formula>C$38="User defined"</formula>
    </cfRule>
    <cfRule type="expression" dxfId="47" priority="7">
      <formula>C$38="Generic"</formula>
    </cfRule>
  </conditionalFormatting>
  <conditionalFormatting sqref="C49:Z54">
    <cfRule type="expression" dxfId="46" priority="45">
      <formula>C$15="Storage"</formula>
    </cfRule>
  </conditionalFormatting>
  <conditionalFormatting sqref="C53:Z55">
    <cfRule type="containsText" dxfId="45" priority="44" operator="containsText" text="Annual cycles exceed feasible">
      <formula>NOT(ISERROR(SEARCH("Annual cycles exceed feasible",C53)))</formula>
    </cfRule>
  </conditionalFormatting>
  <conditionalFormatting sqref="C58:Z58">
    <cfRule type="expression" dxfId="44" priority="64">
      <formula>NOT(ISBLANK(C$15))</formula>
    </cfRule>
    <cfRule type="expression" dxfId="43" priority="63">
      <formula>C$15=""</formula>
    </cfRule>
  </conditionalFormatting>
  <conditionalFormatting sqref="C59:Z59">
    <cfRule type="expression" dxfId="42" priority="4">
      <formula>C$15="Storage"</formula>
    </cfRule>
    <cfRule type="expression" dxfId="41" priority="5">
      <formula>C58="User defined"</formula>
    </cfRule>
    <cfRule type="expression" dxfId="40" priority="38">
      <formula>C58="User defined"</formula>
    </cfRule>
    <cfRule type="expression" dxfId="39" priority="37">
      <formula>C$15="Storage"</formula>
    </cfRule>
    <cfRule type="expression" dxfId="38" priority="39">
      <formula>C58&lt;&gt;"User defined"</formula>
    </cfRule>
  </conditionalFormatting>
  <conditionalFormatting sqref="C59:Z60">
    <cfRule type="expression" dxfId="37" priority="35">
      <formula>C$15=""</formula>
    </cfRule>
  </conditionalFormatting>
  <conditionalFormatting sqref="C60:Z60">
    <cfRule type="expression" dxfId="36" priority="36">
      <formula>C15&lt;&gt;""</formula>
    </cfRule>
  </conditionalFormatting>
  <conditionalFormatting sqref="C61:Z61">
    <cfRule type="expression" dxfId="35" priority="66">
      <formula>C$15&lt;&gt;""</formula>
    </cfRule>
    <cfRule type="expression" dxfId="34" priority="65">
      <formula>NOT(OR(C$15="Storage",C$58="User Defined"))</formula>
    </cfRule>
  </conditionalFormatting>
  <conditionalFormatting sqref="C61:Z62">
    <cfRule type="expression" dxfId="33" priority="33">
      <formula>C$15=""</formula>
    </cfRule>
  </conditionalFormatting>
  <conditionalFormatting sqref="C62:Z62">
    <cfRule type="expression" dxfId="32" priority="34">
      <formula>C$15&lt;&gt;""</formula>
    </cfRule>
  </conditionalFormatting>
  <conditionalFormatting sqref="C63:Z64">
    <cfRule type="containsText" dxfId="31" priority="32" operator="containsText" text="Insert value above">
      <formula>NOT(ISERROR(SEARCH("Insert value above",C63)))</formula>
    </cfRule>
    <cfRule type="containsText" dxfId="30" priority="31" operator="containsText" text="Value should be between 0 and 1">
      <formula>NOT(ISERROR(SEARCH("Value should be between 0 and 1",C63)))</formula>
    </cfRule>
    <cfRule type="containsText" dxfId="29" priority="30" operator="containsText" text="Absence of generic data, please switch to User Defined and insert FLHs">
      <formula>NOT(ISERROR(SEARCH("Absence of generic data, please switch to User Defined and insert FLHs",C63)))</formula>
    </cfRule>
  </conditionalFormatting>
  <conditionalFormatting sqref="C66:Z66">
    <cfRule type="expression" dxfId="28" priority="71">
      <formula>C$15=""</formula>
    </cfRule>
  </conditionalFormatting>
  <conditionalFormatting sqref="C78:Z83">
    <cfRule type="expression" dxfId="27" priority="42">
      <formula>NOT(ISBLANK(C$15))</formula>
    </cfRule>
  </conditionalFormatting>
  <conditionalFormatting sqref="C102:Z102">
    <cfRule type="containsText" dxfId="26" priority="46" operator="containsText" text="Populate cells above">
      <formula>NOT(ISERROR(SEARCH("Populate cells above",C102)))</formula>
    </cfRule>
  </conditionalFormatting>
  <conditionalFormatting sqref="D71">
    <cfRule type="expression" dxfId="25" priority="67">
      <formula>NOT(ISBLANK(D$15))</formula>
    </cfRule>
    <cfRule type="expression" dxfId="24" priority="22">
      <formula>NOT(ISNUMBER(D$60))</formula>
    </cfRule>
  </conditionalFormatting>
  <conditionalFormatting sqref="D71:D73">
    <cfRule type="expression" dxfId="23" priority="15">
      <formula>D$15=""</formula>
    </cfRule>
    <cfRule type="expression" dxfId="22" priority="21">
      <formula>D$15="Storage"</formula>
    </cfRule>
  </conditionalFormatting>
  <conditionalFormatting sqref="D72">
    <cfRule type="expression" dxfId="21" priority="18">
      <formula>D71="User defined"</formula>
    </cfRule>
    <cfRule type="expression" dxfId="20" priority="17">
      <formula>D71&lt;&gt;"User defined"</formula>
    </cfRule>
  </conditionalFormatting>
  <conditionalFormatting sqref="D72:D73">
    <cfRule type="expression" dxfId="19" priority="14">
      <formula>D$69="No"</formula>
    </cfRule>
  </conditionalFormatting>
  <conditionalFormatting sqref="D73">
    <cfRule type="expression" dxfId="18" priority="20">
      <formula>D71&lt;&gt;"User defined"</formula>
    </cfRule>
    <cfRule type="expression" dxfId="17" priority="19">
      <formula>D71="User defined"</formula>
    </cfRule>
  </conditionalFormatting>
  <conditionalFormatting sqref="D74">
    <cfRule type="expression" dxfId="16" priority="68">
      <formula>ISBLANK(D$15)</formula>
    </cfRule>
    <cfRule type="expression" dxfId="15" priority="69">
      <formula>D$69="No"</formula>
    </cfRule>
    <cfRule type="expression" dxfId="14" priority="70">
      <formula>D$69="Yes"</formula>
    </cfRule>
  </conditionalFormatting>
  <conditionalFormatting sqref="D69:Z69">
    <cfRule type="expression" dxfId="13" priority="25">
      <formula>NOT(ISBLANK(D$15))</formula>
    </cfRule>
    <cfRule type="expression" dxfId="12" priority="23">
      <formula>AND(NOT(ISBLANK(D$15)),D69="No")</formula>
    </cfRule>
    <cfRule type="expression" dxfId="11" priority="24">
      <formula>AND(NOT(ISBLANK(D$15)),D69="Yes")</formula>
    </cfRule>
  </conditionalFormatting>
  <conditionalFormatting sqref="D70:Z74">
    <cfRule type="expression" dxfId="10" priority="16">
      <formula>D$69="No"</formula>
    </cfRule>
  </conditionalFormatting>
  <conditionalFormatting sqref="D77:Z77">
    <cfRule type="expression" dxfId="9" priority="28">
      <formula>AND(NOT(ISBLANK(D$15)),D77="Yes")</formula>
    </cfRule>
    <cfRule type="expression" dxfId="8" priority="29">
      <formula>NOT(ISBLANK(D$15))</formula>
    </cfRule>
    <cfRule type="expression" dxfId="7" priority="26">
      <formula>ISBLANK(D$15)</formula>
    </cfRule>
    <cfRule type="expression" dxfId="6" priority="27">
      <formula>AND(NOT(ISBLANK(D$15)),D77="No")</formula>
    </cfRule>
  </conditionalFormatting>
  <dataValidations count="2">
    <dataValidation type="list" allowBlank="1" showInputMessage="1" showErrorMessage="1" sqref="D77:Z77 D69" xr:uid="{4BF6945D-D39E-4E08-BB0E-8D3B4F99D89F}">
      <formula1>"Yes, No"</formula1>
    </dataValidation>
    <dataValidation type="list" allowBlank="1" showInputMessage="1" showErrorMessage="1" sqref="C22:Z22 C32:Y32 D71 C58:Z58 C38:Z38" xr:uid="{C2735C6E-3813-4864-B4A4-95270F87D2F2}">
      <formula1>"Generic, User defined"</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72" id="{58F63403-D03E-4617-8357-BF18DD6DD96B}">
            <xm:f>SUMIFS('Background (from TC)'!$J$4:$J$1048576,'Background (from TC)'!$D$4:$D$1048576,C$15,'Background (from TC)'!$E$4:$E$1048576,C$16,'Background (from TC)'!$O$4:$O$1048576,C$17)=0</xm:f>
            <x14:dxf>
              <font>
                <color theme="0" tint="-0.24994659260841701"/>
              </font>
              <fill>
                <patternFill>
                  <bgColor theme="0" tint="-0.24994659260841701"/>
                </patternFill>
              </fill>
            </x14:dxf>
          </x14:cfRule>
          <x14:cfRule type="expression" priority="73" id="{5F9380E1-3405-459E-887F-70B5CAF59195}">
            <xm:f>SUMIFS('Background (from TC)'!$J$4:$J$1048576,'Background (from TC)'!$D$4:$D$1048576,C$15,'Background (from TC)'!$E$4:$E$1048576,C$16,'Background (from TC)'!$O$4:$O$1048576,C$17)&gt;0</xm:f>
            <x14:dxf>
              <fill>
                <patternFill>
                  <bgColor theme="6" tint="0.79998168889431442"/>
                </patternFill>
              </fill>
            </x14:dxf>
          </x14:cfRule>
          <xm:sqref>C66:Z66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508153A-D70D-4FB3-9F5F-D885F2E8D4E2}">
          <x14:formula1>
            <xm:f>OFFSET('Background (from TC)'!$A$4,,,COUNTIF('Background (from TC)'!$A$4:$A$1048576,"?*"))</xm:f>
          </x14:formula1>
          <xm:sqref>C15:Z15</xm:sqref>
        </x14:dataValidation>
        <x14:dataValidation type="list" allowBlank="1" showInputMessage="1" showErrorMessage="1" xr:uid="{952F952E-2BDC-4210-A7C3-D15DDCA55813}">
          <x14:formula1>
            <xm:f>OFFSET('Background (from TC)'!$C$4,,,COUNTIF('Background (from TC)'!$C$4:$C$1048576,"&lt;&gt;"))</xm:f>
          </x14:formula1>
          <xm:sqref>C17:Z17</xm:sqref>
        </x14:dataValidation>
        <x14:dataValidation type="list" allowBlank="1" showInputMessage="1" showErrorMessage="1" xr:uid="{AB9B1B16-6DAA-4C8A-9B9D-7137031A0E77}">
          <x14:formula1>
            <xm:f>OFFSET('Fuel - Technology Mapping'!$A$3,0,MATCH(C$15,'Fuel - Technology Mapping'!1:1,0)-1,1000000)</xm:f>
          </x14:formula1>
          <xm:sqref>C16:Z16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2A079-ED2D-493D-BB60-D97A9F652D42}">
  <sheetPr codeName="Sheet3">
    <tabColor theme="0"/>
  </sheetPr>
  <dimension ref="A1:CA15"/>
  <sheetViews>
    <sheetView showGridLines="0" workbookViewId="0">
      <selection activeCell="A3" sqref="A3"/>
    </sheetView>
  </sheetViews>
  <sheetFormatPr defaultRowHeight="15"/>
  <cols>
    <col min="1" max="1" width="21.42578125" bestFit="1" customWidth="1"/>
    <col min="2" max="2" width="6.42578125" bestFit="1" customWidth="1"/>
    <col min="3" max="3" width="42.5703125" bestFit="1" customWidth="1"/>
    <col min="4" max="4" width="16.5703125" bestFit="1" customWidth="1"/>
    <col min="5" max="5" width="7.140625" bestFit="1" customWidth="1"/>
    <col min="6" max="6" width="36.28515625" bestFit="1" customWidth="1"/>
    <col min="7" max="7" width="10.140625" bestFit="1" customWidth="1"/>
    <col min="8" max="8" width="25.7109375" bestFit="1" customWidth="1"/>
    <col min="9" max="9" width="10.42578125" bestFit="1" customWidth="1"/>
    <col min="10" max="10" width="22.140625" bestFit="1" customWidth="1"/>
    <col min="11" max="11" width="19.85546875" bestFit="1" customWidth="1"/>
    <col min="12" max="12" width="28.42578125" bestFit="1" customWidth="1"/>
    <col min="13" max="13" width="15.5703125" bestFit="1" customWidth="1"/>
    <col min="14" max="14" width="26" bestFit="1" customWidth="1"/>
    <col min="15" max="15" width="13.140625" bestFit="1" customWidth="1"/>
    <col min="16" max="16" width="13.42578125" bestFit="1" customWidth="1"/>
    <col min="17" max="17" width="17.140625" bestFit="1" customWidth="1"/>
    <col min="79" max="79" width="8.7109375" style="39"/>
  </cols>
  <sheetData>
    <row r="1" spans="1:78">
      <c r="A1" s="1" t="str" cm="1">
        <f t="array" ref="A1:P1">_xlfn.UNIQUE(TRANSPOSE(_xlfn._xlws.FILTER('Background (from TC)'!$A$4:$A$98,'Background (from TC)'!$A$4:$A$98&lt;&gt;0)))</f>
        <v>Ammonia</v>
      </c>
      <c r="B1" s="1" t="str">
        <v>Biogas</v>
      </c>
      <c r="C1" s="1" t="str">
        <v>Biomass</v>
      </c>
      <c r="D1" s="1" t="str">
        <v>Coal</v>
      </c>
      <c r="E1" s="1" t="str">
        <v>Diesel</v>
      </c>
      <c r="F1" s="1" t="str">
        <v>Gas</v>
      </c>
      <c r="G1" s="1" t="str">
        <v>Geothermal</v>
      </c>
      <c r="H1" s="1" t="str">
        <v>Hydro</v>
      </c>
      <c r="I1" s="1" t="str">
        <v>Hydrogen</v>
      </c>
      <c r="J1" s="1" t="str">
        <v>Municipal Solid Waste</v>
      </c>
      <c r="K1" s="1" t="str">
        <v>Nuclear</v>
      </c>
      <c r="L1" s="1" t="str">
        <v>Solar PV</v>
      </c>
      <c r="M1" s="1" t="str">
        <v>Storage</v>
      </c>
      <c r="N1" s="1" t="str">
        <v>Tidal</v>
      </c>
      <c r="O1" s="1" t="str">
        <v>User Specified Fuel</v>
      </c>
      <c r="P1" s="1" t="str">
        <v>Wind Turbines</v>
      </c>
    </row>
    <row r="2" spans="1:78">
      <c r="A2" s="264"/>
      <c r="B2" s="264"/>
      <c r="C2" s="264"/>
      <c r="D2" s="264"/>
      <c r="E2" s="264"/>
      <c r="F2" s="264"/>
      <c r="G2" s="264"/>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4"/>
      <c r="BH2" s="264"/>
      <c r="BI2" s="264"/>
      <c r="BJ2" s="264"/>
      <c r="BK2" s="264"/>
      <c r="BL2" s="264"/>
      <c r="BM2" s="264"/>
      <c r="BN2" s="264"/>
      <c r="BO2" s="264"/>
      <c r="BP2" s="264"/>
      <c r="BQ2" s="264"/>
      <c r="BR2" s="264"/>
      <c r="BS2" s="264"/>
      <c r="BT2" s="264"/>
      <c r="BU2" s="264"/>
      <c r="BV2" s="264"/>
      <c r="BW2" s="264"/>
      <c r="BX2" s="264"/>
      <c r="BY2" s="264"/>
      <c r="BZ2" s="264"/>
    </row>
    <row r="3" spans="1:78">
      <c r="A3" t="str" cm="1">
        <f t="array" ref="A3:A6">IF(A1="","",_xlfn._xlws.SORT(_xlfn.UNIQUE(_xlfn._xlws.FILTER('Background (from TC)'!$E$4:$E$1048576,'Background (from TC)'!$D$4:$D$1048576='Fuel - Technology Mapping'!A$1))))</f>
        <v>Co-firing PC (100% NH3)</v>
      </c>
      <c r="B3" t="str" cm="1">
        <f t="array" ref="B3">IF(B1="","",_xlfn._xlws.SORT(_xlfn.UNIQUE(_xlfn._xlws.FILTER('Background (from TC)'!$E$4:$E$1048576,'Background (from TC)'!$D$4:$D$1048576='Fuel - Technology Mapping'!B$1))))</f>
        <v>Small</v>
      </c>
      <c r="C3" t="str" cm="1">
        <f t="array" ref="C3:C7">IF(C1="","",_xlfn._xlws.SORT(_xlfn.UNIQUE(_xlfn._xlws.FILTER('Background (from TC)'!$E$4:$E$1048576,'Background (from TC)'!$D$4:$D$1048576='Fuel - Technology Mapping'!C$1))))</f>
        <v>Co-firing (100% wood pellets)</v>
      </c>
      <c r="D3" t="str" cm="1">
        <f t="array" ref="D3:D15">IF(D1="","",_xlfn._xlws.SORT(_xlfn.UNIQUE(_xlfn._xlws.FILTER('Background (from TC)'!$E$4:$E$1048576,'Background (from TC)'!$D$4:$D$1048576='Fuel - Technology Mapping'!D$1))))</f>
        <v>Existing Coal Plant</v>
      </c>
      <c r="E3" t="str" cm="1">
        <f t="array" ref="E3">IF(E1="","",_xlfn._xlws.SORT(_xlfn.UNIQUE(_xlfn._xlws.FILTER('Background (from TC)'!$E$4:$E$1048576,'Background (from TC)'!$D$4:$D$1048576='Fuel - Technology Mapping'!E$1))))</f>
        <v>Fuel oil</v>
      </c>
      <c r="F3" t="str" cm="1">
        <f t="array" ref="F3:F7">IF(F1="","",_xlfn._xlws.SORT(_xlfn.UNIQUE(_xlfn._xlws.FILTER('Background (from TC)'!$E$4:$E$1048576,'Background (from TC)'!$D$4:$D$1048576='Fuel - Technology Mapping'!F$1))))</f>
        <v>CCGT</v>
      </c>
      <c r="G3" t="str" cm="1">
        <f t="array" ref="G3:G4">IF(G1="","",_xlfn._xlws.SORT(_xlfn.UNIQUE(_xlfn._xlws.FILTER('Background (from TC)'!$E$4:$E$1048576,'Background (from TC)'!$D$4:$D$1048576='Fuel - Technology Mapping'!G$1))))</f>
        <v>Large (Flash or Dry)</v>
      </c>
      <c r="H3" t="str" cm="1">
        <f t="array" ref="H3:H5">IF(H1="","",_xlfn._xlws.SORT(_xlfn.UNIQUE(_xlfn._xlws.FILTER('Background (from TC)'!$E$4:$E$1048576,'Background (from TC)'!$D$4:$D$1048576='Fuel - Technology Mapping'!H$1))))</f>
        <v>Large</v>
      </c>
      <c r="I3" t="str" cm="1">
        <f t="array" ref="I3:I6">IF(I1="","",_xlfn._xlws.SORT(_xlfn.UNIQUE(_xlfn._xlws.FILTER('Background (from TC)'!$E$4:$E$1048576,'Background (from TC)'!$D$4:$D$1048576='Fuel - Technology Mapping'!I$1))))</f>
        <v>Co-firing CCGT (100% H2)</v>
      </c>
      <c r="J3" t="str" cm="1">
        <f t="array" ref="J3:J4">IF(J1="","",_xlfn._xlws.SORT(_xlfn.UNIQUE(_xlfn._xlws.FILTER('Background (from TC)'!$E$4:$E$1048576,'Background (from TC)'!$D$4:$D$1048576='Fuel - Technology Mapping'!J$1))))</f>
        <v>Incineration</v>
      </c>
      <c r="K3" t="str" cm="1">
        <f t="array" ref="K3:K4">IF(K1="","",_xlfn._xlws.SORT(_xlfn.UNIQUE(_xlfn._xlws.FILTER('Background (from TC)'!$E$4:$E$1048576,'Background (from TC)'!$D$4:$D$1048576='Fuel - Technology Mapping'!K$1))))</f>
        <v>PWR</v>
      </c>
      <c r="L3" t="str" cm="1">
        <f t="array" ref="L3:L6">IF(L1="","",_xlfn._xlws.SORT(_xlfn.UNIQUE(_xlfn._xlws.FILTER('Background (from TC)'!$E$4:$E$1048576,'Background (from TC)'!$D$4:$D$1048576='Fuel - Technology Mapping'!L$1))))</f>
        <v>Floating PV</v>
      </c>
      <c r="M3" t="str" cm="1">
        <f t="array" ref="M3">IF(M1="","",_xlfn._xlws.SORT(_xlfn.UNIQUE(_xlfn._xlws.FILTER('Background (from TC)'!$E$4:$E$1048576,'Background (from TC)'!$D$4:$D$1048576='Fuel - Technology Mapping'!M$1))))</f>
        <v>Electric Storage (Lithium-ion)</v>
      </c>
      <c r="N3" t="str" cm="1">
        <f t="array" ref="N3:N4">IF(N1="","",_xlfn._xlws.SORT(_xlfn.UNIQUE(_xlfn._xlws.FILTER('Background (from TC)'!$E$4:$E$1048576,'Background (from TC)'!$D$4:$D$1048576='Fuel - Technology Mapping'!N$1))))</f>
        <v>Impoundment</v>
      </c>
      <c r="O3" t="str" cm="1">
        <f t="array" ref="O3">IF(O1="","",_xlfn._xlws.SORT(_xlfn.UNIQUE(_xlfn._xlws.FILTER('Background (from TC)'!$E$4:$E$1048576,'Background (from TC)'!$D$4:$D$1048576='Fuel - Technology Mapping'!O$1))))</f>
        <v>User Specified Technology</v>
      </c>
      <c r="P3" t="str" cm="1">
        <f t="array" ref="P3:P6">IF(P1="","",_xlfn._xlws.SORT(_xlfn.UNIQUE(_xlfn._xlws.FILTER('Background (from TC)'!$E$4:$E$1048576,'Background (from TC)'!$D$4:$D$1048576='Fuel - Technology Mapping'!P$1))))</f>
        <v>Floating</v>
      </c>
      <c r="Q3" t="str" cm="1">
        <f t="array" ref="Q3">IF(Q1="","",_xlfn._xlws.SORT(_xlfn.UNIQUE(_xlfn._xlws.FILTER('Background (from TC)'!$E$4:$E$1048576,'Background (from TC)'!$D$4:$D$1048576='Fuel - Technology Mapping'!Q$1))))</f>
        <v/>
      </c>
      <c r="R3" t="str" cm="1">
        <f t="array" ref="R3">IF(R1="","",_xlfn._xlws.SORT(_xlfn.UNIQUE(_xlfn._xlws.FILTER('Background (from TC)'!$E$4:$E$1048576,'Background (from TC)'!$D$4:$D$1048576='Fuel - Technology Mapping'!R$1))))</f>
        <v/>
      </c>
      <c r="S3" t="str" cm="1">
        <f t="array" ref="S3">IF(S1="","",_xlfn._xlws.SORT(_xlfn.UNIQUE(_xlfn._xlws.FILTER('Background (from TC)'!$E$4:$E$1048576,'Background (from TC)'!$D$4:$D$1048576='Fuel - Technology Mapping'!S$1))))</f>
        <v/>
      </c>
      <c r="T3" t="str" cm="1">
        <f t="array" ref="T3">IF(T1="","",_xlfn._xlws.SORT(_xlfn.UNIQUE(_xlfn._xlws.FILTER('Background (from TC)'!$E$4:$E$1048576,'Background (from TC)'!$D$4:$D$1048576='Fuel - Technology Mapping'!T$1))))</f>
        <v/>
      </c>
      <c r="U3" t="str" cm="1">
        <f t="array" ref="U3">IF(U1="","",_xlfn._xlws.SORT(_xlfn.UNIQUE(_xlfn._xlws.FILTER('Background (from TC)'!$E$4:$E$1048576,'Background (from TC)'!$D$4:$D$1048576='Fuel - Technology Mapping'!U$1))))</f>
        <v/>
      </c>
      <c r="V3" t="str" cm="1">
        <f t="array" ref="V3">IF(V1="","",_xlfn._xlws.SORT(_xlfn.UNIQUE(_xlfn._xlws.FILTER('Background (from TC)'!$E$4:$E$1048576,'Background (from TC)'!$D$4:$D$1048576='Fuel - Technology Mapping'!V$1))))</f>
        <v/>
      </c>
      <c r="W3" t="str" cm="1">
        <f t="array" ref="W3">IF(W1="","",_xlfn._xlws.SORT(_xlfn.UNIQUE(_xlfn._xlws.FILTER('Background (from TC)'!$E$4:$E$1048576,'Background (from TC)'!$D$4:$D$1048576='Fuel - Technology Mapping'!W$1))))</f>
        <v/>
      </c>
      <c r="X3" t="str" cm="1">
        <f t="array" ref="X3">IF(X1="","",_xlfn._xlws.SORT(_xlfn.UNIQUE(_xlfn._xlws.FILTER('Background (from TC)'!$E$4:$E$1048576,'Background (from TC)'!$D$4:$D$1048576='Fuel - Technology Mapping'!X$1))))</f>
        <v/>
      </c>
      <c r="Y3" t="str" cm="1">
        <f t="array" ref="Y3">IF(Y1="","",_xlfn._xlws.SORT(_xlfn.UNIQUE(_xlfn._xlws.FILTER('Background (from TC)'!$E$4:$E$1048576,'Background (from TC)'!$D$4:$D$1048576='Fuel - Technology Mapping'!Y$1))))</f>
        <v/>
      </c>
      <c r="Z3" t="str" cm="1">
        <f t="array" ref="Z3">IF(Z1="","",_xlfn._xlws.SORT(_xlfn.UNIQUE(_xlfn._xlws.FILTER('Background (from TC)'!$E$4:$E$1048576,'Background (from TC)'!$D$4:$D$1048576='Fuel - Technology Mapping'!Z$1))))</f>
        <v/>
      </c>
      <c r="AA3" t="str" cm="1">
        <f t="array" ref="AA3">IF(AA1="","",_xlfn._xlws.SORT(_xlfn.UNIQUE(_xlfn._xlws.FILTER('Background (from TC)'!$E$4:$E$1048576,'Background (from TC)'!$D$4:$D$1048576='Fuel - Technology Mapping'!AA$1))))</f>
        <v/>
      </c>
      <c r="AB3" t="str" cm="1">
        <f t="array" ref="AB3">IF(AB1="","",_xlfn._xlws.SORT(_xlfn.UNIQUE(_xlfn._xlws.FILTER('Background (from TC)'!$E$4:$E$1048576,'Background (from TC)'!$D$4:$D$1048576='Fuel - Technology Mapping'!AB$1))))</f>
        <v/>
      </c>
      <c r="AC3" t="str" cm="1">
        <f t="array" ref="AC3">IF(AC1="","",_xlfn._xlws.SORT(_xlfn.UNIQUE(_xlfn._xlws.FILTER('Background (from TC)'!$E$4:$E$1048576,'Background (from TC)'!$D$4:$D$1048576='Fuel - Technology Mapping'!AC$1))))</f>
        <v/>
      </c>
      <c r="AD3" t="str" cm="1">
        <f t="array" ref="AD3">IF(AD1="","",_xlfn._xlws.SORT(_xlfn.UNIQUE(_xlfn._xlws.FILTER('Background (from TC)'!$E$4:$E$1048576,'Background (from TC)'!$D$4:$D$1048576='Fuel - Technology Mapping'!AD$1))))</f>
        <v/>
      </c>
      <c r="AE3" t="str" cm="1">
        <f t="array" ref="AE3">IF(AE1="","",_xlfn._xlws.SORT(_xlfn.UNIQUE(_xlfn._xlws.FILTER('Background (from TC)'!$E$4:$E$1048576,'Background (from TC)'!$D$4:$D$1048576='Fuel - Technology Mapping'!AE$1))))</f>
        <v/>
      </c>
      <c r="AF3" t="str" cm="1">
        <f t="array" ref="AF3">IF(AF1="","",_xlfn._xlws.SORT(_xlfn.UNIQUE(_xlfn._xlws.FILTER('Background (from TC)'!$E$4:$E$1048576,'Background (from TC)'!$D$4:$D$1048576='Fuel - Technology Mapping'!AF$1))))</f>
        <v/>
      </c>
      <c r="AG3" t="str" cm="1">
        <f t="array" ref="AG3">IF(AG1="","",_xlfn._xlws.SORT(_xlfn.UNIQUE(_xlfn._xlws.FILTER('Background (from TC)'!$E$4:$E$1048576,'Background (from TC)'!$D$4:$D$1048576='Fuel - Technology Mapping'!AG$1))))</f>
        <v/>
      </c>
      <c r="AH3" t="str" cm="1">
        <f t="array" ref="AH3">IF(AH1="","",_xlfn._xlws.SORT(_xlfn.UNIQUE(_xlfn._xlws.FILTER('Background (from TC)'!$E$4:$E$1048576,'Background (from TC)'!$D$4:$D$1048576='Fuel - Technology Mapping'!AH$1))))</f>
        <v/>
      </c>
      <c r="AI3" t="str" cm="1">
        <f t="array" ref="AI3">IF(AI1="","",_xlfn._xlws.SORT(_xlfn.UNIQUE(_xlfn._xlws.FILTER('Background (from TC)'!$E$4:$E$1048576,'Background (from TC)'!$D$4:$D$1048576='Fuel - Technology Mapping'!AI$1))))</f>
        <v/>
      </c>
      <c r="AJ3" t="str" cm="1">
        <f t="array" ref="AJ3">IF(AJ1="","",_xlfn._xlws.SORT(_xlfn.UNIQUE(_xlfn._xlws.FILTER('Background (from TC)'!$E$4:$E$1048576,'Background (from TC)'!$D$4:$D$1048576='Fuel - Technology Mapping'!AJ$1))))</f>
        <v/>
      </c>
      <c r="AK3" t="str" cm="1">
        <f t="array" ref="AK3">IF(AK1="","",_xlfn._xlws.SORT(_xlfn.UNIQUE(_xlfn._xlws.FILTER('Background (from TC)'!$E$4:$E$1048576,'Background (from TC)'!$D$4:$D$1048576='Fuel - Technology Mapping'!AK$1))))</f>
        <v/>
      </c>
      <c r="AL3" t="str" cm="1">
        <f t="array" ref="AL3">IF(AL1="","",_xlfn._xlws.SORT(_xlfn.UNIQUE(_xlfn._xlws.FILTER('Background (from TC)'!$E$4:$E$1048576,'Background (from TC)'!$D$4:$D$1048576='Fuel - Technology Mapping'!AL$1))))</f>
        <v/>
      </c>
      <c r="AM3" t="str" cm="1">
        <f t="array" ref="AM3">IF(AM1="","",_xlfn._xlws.SORT(_xlfn.UNIQUE(_xlfn._xlws.FILTER('Background (from TC)'!$E$4:$E$1048576,'Background (from TC)'!$D$4:$D$1048576='Fuel - Technology Mapping'!AM$1))))</f>
        <v/>
      </c>
      <c r="AN3" t="str" cm="1">
        <f t="array" ref="AN3">IF(AN1="","",_xlfn._xlws.SORT(_xlfn.UNIQUE(_xlfn._xlws.FILTER('Background (from TC)'!$E$4:$E$1048576,'Background (from TC)'!$D$4:$D$1048576='Fuel - Technology Mapping'!AN$1))))</f>
        <v/>
      </c>
      <c r="AO3" t="str" cm="1">
        <f t="array" ref="AO3">IF(AO1="","",_xlfn._xlws.SORT(_xlfn.UNIQUE(_xlfn._xlws.FILTER('Background (from TC)'!$E$4:$E$1048576,'Background (from TC)'!$D$4:$D$1048576='Fuel - Technology Mapping'!AO$1))))</f>
        <v/>
      </c>
      <c r="AP3" t="str" cm="1">
        <f t="array" ref="AP3">IF(AP1="","",_xlfn._xlws.SORT(_xlfn.UNIQUE(_xlfn._xlws.FILTER('Background (from TC)'!$E$4:$E$1048576,'Background (from TC)'!$D$4:$D$1048576='Fuel - Technology Mapping'!AP$1))))</f>
        <v/>
      </c>
      <c r="AQ3" t="str" cm="1">
        <f t="array" ref="AQ3">IF(AQ1="","",_xlfn._xlws.SORT(_xlfn.UNIQUE(_xlfn._xlws.FILTER('Background (from TC)'!$E$4:$E$1048576,'Background (from TC)'!$D$4:$D$1048576='Fuel - Technology Mapping'!AQ$1))))</f>
        <v/>
      </c>
      <c r="AR3" t="str" cm="1">
        <f t="array" ref="AR3">IF(AR1="","",_xlfn._xlws.SORT(_xlfn.UNIQUE(_xlfn._xlws.FILTER('Background (from TC)'!$E$4:$E$1048576,'Background (from TC)'!$D$4:$D$1048576='Fuel - Technology Mapping'!AR$1))))</f>
        <v/>
      </c>
      <c r="AS3" t="str" cm="1">
        <f t="array" ref="AS3">IF(AS1="","",_xlfn._xlws.SORT(_xlfn.UNIQUE(_xlfn._xlws.FILTER('Background (from TC)'!$E$4:$E$1048576,'Background (from TC)'!$D$4:$D$1048576='Fuel - Technology Mapping'!AS$1))))</f>
        <v/>
      </c>
      <c r="AT3" t="str" cm="1">
        <f t="array" ref="AT3">IF(AT1="","",_xlfn._xlws.SORT(_xlfn.UNIQUE(_xlfn._xlws.FILTER('Background (from TC)'!$E$4:$E$1048576,'Background (from TC)'!$D$4:$D$1048576='Fuel - Technology Mapping'!AT$1))))</f>
        <v/>
      </c>
      <c r="AU3" t="str" cm="1">
        <f t="array" ref="AU3">IF(AU1="","",_xlfn._xlws.SORT(_xlfn.UNIQUE(_xlfn._xlws.FILTER('Background (from TC)'!$E$4:$E$1048576,'Background (from TC)'!$D$4:$D$1048576='Fuel - Technology Mapping'!AU$1))))</f>
        <v/>
      </c>
      <c r="AV3" t="str" cm="1">
        <f t="array" ref="AV3">IF(AV1="","",_xlfn._xlws.SORT(_xlfn.UNIQUE(_xlfn._xlws.FILTER('Background (from TC)'!$E$4:$E$1048576,'Background (from TC)'!$D$4:$D$1048576='Fuel - Technology Mapping'!AV$1))))</f>
        <v/>
      </c>
      <c r="AW3" t="str" cm="1">
        <f t="array" ref="AW3">IF(AW1="","",_xlfn._xlws.SORT(_xlfn.UNIQUE(_xlfn._xlws.FILTER('Background (from TC)'!$E$4:$E$1048576,'Background (from TC)'!$D$4:$D$1048576='Fuel - Technology Mapping'!AW$1))))</f>
        <v/>
      </c>
      <c r="AX3" t="str" cm="1">
        <f t="array" ref="AX3">IF(AX1="","",_xlfn._xlws.SORT(_xlfn.UNIQUE(_xlfn._xlws.FILTER('Background (from TC)'!$E$4:$E$1048576,'Background (from TC)'!$D$4:$D$1048576='Fuel - Technology Mapping'!AX$1))))</f>
        <v/>
      </c>
      <c r="AY3" t="str" cm="1">
        <f t="array" ref="AY3">IF(AY1="","",_xlfn._xlws.SORT(_xlfn.UNIQUE(_xlfn._xlws.FILTER('Background (from TC)'!$E$4:$E$1048576,'Background (from TC)'!$D$4:$D$1048576='Fuel - Technology Mapping'!AY$1))))</f>
        <v/>
      </c>
      <c r="AZ3" t="str" cm="1">
        <f t="array" ref="AZ3">IF(AZ1="","",_xlfn._xlws.SORT(_xlfn.UNIQUE(_xlfn._xlws.FILTER('Background (from TC)'!$E$4:$E$1048576,'Background (from TC)'!$D$4:$D$1048576='Fuel - Technology Mapping'!AZ$1))))</f>
        <v/>
      </c>
      <c r="BA3" t="str" cm="1">
        <f t="array" ref="BA3">IF(BA1="","",_xlfn._xlws.SORT(_xlfn.UNIQUE(_xlfn._xlws.FILTER('Background (from TC)'!$E$4:$E$1048576,'Background (from TC)'!$D$4:$D$1048576='Fuel - Technology Mapping'!BA$1))))</f>
        <v/>
      </c>
      <c r="BB3" t="str" cm="1">
        <f t="array" ref="BB3">IF(BB1="","",_xlfn._xlws.SORT(_xlfn.UNIQUE(_xlfn._xlws.FILTER('Background (from TC)'!$E$4:$E$1048576,'Background (from TC)'!$D$4:$D$1048576='Fuel - Technology Mapping'!BB$1))))</f>
        <v/>
      </c>
      <c r="BC3" t="str" cm="1">
        <f t="array" ref="BC3">IF(BC1="","",_xlfn._xlws.SORT(_xlfn.UNIQUE(_xlfn._xlws.FILTER('Background (from TC)'!$E$4:$E$1048576,'Background (from TC)'!$D$4:$D$1048576='Fuel - Technology Mapping'!BC$1))))</f>
        <v/>
      </c>
      <c r="BD3" t="str" cm="1">
        <f t="array" ref="BD3">IF(BD1="","",_xlfn._xlws.SORT(_xlfn.UNIQUE(_xlfn._xlws.FILTER('Background (from TC)'!$E$4:$E$1048576,'Background (from TC)'!$D$4:$D$1048576='Fuel - Technology Mapping'!BD$1))))</f>
        <v/>
      </c>
      <c r="BE3" t="str" cm="1">
        <f t="array" ref="BE3">IF(BE1="","",_xlfn._xlws.SORT(_xlfn.UNIQUE(_xlfn._xlws.FILTER('Background (from TC)'!$E$4:$E$1048576,'Background (from TC)'!$D$4:$D$1048576='Fuel - Technology Mapping'!BE$1))))</f>
        <v/>
      </c>
      <c r="BF3" t="str" cm="1">
        <f t="array" ref="BF3">IF(BF1="","",_xlfn._xlws.SORT(_xlfn.UNIQUE(_xlfn._xlws.FILTER('Background (from TC)'!$E$4:$E$1048576,'Background (from TC)'!$D$4:$D$1048576='Fuel - Technology Mapping'!BF$1))))</f>
        <v/>
      </c>
      <c r="BG3" t="str" cm="1">
        <f t="array" ref="BG3">IF(BG1="","",_xlfn._xlws.SORT(_xlfn.UNIQUE(_xlfn._xlws.FILTER('Background (from TC)'!$E$4:$E$1048576,'Background (from TC)'!$D$4:$D$1048576='Fuel - Technology Mapping'!BG$1))))</f>
        <v/>
      </c>
      <c r="BH3" t="str" cm="1">
        <f t="array" ref="BH3">IF(BH1="","",_xlfn._xlws.SORT(_xlfn.UNIQUE(_xlfn._xlws.FILTER('Background (from TC)'!$E$4:$E$1048576,'Background (from TC)'!$D$4:$D$1048576='Fuel - Technology Mapping'!BH$1))))</f>
        <v/>
      </c>
      <c r="BI3" t="str" cm="1">
        <f t="array" ref="BI3">IF(BI1="","",_xlfn._xlws.SORT(_xlfn.UNIQUE(_xlfn._xlws.FILTER('Background (from TC)'!$E$4:$E$1048576,'Background (from TC)'!$D$4:$D$1048576='Fuel - Technology Mapping'!BI$1))))</f>
        <v/>
      </c>
      <c r="BJ3" t="str" cm="1">
        <f t="array" ref="BJ3">IF(BJ1="","",_xlfn._xlws.SORT(_xlfn.UNIQUE(_xlfn._xlws.FILTER('Background (from TC)'!$E$4:$E$1048576,'Background (from TC)'!$D$4:$D$1048576='Fuel - Technology Mapping'!BJ$1))))</f>
        <v/>
      </c>
      <c r="BK3" t="str" cm="1">
        <f t="array" ref="BK3">IF(BK1="","",_xlfn._xlws.SORT(_xlfn.UNIQUE(_xlfn._xlws.FILTER('Background (from TC)'!$E$4:$E$1048576,'Background (from TC)'!$D$4:$D$1048576='Fuel - Technology Mapping'!BK$1))))</f>
        <v/>
      </c>
      <c r="BL3" t="str" cm="1">
        <f t="array" ref="BL3">IF(BL1="","",_xlfn._xlws.SORT(_xlfn.UNIQUE(_xlfn._xlws.FILTER('Background (from TC)'!$E$4:$E$1048576,'Background (from TC)'!$D$4:$D$1048576='Fuel - Technology Mapping'!BL$1))))</f>
        <v/>
      </c>
      <c r="BM3" t="str" cm="1">
        <f t="array" ref="BM3">IF(BM1="","",_xlfn._xlws.SORT(_xlfn.UNIQUE(_xlfn._xlws.FILTER('Background (from TC)'!$E$4:$E$1048576,'Background (from TC)'!$D$4:$D$1048576='Fuel - Technology Mapping'!BM$1))))</f>
        <v/>
      </c>
      <c r="BN3" t="str" cm="1">
        <f t="array" ref="BN3">IF(BN1="","",_xlfn._xlws.SORT(_xlfn.UNIQUE(_xlfn._xlws.FILTER('Background (from TC)'!$E$4:$E$1048576,'Background (from TC)'!$D$4:$D$1048576='Fuel - Technology Mapping'!BN$1))))</f>
        <v/>
      </c>
      <c r="BO3" t="str" cm="1">
        <f t="array" ref="BO3">IF(BO1="","",_xlfn._xlws.SORT(_xlfn.UNIQUE(_xlfn._xlws.FILTER('Background (from TC)'!$E$4:$E$1048576,'Background (from TC)'!$D$4:$D$1048576='Fuel - Technology Mapping'!BO$1))))</f>
        <v/>
      </c>
      <c r="BP3" t="str" cm="1">
        <f t="array" ref="BP3">IF(BP1="","",_xlfn._xlws.SORT(_xlfn.UNIQUE(_xlfn._xlws.FILTER('Background (from TC)'!$E$4:$E$1048576,'Background (from TC)'!$D$4:$D$1048576='Fuel - Technology Mapping'!BP$1))))</f>
        <v/>
      </c>
      <c r="BQ3" t="str" cm="1">
        <f t="array" ref="BQ3">IF(BQ1="","",_xlfn._xlws.SORT(_xlfn.UNIQUE(_xlfn._xlws.FILTER('Background (from TC)'!$E$4:$E$1048576,'Background (from TC)'!$D$4:$D$1048576='Fuel - Technology Mapping'!BQ$1))))</f>
        <v/>
      </c>
      <c r="BR3" t="str" cm="1">
        <f t="array" ref="BR3">IF(BR1="","",_xlfn._xlws.SORT(_xlfn.UNIQUE(_xlfn._xlws.FILTER('Background (from TC)'!$E$4:$E$1048576,'Background (from TC)'!$D$4:$D$1048576='Fuel - Technology Mapping'!BR$1))))</f>
        <v/>
      </c>
      <c r="BS3" t="str" cm="1">
        <f t="array" ref="BS3">IF(BS1="","",_xlfn._xlws.SORT(_xlfn.UNIQUE(_xlfn._xlws.FILTER('Background (from TC)'!$E$4:$E$1048576,'Background (from TC)'!$D$4:$D$1048576='Fuel - Technology Mapping'!BS$1))))</f>
        <v/>
      </c>
      <c r="BT3" t="str" cm="1">
        <f t="array" ref="BT3">IF(BT1="","",_xlfn._xlws.SORT(_xlfn.UNIQUE(_xlfn._xlws.FILTER('Background (from TC)'!$E$4:$E$1048576,'Background (from TC)'!$D$4:$D$1048576='Fuel - Technology Mapping'!BT$1))))</f>
        <v/>
      </c>
      <c r="BU3" t="str" cm="1">
        <f t="array" ref="BU3">IF(BU1="","",_xlfn._xlws.SORT(_xlfn.UNIQUE(_xlfn._xlws.FILTER('Background (from TC)'!$E$4:$E$1048576,'Background (from TC)'!$D$4:$D$1048576='Fuel - Technology Mapping'!BU$1))))</f>
        <v/>
      </c>
      <c r="BV3" t="str" cm="1">
        <f t="array" ref="BV3">IF(BV1="","",_xlfn._xlws.SORT(_xlfn.UNIQUE(_xlfn._xlws.FILTER('Background (from TC)'!$E$4:$E$1048576,'Background (from TC)'!$D$4:$D$1048576='Fuel - Technology Mapping'!BV$1))))</f>
        <v/>
      </c>
      <c r="BW3" t="str" cm="1">
        <f t="array" ref="BW3">IF(BW1="","",_xlfn._xlws.SORT(_xlfn.UNIQUE(_xlfn._xlws.FILTER('Background (from TC)'!$E$4:$E$1048576,'Background (from TC)'!$D$4:$D$1048576='Fuel - Technology Mapping'!BW$1))))</f>
        <v/>
      </c>
      <c r="BX3" t="str" cm="1">
        <f t="array" ref="BX3">IF(BX1="","",_xlfn._xlws.SORT(_xlfn.UNIQUE(_xlfn._xlws.FILTER('Background (from TC)'!$E$4:$E$1048576,'Background (from TC)'!$D$4:$D$1048576='Fuel - Technology Mapping'!BX$1))))</f>
        <v/>
      </c>
      <c r="BY3" t="str" cm="1">
        <f t="array" ref="BY3">IF(BY1="","",_xlfn._xlws.SORT(_xlfn.UNIQUE(_xlfn._xlws.FILTER('Background (from TC)'!$E$4:$E$1048576,'Background (from TC)'!$D$4:$D$1048576='Fuel - Technology Mapping'!BY$1))))</f>
        <v/>
      </c>
      <c r="BZ3" t="str" cm="1">
        <f t="array" ref="BZ3">IF(BZ1="","",_xlfn._xlws.SORT(_xlfn.UNIQUE(_xlfn._xlws.FILTER('Background (from TC)'!$E$4:$E$1048576,'Background (from TC)'!$D$4:$D$1048576='Fuel - Technology Mapping'!BZ$1))))</f>
        <v/>
      </c>
    </row>
    <row r="4" spans="1:78">
      <c r="A4" t="str">
        <v>Co-firing PC (20% NH3)</v>
      </c>
      <c r="C4" t="str">
        <v>Co-firing (20% wood pellets)</v>
      </c>
      <c r="D4" t="str">
        <v>Existing Coal Plant (incl. lifetime extension)</v>
      </c>
      <c r="F4" t="str">
        <v>CCGT (CCS)</v>
      </c>
      <c r="G4" t="str">
        <v>Small (Binary or Condensing)</v>
      </c>
      <c r="H4" t="str">
        <v>Medium/Small</v>
      </c>
      <c r="I4" t="str">
        <v>Co-firing CCGT (20% H2)</v>
      </c>
      <c r="J4" t="str">
        <v>Landfill</v>
      </c>
      <c r="K4" t="str">
        <v>SMR (Land based, water cooled)</v>
      </c>
      <c r="L4" t="str">
        <v>Ground mounted</v>
      </c>
      <c r="N4" t="str">
        <v>Stream</v>
      </c>
      <c r="P4" t="str">
        <v>Offshore</v>
      </c>
    </row>
    <row r="5" spans="1:78">
      <c r="A5" t="str">
        <v>Existing Coal Plant (Ammonia Co-firing, 100%)</v>
      </c>
      <c r="C5" t="str">
        <v>Existing Coal Plant (Biomass Co-firing, 100%)</v>
      </c>
      <c r="D5" t="str">
        <v>Existing Coal Plant (with CCS)</v>
      </c>
      <c r="F5" t="str">
        <v>Existing Gas Plant</v>
      </c>
      <c r="H5" t="str">
        <v>Micro/Mini</v>
      </c>
      <c r="I5" t="str">
        <v>Existing Gas Plant (Hydrogen Co-firing, 100%)</v>
      </c>
      <c r="L5" t="str">
        <v>Industrial</v>
      </c>
      <c r="P5" t="str">
        <v>Onshore</v>
      </c>
    </row>
    <row r="6" spans="1:78">
      <c r="A6" t="str">
        <v>Existing Coal Plant (Ammonia Co-firing, 20%)</v>
      </c>
      <c r="C6" t="str">
        <v>Existing Coal Plant (Biomass Co-firing, 20%)</v>
      </c>
      <c r="D6" t="str">
        <v>IGCC</v>
      </c>
      <c r="F6" t="str">
        <v>Existing Gas Plant (with CCS)</v>
      </c>
      <c r="I6" t="str">
        <v>Existing Gas Plant (Hydrogen Co-firing, 20%)</v>
      </c>
      <c r="L6" t="str">
        <v>Rooftop</v>
      </c>
      <c r="P6" t="str">
        <v>Small onshore</v>
      </c>
    </row>
    <row r="7" spans="1:78">
      <c r="C7" t="str">
        <v>Small (Palm oil or Rice husk)</v>
      </c>
      <c r="D7" t="str">
        <v>IGCC (CCS)</v>
      </c>
      <c r="F7" t="str">
        <v>SCGT</v>
      </c>
    </row>
    <row r="8" spans="1:78">
      <c r="D8" t="str">
        <v>IGCC (incl. lifetime extension)</v>
      </c>
    </row>
    <row r="9" spans="1:78">
      <c r="D9" t="str">
        <v>Subcritical</v>
      </c>
    </row>
    <row r="10" spans="1:78">
      <c r="D10" t="str">
        <v>Subcritical (incl. lifetime extension)</v>
      </c>
    </row>
    <row r="11" spans="1:78">
      <c r="D11" t="str">
        <v>Supercritical</v>
      </c>
    </row>
    <row r="12" spans="1:78">
      <c r="D12" t="str">
        <v>Supercritical (CCS)</v>
      </c>
    </row>
    <row r="13" spans="1:78">
      <c r="D13" t="str">
        <v>Supercritical (incl. lifetime extension)</v>
      </c>
    </row>
    <row r="14" spans="1:78">
      <c r="D14" t="str">
        <v>Ultra supercritical</v>
      </c>
    </row>
    <row r="15" spans="1:78">
      <c r="D15" t="str">
        <v>Ultra supercritical (incl. lifetime extension)</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B0C06-F115-476B-84AB-59F4CC694087}">
  <sheetPr codeName="Sheet6">
    <tabColor theme="1"/>
  </sheetPr>
  <dimension ref="A1"/>
  <sheetViews>
    <sheetView showGridLines="0" workbookViewId="0">
      <selection activeCell="B47" sqref="B47:K47"/>
    </sheetView>
  </sheetViews>
  <sheetFormatPr defaultColWidth="8.7109375" defaultRowHeight="15"/>
  <cols>
    <col min="1" max="16384" width="8.7109375" style="3"/>
  </cols>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150C-BD79-462C-89C8-A056DB46A82F}">
  <sheetPr codeName="Sheet7">
    <tabColor rgb="FFC88500"/>
  </sheetPr>
  <dimension ref="A1:S60"/>
  <sheetViews>
    <sheetView zoomScaleNormal="100" zoomScaleSheetLayoutView="120" workbookViewId="0">
      <selection activeCell="B47" sqref="B47:K47"/>
    </sheetView>
  </sheetViews>
  <sheetFormatPr defaultColWidth="9.140625" defaultRowHeight="15"/>
  <cols>
    <col min="1" max="1" width="3" style="93" customWidth="1"/>
    <col min="2" max="2" width="35.28515625" style="93" customWidth="1"/>
    <col min="3" max="9" width="9.28515625" style="93" customWidth="1"/>
    <col min="10" max="10" width="8.7109375" style="93" customWidth="1"/>
    <col min="11" max="11" width="6.5703125" style="93" customWidth="1"/>
    <col min="12" max="12" width="6.7109375" style="93" customWidth="1"/>
    <col min="13" max="13" width="14"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778" t="s">
        <v>145</v>
      </c>
      <c r="C3" s="1141" t="s">
        <v>235</v>
      </c>
      <c r="D3" s="1141"/>
      <c r="E3" s="1141"/>
      <c r="F3" s="1141"/>
      <c r="G3" s="1141"/>
      <c r="H3" s="1141"/>
      <c r="I3" s="1141"/>
      <c r="J3" s="1141"/>
      <c r="K3" s="1142"/>
      <c r="M3" s="97"/>
      <c r="N3" s="1143"/>
      <c r="O3" s="1144"/>
      <c r="P3" s="1144"/>
      <c r="Q3" s="1144"/>
      <c r="R3" s="1144"/>
      <c r="S3" s="1144"/>
    </row>
    <row r="4" spans="2:19" ht="16.5" customHeight="1">
      <c r="B4" s="701"/>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03"/>
      <c r="D5" s="103"/>
      <c r="E5" s="103"/>
      <c r="F5" s="96" t="s">
        <v>241</v>
      </c>
      <c r="G5" s="96" t="s">
        <v>242</v>
      </c>
      <c r="H5" s="96" t="s">
        <v>241</v>
      </c>
      <c r="I5" s="96" t="s">
        <v>242</v>
      </c>
      <c r="J5" s="103"/>
      <c r="K5" s="104"/>
      <c r="M5" s="1146"/>
      <c r="N5" s="1146"/>
      <c r="O5" s="1146"/>
      <c r="P5" s="1146"/>
      <c r="Q5" s="1146"/>
      <c r="R5" s="1146"/>
      <c r="S5" s="1146"/>
    </row>
    <row r="6" spans="2:19" ht="15" customHeight="1">
      <c r="B6" s="105" t="s">
        <v>243</v>
      </c>
      <c r="C6" s="191">
        <v>55</v>
      </c>
      <c r="D6" s="191">
        <v>55</v>
      </c>
      <c r="E6" s="191">
        <v>55</v>
      </c>
      <c r="F6" s="182">
        <v>30</v>
      </c>
      <c r="G6" s="169">
        <v>500</v>
      </c>
      <c r="H6" s="169">
        <v>30</v>
      </c>
      <c r="I6" s="169">
        <v>500</v>
      </c>
      <c r="J6" s="183"/>
      <c r="K6" s="108">
        <v>1</v>
      </c>
      <c r="M6" s="109"/>
      <c r="N6" s="1139"/>
      <c r="O6" s="1140"/>
      <c r="P6" s="1140"/>
      <c r="Q6" s="1140"/>
      <c r="R6" s="1140"/>
      <c r="S6" s="1140"/>
    </row>
    <row r="7" spans="2:19" ht="15" customHeight="1">
      <c r="B7" s="105" t="s">
        <v>244</v>
      </c>
      <c r="C7" s="211">
        <v>110</v>
      </c>
      <c r="D7" s="211">
        <v>110</v>
      </c>
      <c r="E7" s="211">
        <v>110</v>
      </c>
      <c r="F7" s="169">
        <v>30</v>
      </c>
      <c r="G7" s="169">
        <v>500</v>
      </c>
      <c r="H7" s="169">
        <v>30</v>
      </c>
      <c r="I7" s="169">
        <v>500</v>
      </c>
      <c r="J7" s="183"/>
      <c r="K7" s="108">
        <v>1</v>
      </c>
      <c r="M7" s="109"/>
      <c r="N7" s="110"/>
      <c r="O7" s="111"/>
      <c r="P7" s="111"/>
      <c r="Q7" s="111"/>
      <c r="R7" s="111"/>
      <c r="S7" s="111"/>
    </row>
    <row r="8" spans="2:19">
      <c r="B8" s="105" t="s">
        <v>245</v>
      </c>
      <c r="C8" s="169">
        <v>16</v>
      </c>
      <c r="D8" s="169">
        <v>17</v>
      </c>
      <c r="E8" s="169">
        <v>18</v>
      </c>
      <c r="F8" s="169">
        <v>8</v>
      </c>
      <c r="G8" s="169">
        <v>18</v>
      </c>
      <c r="H8" s="169">
        <v>10</v>
      </c>
      <c r="I8" s="169">
        <v>20</v>
      </c>
      <c r="J8" s="183" t="s">
        <v>246</v>
      </c>
      <c r="K8" s="112">
        <v>5</v>
      </c>
      <c r="M8" s="109"/>
      <c r="N8" s="113"/>
      <c r="O8" s="113"/>
      <c r="P8" s="113"/>
      <c r="Q8" s="113"/>
      <c r="R8" s="113"/>
      <c r="S8" s="113"/>
    </row>
    <row r="9" spans="2:19">
      <c r="B9" s="114" t="s">
        <v>247</v>
      </c>
      <c r="C9" s="169">
        <v>15</v>
      </c>
      <c r="D9" s="169">
        <v>16</v>
      </c>
      <c r="E9" s="169">
        <v>17</v>
      </c>
      <c r="F9" s="169">
        <v>8</v>
      </c>
      <c r="G9" s="169">
        <v>18</v>
      </c>
      <c r="H9" s="169">
        <v>10</v>
      </c>
      <c r="I9" s="169">
        <v>20</v>
      </c>
      <c r="J9" s="185" t="s">
        <v>246</v>
      </c>
      <c r="K9" s="157">
        <v>5</v>
      </c>
      <c r="M9" s="109"/>
      <c r="N9" s="113"/>
      <c r="O9" s="113"/>
      <c r="P9" s="113"/>
      <c r="Q9" s="113"/>
      <c r="R9" s="113"/>
      <c r="S9" s="113"/>
    </row>
    <row r="10" spans="2:19">
      <c r="B10" s="105" t="s">
        <v>248</v>
      </c>
      <c r="C10" s="195">
        <v>0.1</v>
      </c>
      <c r="D10" s="195">
        <v>0.1</v>
      </c>
      <c r="E10" s="195">
        <v>0.1</v>
      </c>
      <c r="F10" s="196">
        <v>0.05</v>
      </c>
      <c r="G10" s="196">
        <v>0.3</v>
      </c>
      <c r="H10" s="196">
        <v>0.05</v>
      </c>
      <c r="I10" s="196">
        <v>0.3</v>
      </c>
      <c r="J10" s="183"/>
      <c r="K10" s="108">
        <v>1</v>
      </c>
      <c r="M10" s="93"/>
      <c r="N10" s="116"/>
      <c r="O10" s="116"/>
      <c r="P10" s="116"/>
      <c r="Q10" s="116"/>
      <c r="R10" s="116"/>
      <c r="S10" s="113"/>
    </row>
    <row r="11" spans="2:19">
      <c r="B11" s="117" t="s">
        <v>249</v>
      </c>
      <c r="C11" s="164">
        <v>4</v>
      </c>
      <c r="D11" s="164">
        <v>4</v>
      </c>
      <c r="E11" s="164">
        <v>4</v>
      </c>
      <c r="F11" s="164">
        <v>2</v>
      </c>
      <c r="G11" s="164">
        <v>6</v>
      </c>
      <c r="H11" s="164">
        <v>2</v>
      </c>
      <c r="I11" s="164">
        <v>6</v>
      </c>
      <c r="J11" s="183"/>
      <c r="K11" s="108">
        <v>1</v>
      </c>
      <c r="M11" s="93"/>
      <c r="N11" s="116"/>
      <c r="O11" s="116"/>
      <c r="P11" s="116"/>
      <c r="Q11" s="116"/>
      <c r="R11" s="116"/>
      <c r="S11" s="113"/>
    </row>
    <row r="12" spans="2:19">
      <c r="B12" s="117" t="s">
        <v>250</v>
      </c>
      <c r="C12" s="169">
        <v>30</v>
      </c>
      <c r="D12" s="169">
        <v>30</v>
      </c>
      <c r="E12" s="169">
        <v>30</v>
      </c>
      <c r="F12" s="169">
        <v>20</v>
      </c>
      <c r="G12" s="169">
        <v>50</v>
      </c>
      <c r="H12" s="169">
        <v>20</v>
      </c>
      <c r="I12" s="169">
        <v>50</v>
      </c>
      <c r="J12" s="183"/>
      <c r="K12" s="108" t="s">
        <v>251</v>
      </c>
      <c r="M12" s="109"/>
      <c r="N12" s="113"/>
      <c r="O12" s="113"/>
      <c r="P12" s="113"/>
      <c r="Q12" s="113"/>
      <c r="R12" s="113"/>
      <c r="S12" s="113"/>
    </row>
    <row r="13" spans="2:19">
      <c r="B13" s="117" t="s">
        <v>252</v>
      </c>
      <c r="C13" s="169">
        <v>2</v>
      </c>
      <c r="D13" s="169">
        <v>2</v>
      </c>
      <c r="E13" s="169">
        <v>2</v>
      </c>
      <c r="F13" s="183">
        <v>1.5</v>
      </c>
      <c r="G13" s="183">
        <v>3</v>
      </c>
      <c r="H13" s="183">
        <v>1.5</v>
      </c>
      <c r="I13" s="169">
        <v>3</v>
      </c>
      <c r="J13" s="183" t="s">
        <v>253</v>
      </c>
      <c r="K13" s="108" t="s">
        <v>251</v>
      </c>
      <c r="M13" s="109"/>
      <c r="N13" s="113"/>
      <c r="O13" s="113"/>
      <c r="P13" s="113"/>
      <c r="Q13" s="113"/>
      <c r="R13" s="113"/>
      <c r="S13" s="113"/>
    </row>
    <row r="14" spans="2:19">
      <c r="B14" s="119" t="s">
        <v>254</v>
      </c>
      <c r="C14" s="164">
        <v>30</v>
      </c>
      <c r="D14" s="164">
        <v>30</v>
      </c>
      <c r="E14" s="164">
        <v>30</v>
      </c>
      <c r="F14" s="176">
        <v>20</v>
      </c>
      <c r="G14" s="176">
        <v>40</v>
      </c>
      <c r="H14" s="176">
        <v>20</v>
      </c>
      <c r="I14" s="176">
        <v>40</v>
      </c>
      <c r="J14" s="165"/>
      <c r="K14" s="107">
        <v>1</v>
      </c>
      <c r="M14" s="109"/>
      <c r="N14" s="113"/>
      <c r="O14" s="113"/>
      <c r="P14" s="113"/>
      <c r="Q14" s="113"/>
      <c r="R14" s="113"/>
      <c r="S14" s="113"/>
    </row>
    <row r="15" spans="2:19">
      <c r="B15" s="121" t="s">
        <v>255</v>
      </c>
      <c r="C15" s="711"/>
      <c r="D15" s="711"/>
      <c r="E15" s="711"/>
      <c r="F15" s="711"/>
      <c r="G15" s="711"/>
      <c r="H15" s="711"/>
      <c r="I15" s="712"/>
      <c r="J15" s="712"/>
      <c r="K15" s="751"/>
      <c r="M15" s="109"/>
      <c r="N15" s="113"/>
      <c r="O15" s="113"/>
      <c r="P15" s="113"/>
      <c r="Q15" s="113"/>
      <c r="R15" s="113"/>
      <c r="S15" s="113"/>
    </row>
    <row r="16" spans="2:19">
      <c r="B16" s="119" t="s">
        <v>256</v>
      </c>
      <c r="C16" s="169">
        <v>90</v>
      </c>
      <c r="D16" s="169">
        <v>90</v>
      </c>
      <c r="E16" s="169">
        <v>90</v>
      </c>
      <c r="F16" s="169">
        <v>70</v>
      </c>
      <c r="G16" s="169">
        <v>100</v>
      </c>
      <c r="H16" s="169">
        <v>70</v>
      </c>
      <c r="I16" s="169">
        <v>100</v>
      </c>
      <c r="J16" s="107"/>
      <c r="K16" s="112">
        <v>1</v>
      </c>
      <c r="M16" s="109"/>
      <c r="N16" s="113"/>
      <c r="O16" s="113"/>
      <c r="P16" s="113"/>
      <c r="Q16" s="113"/>
      <c r="R16" s="113"/>
      <c r="S16" s="113"/>
    </row>
    <row r="17" spans="2:19">
      <c r="B17" s="119" t="s">
        <v>257</v>
      </c>
      <c r="C17" s="169">
        <v>80</v>
      </c>
      <c r="D17" s="169">
        <v>80</v>
      </c>
      <c r="E17" s="169">
        <v>80</v>
      </c>
      <c r="F17" s="169">
        <v>70</v>
      </c>
      <c r="G17" s="169">
        <v>100</v>
      </c>
      <c r="H17" s="169">
        <v>70</v>
      </c>
      <c r="I17" s="169">
        <v>100</v>
      </c>
      <c r="J17" s="107"/>
      <c r="K17" s="112">
        <v>1</v>
      </c>
      <c r="M17" s="109"/>
      <c r="N17" s="113"/>
      <c r="O17" s="113"/>
      <c r="P17" s="113"/>
      <c r="Q17" s="113"/>
      <c r="R17" s="113"/>
      <c r="S17" s="113"/>
    </row>
    <row r="18" spans="2:19">
      <c r="B18" s="125" t="s">
        <v>258</v>
      </c>
      <c r="C18" s="201"/>
      <c r="D18" s="201"/>
      <c r="E18" s="201"/>
      <c r="F18" s="201"/>
      <c r="G18" s="201"/>
      <c r="H18" s="201"/>
      <c r="I18" s="202"/>
      <c r="J18" s="202"/>
      <c r="K18" s="203"/>
      <c r="M18" s="109"/>
      <c r="N18" s="113"/>
      <c r="O18" s="113"/>
      <c r="P18" s="113"/>
      <c r="Q18" s="113"/>
      <c r="R18" s="113"/>
      <c r="S18" s="113"/>
    </row>
    <row r="19" spans="2:19">
      <c r="B19" s="117" t="s">
        <v>259</v>
      </c>
      <c r="C19" s="106">
        <v>3</v>
      </c>
      <c r="D19" s="106">
        <v>10</v>
      </c>
      <c r="E19" s="106">
        <v>20</v>
      </c>
      <c r="F19" s="106"/>
      <c r="G19" s="106"/>
      <c r="H19" s="106"/>
      <c r="I19" s="112"/>
      <c r="J19" s="120"/>
      <c r="K19" s="108">
        <v>8</v>
      </c>
      <c r="L19" s="130"/>
      <c r="M19" s="109"/>
      <c r="N19" s="113"/>
      <c r="O19" s="113"/>
      <c r="P19" s="113"/>
      <c r="Q19" s="113"/>
      <c r="R19" s="113"/>
      <c r="S19" s="113"/>
    </row>
    <row r="20" spans="2:19">
      <c r="B20" s="117" t="s">
        <v>260</v>
      </c>
      <c r="C20" s="106"/>
      <c r="D20" s="106"/>
      <c r="E20" s="106"/>
      <c r="F20" s="106"/>
      <c r="G20" s="106"/>
      <c r="H20" s="106"/>
      <c r="I20" s="112"/>
      <c r="J20" s="120"/>
      <c r="K20" s="108"/>
      <c r="M20" s="109"/>
      <c r="N20" s="113"/>
      <c r="O20" s="113"/>
      <c r="P20" s="113"/>
      <c r="Q20" s="113"/>
      <c r="R20" s="113"/>
      <c r="S20" s="113"/>
    </row>
    <row r="21" spans="2:19">
      <c r="B21" s="117" t="s">
        <v>261</v>
      </c>
      <c r="C21" s="106"/>
      <c r="D21" s="106"/>
      <c r="E21" s="106"/>
      <c r="F21" s="106"/>
      <c r="G21" s="106"/>
      <c r="H21" s="106"/>
      <c r="I21" s="112"/>
      <c r="J21" s="120"/>
      <c r="K21" s="108"/>
      <c r="M21" s="109"/>
      <c r="N21" s="113"/>
      <c r="O21" s="113"/>
      <c r="P21" s="113"/>
      <c r="Q21" s="113"/>
      <c r="R21" s="113"/>
      <c r="S21" s="113"/>
    </row>
    <row r="22" spans="2:19">
      <c r="B22" s="117" t="s">
        <v>262</v>
      </c>
      <c r="C22" s="106"/>
      <c r="D22" s="106"/>
      <c r="E22" s="106"/>
      <c r="F22" s="106"/>
      <c r="G22" s="106"/>
      <c r="H22" s="106"/>
      <c r="I22" s="112"/>
      <c r="J22" s="120"/>
      <c r="K22" s="108"/>
      <c r="M22" s="109"/>
      <c r="N22" s="113"/>
      <c r="O22" s="113"/>
      <c r="P22" s="113"/>
      <c r="Q22" s="113"/>
      <c r="R22" s="113"/>
      <c r="S22" s="113"/>
    </row>
    <row r="23" spans="2:19">
      <c r="B23" s="125" t="s">
        <v>263</v>
      </c>
      <c r="C23" s="204"/>
      <c r="D23" s="205"/>
      <c r="E23" s="205"/>
      <c r="F23" s="205"/>
      <c r="G23" s="205"/>
      <c r="H23" s="205"/>
      <c r="I23" s="205"/>
      <c r="J23" s="205"/>
      <c r="K23" s="206"/>
      <c r="M23" s="1146"/>
      <c r="N23" s="1146"/>
      <c r="O23" s="1146"/>
      <c r="P23" s="1146"/>
      <c r="Q23" s="1146"/>
      <c r="R23" s="1146"/>
      <c r="S23" s="1146"/>
    </row>
    <row r="24" spans="2:19">
      <c r="B24" s="117" t="s">
        <v>264</v>
      </c>
      <c r="C24" s="134" t="s">
        <v>146</v>
      </c>
      <c r="D24" s="134" t="s">
        <v>146</v>
      </c>
      <c r="E24" s="134" t="s">
        <v>146</v>
      </c>
      <c r="F24" s="134" t="s">
        <v>146</v>
      </c>
      <c r="G24" s="134" t="s">
        <v>146</v>
      </c>
      <c r="H24" s="134" t="s">
        <v>146</v>
      </c>
      <c r="I24" s="134" t="s">
        <v>146</v>
      </c>
      <c r="J24" s="135" t="s">
        <v>265</v>
      </c>
      <c r="K24" s="108">
        <v>6</v>
      </c>
      <c r="M24" s="109"/>
      <c r="N24" s="113"/>
      <c r="O24" s="113"/>
      <c r="P24" s="113"/>
      <c r="Q24" s="113"/>
      <c r="R24" s="113"/>
      <c r="S24" s="113"/>
    </row>
    <row r="25" spans="2:19">
      <c r="B25" s="117" t="s">
        <v>266</v>
      </c>
      <c r="C25" s="134" t="s">
        <v>146</v>
      </c>
      <c r="D25" s="134" t="s">
        <v>146</v>
      </c>
      <c r="E25" s="134" t="s">
        <v>146</v>
      </c>
      <c r="F25" s="134" t="s">
        <v>146</v>
      </c>
      <c r="G25" s="134" t="s">
        <v>146</v>
      </c>
      <c r="H25" s="134" t="s">
        <v>146</v>
      </c>
      <c r="I25" s="134" t="s">
        <v>146</v>
      </c>
      <c r="J25" s="135" t="s">
        <v>265</v>
      </c>
      <c r="K25" s="108">
        <v>6</v>
      </c>
      <c r="M25" s="109"/>
      <c r="N25" s="113"/>
      <c r="O25" s="113"/>
      <c r="P25" s="113"/>
      <c r="Q25" s="113"/>
      <c r="R25" s="113"/>
      <c r="S25" s="113"/>
    </row>
    <row r="26" spans="2:19" ht="15" customHeight="1">
      <c r="B26" s="117" t="s">
        <v>267</v>
      </c>
      <c r="C26" s="134" t="s">
        <v>146</v>
      </c>
      <c r="D26" s="134" t="s">
        <v>146</v>
      </c>
      <c r="E26" s="134" t="s">
        <v>146</v>
      </c>
      <c r="F26" s="134" t="s">
        <v>146</v>
      </c>
      <c r="G26" s="134" t="s">
        <v>146</v>
      </c>
      <c r="H26" s="134" t="s">
        <v>146</v>
      </c>
      <c r="I26" s="134" t="s">
        <v>146</v>
      </c>
      <c r="J26" s="136" t="s">
        <v>265</v>
      </c>
      <c r="K26" s="108">
        <v>6</v>
      </c>
      <c r="M26" s="109"/>
      <c r="N26" s="113"/>
      <c r="O26" s="113"/>
      <c r="P26" s="113"/>
      <c r="Q26" s="113"/>
      <c r="R26" s="113"/>
      <c r="S26" s="113"/>
    </row>
    <row r="27" spans="2:19">
      <c r="B27" s="117" t="s">
        <v>268</v>
      </c>
      <c r="C27" s="134" t="s">
        <v>146</v>
      </c>
      <c r="D27" s="134" t="s">
        <v>146</v>
      </c>
      <c r="E27" s="134" t="s">
        <v>146</v>
      </c>
      <c r="F27" s="134" t="s">
        <v>146</v>
      </c>
      <c r="G27" s="134" t="s">
        <v>146</v>
      </c>
      <c r="H27" s="134" t="s">
        <v>146</v>
      </c>
      <c r="I27" s="134" t="s">
        <v>146</v>
      </c>
      <c r="J27" s="120" t="s">
        <v>265</v>
      </c>
      <c r="K27" s="120">
        <v>6</v>
      </c>
      <c r="M27" s="109"/>
      <c r="N27" s="137"/>
      <c r="O27" s="137"/>
      <c r="P27" s="137"/>
      <c r="Q27" s="137"/>
      <c r="R27" s="113"/>
      <c r="S27" s="113"/>
    </row>
    <row r="28" spans="2:19">
      <c r="B28" s="117" t="s">
        <v>269</v>
      </c>
      <c r="C28" s="134" t="s">
        <v>146</v>
      </c>
      <c r="D28" s="134" t="s">
        <v>146</v>
      </c>
      <c r="E28" s="134" t="s">
        <v>146</v>
      </c>
      <c r="F28" s="134" t="s">
        <v>146</v>
      </c>
      <c r="G28" s="134" t="s">
        <v>146</v>
      </c>
      <c r="H28" s="134" t="s">
        <v>146</v>
      </c>
      <c r="I28" s="134" t="s">
        <v>146</v>
      </c>
      <c r="J28" s="120" t="s">
        <v>265</v>
      </c>
      <c r="K28" s="120">
        <v>6</v>
      </c>
      <c r="L28" s="138"/>
      <c r="M28" s="1146"/>
      <c r="N28" s="1146"/>
      <c r="O28" s="1146"/>
      <c r="P28" s="1146"/>
      <c r="Q28" s="1146"/>
      <c r="R28" s="1146"/>
      <c r="S28" s="1146"/>
    </row>
    <row r="29" spans="2:19">
      <c r="B29" s="125" t="s">
        <v>270</v>
      </c>
      <c r="C29" s="205"/>
      <c r="D29" s="205"/>
      <c r="E29" s="205"/>
      <c r="F29" s="205"/>
      <c r="G29" s="205"/>
      <c r="H29" s="205"/>
      <c r="I29" s="205"/>
      <c r="J29" s="205"/>
      <c r="K29" s="206"/>
      <c r="M29" s="109"/>
      <c r="N29" s="113"/>
      <c r="O29" s="113"/>
      <c r="P29" s="113"/>
      <c r="Q29" s="113"/>
      <c r="R29" s="113"/>
      <c r="S29" s="113"/>
    </row>
    <row r="30" spans="2:19">
      <c r="B30" s="117" t="s">
        <v>271</v>
      </c>
      <c r="C30" s="182">
        <v>4.4000000000000004</v>
      </c>
      <c r="D30" s="209">
        <v>4.4000000000000004</v>
      </c>
      <c r="E30" s="209">
        <f>C30*0.9</f>
        <v>3.9600000000000004</v>
      </c>
      <c r="F30" s="182">
        <f>C30*0.75</f>
        <v>3.3000000000000003</v>
      </c>
      <c r="G30" s="182">
        <f>C30*1.25</f>
        <v>5.5</v>
      </c>
      <c r="H30" s="182">
        <v>1.7</v>
      </c>
      <c r="I30" s="182">
        <v>5.0999999999999996</v>
      </c>
      <c r="J30" s="107" t="s">
        <v>272</v>
      </c>
      <c r="K30" s="108" t="s">
        <v>273</v>
      </c>
      <c r="L30" s="154"/>
      <c r="M30" s="779"/>
      <c r="N30" s="779"/>
      <c r="O30" s="141"/>
      <c r="P30" s="141"/>
      <c r="Q30" s="141"/>
      <c r="R30" s="113"/>
      <c r="S30" s="113"/>
    </row>
    <row r="31" spans="2:19">
      <c r="B31" s="117" t="s">
        <v>274</v>
      </c>
      <c r="C31" s="166">
        <v>0.6</v>
      </c>
      <c r="D31" s="166">
        <v>0.6</v>
      </c>
      <c r="E31" s="166">
        <v>0.6</v>
      </c>
      <c r="F31" s="175">
        <v>0.4</v>
      </c>
      <c r="G31" s="175">
        <v>0.7</v>
      </c>
      <c r="H31" s="175">
        <v>0.4</v>
      </c>
      <c r="I31" s="175">
        <v>0.7</v>
      </c>
      <c r="J31" s="120"/>
      <c r="K31" s="120">
        <v>9</v>
      </c>
      <c r="M31" s="109"/>
      <c r="N31" s="141"/>
      <c r="O31" s="141"/>
      <c r="P31" s="141"/>
      <c r="Q31" s="141"/>
      <c r="R31" s="113"/>
      <c r="S31" s="113"/>
    </row>
    <row r="32" spans="2:19">
      <c r="B32" s="117" t="s">
        <v>275</v>
      </c>
      <c r="C32" s="166">
        <v>0.4</v>
      </c>
      <c r="D32" s="166">
        <v>0.4</v>
      </c>
      <c r="E32" s="166">
        <v>0.4</v>
      </c>
      <c r="F32" s="175">
        <v>0.3</v>
      </c>
      <c r="G32" s="175">
        <v>0.5</v>
      </c>
      <c r="H32" s="175">
        <v>0.3</v>
      </c>
      <c r="I32" s="175">
        <v>0.5</v>
      </c>
      <c r="J32" s="120"/>
      <c r="K32" s="120">
        <v>9</v>
      </c>
      <c r="M32" s="109"/>
      <c r="N32" s="141"/>
      <c r="O32" s="141"/>
      <c r="P32" s="141"/>
      <c r="Q32" s="141"/>
      <c r="R32" s="113"/>
      <c r="S32" s="113"/>
    </row>
    <row r="33" spans="1:19">
      <c r="B33" s="117" t="s">
        <v>276</v>
      </c>
      <c r="C33" s="168">
        <v>110000</v>
      </c>
      <c r="D33" s="168">
        <f>MROUND(C33*1,100)</f>
        <v>110000</v>
      </c>
      <c r="E33" s="168">
        <f>MROUND(C33*0.9,100)</f>
        <v>99000</v>
      </c>
      <c r="F33" s="168">
        <f>C33*0.75</f>
        <v>82500</v>
      </c>
      <c r="G33" s="168">
        <f>C33*1.25</f>
        <v>137500</v>
      </c>
      <c r="H33" s="168">
        <f>E33*0.75</f>
        <v>74250</v>
      </c>
      <c r="I33" s="168">
        <f>E33*1.25</f>
        <v>123750</v>
      </c>
      <c r="J33" s="120" t="s">
        <v>277</v>
      </c>
      <c r="K33" s="108" t="s">
        <v>278</v>
      </c>
      <c r="M33" s="109"/>
      <c r="N33" s="141"/>
      <c r="O33" s="141"/>
      <c r="P33" s="141"/>
      <c r="Q33" s="141"/>
      <c r="R33" s="113"/>
      <c r="S33" s="113"/>
    </row>
    <row r="34" spans="1:19">
      <c r="B34" s="117" t="s">
        <v>279</v>
      </c>
      <c r="C34" s="164">
        <v>0.27</v>
      </c>
      <c r="D34" s="164">
        <f>MROUND(C34*1,0.01)</f>
        <v>0.27</v>
      </c>
      <c r="E34" s="164">
        <f>MROUND(C34*0.9,0.01)</f>
        <v>0.24</v>
      </c>
      <c r="F34" s="164">
        <f>C34*0.75</f>
        <v>0.20250000000000001</v>
      </c>
      <c r="G34" s="164">
        <f>C34*1.25</f>
        <v>0.33750000000000002</v>
      </c>
      <c r="H34" s="139">
        <f>E34*1.25</f>
        <v>0.3</v>
      </c>
      <c r="I34" s="140">
        <f>E34*0.75</f>
        <v>0.18</v>
      </c>
      <c r="J34" s="120" t="s">
        <v>280</v>
      </c>
      <c r="K34" s="108" t="s">
        <v>281</v>
      </c>
      <c r="M34" s="109"/>
      <c r="N34" s="141"/>
      <c r="O34" s="141"/>
      <c r="P34" s="141"/>
      <c r="Q34" s="141"/>
      <c r="R34" s="113"/>
      <c r="S34" s="113"/>
    </row>
    <row r="35" spans="1:19">
      <c r="B35" s="117" t="s">
        <v>282</v>
      </c>
      <c r="C35" s="106" t="s">
        <v>146</v>
      </c>
      <c r="D35" s="106" t="s">
        <v>146</v>
      </c>
      <c r="E35" s="106" t="s">
        <v>146</v>
      </c>
      <c r="F35" s="106" t="s">
        <v>146</v>
      </c>
      <c r="G35" s="106" t="s">
        <v>146</v>
      </c>
      <c r="H35" s="106" t="s">
        <v>146</v>
      </c>
      <c r="I35" s="145" t="s">
        <v>146</v>
      </c>
      <c r="J35" s="120"/>
      <c r="K35" s="108"/>
      <c r="M35" s="1146"/>
      <c r="N35" s="1146"/>
      <c r="O35" s="1146"/>
      <c r="P35" s="1146"/>
      <c r="Q35" s="1146"/>
      <c r="R35" s="1146"/>
      <c r="S35" s="1146"/>
    </row>
    <row r="36" spans="1:19">
      <c r="B36" s="146" t="s">
        <v>283</v>
      </c>
      <c r="C36" s="173"/>
      <c r="D36" s="173"/>
      <c r="E36" s="173"/>
      <c r="F36" s="173"/>
      <c r="G36" s="173"/>
      <c r="H36" s="173"/>
      <c r="I36" s="173"/>
      <c r="J36" s="173"/>
      <c r="K36" s="174"/>
      <c r="N36" s="113"/>
      <c r="O36" s="113"/>
      <c r="P36" s="113"/>
      <c r="Q36" s="113"/>
      <c r="R36" s="113"/>
      <c r="S36" s="113"/>
    </row>
    <row r="37" spans="1:19" ht="15" customHeight="1">
      <c r="B37" s="105" t="s">
        <v>284</v>
      </c>
      <c r="C37" s="1053">
        <v>0.16</v>
      </c>
      <c r="D37" s="1053">
        <v>0.15</v>
      </c>
      <c r="E37" s="1053">
        <v>0.15</v>
      </c>
      <c r="F37" s="1053">
        <v>0.11</v>
      </c>
      <c r="G37" s="1053">
        <v>0.21</v>
      </c>
      <c r="H37" s="1053">
        <v>0.11</v>
      </c>
      <c r="I37" s="1053">
        <v>0.21</v>
      </c>
      <c r="J37" s="781"/>
      <c r="K37" s="780">
        <v>7</v>
      </c>
      <c r="N37" s="113"/>
      <c r="O37" s="113"/>
      <c r="P37" s="113"/>
      <c r="Q37" s="113"/>
      <c r="R37" s="113"/>
      <c r="S37" s="113"/>
    </row>
    <row r="38" spans="1:19" ht="15" customHeight="1">
      <c r="B38" s="782" t="s">
        <v>285</v>
      </c>
      <c r="C38" s="783">
        <v>0.16</v>
      </c>
      <c r="D38" s="783">
        <v>0.15</v>
      </c>
      <c r="E38" s="783">
        <v>0.15</v>
      </c>
      <c r="F38" s="783">
        <v>0.11</v>
      </c>
      <c r="G38" s="783">
        <v>0.21</v>
      </c>
      <c r="H38" s="783">
        <v>0.11</v>
      </c>
      <c r="I38" s="783">
        <v>0.21</v>
      </c>
      <c r="J38" s="783"/>
      <c r="K38" s="783">
        <v>7</v>
      </c>
      <c r="N38" s="113"/>
      <c r="O38" s="113"/>
      <c r="P38" s="113"/>
      <c r="Q38" s="113"/>
      <c r="R38" s="113"/>
      <c r="S38" s="113"/>
    </row>
    <row r="39" spans="1:19">
      <c r="A39" s="130"/>
      <c r="C39" s="150"/>
      <c r="D39" s="150"/>
      <c r="E39" s="150"/>
      <c r="F39" s="150"/>
      <c r="G39" s="150"/>
      <c r="L39" s="94"/>
    </row>
    <row r="40" spans="1:19" s="93" customFormat="1" ht="11.45" customHeight="1">
      <c r="A40" s="130" t="s">
        <v>286</v>
      </c>
      <c r="C40" s="150"/>
      <c r="D40" s="150"/>
      <c r="E40" s="150"/>
      <c r="F40" s="150"/>
      <c r="G40" s="150"/>
    </row>
    <row r="41" spans="1:19" ht="14.1" customHeight="1">
      <c r="A41" s="152">
        <v>1</v>
      </c>
      <c r="B41" s="1149" t="s">
        <v>287</v>
      </c>
      <c r="C41" s="1149"/>
      <c r="D41" s="1149"/>
      <c r="E41" s="1149"/>
      <c r="F41" s="1149"/>
      <c r="G41" s="1149"/>
      <c r="H41" s="1149"/>
      <c r="I41" s="1149"/>
      <c r="J41" s="1149"/>
      <c r="K41" s="1149"/>
    </row>
    <row r="42" spans="1:19" ht="14.1" customHeight="1">
      <c r="A42" s="152">
        <v>2</v>
      </c>
      <c r="B42" s="1149" t="s">
        <v>288</v>
      </c>
      <c r="C42" s="1149"/>
      <c r="D42" s="1149"/>
      <c r="E42" s="1149"/>
      <c r="F42" s="1149"/>
      <c r="G42" s="1149"/>
      <c r="H42" s="1149"/>
      <c r="I42" s="1149"/>
      <c r="J42" s="1149"/>
      <c r="K42" s="1149"/>
    </row>
    <row r="43" spans="1:19" ht="14.1" customHeight="1">
      <c r="A43" s="152">
        <v>3</v>
      </c>
      <c r="B43" s="1149" t="s">
        <v>289</v>
      </c>
      <c r="C43" s="1149"/>
      <c r="D43" s="1149"/>
      <c r="E43" s="1149"/>
      <c r="F43" s="1149"/>
      <c r="G43" s="1149"/>
      <c r="H43" s="1149"/>
      <c r="I43" s="1149"/>
      <c r="J43" s="1149"/>
      <c r="K43" s="1149"/>
    </row>
    <row r="44" spans="1:19" ht="14.1" customHeight="1">
      <c r="A44" s="152">
        <v>4</v>
      </c>
      <c r="B44" s="1149" t="s">
        <v>290</v>
      </c>
      <c r="C44" s="1149"/>
      <c r="D44" s="1149"/>
      <c r="E44" s="1149"/>
      <c r="F44" s="1149"/>
      <c r="G44" s="1149"/>
      <c r="H44" s="1149"/>
      <c r="I44" s="1149"/>
      <c r="J44" s="1149"/>
      <c r="K44" s="1149"/>
    </row>
    <row r="45" spans="1:19" ht="14.1" customHeight="1">
      <c r="A45" s="152">
        <v>5</v>
      </c>
      <c r="B45" s="1149" t="s">
        <v>291</v>
      </c>
      <c r="C45" s="1149"/>
      <c r="D45" s="1149"/>
      <c r="E45" s="1149"/>
      <c r="F45" s="1149"/>
      <c r="G45" s="1149"/>
      <c r="H45" s="1149"/>
      <c r="I45" s="1149"/>
      <c r="J45" s="1149"/>
      <c r="K45" s="1149"/>
    </row>
    <row r="46" spans="1:19" ht="14.1" customHeight="1">
      <c r="A46" s="152">
        <v>6</v>
      </c>
      <c r="B46" s="1149" t="s">
        <v>292</v>
      </c>
      <c r="C46" s="1149"/>
      <c r="D46" s="1149"/>
      <c r="E46" s="1149"/>
      <c r="F46" s="1149"/>
      <c r="G46" s="1149"/>
      <c r="H46" s="1149"/>
      <c r="I46" s="1149"/>
      <c r="J46" s="1149"/>
      <c r="K46" s="1149"/>
    </row>
    <row r="47" spans="1:19" ht="14.1" customHeight="1">
      <c r="A47" s="152">
        <v>7</v>
      </c>
      <c r="B47" s="1149" t="s">
        <v>293</v>
      </c>
      <c r="C47" s="1149"/>
      <c r="D47" s="1149"/>
      <c r="E47" s="1149"/>
      <c r="F47" s="1149"/>
      <c r="G47" s="1149"/>
      <c r="H47" s="1149"/>
      <c r="I47" s="1149"/>
      <c r="J47" s="1149"/>
      <c r="K47" s="1149"/>
    </row>
    <row r="48" spans="1:19" ht="14.1" customHeight="1">
      <c r="A48" s="152">
        <v>8</v>
      </c>
      <c r="B48" s="1149" t="s">
        <v>294</v>
      </c>
      <c r="C48" s="1149"/>
      <c r="D48" s="1149"/>
      <c r="E48" s="1149"/>
      <c r="F48" s="1149"/>
      <c r="G48" s="1149"/>
      <c r="H48" s="1149"/>
      <c r="I48" s="1149"/>
      <c r="J48" s="1149"/>
      <c r="K48" s="1149"/>
    </row>
    <row r="49" spans="1:13" ht="14.1" customHeight="1">
      <c r="A49" s="152">
        <v>9</v>
      </c>
      <c r="B49" s="1149" t="s">
        <v>295</v>
      </c>
      <c r="C49" s="1149"/>
      <c r="D49" s="1149"/>
      <c r="E49" s="1149"/>
      <c r="F49" s="1149"/>
      <c r="G49" s="1149"/>
      <c r="H49" s="1149"/>
      <c r="I49" s="1149"/>
      <c r="J49" s="1149"/>
      <c r="K49" s="1149"/>
    </row>
    <row r="50" spans="1:13" ht="27" customHeight="1">
      <c r="A50" s="152">
        <v>10</v>
      </c>
      <c r="B50" s="1149" t="s">
        <v>296</v>
      </c>
      <c r="C50" s="1149"/>
      <c r="D50" s="1149"/>
      <c r="E50" s="1149"/>
      <c r="F50" s="1149"/>
      <c r="G50" s="1149"/>
      <c r="H50" s="1149"/>
      <c r="I50" s="1149"/>
      <c r="J50" s="1149"/>
      <c r="K50" s="1149"/>
    </row>
    <row r="51" spans="1:13" ht="14.1" customHeight="1">
      <c r="A51" s="152">
        <v>11</v>
      </c>
      <c r="B51" s="1147" t="s">
        <v>297</v>
      </c>
      <c r="C51" s="1147"/>
      <c r="D51" s="1147"/>
      <c r="E51" s="1147"/>
      <c r="F51" s="1147"/>
      <c r="G51" s="1147"/>
      <c r="H51" s="1147"/>
      <c r="I51" s="1147"/>
      <c r="J51" s="1147"/>
      <c r="K51" s="1147"/>
    </row>
    <row r="52" spans="1:13" ht="14.1" customHeight="1">
      <c r="A52" s="130" t="s">
        <v>298</v>
      </c>
      <c r="M52" s="151"/>
    </row>
    <row r="53" spans="1:13" ht="24.75" customHeight="1">
      <c r="A53" s="152" t="s">
        <v>246</v>
      </c>
      <c r="B53" s="1148" t="s">
        <v>299</v>
      </c>
      <c r="C53" s="1148"/>
      <c r="D53" s="1148"/>
      <c r="E53" s="1148"/>
      <c r="F53" s="1148"/>
      <c r="G53" s="1148"/>
      <c r="H53" s="1148"/>
      <c r="I53" s="1148"/>
      <c r="J53" s="1148"/>
      <c r="K53" s="1148"/>
    </row>
    <row r="54" spans="1:13" ht="14.1" customHeight="1">
      <c r="A54" s="152" t="s">
        <v>300</v>
      </c>
      <c r="B54" s="1148" t="s">
        <v>301</v>
      </c>
      <c r="C54" s="1148"/>
      <c r="D54" s="1148"/>
      <c r="E54" s="1148"/>
      <c r="F54" s="1148"/>
      <c r="G54" s="1148"/>
      <c r="H54" s="1148"/>
      <c r="I54" s="1148"/>
      <c r="J54" s="1148"/>
      <c r="K54" s="1148"/>
    </row>
    <row r="55" spans="1:13" ht="40.5" customHeight="1">
      <c r="A55" s="152" t="s">
        <v>265</v>
      </c>
      <c r="B55" s="1148" t="s">
        <v>302</v>
      </c>
      <c r="C55" s="1148"/>
      <c r="D55" s="1148"/>
      <c r="E55" s="1148"/>
      <c r="F55" s="1148"/>
      <c r="G55" s="1148"/>
      <c r="H55" s="1148"/>
      <c r="I55" s="1148"/>
      <c r="J55" s="1148"/>
      <c r="K55" s="1148"/>
    </row>
    <row r="56" spans="1:13" ht="14.1" customHeight="1">
      <c r="A56" s="152" t="s">
        <v>303</v>
      </c>
      <c r="B56" s="1148" t="s">
        <v>304</v>
      </c>
      <c r="C56" s="1148"/>
      <c r="D56" s="1148"/>
      <c r="E56" s="1148"/>
      <c r="F56" s="1148"/>
      <c r="G56" s="1148"/>
      <c r="H56" s="1148"/>
      <c r="I56" s="1148"/>
      <c r="J56" s="1148"/>
      <c r="K56" s="1148"/>
    </row>
    <row r="57" spans="1:13" ht="14.1" customHeight="1">
      <c r="A57" s="152" t="s">
        <v>305</v>
      </c>
      <c r="B57" s="1150" t="s">
        <v>306</v>
      </c>
      <c r="C57" s="1150"/>
      <c r="D57" s="1150"/>
      <c r="E57" s="1150"/>
      <c r="F57" s="1150"/>
      <c r="G57" s="1150"/>
      <c r="H57" s="1150"/>
      <c r="I57" s="1150"/>
      <c r="J57" s="1150"/>
      <c r="K57" s="1150"/>
    </row>
    <row r="58" spans="1:13" ht="14.1" customHeight="1">
      <c r="A58" s="152" t="s">
        <v>307</v>
      </c>
      <c r="B58" s="1148" t="s">
        <v>308</v>
      </c>
      <c r="C58" s="1148"/>
      <c r="D58" s="1148"/>
      <c r="E58" s="1148"/>
      <c r="F58" s="1148"/>
      <c r="G58" s="1148"/>
      <c r="H58" s="1148"/>
      <c r="I58" s="1148"/>
      <c r="J58" s="1148"/>
      <c r="K58" s="1148"/>
    </row>
    <row r="59" spans="1:13" ht="14.1" customHeight="1">
      <c r="A59" s="152" t="s">
        <v>309</v>
      </c>
      <c r="B59" s="1148" t="s">
        <v>310</v>
      </c>
      <c r="C59" s="1148"/>
      <c r="D59" s="1148"/>
      <c r="E59" s="1148"/>
      <c r="F59" s="1148"/>
      <c r="G59" s="1148"/>
      <c r="H59" s="1148"/>
      <c r="I59" s="1148"/>
      <c r="J59" s="1148"/>
      <c r="K59" s="1148"/>
    </row>
    <row r="60" spans="1:13" ht="14.1" customHeight="1">
      <c r="A60" s="152" t="s">
        <v>253</v>
      </c>
      <c r="B60" s="1148" t="s">
        <v>311</v>
      </c>
      <c r="C60" s="1148"/>
      <c r="D60" s="1148"/>
      <c r="E60" s="1148"/>
      <c r="F60" s="1148"/>
      <c r="G60" s="1148"/>
      <c r="H60" s="1148"/>
      <c r="I60" s="1148"/>
      <c r="J60" s="1148"/>
      <c r="K60" s="1148"/>
    </row>
  </sheetData>
  <mergeCells count="28">
    <mergeCell ref="B59:K59"/>
    <mergeCell ref="B60:K60"/>
    <mergeCell ref="B49:K49"/>
    <mergeCell ref="B50:K50"/>
    <mergeCell ref="B55:K55"/>
    <mergeCell ref="B57:K57"/>
    <mergeCell ref="B58:K58"/>
    <mergeCell ref="B56:K56"/>
    <mergeCell ref="B53:K53"/>
    <mergeCell ref="M23:S23"/>
    <mergeCell ref="M28:S28"/>
    <mergeCell ref="M35:S35"/>
    <mergeCell ref="B51:K51"/>
    <mergeCell ref="B54:K54"/>
    <mergeCell ref="B41:K41"/>
    <mergeCell ref="B42:K42"/>
    <mergeCell ref="B43:K43"/>
    <mergeCell ref="B44:K44"/>
    <mergeCell ref="B45:K45"/>
    <mergeCell ref="B46:K46"/>
    <mergeCell ref="B47:K47"/>
    <mergeCell ref="B48:K48"/>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62329-D3E9-42DD-8A30-EE905F3EF923}">
  <sheetPr codeName="Sheet8">
    <tabColor rgb="FFC88500"/>
  </sheetPr>
  <dimension ref="A1:S60"/>
  <sheetViews>
    <sheetView zoomScaleNormal="100" zoomScaleSheetLayoutView="120" workbookViewId="0">
      <selection activeCell="B47" sqref="B47:K47"/>
    </sheetView>
  </sheetViews>
  <sheetFormatPr defaultColWidth="9.140625" defaultRowHeight="15"/>
  <cols>
    <col min="1" max="1" width="3" style="93" customWidth="1"/>
    <col min="2" max="2" width="35.28515625" style="93" customWidth="1"/>
    <col min="3" max="9" width="9.28515625" style="93" customWidth="1"/>
    <col min="10" max="10" width="8.7109375" style="93" customWidth="1"/>
    <col min="11" max="11" width="7.85546875" style="93" customWidth="1"/>
    <col min="12" max="12" width="6.7109375" style="93" customWidth="1"/>
    <col min="13" max="13" width="16.710937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778" t="s">
        <v>145</v>
      </c>
      <c r="C3" s="1141" t="s">
        <v>312</v>
      </c>
      <c r="D3" s="1141"/>
      <c r="E3" s="1141"/>
      <c r="F3" s="1141"/>
      <c r="G3" s="1141"/>
      <c r="H3" s="1141"/>
      <c r="I3" s="1141"/>
      <c r="J3" s="1141"/>
      <c r="K3" s="1142"/>
      <c r="M3" s="97"/>
      <c r="N3" s="1143"/>
      <c r="O3" s="1144"/>
      <c r="P3" s="1144"/>
      <c r="Q3" s="1144"/>
      <c r="R3" s="1144"/>
      <c r="S3" s="1144"/>
    </row>
    <row r="4" spans="2:19" ht="16.5" customHeight="1">
      <c r="B4" s="701"/>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03"/>
      <c r="D5" s="103"/>
      <c r="E5" s="103"/>
      <c r="F5" s="96" t="s">
        <v>241</v>
      </c>
      <c r="G5" s="96" t="s">
        <v>242</v>
      </c>
      <c r="H5" s="96" t="s">
        <v>241</v>
      </c>
      <c r="I5" s="96" t="s">
        <v>242</v>
      </c>
      <c r="J5" s="103"/>
      <c r="K5" s="104"/>
      <c r="M5" s="1146"/>
      <c r="N5" s="1146"/>
      <c r="O5" s="1146"/>
      <c r="P5" s="1146"/>
      <c r="Q5" s="1146"/>
      <c r="R5" s="1146"/>
      <c r="S5" s="1146"/>
    </row>
    <row r="6" spans="2:19" ht="15" customHeight="1">
      <c r="B6" s="105" t="s">
        <v>243</v>
      </c>
      <c r="C6" s="191">
        <v>10</v>
      </c>
      <c r="D6" s="191">
        <v>10</v>
      </c>
      <c r="E6" s="191">
        <v>10</v>
      </c>
      <c r="F6" s="182">
        <v>0.3</v>
      </c>
      <c r="G6" s="169">
        <v>20</v>
      </c>
      <c r="H6" s="169">
        <v>0.3</v>
      </c>
      <c r="I6" s="169">
        <v>20</v>
      </c>
      <c r="J6" s="183"/>
      <c r="K6" s="108" t="s">
        <v>313</v>
      </c>
      <c r="M6" s="109"/>
      <c r="N6" s="1139"/>
      <c r="O6" s="1140"/>
      <c r="P6" s="1140"/>
      <c r="Q6" s="1140"/>
      <c r="R6" s="1140"/>
      <c r="S6" s="1140"/>
    </row>
    <row r="7" spans="2:19" ht="27" customHeight="1">
      <c r="B7" s="105" t="s">
        <v>244</v>
      </c>
      <c r="C7" s="211">
        <v>20</v>
      </c>
      <c r="D7" s="211">
        <v>20</v>
      </c>
      <c r="E7" s="211">
        <v>20</v>
      </c>
      <c r="F7" s="169">
        <v>5</v>
      </c>
      <c r="G7" s="169">
        <v>30</v>
      </c>
      <c r="H7" s="169">
        <v>5</v>
      </c>
      <c r="I7" s="169">
        <v>30</v>
      </c>
      <c r="J7" s="183"/>
      <c r="K7" s="108">
        <v>1</v>
      </c>
      <c r="M7" s="109"/>
      <c r="N7" s="110"/>
      <c r="O7" s="111"/>
      <c r="P7" s="111"/>
      <c r="Q7" s="111"/>
      <c r="R7" s="111"/>
      <c r="S7" s="111"/>
    </row>
    <row r="8" spans="2:19">
      <c r="B8" s="105" t="s">
        <v>245</v>
      </c>
      <c r="C8" s="169">
        <v>10</v>
      </c>
      <c r="D8" s="169">
        <v>11</v>
      </c>
      <c r="E8" s="169">
        <v>12</v>
      </c>
      <c r="F8" s="169">
        <v>6</v>
      </c>
      <c r="G8" s="169">
        <v>12</v>
      </c>
      <c r="H8" s="169">
        <v>8</v>
      </c>
      <c r="I8" s="169">
        <v>14</v>
      </c>
      <c r="J8" s="183" t="s">
        <v>246</v>
      </c>
      <c r="K8" s="112">
        <v>5</v>
      </c>
      <c r="M8" s="109"/>
      <c r="N8" s="113"/>
      <c r="O8" s="113"/>
      <c r="P8" s="113"/>
      <c r="Q8" s="113"/>
      <c r="R8" s="113"/>
      <c r="S8" s="113"/>
    </row>
    <row r="9" spans="2:19">
      <c r="B9" s="114" t="s">
        <v>247</v>
      </c>
      <c r="C9" s="169">
        <v>10</v>
      </c>
      <c r="D9" s="169">
        <v>11</v>
      </c>
      <c r="E9" s="169">
        <v>12</v>
      </c>
      <c r="F9" s="169">
        <v>6</v>
      </c>
      <c r="G9" s="169">
        <v>12</v>
      </c>
      <c r="H9" s="169">
        <v>8</v>
      </c>
      <c r="I9" s="169">
        <v>14</v>
      </c>
      <c r="J9" s="185" t="s">
        <v>246</v>
      </c>
      <c r="K9" s="157">
        <v>5</v>
      </c>
      <c r="M9" s="109"/>
      <c r="N9" s="113"/>
      <c r="O9" s="113"/>
      <c r="P9" s="113"/>
      <c r="Q9" s="113"/>
      <c r="R9" s="113"/>
      <c r="S9" s="113"/>
    </row>
    <row r="10" spans="2:19">
      <c r="B10" s="105" t="s">
        <v>248</v>
      </c>
      <c r="C10" s="169">
        <v>10</v>
      </c>
      <c r="D10" s="169">
        <v>10</v>
      </c>
      <c r="E10" s="169">
        <v>10</v>
      </c>
      <c r="F10" s="169">
        <v>5</v>
      </c>
      <c r="G10" s="169">
        <v>30</v>
      </c>
      <c r="H10" s="169">
        <v>5</v>
      </c>
      <c r="I10" s="169">
        <v>30</v>
      </c>
      <c r="J10" s="183"/>
      <c r="K10" s="108">
        <v>1</v>
      </c>
      <c r="M10" s="93"/>
      <c r="N10" s="116"/>
      <c r="O10" s="116"/>
      <c r="P10" s="116"/>
      <c r="Q10" s="116"/>
      <c r="R10" s="116"/>
      <c r="S10" s="113"/>
    </row>
    <row r="11" spans="2:19">
      <c r="B11" s="117" t="s">
        <v>249</v>
      </c>
      <c r="C11" s="164">
        <v>4</v>
      </c>
      <c r="D11" s="164">
        <v>4</v>
      </c>
      <c r="E11" s="164">
        <v>4</v>
      </c>
      <c r="F11" s="164">
        <v>2</v>
      </c>
      <c r="G11" s="164">
        <v>6</v>
      </c>
      <c r="H11" s="164">
        <v>2</v>
      </c>
      <c r="I11" s="164">
        <v>6</v>
      </c>
      <c r="J11" s="183"/>
      <c r="K11" s="108">
        <v>1</v>
      </c>
      <c r="M11" s="93"/>
      <c r="N11" s="116"/>
      <c r="O11" s="116"/>
      <c r="P11" s="116"/>
      <c r="Q11" s="116"/>
      <c r="R11" s="116"/>
      <c r="S11" s="113"/>
    </row>
    <row r="12" spans="2:19">
      <c r="B12" s="117" t="s">
        <v>250</v>
      </c>
      <c r="C12" s="169">
        <v>30</v>
      </c>
      <c r="D12" s="169">
        <v>30</v>
      </c>
      <c r="E12" s="169">
        <v>30</v>
      </c>
      <c r="F12" s="169">
        <v>20</v>
      </c>
      <c r="G12" s="169">
        <v>50</v>
      </c>
      <c r="H12" s="169">
        <v>20</v>
      </c>
      <c r="I12" s="169">
        <v>50</v>
      </c>
      <c r="J12" s="183"/>
      <c r="K12" s="108" t="s">
        <v>251</v>
      </c>
      <c r="M12" s="109"/>
      <c r="N12" s="113"/>
      <c r="O12" s="113"/>
      <c r="P12" s="113"/>
      <c r="Q12" s="113"/>
      <c r="R12" s="113"/>
      <c r="S12" s="113"/>
    </row>
    <row r="13" spans="2:19">
      <c r="B13" s="117" t="s">
        <v>252</v>
      </c>
      <c r="C13" s="169">
        <f>24/12</f>
        <v>2</v>
      </c>
      <c r="D13" s="169">
        <f t="shared" ref="D13:E13" si="0">24/12</f>
        <v>2</v>
      </c>
      <c r="E13" s="169">
        <f t="shared" si="0"/>
        <v>2</v>
      </c>
      <c r="F13" s="183" t="s">
        <v>314</v>
      </c>
      <c r="G13" s="183">
        <v>3</v>
      </c>
      <c r="H13" s="183" t="s">
        <v>314</v>
      </c>
      <c r="I13" s="169">
        <v>3</v>
      </c>
      <c r="J13" s="183" t="s">
        <v>253</v>
      </c>
      <c r="K13" s="108" t="s">
        <v>251</v>
      </c>
      <c r="M13" s="109"/>
      <c r="N13" s="113"/>
      <c r="O13" s="113"/>
      <c r="P13" s="113"/>
      <c r="Q13" s="113"/>
      <c r="R13" s="113"/>
      <c r="S13" s="113"/>
    </row>
    <row r="14" spans="2:19">
      <c r="B14" s="119" t="s">
        <v>254</v>
      </c>
      <c r="C14" s="164">
        <v>30</v>
      </c>
      <c r="D14" s="164">
        <v>31</v>
      </c>
      <c r="E14" s="164">
        <v>32</v>
      </c>
      <c r="F14" s="176">
        <v>20</v>
      </c>
      <c r="G14" s="176">
        <v>40</v>
      </c>
      <c r="H14" s="176">
        <v>20</v>
      </c>
      <c r="I14" s="176">
        <v>40</v>
      </c>
      <c r="J14" s="165"/>
      <c r="K14" s="107">
        <v>1</v>
      </c>
      <c r="M14" s="109"/>
      <c r="N14" s="113"/>
      <c r="O14" s="113"/>
      <c r="P14" s="113"/>
      <c r="Q14" s="113"/>
      <c r="R14" s="113"/>
      <c r="S14" s="113"/>
    </row>
    <row r="15" spans="2:19">
      <c r="B15" s="121" t="s">
        <v>255</v>
      </c>
      <c r="C15" s="711"/>
      <c r="D15" s="711"/>
      <c r="E15" s="711"/>
      <c r="F15" s="711"/>
      <c r="G15" s="711"/>
      <c r="H15" s="711"/>
      <c r="I15" s="712"/>
      <c r="J15" s="712"/>
      <c r="K15" s="751"/>
      <c r="M15" s="109"/>
      <c r="N15" s="113"/>
      <c r="O15" s="113"/>
      <c r="P15" s="113"/>
      <c r="Q15" s="113"/>
      <c r="R15" s="113"/>
      <c r="S15" s="113"/>
    </row>
    <row r="16" spans="2:19">
      <c r="B16" s="119" t="s">
        <v>256</v>
      </c>
      <c r="C16" s="169">
        <v>90</v>
      </c>
      <c r="D16" s="169">
        <v>90</v>
      </c>
      <c r="E16" s="169">
        <v>90</v>
      </c>
      <c r="F16" s="169">
        <v>70</v>
      </c>
      <c r="G16" s="169">
        <v>100</v>
      </c>
      <c r="H16" s="169">
        <v>70</v>
      </c>
      <c r="I16" s="169">
        <v>100</v>
      </c>
      <c r="J16" s="107"/>
      <c r="K16" s="112">
        <v>1</v>
      </c>
      <c r="M16" s="109"/>
      <c r="N16" s="113"/>
      <c r="O16" s="113"/>
      <c r="P16" s="113"/>
      <c r="Q16" s="113"/>
      <c r="R16" s="113"/>
      <c r="S16" s="113"/>
    </row>
    <row r="17" spans="2:19">
      <c r="B17" s="119" t="s">
        <v>257</v>
      </c>
      <c r="C17" s="169">
        <v>80</v>
      </c>
      <c r="D17" s="169">
        <v>80</v>
      </c>
      <c r="E17" s="169">
        <v>80</v>
      </c>
      <c r="F17" s="169">
        <v>70</v>
      </c>
      <c r="G17" s="169">
        <v>100</v>
      </c>
      <c r="H17" s="169">
        <v>70</v>
      </c>
      <c r="I17" s="169">
        <v>100</v>
      </c>
      <c r="J17" s="107"/>
      <c r="K17" s="112">
        <v>1</v>
      </c>
      <c r="M17" s="109"/>
      <c r="N17" s="113"/>
      <c r="O17" s="113"/>
      <c r="P17" s="113"/>
      <c r="Q17" s="113"/>
      <c r="R17" s="113"/>
      <c r="S17" s="113"/>
    </row>
    <row r="18" spans="2:19">
      <c r="B18" s="125" t="s">
        <v>258</v>
      </c>
      <c r="C18" s="201"/>
      <c r="D18" s="201"/>
      <c r="E18" s="201"/>
      <c r="F18" s="201"/>
      <c r="G18" s="201"/>
      <c r="H18" s="201"/>
      <c r="I18" s="202"/>
      <c r="J18" s="202"/>
      <c r="K18" s="203"/>
      <c r="M18" s="109"/>
      <c r="N18" s="113"/>
      <c r="O18" s="113"/>
      <c r="P18" s="113"/>
      <c r="Q18" s="113"/>
      <c r="R18" s="113"/>
      <c r="S18" s="113"/>
    </row>
    <row r="19" spans="2:19">
      <c r="B19" s="117" t="s">
        <v>259</v>
      </c>
      <c r="C19" s="106"/>
      <c r="D19" s="106"/>
      <c r="E19" s="106"/>
      <c r="F19" s="106"/>
      <c r="G19" s="106"/>
      <c r="H19" s="106"/>
      <c r="I19" s="112"/>
      <c r="J19" s="120"/>
      <c r="K19" s="108"/>
      <c r="L19" s="130"/>
      <c r="M19" s="109"/>
      <c r="N19" s="113"/>
      <c r="O19" s="113"/>
      <c r="P19" s="113"/>
      <c r="Q19" s="113"/>
      <c r="R19" s="113"/>
      <c r="S19" s="113"/>
    </row>
    <row r="20" spans="2:19">
      <c r="B20" s="117" t="s">
        <v>260</v>
      </c>
      <c r="C20" s="106"/>
      <c r="D20" s="106"/>
      <c r="E20" s="106"/>
      <c r="F20" s="106"/>
      <c r="G20" s="106"/>
      <c r="H20" s="106"/>
      <c r="I20" s="112"/>
      <c r="J20" s="120"/>
      <c r="K20" s="108"/>
      <c r="M20" s="109"/>
      <c r="N20" s="113"/>
      <c r="O20" s="113"/>
      <c r="P20" s="113"/>
      <c r="Q20" s="113"/>
      <c r="R20" s="113"/>
      <c r="S20" s="113"/>
    </row>
    <row r="21" spans="2:19">
      <c r="B21" s="117" t="s">
        <v>261</v>
      </c>
      <c r="C21" s="106"/>
      <c r="D21" s="106"/>
      <c r="E21" s="106"/>
      <c r="F21" s="106"/>
      <c r="G21" s="106"/>
      <c r="H21" s="106"/>
      <c r="I21" s="112"/>
      <c r="J21" s="120"/>
      <c r="K21" s="108"/>
      <c r="M21" s="109"/>
      <c r="N21" s="113"/>
      <c r="O21" s="113"/>
      <c r="P21" s="113"/>
      <c r="Q21" s="113"/>
      <c r="R21" s="113"/>
      <c r="S21" s="113"/>
    </row>
    <row r="22" spans="2:19">
      <c r="B22" s="117" t="s">
        <v>262</v>
      </c>
      <c r="C22" s="106"/>
      <c r="D22" s="106"/>
      <c r="E22" s="106"/>
      <c r="F22" s="106"/>
      <c r="G22" s="106"/>
      <c r="H22" s="106"/>
      <c r="I22" s="112"/>
      <c r="J22" s="120"/>
      <c r="K22" s="108"/>
      <c r="M22" s="109"/>
      <c r="N22" s="113"/>
      <c r="O22" s="113"/>
      <c r="P22" s="113"/>
      <c r="Q22" s="113"/>
      <c r="R22" s="113"/>
      <c r="S22" s="113"/>
    </row>
    <row r="23" spans="2:19">
      <c r="B23" s="125" t="s">
        <v>263</v>
      </c>
      <c r="C23" s="204"/>
      <c r="D23" s="205"/>
      <c r="E23" s="205"/>
      <c r="F23" s="205"/>
      <c r="G23" s="205"/>
      <c r="H23" s="205"/>
      <c r="I23" s="205"/>
      <c r="J23" s="205"/>
      <c r="K23" s="206"/>
      <c r="M23" s="1146"/>
      <c r="N23" s="1146"/>
      <c r="O23" s="1146"/>
      <c r="P23" s="1146"/>
      <c r="Q23" s="1146"/>
      <c r="R23" s="1146"/>
      <c r="S23" s="1146"/>
    </row>
    <row r="24" spans="2:19">
      <c r="B24" s="117" t="s">
        <v>264</v>
      </c>
      <c r="C24" s="134" t="s">
        <v>146</v>
      </c>
      <c r="D24" s="134" t="s">
        <v>146</v>
      </c>
      <c r="E24" s="134" t="s">
        <v>146</v>
      </c>
      <c r="F24" s="134" t="s">
        <v>146</v>
      </c>
      <c r="G24" s="134" t="s">
        <v>146</v>
      </c>
      <c r="H24" s="134" t="s">
        <v>146</v>
      </c>
      <c r="I24" s="134" t="s">
        <v>146</v>
      </c>
      <c r="J24" s="135" t="s">
        <v>300</v>
      </c>
      <c r="K24" s="108">
        <v>6</v>
      </c>
      <c r="M24" s="109"/>
      <c r="N24" s="113"/>
      <c r="O24" s="113"/>
      <c r="P24" s="113"/>
      <c r="Q24" s="113"/>
      <c r="R24" s="113"/>
      <c r="S24" s="113"/>
    </row>
    <row r="25" spans="2:19">
      <c r="B25" s="117" t="s">
        <v>266</v>
      </c>
      <c r="C25" s="134" t="s">
        <v>146</v>
      </c>
      <c r="D25" s="134" t="s">
        <v>146</v>
      </c>
      <c r="E25" s="134" t="s">
        <v>146</v>
      </c>
      <c r="F25" s="134" t="s">
        <v>146</v>
      </c>
      <c r="G25" s="134" t="s">
        <v>146</v>
      </c>
      <c r="H25" s="134" t="s">
        <v>146</v>
      </c>
      <c r="I25" s="134" t="s">
        <v>146</v>
      </c>
      <c r="J25" s="135" t="s">
        <v>300</v>
      </c>
      <c r="K25" s="108">
        <v>6</v>
      </c>
      <c r="M25" s="109"/>
      <c r="N25" s="113"/>
      <c r="O25" s="113"/>
      <c r="P25" s="113"/>
      <c r="Q25" s="113"/>
      <c r="R25" s="113"/>
      <c r="S25" s="113"/>
    </row>
    <row r="26" spans="2:19" ht="15" customHeight="1">
      <c r="B26" s="117" t="s">
        <v>267</v>
      </c>
      <c r="C26" s="134" t="s">
        <v>146</v>
      </c>
      <c r="D26" s="134" t="s">
        <v>146</v>
      </c>
      <c r="E26" s="134" t="s">
        <v>146</v>
      </c>
      <c r="F26" s="134" t="s">
        <v>146</v>
      </c>
      <c r="G26" s="134" t="s">
        <v>146</v>
      </c>
      <c r="H26" s="134" t="s">
        <v>146</v>
      </c>
      <c r="I26" s="134" t="s">
        <v>146</v>
      </c>
      <c r="J26" s="136" t="s">
        <v>300</v>
      </c>
      <c r="K26" s="108">
        <v>6</v>
      </c>
      <c r="M26" s="109"/>
      <c r="N26" s="113"/>
      <c r="O26" s="113"/>
      <c r="P26" s="113"/>
      <c r="Q26" s="113"/>
      <c r="R26" s="113"/>
      <c r="S26" s="113"/>
    </row>
    <row r="27" spans="2:19">
      <c r="B27" s="117" t="s">
        <v>268</v>
      </c>
      <c r="C27" s="134" t="s">
        <v>146</v>
      </c>
      <c r="D27" s="134" t="s">
        <v>146</v>
      </c>
      <c r="E27" s="134" t="s">
        <v>146</v>
      </c>
      <c r="F27" s="134" t="s">
        <v>146</v>
      </c>
      <c r="G27" s="134" t="s">
        <v>146</v>
      </c>
      <c r="H27" s="134" t="s">
        <v>146</v>
      </c>
      <c r="I27" s="134" t="s">
        <v>146</v>
      </c>
      <c r="J27" s="120" t="s">
        <v>300</v>
      </c>
      <c r="K27" s="120">
        <v>6</v>
      </c>
      <c r="M27" s="109"/>
      <c r="N27" s="137"/>
      <c r="O27" s="137"/>
      <c r="P27" s="137"/>
      <c r="Q27" s="137"/>
      <c r="R27" s="113"/>
      <c r="S27" s="113"/>
    </row>
    <row r="28" spans="2:19">
      <c r="B28" s="117" t="s">
        <v>269</v>
      </c>
      <c r="C28" s="134" t="s">
        <v>146</v>
      </c>
      <c r="D28" s="134" t="s">
        <v>146</v>
      </c>
      <c r="E28" s="134" t="s">
        <v>146</v>
      </c>
      <c r="F28" s="134" t="s">
        <v>146</v>
      </c>
      <c r="G28" s="134" t="s">
        <v>146</v>
      </c>
      <c r="H28" s="134" t="s">
        <v>146</v>
      </c>
      <c r="I28" s="134" t="s">
        <v>146</v>
      </c>
      <c r="J28" s="120" t="s">
        <v>300</v>
      </c>
      <c r="K28" s="120">
        <v>6</v>
      </c>
      <c r="L28" s="138"/>
      <c r="M28" s="1146"/>
      <c r="N28" s="1146"/>
      <c r="O28" s="1146"/>
      <c r="P28" s="1146"/>
      <c r="Q28" s="1146"/>
      <c r="R28" s="1146"/>
      <c r="S28" s="1146"/>
    </row>
    <row r="29" spans="2:19">
      <c r="B29" s="125" t="s">
        <v>270</v>
      </c>
      <c r="C29" s="205"/>
      <c r="D29" s="205"/>
      <c r="E29" s="205"/>
      <c r="F29" s="205"/>
      <c r="G29" s="205"/>
      <c r="H29" s="205"/>
      <c r="I29" s="205"/>
      <c r="J29" s="205"/>
      <c r="K29" s="206"/>
      <c r="M29" s="109"/>
      <c r="N29" s="113"/>
      <c r="O29" s="113"/>
      <c r="P29" s="113"/>
      <c r="Q29" s="113"/>
      <c r="R29" s="113"/>
      <c r="S29" s="113"/>
    </row>
    <row r="30" spans="2:19">
      <c r="B30" s="117" t="s">
        <v>271</v>
      </c>
      <c r="C30" s="164">
        <v>5.5</v>
      </c>
      <c r="D30" s="396">
        <f>C30*1</f>
        <v>5.5</v>
      </c>
      <c r="E30" s="396">
        <f>C30*0.9</f>
        <v>4.95</v>
      </c>
      <c r="F30" s="182">
        <v>4.2</v>
      </c>
      <c r="G30" s="182">
        <v>7</v>
      </c>
      <c r="H30" s="182">
        <v>1.8</v>
      </c>
      <c r="I30" s="182">
        <v>4.82</v>
      </c>
      <c r="J30" s="107" t="s">
        <v>315</v>
      </c>
      <c r="K30" s="108" t="s">
        <v>316</v>
      </c>
      <c r="L30" s="154"/>
      <c r="M30" s="779"/>
      <c r="N30" s="779"/>
      <c r="O30" s="141"/>
      <c r="P30" s="141"/>
      <c r="Q30" s="141"/>
      <c r="R30" s="113"/>
      <c r="S30" s="113"/>
    </row>
    <row r="31" spans="2:19">
      <c r="B31" s="117" t="s">
        <v>274</v>
      </c>
      <c r="C31" s="166">
        <v>0.6</v>
      </c>
      <c r="D31" s="166">
        <v>0.6</v>
      </c>
      <c r="E31" s="166">
        <v>0.6</v>
      </c>
      <c r="F31" s="175">
        <v>0.4</v>
      </c>
      <c r="G31" s="175">
        <v>0.7</v>
      </c>
      <c r="H31" s="175">
        <v>0.4</v>
      </c>
      <c r="I31" s="175">
        <v>0.7</v>
      </c>
      <c r="J31" s="120"/>
      <c r="K31" s="120">
        <v>3</v>
      </c>
      <c r="M31" s="109"/>
      <c r="N31" s="141"/>
      <c r="O31" s="141"/>
      <c r="P31" s="141"/>
      <c r="Q31" s="141"/>
      <c r="R31" s="113"/>
      <c r="S31" s="113"/>
    </row>
    <row r="32" spans="2:19">
      <c r="B32" s="117" t="s">
        <v>275</v>
      </c>
      <c r="C32" s="166">
        <v>0.4</v>
      </c>
      <c r="D32" s="166">
        <v>0.4</v>
      </c>
      <c r="E32" s="166">
        <v>0.4</v>
      </c>
      <c r="F32" s="175">
        <v>0.3</v>
      </c>
      <c r="G32" s="175">
        <v>0.5</v>
      </c>
      <c r="H32" s="175">
        <v>0.3</v>
      </c>
      <c r="I32" s="175">
        <v>0.5</v>
      </c>
      <c r="J32" s="120"/>
      <c r="K32" s="120">
        <v>3</v>
      </c>
      <c r="M32" s="109"/>
      <c r="N32" s="141"/>
      <c r="O32" s="141"/>
      <c r="P32" s="141"/>
      <c r="Q32" s="141"/>
      <c r="R32" s="113"/>
      <c r="S32" s="113"/>
    </row>
    <row r="33" spans="1:19">
      <c r="B33" s="117" t="s">
        <v>276</v>
      </c>
      <c r="C33" s="168">
        <v>145000</v>
      </c>
      <c r="D33" s="168">
        <f>MROUND(C33*1,100)</f>
        <v>145000</v>
      </c>
      <c r="E33" s="168">
        <f>MROUND(C33*0.9,100)</f>
        <v>130500</v>
      </c>
      <c r="F33" s="168">
        <f>C33*0.75</f>
        <v>108750</v>
      </c>
      <c r="G33" s="168">
        <f>C33*1.25</f>
        <v>181250</v>
      </c>
      <c r="H33" s="168">
        <f>E33*1.25</f>
        <v>163125</v>
      </c>
      <c r="I33" s="168">
        <f>E33*0.75</f>
        <v>97875</v>
      </c>
      <c r="J33" s="120" t="s">
        <v>317</v>
      </c>
      <c r="K33" s="108" t="s">
        <v>318</v>
      </c>
      <c r="M33" s="109"/>
      <c r="N33" s="141"/>
      <c r="O33" s="141"/>
      <c r="P33" s="141"/>
      <c r="Q33" s="141"/>
      <c r="R33" s="113"/>
      <c r="S33" s="113"/>
    </row>
    <row r="34" spans="1:19">
      <c r="B34" s="117" t="s">
        <v>279</v>
      </c>
      <c r="C34" s="164">
        <v>0.39</v>
      </c>
      <c r="D34" s="164">
        <f>C34*1</f>
        <v>0.39</v>
      </c>
      <c r="E34" s="164">
        <f>C34*0.9</f>
        <v>0.35100000000000003</v>
      </c>
      <c r="F34" s="169">
        <f>C34*0.75</f>
        <v>0.29249999999999998</v>
      </c>
      <c r="G34" s="169">
        <f>C34*1.25</f>
        <v>0.48750000000000004</v>
      </c>
      <c r="H34" s="106">
        <f>E34*1.25</f>
        <v>0.43875000000000003</v>
      </c>
      <c r="I34" s="145">
        <f>E34*0.75</f>
        <v>0.26325000000000004</v>
      </c>
      <c r="J34" s="120" t="s">
        <v>319</v>
      </c>
      <c r="K34" s="108" t="s">
        <v>281</v>
      </c>
      <c r="M34" s="109"/>
      <c r="N34" s="141"/>
      <c r="O34" s="141"/>
      <c r="P34" s="141"/>
      <c r="Q34" s="141"/>
      <c r="R34" s="113"/>
      <c r="S34" s="113"/>
    </row>
    <row r="35" spans="1:19">
      <c r="B35" s="117" t="s">
        <v>282</v>
      </c>
      <c r="C35" s="106" t="s">
        <v>146</v>
      </c>
      <c r="D35" s="106" t="s">
        <v>146</v>
      </c>
      <c r="E35" s="106" t="s">
        <v>146</v>
      </c>
      <c r="F35" s="106" t="s">
        <v>146</v>
      </c>
      <c r="G35" s="106" t="s">
        <v>146</v>
      </c>
      <c r="H35" s="106" t="s">
        <v>146</v>
      </c>
      <c r="I35" s="145" t="s">
        <v>146</v>
      </c>
      <c r="J35" s="120"/>
      <c r="K35" s="108"/>
      <c r="M35" s="1146"/>
      <c r="N35" s="1146"/>
      <c r="O35" s="1146"/>
      <c r="P35" s="1146"/>
      <c r="Q35" s="1146"/>
      <c r="R35" s="1146"/>
      <c r="S35" s="1146"/>
    </row>
    <row r="36" spans="1:19">
      <c r="B36" s="146" t="s">
        <v>283</v>
      </c>
      <c r="C36" s="173"/>
      <c r="D36" s="173"/>
      <c r="E36" s="173"/>
      <c r="F36" s="173"/>
      <c r="G36" s="173"/>
      <c r="H36" s="173"/>
      <c r="I36" s="173"/>
      <c r="J36" s="173"/>
      <c r="K36" s="174"/>
      <c r="N36" s="113"/>
      <c r="O36" s="113"/>
      <c r="P36" s="113"/>
      <c r="Q36" s="113"/>
      <c r="R36" s="113"/>
      <c r="S36" s="113"/>
    </row>
    <row r="37" spans="1:19" ht="15" customHeight="1">
      <c r="B37" s="105" t="s">
        <v>284</v>
      </c>
      <c r="C37" s="1053">
        <v>0.16</v>
      </c>
      <c r="D37" s="1053">
        <v>0.15</v>
      </c>
      <c r="E37" s="1053">
        <v>0.15</v>
      </c>
      <c r="F37" s="1053">
        <v>0.11</v>
      </c>
      <c r="G37" s="1053">
        <v>0.21</v>
      </c>
      <c r="H37" s="1053">
        <v>0.11</v>
      </c>
      <c r="I37" s="1053">
        <v>0.21</v>
      </c>
      <c r="J37" s="781"/>
      <c r="K37" s="780">
        <v>7</v>
      </c>
      <c r="N37" s="113"/>
      <c r="O37" s="113"/>
      <c r="P37" s="113"/>
      <c r="Q37" s="113"/>
      <c r="R37" s="113"/>
      <c r="S37" s="113"/>
    </row>
    <row r="38" spans="1:19" ht="15" customHeight="1">
      <c r="B38" s="782" t="s">
        <v>285</v>
      </c>
      <c r="C38" s="783">
        <v>0.16</v>
      </c>
      <c r="D38" s="783">
        <v>0.15</v>
      </c>
      <c r="E38" s="783">
        <v>0.15</v>
      </c>
      <c r="F38" s="783">
        <v>0.11</v>
      </c>
      <c r="G38" s="783">
        <v>0.21</v>
      </c>
      <c r="H38" s="783">
        <v>0.11</v>
      </c>
      <c r="I38" s="783">
        <v>0.21</v>
      </c>
      <c r="J38" s="783"/>
      <c r="K38" s="783">
        <v>7</v>
      </c>
      <c r="N38" s="113"/>
      <c r="O38" s="113"/>
      <c r="P38" s="113"/>
      <c r="Q38" s="113"/>
      <c r="R38" s="113"/>
      <c r="S38" s="113"/>
    </row>
    <row r="39" spans="1:19">
      <c r="A39" s="130"/>
      <c r="C39" s="150"/>
      <c r="D39" s="150"/>
      <c r="E39" s="150"/>
      <c r="F39" s="150"/>
      <c r="G39" s="150"/>
      <c r="L39" s="94"/>
    </row>
    <row r="40" spans="1:19" s="93" customFormat="1" ht="12">
      <c r="A40" s="130" t="s">
        <v>286</v>
      </c>
      <c r="C40" s="150"/>
      <c r="D40" s="150"/>
      <c r="E40" s="150"/>
      <c r="F40" s="150"/>
      <c r="G40" s="150"/>
    </row>
    <row r="41" spans="1:19" ht="14.1" customHeight="1">
      <c r="A41" s="152">
        <v>1</v>
      </c>
      <c r="B41" s="1149" t="s">
        <v>287</v>
      </c>
      <c r="C41" s="1149"/>
      <c r="D41" s="1149"/>
      <c r="E41" s="1149"/>
      <c r="F41" s="1149"/>
      <c r="G41" s="1149"/>
      <c r="H41" s="1149"/>
      <c r="I41" s="1149"/>
      <c r="J41" s="1149"/>
      <c r="K41" s="1149"/>
    </row>
    <row r="42" spans="1:19" ht="14.1" customHeight="1">
      <c r="A42" s="152">
        <v>2</v>
      </c>
      <c r="B42" s="1149" t="s">
        <v>320</v>
      </c>
      <c r="C42" s="1149"/>
      <c r="D42" s="1149"/>
      <c r="E42" s="1149"/>
      <c r="F42" s="1149"/>
      <c r="G42" s="1149"/>
      <c r="H42" s="1149"/>
      <c r="I42" s="1149"/>
      <c r="J42" s="1149"/>
      <c r="K42" s="1149"/>
    </row>
    <row r="43" spans="1:19" s="93" customFormat="1" ht="14.1" customHeight="1">
      <c r="A43" s="152">
        <v>3</v>
      </c>
      <c r="B43" s="1149" t="s">
        <v>295</v>
      </c>
      <c r="C43" s="1149"/>
      <c r="D43" s="1149"/>
      <c r="E43" s="1149"/>
      <c r="F43" s="1149"/>
      <c r="G43" s="1149"/>
      <c r="H43" s="1149"/>
      <c r="I43" s="1149"/>
      <c r="J43" s="1149"/>
      <c r="K43" s="1149"/>
      <c r="M43" s="94"/>
      <c r="N43" s="94"/>
      <c r="O43" s="94"/>
      <c r="P43" s="94"/>
      <c r="Q43" s="94"/>
      <c r="R43" s="94"/>
      <c r="S43" s="94"/>
    </row>
    <row r="44" spans="1:19" s="93" customFormat="1" ht="14.1" customHeight="1">
      <c r="A44" s="152">
        <v>4</v>
      </c>
      <c r="B44" s="1149" t="s">
        <v>290</v>
      </c>
      <c r="C44" s="1149"/>
      <c r="D44" s="1149"/>
      <c r="E44" s="1149"/>
      <c r="F44" s="1149"/>
      <c r="G44" s="1149"/>
      <c r="H44" s="1149"/>
      <c r="I44" s="1149"/>
      <c r="J44" s="1149"/>
      <c r="K44" s="1149"/>
      <c r="M44" s="94"/>
      <c r="N44" s="94"/>
      <c r="O44" s="94"/>
      <c r="P44" s="94"/>
      <c r="Q44" s="94"/>
      <c r="R44" s="94"/>
      <c r="S44" s="94"/>
    </row>
    <row r="45" spans="1:19" s="93" customFormat="1" ht="14.1" customHeight="1">
      <c r="A45" s="152">
        <v>5</v>
      </c>
      <c r="B45" s="1149" t="s">
        <v>291</v>
      </c>
      <c r="C45" s="1149"/>
      <c r="D45" s="1149"/>
      <c r="E45" s="1149"/>
      <c r="F45" s="1149"/>
      <c r="G45" s="1149"/>
      <c r="H45" s="1149"/>
      <c r="I45" s="1149"/>
      <c r="J45" s="1149"/>
      <c r="K45" s="1149"/>
      <c r="M45" s="94"/>
      <c r="N45" s="94"/>
      <c r="O45" s="94"/>
      <c r="P45" s="94"/>
      <c r="Q45" s="94"/>
      <c r="R45" s="94"/>
      <c r="S45" s="94"/>
    </row>
    <row r="46" spans="1:19" s="93" customFormat="1" ht="14.1" customHeight="1">
      <c r="A46" s="152">
        <v>6</v>
      </c>
      <c r="B46" s="1149" t="s">
        <v>292</v>
      </c>
      <c r="C46" s="1149"/>
      <c r="D46" s="1149"/>
      <c r="E46" s="1149"/>
      <c r="F46" s="1149"/>
      <c r="G46" s="1149"/>
      <c r="H46" s="1149"/>
      <c r="I46" s="1149"/>
      <c r="J46" s="1149"/>
      <c r="K46" s="1149"/>
      <c r="M46" s="94"/>
      <c r="N46" s="94"/>
      <c r="O46" s="94"/>
      <c r="P46" s="94"/>
      <c r="Q46" s="94"/>
      <c r="R46" s="94"/>
      <c r="S46" s="94"/>
    </row>
    <row r="47" spans="1:19" s="93" customFormat="1" ht="14.1" customHeight="1">
      <c r="A47" s="152">
        <v>7</v>
      </c>
      <c r="B47" s="1149" t="s">
        <v>293</v>
      </c>
      <c r="C47" s="1149"/>
      <c r="D47" s="1149"/>
      <c r="E47" s="1149"/>
      <c r="F47" s="1149"/>
      <c r="G47" s="1149"/>
      <c r="H47" s="1149"/>
      <c r="I47" s="1149"/>
      <c r="J47" s="1149"/>
      <c r="K47" s="1149"/>
      <c r="M47" s="94"/>
      <c r="N47" s="94"/>
      <c r="O47" s="94"/>
      <c r="P47" s="94"/>
      <c r="Q47" s="94"/>
      <c r="R47" s="94"/>
      <c r="S47" s="94"/>
    </row>
    <row r="48" spans="1:19" s="93" customFormat="1" ht="14.1" customHeight="1">
      <c r="A48" s="152">
        <v>8</v>
      </c>
      <c r="B48" s="1149" t="s">
        <v>321</v>
      </c>
      <c r="C48" s="1149"/>
      <c r="D48" s="1149"/>
      <c r="E48" s="1149"/>
      <c r="F48" s="1149"/>
      <c r="G48" s="1149"/>
      <c r="H48" s="1149"/>
      <c r="I48" s="1149"/>
      <c r="J48" s="1149"/>
      <c r="K48" s="1149"/>
      <c r="M48" s="94"/>
      <c r="N48" s="94"/>
      <c r="O48" s="94"/>
      <c r="P48" s="94"/>
      <c r="Q48" s="94"/>
      <c r="R48" s="94"/>
      <c r="S48" s="94"/>
    </row>
    <row r="49" spans="1:19" s="93" customFormat="1" ht="14.1" customHeight="1">
      <c r="A49" s="154">
        <v>9</v>
      </c>
      <c r="B49" s="1149" t="s">
        <v>289</v>
      </c>
      <c r="C49" s="1149"/>
      <c r="D49" s="1149"/>
      <c r="E49" s="1149"/>
      <c r="F49" s="1149"/>
      <c r="G49" s="1149"/>
      <c r="H49" s="1149"/>
      <c r="I49" s="1149"/>
      <c r="J49" s="1149"/>
      <c r="K49" s="1149"/>
      <c r="M49" s="94"/>
      <c r="N49" s="94"/>
      <c r="O49" s="94"/>
      <c r="P49" s="94"/>
      <c r="Q49" s="94"/>
      <c r="R49" s="94"/>
      <c r="S49" s="94"/>
    </row>
    <row r="50" spans="1:19" s="93" customFormat="1" ht="27" customHeight="1">
      <c r="A50" s="154">
        <v>10</v>
      </c>
      <c r="B50" s="1149" t="s">
        <v>296</v>
      </c>
      <c r="C50" s="1149"/>
      <c r="D50" s="1149"/>
      <c r="E50" s="1149"/>
      <c r="F50" s="1149"/>
      <c r="G50" s="1149"/>
      <c r="H50" s="1149"/>
      <c r="I50" s="1149"/>
      <c r="J50" s="1149"/>
      <c r="K50" s="1149"/>
      <c r="M50" s="94"/>
      <c r="N50" s="94"/>
      <c r="O50" s="94"/>
      <c r="P50" s="94"/>
      <c r="Q50" s="94"/>
      <c r="R50" s="94"/>
      <c r="S50" s="94"/>
    </row>
    <row r="51" spans="1:19" s="93" customFormat="1" ht="13.5" customHeight="1">
      <c r="A51" s="154">
        <v>11</v>
      </c>
      <c r="B51" s="1147" t="s">
        <v>297</v>
      </c>
      <c r="C51" s="1147"/>
      <c r="D51" s="1147"/>
      <c r="E51" s="1147"/>
      <c r="F51" s="1147"/>
      <c r="G51" s="1147"/>
      <c r="H51" s="1147"/>
      <c r="I51" s="1147"/>
      <c r="J51" s="1147"/>
      <c r="K51" s="1147"/>
      <c r="M51" s="94"/>
      <c r="N51" s="94"/>
      <c r="O51" s="94"/>
      <c r="P51" s="94"/>
      <c r="Q51" s="94"/>
      <c r="R51" s="94"/>
      <c r="S51" s="94"/>
    </row>
    <row r="52" spans="1:19" s="93" customFormat="1" ht="14.1" customHeight="1">
      <c r="A52" s="130" t="s">
        <v>298</v>
      </c>
      <c r="M52" s="94"/>
      <c r="N52" s="94"/>
      <c r="O52" s="94"/>
      <c r="P52" s="94"/>
      <c r="Q52" s="94"/>
      <c r="R52" s="94"/>
      <c r="S52" s="94"/>
    </row>
    <row r="53" spans="1:19" s="93" customFormat="1" ht="14.1" customHeight="1">
      <c r="A53" s="152" t="s">
        <v>246</v>
      </c>
      <c r="B53" s="1148" t="s">
        <v>322</v>
      </c>
      <c r="C53" s="1148"/>
      <c r="D53" s="1148"/>
      <c r="E53" s="1148"/>
      <c r="F53" s="1148"/>
      <c r="G53" s="1148"/>
      <c r="H53" s="1148"/>
      <c r="I53" s="1148"/>
      <c r="J53" s="1148"/>
      <c r="K53" s="1148"/>
      <c r="M53" s="94"/>
      <c r="N53" s="94"/>
      <c r="O53" s="94"/>
      <c r="P53" s="94"/>
      <c r="Q53" s="94"/>
      <c r="R53" s="94"/>
      <c r="S53" s="94"/>
    </row>
    <row r="54" spans="1:19" s="93" customFormat="1" ht="14.1" customHeight="1">
      <c r="A54" s="154" t="s">
        <v>300</v>
      </c>
      <c r="B54" s="1148" t="s">
        <v>302</v>
      </c>
      <c r="C54" s="1148"/>
      <c r="D54" s="1148"/>
      <c r="E54" s="1148"/>
      <c r="F54" s="1148"/>
      <c r="G54" s="1148"/>
      <c r="H54" s="1148"/>
      <c r="I54" s="1148"/>
      <c r="J54" s="1148"/>
      <c r="K54" s="1148"/>
      <c r="M54" s="94"/>
      <c r="N54" s="94"/>
      <c r="O54" s="94"/>
      <c r="P54" s="94"/>
      <c r="Q54" s="94"/>
      <c r="R54" s="94"/>
      <c r="S54" s="94"/>
    </row>
    <row r="55" spans="1:19" s="93" customFormat="1" ht="41.25" customHeight="1">
      <c r="A55" s="152" t="s">
        <v>265</v>
      </c>
      <c r="B55" s="1148" t="s">
        <v>323</v>
      </c>
      <c r="C55" s="1148"/>
      <c r="D55" s="1148"/>
      <c r="E55" s="1148"/>
      <c r="F55" s="1148"/>
      <c r="G55" s="1148"/>
      <c r="H55" s="1148"/>
      <c r="I55" s="1148"/>
      <c r="J55" s="1148"/>
      <c r="K55" s="1148"/>
      <c r="M55" s="94"/>
      <c r="N55" s="94"/>
      <c r="O55" s="94"/>
      <c r="P55" s="94"/>
      <c r="Q55" s="94"/>
      <c r="R55" s="94"/>
      <c r="S55" s="94"/>
    </row>
    <row r="56" spans="1:19" s="93" customFormat="1" ht="14.1" customHeight="1">
      <c r="A56" s="152" t="s">
        <v>303</v>
      </c>
      <c r="B56" s="1148" t="s">
        <v>306</v>
      </c>
      <c r="C56" s="1148"/>
      <c r="D56" s="1148"/>
      <c r="E56" s="1148"/>
      <c r="F56" s="1148"/>
      <c r="G56" s="1148"/>
      <c r="H56" s="1148"/>
      <c r="I56" s="1148"/>
      <c r="J56" s="1148"/>
      <c r="K56" s="1148"/>
      <c r="M56" s="94"/>
      <c r="N56" s="94"/>
      <c r="O56" s="94"/>
      <c r="P56" s="94"/>
      <c r="Q56" s="94"/>
      <c r="R56" s="94"/>
      <c r="S56" s="94"/>
    </row>
    <row r="57" spans="1:19" s="93" customFormat="1" ht="14.1" customHeight="1">
      <c r="A57" s="152" t="s">
        <v>305</v>
      </c>
      <c r="B57" s="1150" t="s">
        <v>324</v>
      </c>
      <c r="C57" s="1150"/>
      <c r="D57" s="1150"/>
      <c r="E57" s="1150"/>
      <c r="F57" s="1150"/>
      <c r="G57" s="1150"/>
      <c r="H57" s="1150"/>
      <c r="I57" s="1150"/>
      <c r="J57" s="1150"/>
      <c r="K57" s="1150"/>
      <c r="M57" s="94"/>
      <c r="N57" s="94"/>
      <c r="O57" s="94"/>
      <c r="P57" s="94"/>
      <c r="Q57" s="94"/>
      <c r="R57" s="94"/>
      <c r="S57" s="94"/>
    </row>
    <row r="58" spans="1:19" s="93" customFormat="1" ht="14.1" customHeight="1">
      <c r="A58" s="154" t="s">
        <v>307</v>
      </c>
      <c r="B58" s="1148" t="s">
        <v>325</v>
      </c>
      <c r="C58" s="1148"/>
      <c r="D58" s="1148"/>
      <c r="E58" s="1148"/>
      <c r="F58" s="1148"/>
      <c r="G58" s="1148"/>
      <c r="H58" s="1148"/>
      <c r="I58" s="1148"/>
      <c r="J58" s="1148"/>
      <c r="K58" s="1148"/>
      <c r="M58" s="94"/>
      <c r="N58" s="94"/>
      <c r="O58" s="94"/>
      <c r="P58" s="94"/>
      <c r="Q58" s="94"/>
      <c r="R58" s="94"/>
      <c r="S58" s="94"/>
    </row>
    <row r="59" spans="1:19" s="93" customFormat="1" ht="14.1" customHeight="1">
      <c r="A59" s="155" t="s">
        <v>309</v>
      </c>
      <c r="B59" s="1148" t="s">
        <v>326</v>
      </c>
      <c r="C59" s="1148"/>
      <c r="D59" s="1148"/>
      <c r="E59" s="1148"/>
      <c r="F59" s="1148"/>
      <c r="G59" s="1148"/>
      <c r="H59" s="1148"/>
      <c r="I59" s="1148"/>
      <c r="J59" s="1148"/>
      <c r="K59" s="1148"/>
      <c r="M59" s="94"/>
      <c r="N59" s="94"/>
      <c r="O59" s="94"/>
      <c r="P59" s="94"/>
      <c r="Q59" s="94"/>
      <c r="R59" s="94"/>
      <c r="S59" s="94"/>
    </row>
    <row r="60" spans="1:19" s="93" customFormat="1" ht="14.1" customHeight="1">
      <c r="A60" s="154" t="s">
        <v>253</v>
      </c>
      <c r="B60" s="1148" t="s">
        <v>311</v>
      </c>
      <c r="C60" s="1148"/>
      <c r="D60" s="1148"/>
      <c r="E60" s="1148"/>
      <c r="F60" s="1148"/>
      <c r="G60" s="1148"/>
      <c r="H60" s="1148"/>
      <c r="I60" s="1148"/>
      <c r="J60" s="1148"/>
      <c r="K60" s="1148"/>
      <c r="M60" s="94"/>
      <c r="N60" s="94"/>
      <c r="O60" s="94"/>
      <c r="P60" s="94"/>
      <c r="Q60" s="94"/>
      <c r="R60" s="94"/>
      <c r="S60" s="94"/>
    </row>
  </sheetData>
  <mergeCells count="28">
    <mergeCell ref="B59:K59"/>
    <mergeCell ref="B60:K60"/>
    <mergeCell ref="B53:K53"/>
    <mergeCell ref="B54:K54"/>
    <mergeCell ref="B56:K56"/>
    <mergeCell ref="B57:K57"/>
    <mergeCell ref="B58:K58"/>
    <mergeCell ref="B55:K55"/>
    <mergeCell ref="M23:S23"/>
    <mergeCell ref="M28:S28"/>
    <mergeCell ref="M35:S35"/>
    <mergeCell ref="B50:K50"/>
    <mergeCell ref="B51:K51"/>
    <mergeCell ref="B41:K41"/>
    <mergeCell ref="B42:K42"/>
    <mergeCell ref="B43:K43"/>
    <mergeCell ref="B44:K44"/>
    <mergeCell ref="B45:K45"/>
    <mergeCell ref="B46:K46"/>
    <mergeCell ref="B47:K47"/>
    <mergeCell ref="B48:K48"/>
    <mergeCell ref="B49:K49"/>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A1EB3-B689-4178-872A-01785B4FEB8F}">
  <sheetPr codeName="Sheet9">
    <tabColor theme="4"/>
  </sheetPr>
  <dimension ref="A1:S62"/>
  <sheetViews>
    <sheetView zoomScaleNormal="100" zoomScaleSheetLayoutView="120" workbookViewId="0">
      <selection activeCell="B47" sqref="B47:K47"/>
    </sheetView>
  </sheetViews>
  <sheetFormatPr defaultColWidth="9.28515625" defaultRowHeight="15"/>
  <cols>
    <col min="1" max="1" width="3" style="93" customWidth="1"/>
    <col min="2" max="2" width="35.28515625" style="93" customWidth="1"/>
    <col min="3" max="9" width="9.28515625" style="93" customWidth="1"/>
    <col min="10" max="10" width="6.5703125" style="93" customWidth="1"/>
    <col min="11" max="11" width="7.140625" style="93" customWidth="1"/>
    <col min="12" max="12" width="6.7109375" style="93" customWidth="1"/>
    <col min="13" max="13" width="30.28515625" style="94" customWidth="1"/>
    <col min="14" max="14" width="10.28515625" style="94" customWidth="1"/>
    <col min="15" max="15" width="9.7109375" style="94" customWidth="1"/>
    <col min="16" max="16" width="10" style="94" customWidth="1"/>
    <col min="17" max="17" width="7.7109375" style="94" customWidth="1"/>
    <col min="18" max="18" width="7.28515625" style="94" customWidth="1"/>
    <col min="19" max="19" width="7.7109375" style="94" customWidth="1"/>
    <col min="20" max="16384" width="9.28515625" style="94"/>
  </cols>
  <sheetData>
    <row r="1" spans="1:19" ht="20.25">
      <c r="A1" s="317" t="s">
        <v>327</v>
      </c>
      <c r="B1" s="318" t="s">
        <v>234</v>
      </c>
      <c r="C1" s="317" t="s">
        <v>327</v>
      </c>
      <c r="D1" s="317" t="s">
        <v>327</v>
      </c>
      <c r="E1" s="317" t="s">
        <v>327</v>
      </c>
      <c r="F1" s="317" t="s">
        <v>327</v>
      </c>
      <c r="G1" s="317" t="s">
        <v>327</v>
      </c>
      <c r="H1" s="317" t="s">
        <v>327</v>
      </c>
      <c r="I1" s="317" t="s">
        <v>327</v>
      </c>
      <c r="J1" s="317" t="s">
        <v>327</v>
      </c>
      <c r="K1" s="317" t="s">
        <v>327</v>
      </c>
      <c r="L1" s="317" t="s">
        <v>327</v>
      </c>
      <c r="M1" s="319" t="s">
        <v>327</v>
      </c>
      <c r="N1" s="319" t="s">
        <v>327</v>
      </c>
      <c r="O1" s="319" t="s">
        <v>327</v>
      </c>
      <c r="P1" s="319" t="s">
        <v>327</v>
      </c>
      <c r="Q1" s="319" t="s">
        <v>327</v>
      </c>
      <c r="R1" s="319" t="s">
        <v>327</v>
      </c>
      <c r="S1" s="319" t="s">
        <v>327</v>
      </c>
    </row>
    <row r="2" spans="1:19">
      <c r="A2" s="317" t="s">
        <v>327</v>
      </c>
      <c r="B2" s="317" t="s">
        <v>327</v>
      </c>
      <c r="C2" s="317" t="s">
        <v>327</v>
      </c>
      <c r="D2" s="317" t="s">
        <v>327</v>
      </c>
      <c r="E2" s="317" t="s">
        <v>327</v>
      </c>
      <c r="F2" s="317" t="s">
        <v>327</v>
      </c>
      <c r="G2" s="317" t="s">
        <v>327</v>
      </c>
      <c r="H2" s="317" t="s">
        <v>327</v>
      </c>
      <c r="I2" s="317" t="s">
        <v>327</v>
      </c>
      <c r="J2" s="317" t="s">
        <v>327</v>
      </c>
      <c r="K2" s="317" t="s">
        <v>327</v>
      </c>
      <c r="L2" s="317" t="s">
        <v>327</v>
      </c>
      <c r="M2" s="319" t="s">
        <v>327</v>
      </c>
      <c r="N2" s="319" t="s">
        <v>327</v>
      </c>
      <c r="O2" s="319" t="s">
        <v>327</v>
      </c>
      <c r="P2" s="319" t="s">
        <v>327</v>
      </c>
      <c r="Q2" s="319" t="s">
        <v>327</v>
      </c>
      <c r="R2" s="319" t="s">
        <v>327</v>
      </c>
      <c r="S2" s="319" t="s">
        <v>327</v>
      </c>
    </row>
    <row r="3" spans="1:19" ht="14.1" customHeight="1">
      <c r="A3" s="93" t="s">
        <v>327</v>
      </c>
      <c r="B3" s="95" t="s">
        <v>145</v>
      </c>
      <c r="C3" s="1141" t="s">
        <v>328</v>
      </c>
      <c r="D3" s="1141"/>
      <c r="E3" s="1141"/>
      <c r="F3" s="1141"/>
      <c r="G3" s="1141"/>
      <c r="H3" s="1141"/>
      <c r="I3" s="1141"/>
      <c r="J3" s="1141"/>
      <c r="K3" s="1142"/>
      <c r="L3" s="93" t="s">
        <v>327</v>
      </c>
      <c r="M3" s="321" t="s">
        <v>327</v>
      </c>
      <c r="N3" s="1152" t="s">
        <v>327</v>
      </c>
      <c r="O3" s="1152"/>
      <c r="P3" s="1152"/>
      <c r="Q3" s="1152"/>
      <c r="R3" s="1152"/>
      <c r="S3" s="1152"/>
    </row>
    <row r="4" spans="1:19" ht="14.1" customHeight="1">
      <c r="A4" s="93" t="s">
        <v>327</v>
      </c>
      <c r="B4" s="98" t="s">
        <v>327</v>
      </c>
      <c r="C4" s="99">
        <v>2023</v>
      </c>
      <c r="D4" s="99">
        <v>2030</v>
      </c>
      <c r="E4" s="99">
        <v>2050</v>
      </c>
      <c r="F4" s="1145" t="s">
        <v>236</v>
      </c>
      <c r="G4" s="1142"/>
      <c r="H4" s="1145" t="s">
        <v>237</v>
      </c>
      <c r="I4" s="1142"/>
      <c r="J4" s="99" t="s">
        <v>238</v>
      </c>
      <c r="K4" s="99" t="s">
        <v>239</v>
      </c>
      <c r="L4" s="93" t="s">
        <v>327</v>
      </c>
      <c r="M4" s="322" t="s">
        <v>327</v>
      </c>
      <c r="N4" s="321" t="s">
        <v>327</v>
      </c>
      <c r="O4" s="321" t="s">
        <v>327</v>
      </c>
      <c r="P4" s="321" t="s">
        <v>327</v>
      </c>
      <c r="Q4" s="321" t="s">
        <v>327</v>
      </c>
      <c r="R4" s="321" t="s">
        <v>327</v>
      </c>
      <c r="S4" s="321" t="s">
        <v>327</v>
      </c>
    </row>
    <row r="5" spans="1:19">
      <c r="A5" s="93" t="s">
        <v>327</v>
      </c>
      <c r="B5" s="102" t="s">
        <v>240</v>
      </c>
      <c r="C5" s="103" t="s">
        <v>327</v>
      </c>
      <c r="D5" s="103" t="s">
        <v>327</v>
      </c>
      <c r="E5" s="103" t="s">
        <v>327</v>
      </c>
      <c r="F5" s="96" t="s">
        <v>241</v>
      </c>
      <c r="G5" s="96" t="s">
        <v>242</v>
      </c>
      <c r="H5" s="96" t="s">
        <v>241</v>
      </c>
      <c r="I5" s="96" t="s">
        <v>242</v>
      </c>
      <c r="J5" s="103" t="s">
        <v>327</v>
      </c>
      <c r="K5" s="104" t="s">
        <v>327</v>
      </c>
      <c r="L5" s="93" t="s">
        <v>327</v>
      </c>
      <c r="M5" s="1153" t="s">
        <v>327</v>
      </c>
      <c r="N5" s="1153"/>
      <c r="O5" s="1153"/>
      <c r="P5" s="1153"/>
      <c r="Q5" s="1153"/>
      <c r="R5" s="1153"/>
      <c r="S5" s="1153"/>
    </row>
    <row r="6" spans="1:19">
      <c r="A6" s="93" t="s">
        <v>327</v>
      </c>
      <c r="B6" s="105" t="s">
        <v>243</v>
      </c>
      <c r="C6" s="106">
        <v>60</v>
      </c>
      <c r="D6" s="106">
        <v>60</v>
      </c>
      <c r="E6" s="106">
        <v>60</v>
      </c>
      <c r="F6" s="118">
        <v>17</v>
      </c>
      <c r="G6" s="106">
        <v>175</v>
      </c>
      <c r="H6" s="118">
        <v>100</v>
      </c>
      <c r="I6" s="106">
        <v>2000</v>
      </c>
      <c r="J6" s="107" t="s">
        <v>309</v>
      </c>
      <c r="K6" s="108" t="s">
        <v>313</v>
      </c>
      <c r="L6" s="93" t="s">
        <v>327</v>
      </c>
      <c r="M6" s="331" t="s">
        <v>327</v>
      </c>
      <c r="N6" s="1151" t="s">
        <v>327</v>
      </c>
      <c r="O6" s="1151"/>
      <c r="P6" s="1151"/>
      <c r="Q6" s="1151"/>
      <c r="R6" s="1151"/>
      <c r="S6" s="1151"/>
    </row>
    <row r="7" spans="1:19" ht="15" customHeight="1">
      <c r="A7" s="93" t="s">
        <v>327</v>
      </c>
      <c r="B7" s="105" t="s">
        <v>244</v>
      </c>
      <c r="C7" s="106">
        <v>200</v>
      </c>
      <c r="D7" s="106">
        <v>200</v>
      </c>
      <c r="E7" s="106">
        <v>200</v>
      </c>
      <c r="F7" s="106">
        <v>68</v>
      </c>
      <c r="G7" s="106">
        <v>700</v>
      </c>
      <c r="H7" s="106">
        <v>100</v>
      </c>
      <c r="I7" s="106">
        <v>2000</v>
      </c>
      <c r="J7" s="107" t="s">
        <v>309</v>
      </c>
      <c r="K7" s="108" t="s">
        <v>313</v>
      </c>
      <c r="L7" s="93" t="s">
        <v>327</v>
      </c>
      <c r="M7" s="331" t="s">
        <v>327</v>
      </c>
      <c r="N7" s="332" t="s">
        <v>327</v>
      </c>
      <c r="O7" s="333" t="s">
        <v>327</v>
      </c>
      <c r="P7" s="333" t="s">
        <v>327</v>
      </c>
      <c r="Q7" s="333" t="s">
        <v>327</v>
      </c>
      <c r="R7" s="333" t="s">
        <v>327</v>
      </c>
      <c r="S7" s="333" t="s">
        <v>327</v>
      </c>
    </row>
    <row r="8" spans="1:19">
      <c r="A8" s="93" t="s">
        <v>327</v>
      </c>
      <c r="B8" s="105" t="s">
        <v>245</v>
      </c>
      <c r="C8" s="106">
        <v>95</v>
      </c>
      <c r="D8" s="106">
        <v>95</v>
      </c>
      <c r="E8" s="106">
        <v>95</v>
      </c>
      <c r="F8" s="106">
        <v>85</v>
      </c>
      <c r="G8" s="106">
        <v>97</v>
      </c>
      <c r="H8" s="106">
        <v>85</v>
      </c>
      <c r="I8" s="106">
        <v>97</v>
      </c>
      <c r="J8" s="107" t="s">
        <v>246</v>
      </c>
      <c r="K8" s="112">
        <v>7</v>
      </c>
      <c r="L8" s="93" t="s">
        <v>327</v>
      </c>
      <c r="M8" s="331" t="s">
        <v>327</v>
      </c>
      <c r="N8" s="331" t="s">
        <v>327</v>
      </c>
      <c r="O8" s="331" t="s">
        <v>327</v>
      </c>
      <c r="P8" s="331" t="s">
        <v>327</v>
      </c>
      <c r="Q8" s="331" t="s">
        <v>327</v>
      </c>
      <c r="R8" s="331" t="s">
        <v>327</v>
      </c>
      <c r="S8" s="331" t="s">
        <v>327</v>
      </c>
    </row>
    <row r="9" spans="1:19">
      <c r="A9" s="93" t="s">
        <v>327</v>
      </c>
      <c r="B9" s="114" t="s">
        <v>247</v>
      </c>
      <c r="C9" s="106">
        <v>95</v>
      </c>
      <c r="D9" s="106">
        <v>95</v>
      </c>
      <c r="E9" s="106">
        <v>95</v>
      </c>
      <c r="F9" s="106">
        <v>85</v>
      </c>
      <c r="G9" s="106">
        <v>97</v>
      </c>
      <c r="H9" s="106">
        <v>85</v>
      </c>
      <c r="I9" s="106">
        <v>97</v>
      </c>
      <c r="J9" s="107" t="s">
        <v>246</v>
      </c>
      <c r="K9" s="112">
        <v>7</v>
      </c>
      <c r="L9" s="93" t="s">
        <v>327</v>
      </c>
      <c r="M9" s="331" t="s">
        <v>327</v>
      </c>
      <c r="N9" s="331" t="s">
        <v>327</v>
      </c>
      <c r="O9" s="331" t="s">
        <v>327</v>
      </c>
      <c r="P9" s="331" t="s">
        <v>327</v>
      </c>
      <c r="Q9" s="331" t="s">
        <v>327</v>
      </c>
      <c r="R9" s="331" t="s">
        <v>327</v>
      </c>
      <c r="S9" s="331" t="s">
        <v>327</v>
      </c>
    </row>
    <row r="10" spans="1:19">
      <c r="A10" s="93" t="s">
        <v>327</v>
      </c>
      <c r="B10" s="105" t="s">
        <v>248</v>
      </c>
      <c r="C10" s="129">
        <v>4</v>
      </c>
      <c r="D10" s="129">
        <v>4</v>
      </c>
      <c r="E10" s="129">
        <v>4</v>
      </c>
      <c r="F10" s="106">
        <v>2</v>
      </c>
      <c r="G10" s="106">
        <v>10</v>
      </c>
      <c r="H10" s="106">
        <v>2</v>
      </c>
      <c r="I10" s="106">
        <v>10</v>
      </c>
      <c r="J10" s="107" t="s">
        <v>327</v>
      </c>
      <c r="K10" s="108">
        <v>1</v>
      </c>
      <c r="L10" s="93" t="s">
        <v>327</v>
      </c>
      <c r="M10" s="317" t="s">
        <v>327</v>
      </c>
      <c r="N10" s="331" t="s">
        <v>327</v>
      </c>
      <c r="O10" s="331" t="s">
        <v>327</v>
      </c>
      <c r="P10" s="331" t="s">
        <v>327</v>
      </c>
      <c r="Q10" s="331" t="s">
        <v>327</v>
      </c>
      <c r="R10" s="331" t="s">
        <v>327</v>
      </c>
      <c r="S10" s="331" t="s">
        <v>327</v>
      </c>
    </row>
    <row r="11" spans="1:19">
      <c r="A11" s="93" t="s">
        <v>327</v>
      </c>
      <c r="B11" s="117" t="s">
        <v>249</v>
      </c>
      <c r="C11" s="129">
        <v>6</v>
      </c>
      <c r="D11" s="129">
        <v>6</v>
      </c>
      <c r="E11" s="129">
        <v>6</v>
      </c>
      <c r="F11" s="106">
        <v>3</v>
      </c>
      <c r="G11" s="106">
        <v>10</v>
      </c>
      <c r="H11" s="106">
        <v>3</v>
      </c>
      <c r="I11" s="106">
        <v>10</v>
      </c>
      <c r="J11" s="107" t="s">
        <v>327</v>
      </c>
      <c r="K11" s="108">
        <v>1</v>
      </c>
      <c r="L11" s="93" t="s">
        <v>327</v>
      </c>
      <c r="M11" s="317" t="s">
        <v>327</v>
      </c>
      <c r="N11" s="331" t="s">
        <v>327</v>
      </c>
      <c r="O11" s="331" t="s">
        <v>327</v>
      </c>
      <c r="P11" s="331" t="s">
        <v>327</v>
      </c>
      <c r="Q11" s="331" t="s">
        <v>327</v>
      </c>
      <c r="R11" s="331" t="s">
        <v>327</v>
      </c>
      <c r="S11" s="331" t="s">
        <v>327</v>
      </c>
    </row>
    <row r="12" spans="1:19">
      <c r="A12" s="93" t="s">
        <v>327</v>
      </c>
      <c r="B12" s="117" t="s">
        <v>250</v>
      </c>
      <c r="C12" s="129">
        <v>50</v>
      </c>
      <c r="D12" s="129">
        <v>50</v>
      </c>
      <c r="E12" s="129">
        <v>50</v>
      </c>
      <c r="F12" s="106">
        <v>40</v>
      </c>
      <c r="G12" s="106">
        <v>90</v>
      </c>
      <c r="H12" s="106">
        <v>40</v>
      </c>
      <c r="I12" s="106">
        <v>90</v>
      </c>
      <c r="J12" s="107" t="s">
        <v>300</v>
      </c>
      <c r="K12" s="108">
        <v>1</v>
      </c>
      <c r="L12" s="93" t="s">
        <v>327</v>
      </c>
      <c r="M12" s="331" t="s">
        <v>327</v>
      </c>
      <c r="N12" s="331" t="s">
        <v>327</v>
      </c>
      <c r="O12" s="331" t="s">
        <v>327</v>
      </c>
      <c r="P12" s="331" t="s">
        <v>327</v>
      </c>
      <c r="Q12" s="331" t="s">
        <v>327</v>
      </c>
      <c r="R12" s="331" t="s">
        <v>327</v>
      </c>
      <c r="S12" s="331" t="s">
        <v>327</v>
      </c>
    </row>
    <row r="13" spans="1:19">
      <c r="A13" s="93" t="s">
        <v>327</v>
      </c>
      <c r="B13" s="117" t="s">
        <v>252</v>
      </c>
      <c r="C13" s="156">
        <v>4</v>
      </c>
      <c r="D13" s="156">
        <v>4</v>
      </c>
      <c r="E13" s="156">
        <v>4</v>
      </c>
      <c r="F13" s="107">
        <v>2</v>
      </c>
      <c r="G13" s="107">
        <v>6</v>
      </c>
      <c r="H13" s="107">
        <v>2</v>
      </c>
      <c r="I13" s="107">
        <v>6</v>
      </c>
      <c r="J13" s="107" t="s">
        <v>327</v>
      </c>
      <c r="K13" s="108">
        <v>1</v>
      </c>
      <c r="L13" s="93" t="s">
        <v>327</v>
      </c>
      <c r="M13" s="331" t="s">
        <v>327</v>
      </c>
      <c r="N13" s="331" t="s">
        <v>327</v>
      </c>
      <c r="O13" s="331" t="s">
        <v>327</v>
      </c>
      <c r="P13" s="331" t="s">
        <v>327</v>
      </c>
      <c r="Q13" s="331" t="s">
        <v>327</v>
      </c>
      <c r="R13" s="331" t="s">
        <v>327</v>
      </c>
      <c r="S13" s="331" t="s">
        <v>327</v>
      </c>
    </row>
    <row r="14" spans="1:19">
      <c r="A14" s="93" t="s">
        <v>327</v>
      </c>
      <c r="B14" s="119" t="s">
        <v>254</v>
      </c>
      <c r="C14" s="129">
        <v>62</v>
      </c>
      <c r="D14" s="129">
        <v>62</v>
      </c>
      <c r="E14" s="129">
        <v>62</v>
      </c>
      <c r="F14" s="112">
        <v>47</v>
      </c>
      <c r="G14" s="112">
        <v>78</v>
      </c>
      <c r="H14" s="112">
        <v>47</v>
      </c>
      <c r="I14" s="112">
        <v>78</v>
      </c>
      <c r="J14" s="120" t="s">
        <v>265</v>
      </c>
      <c r="K14" s="107">
        <v>1</v>
      </c>
      <c r="L14" s="93" t="s">
        <v>327</v>
      </c>
      <c r="M14" s="331" t="s">
        <v>327</v>
      </c>
      <c r="N14" s="331" t="s">
        <v>327</v>
      </c>
      <c r="O14" s="331" t="s">
        <v>327</v>
      </c>
      <c r="P14" s="331" t="s">
        <v>327</v>
      </c>
      <c r="Q14" s="331" t="s">
        <v>327</v>
      </c>
      <c r="R14" s="331" t="s">
        <v>327</v>
      </c>
      <c r="S14" s="331" t="s">
        <v>327</v>
      </c>
    </row>
    <row r="15" spans="1:19">
      <c r="A15" s="93" t="s">
        <v>327</v>
      </c>
      <c r="B15" s="121" t="s">
        <v>255</v>
      </c>
      <c r="C15" s="122" t="s">
        <v>327</v>
      </c>
      <c r="D15" s="122" t="s">
        <v>327</v>
      </c>
      <c r="E15" s="122" t="s">
        <v>327</v>
      </c>
      <c r="F15" s="122" t="s">
        <v>327</v>
      </c>
      <c r="G15" s="122" t="s">
        <v>327</v>
      </c>
      <c r="H15" s="122" t="s">
        <v>327</v>
      </c>
      <c r="I15" s="123" t="s">
        <v>327</v>
      </c>
      <c r="J15" s="123" t="s">
        <v>327</v>
      </c>
      <c r="K15" s="124" t="s">
        <v>327</v>
      </c>
      <c r="L15" s="93" t="s">
        <v>327</v>
      </c>
      <c r="M15" s="331" t="s">
        <v>327</v>
      </c>
      <c r="N15" s="331" t="s">
        <v>327</v>
      </c>
      <c r="O15" s="331" t="s">
        <v>327</v>
      </c>
      <c r="P15" s="331" t="s">
        <v>327</v>
      </c>
      <c r="Q15" s="331" t="s">
        <v>327</v>
      </c>
      <c r="R15" s="331" t="s">
        <v>327</v>
      </c>
      <c r="S15" s="331" t="s">
        <v>327</v>
      </c>
    </row>
    <row r="16" spans="1:19">
      <c r="A16" s="93" t="s">
        <v>327</v>
      </c>
      <c r="B16" s="119" t="s">
        <v>256</v>
      </c>
      <c r="C16" s="112">
        <v>55</v>
      </c>
      <c r="D16" s="112">
        <v>55</v>
      </c>
      <c r="E16" s="112">
        <v>55</v>
      </c>
      <c r="F16" s="112">
        <v>20</v>
      </c>
      <c r="G16" s="112">
        <v>95</v>
      </c>
      <c r="H16" s="112">
        <v>20</v>
      </c>
      <c r="I16" s="112">
        <v>95</v>
      </c>
      <c r="J16" s="120" t="s">
        <v>309</v>
      </c>
      <c r="K16" s="112" t="s">
        <v>329</v>
      </c>
      <c r="L16" s="93" t="s">
        <v>327</v>
      </c>
      <c r="M16" s="331" t="s">
        <v>327</v>
      </c>
      <c r="N16" s="331" t="s">
        <v>327</v>
      </c>
      <c r="O16" s="331" t="s">
        <v>327</v>
      </c>
      <c r="P16" s="331" t="s">
        <v>327</v>
      </c>
      <c r="Q16" s="331" t="s">
        <v>327</v>
      </c>
      <c r="R16" s="331" t="s">
        <v>327</v>
      </c>
      <c r="S16" s="331" t="s">
        <v>327</v>
      </c>
    </row>
    <row r="17" spans="1:19">
      <c r="A17" s="93" t="s">
        <v>327</v>
      </c>
      <c r="B17" s="119" t="s">
        <v>257</v>
      </c>
      <c r="C17" s="112">
        <v>51</v>
      </c>
      <c r="D17" s="112">
        <v>51</v>
      </c>
      <c r="E17" s="112">
        <v>51</v>
      </c>
      <c r="F17" s="112">
        <v>20</v>
      </c>
      <c r="G17" s="112">
        <v>95</v>
      </c>
      <c r="H17" s="112">
        <v>20</v>
      </c>
      <c r="I17" s="112">
        <v>95</v>
      </c>
      <c r="J17" s="120" t="s">
        <v>309</v>
      </c>
      <c r="K17" s="112" t="s">
        <v>329</v>
      </c>
      <c r="L17" s="219"/>
      <c r="M17" s="219"/>
      <c r="N17" s="219"/>
      <c r="O17" s="331" t="s">
        <v>327</v>
      </c>
      <c r="P17" s="331" t="s">
        <v>327</v>
      </c>
      <c r="Q17" s="331" t="s">
        <v>327</v>
      </c>
      <c r="R17" s="331" t="s">
        <v>327</v>
      </c>
      <c r="S17" s="331" t="s">
        <v>327</v>
      </c>
    </row>
    <row r="18" spans="1:19">
      <c r="A18" s="93" t="s">
        <v>327</v>
      </c>
      <c r="B18" s="125" t="s">
        <v>258</v>
      </c>
      <c r="C18" s="126" t="s">
        <v>327</v>
      </c>
      <c r="D18" s="126" t="s">
        <v>327</v>
      </c>
      <c r="E18" s="126" t="s">
        <v>327</v>
      </c>
      <c r="F18" s="126" t="s">
        <v>327</v>
      </c>
      <c r="G18" s="126" t="s">
        <v>327</v>
      </c>
      <c r="H18" s="126" t="s">
        <v>327</v>
      </c>
      <c r="I18" s="127" t="s">
        <v>327</v>
      </c>
      <c r="J18" s="127" t="s">
        <v>327</v>
      </c>
      <c r="K18" s="128" t="s">
        <v>327</v>
      </c>
      <c r="L18" s="93" t="s">
        <v>327</v>
      </c>
      <c r="M18" s="331" t="s">
        <v>327</v>
      </c>
      <c r="N18" s="331" t="s">
        <v>327</v>
      </c>
      <c r="O18" s="331" t="s">
        <v>327</v>
      </c>
      <c r="P18" s="331" t="s">
        <v>327</v>
      </c>
      <c r="Q18" s="331" t="s">
        <v>327</v>
      </c>
      <c r="R18" s="331" t="s">
        <v>327</v>
      </c>
      <c r="S18" s="331" t="s">
        <v>327</v>
      </c>
    </row>
    <row r="19" spans="1:19">
      <c r="A19" s="93" t="s">
        <v>327</v>
      </c>
      <c r="B19" s="117" t="s">
        <v>259</v>
      </c>
      <c r="C19" s="129">
        <v>30</v>
      </c>
      <c r="D19" s="129">
        <v>30</v>
      </c>
      <c r="E19" s="129">
        <v>30</v>
      </c>
      <c r="F19" s="129">
        <v>10</v>
      </c>
      <c r="G19" s="129">
        <v>86</v>
      </c>
      <c r="H19" s="129">
        <v>10</v>
      </c>
      <c r="I19" s="129">
        <v>90</v>
      </c>
      <c r="J19" s="120"/>
      <c r="K19" s="108">
        <v>3</v>
      </c>
      <c r="L19" s="130" t="s">
        <v>327</v>
      </c>
      <c r="M19" s="331" t="s">
        <v>327</v>
      </c>
      <c r="N19" s="331" t="s">
        <v>327</v>
      </c>
      <c r="O19" s="331" t="s">
        <v>327</v>
      </c>
      <c r="P19" s="331" t="s">
        <v>327</v>
      </c>
      <c r="Q19" s="331" t="s">
        <v>327</v>
      </c>
      <c r="R19" s="331" t="s">
        <v>327</v>
      </c>
      <c r="S19" s="331" t="s">
        <v>327</v>
      </c>
    </row>
    <row r="20" spans="1:19">
      <c r="A20" s="93" t="s">
        <v>327</v>
      </c>
      <c r="B20" s="117" t="s">
        <v>260</v>
      </c>
      <c r="C20" s="129">
        <v>0</v>
      </c>
      <c r="D20" s="129">
        <v>0</v>
      </c>
      <c r="E20" s="129">
        <v>0</v>
      </c>
      <c r="F20" s="129">
        <v>0</v>
      </c>
      <c r="G20" s="129">
        <v>0</v>
      </c>
      <c r="H20" s="129">
        <v>0</v>
      </c>
      <c r="I20" s="129">
        <v>0</v>
      </c>
      <c r="J20" s="120"/>
      <c r="K20" s="108">
        <v>3</v>
      </c>
      <c r="L20" s="93" t="s">
        <v>327</v>
      </c>
      <c r="M20" s="331" t="s">
        <v>327</v>
      </c>
      <c r="N20" s="331" t="s">
        <v>327</v>
      </c>
      <c r="O20" s="331" t="s">
        <v>327</v>
      </c>
      <c r="P20" s="331" t="s">
        <v>327</v>
      </c>
      <c r="Q20" s="331" t="s">
        <v>327</v>
      </c>
      <c r="R20" s="331" t="s">
        <v>327</v>
      </c>
      <c r="S20" s="331" t="s">
        <v>327</v>
      </c>
    </row>
    <row r="21" spans="1:19">
      <c r="A21" s="93" t="s">
        <v>327</v>
      </c>
      <c r="B21" s="117" t="s">
        <v>261</v>
      </c>
      <c r="C21" s="129">
        <v>0.3</v>
      </c>
      <c r="D21" s="129">
        <v>0.2</v>
      </c>
      <c r="E21" s="129">
        <v>0.1</v>
      </c>
      <c r="F21" s="129">
        <v>0</v>
      </c>
      <c r="G21" s="129">
        <v>0.5</v>
      </c>
      <c r="H21" s="129">
        <v>0</v>
      </c>
      <c r="I21" s="129">
        <v>0.3</v>
      </c>
      <c r="J21" s="120"/>
      <c r="K21" s="108">
        <v>3</v>
      </c>
      <c r="L21" s="93" t="s">
        <v>327</v>
      </c>
      <c r="M21" s="331" t="s">
        <v>327</v>
      </c>
      <c r="N21" s="331" t="s">
        <v>327</v>
      </c>
      <c r="O21" s="331" t="s">
        <v>327</v>
      </c>
      <c r="P21" s="331" t="s">
        <v>327</v>
      </c>
      <c r="Q21" s="331" t="s">
        <v>327</v>
      </c>
      <c r="R21" s="331" t="s">
        <v>327</v>
      </c>
      <c r="S21" s="331" t="s">
        <v>327</v>
      </c>
    </row>
    <row r="22" spans="1:19">
      <c r="A22" s="93" t="s">
        <v>327</v>
      </c>
      <c r="B22" s="117" t="s">
        <v>262</v>
      </c>
      <c r="C22" s="129">
        <v>2</v>
      </c>
      <c r="D22" s="129">
        <v>1.7</v>
      </c>
      <c r="E22" s="129">
        <v>0.2</v>
      </c>
      <c r="F22" s="129">
        <v>0.1</v>
      </c>
      <c r="G22" s="129">
        <v>7</v>
      </c>
      <c r="H22" s="129">
        <v>0.1</v>
      </c>
      <c r="I22" s="129">
        <v>7</v>
      </c>
      <c r="J22" s="120"/>
      <c r="K22" s="108">
        <v>3</v>
      </c>
      <c r="L22" s="93" t="s">
        <v>327</v>
      </c>
      <c r="M22" s="331" t="s">
        <v>327</v>
      </c>
      <c r="N22" s="331" t="s">
        <v>327</v>
      </c>
      <c r="O22" s="331" t="s">
        <v>327</v>
      </c>
      <c r="P22" s="331" t="s">
        <v>327</v>
      </c>
      <c r="Q22" s="331" t="s">
        <v>327</v>
      </c>
      <c r="R22" s="331" t="s">
        <v>327</v>
      </c>
      <c r="S22" s="331" t="s">
        <v>327</v>
      </c>
    </row>
    <row r="23" spans="1:19">
      <c r="A23" s="93" t="s">
        <v>327</v>
      </c>
      <c r="B23" s="125" t="s">
        <v>263</v>
      </c>
      <c r="C23" s="131" t="s">
        <v>327</v>
      </c>
      <c r="D23" s="132" t="s">
        <v>327</v>
      </c>
      <c r="E23" s="132" t="s">
        <v>327</v>
      </c>
      <c r="F23" s="132" t="s">
        <v>327</v>
      </c>
      <c r="G23" s="132" t="s">
        <v>327</v>
      </c>
      <c r="H23" s="132" t="s">
        <v>327</v>
      </c>
      <c r="I23" s="132" t="s">
        <v>327</v>
      </c>
      <c r="J23" s="132" t="s">
        <v>327</v>
      </c>
      <c r="K23" s="133" t="s">
        <v>327</v>
      </c>
      <c r="L23" s="93" t="s">
        <v>327</v>
      </c>
      <c r="M23" s="1153" t="s">
        <v>327</v>
      </c>
      <c r="N23" s="1153"/>
      <c r="O23" s="1153"/>
      <c r="P23" s="1153"/>
      <c r="Q23" s="1153"/>
      <c r="R23" s="1153"/>
      <c r="S23" s="1153"/>
    </row>
    <row r="24" spans="1:19">
      <c r="A24" s="93" t="s">
        <v>327</v>
      </c>
      <c r="B24" s="117" t="s">
        <v>264</v>
      </c>
      <c r="C24" s="134">
        <v>0</v>
      </c>
      <c r="D24" s="134">
        <v>0</v>
      </c>
      <c r="E24" s="134">
        <v>0</v>
      </c>
      <c r="F24" s="134" t="s">
        <v>327</v>
      </c>
      <c r="G24" s="134" t="s">
        <v>327</v>
      </c>
      <c r="H24" s="134" t="s">
        <v>327</v>
      </c>
      <c r="I24" s="134" t="s">
        <v>327</v>
      </c>
      <c r="J24" s="135" t="s">
        <v>327</v>
      </c>
      <c r="K24" s="108" t="s">
        <v>327</v>
      </c>
      <c r="L24" s="93" t="s">
        <v>327</v>
      </c>
      <c r="M24" s="331" t="s">
        <v>327</v>
      </c>
      <c r="N24" s="331" t="s">
        <v>327</v>
      </c>
      <c r="O24" s="331" t="s">
        <v>327</v>
      </c>
      <c r="P24" s="331" t="s">
        <v>327</v>
      </c>
      <c r="Q24" s="331" t="s">
        <v>327</v>
      </c>
      <c r="R24" s="331" t="s">
        <v>327</v>
      </c>
      <c r="S24" s="331" t="s">
        <v>327</v>
      </c>
    </row>
    <row r="25" spans="1:19">
      <c r="A25" s="93" t="s">
        <v>327</v>
      </c>
      <c r="B25" s="117" t="s">
        <v>266</v>
      </c>
      <c r="C25" s="134">
        <v>0</v>
      </c>
      <c r="D25" s="134">
        <v>0</v>
      </c>
      <c r="E25" s="134">
        <v>0</v>
      </c>
      <c r="F25" s="134" t="s">
        <v>327</v>
      </c>
      <c r="G25" s="134" t="s">
        <v>327</v>
      </c>
      <c r="H25" s="134" t="s">
        <v>327</v>
      </c>
      <c r="I25" s="134" t="s">
        <v>327</v>
      </c>
      <c r="J25" s="135" t="s">
        <v>327</v>
      </c>
      <c r="K25" s="108" t="s">
        <v>327</v>
      </c>
      <c r="L25" s="93" t="s">
        <v>327</v>
      </c>
      <c r="M25" s="331" t="s">
        <v>327</v>
      </c>
      <c r="N25" s="331" t="s">
        <v>327</v>
      </c>
      <c r="O25" s="331" t="s">
        <v>327</v>
      </c>
      <c r="P25" s="331" t="s">
        <v>327</v>
      </c>
      <c r="Q25" s="331" t="s">
        <v>327</v>
      </c>
      <c r="R25" s="331" t="s">
        <v>327</v>
      </c>
      <c r="S25" s="331" t="s">
        <v>327</v>
      </c>
    </row>
    <row r="26" spans="1:19" ht="15" customHeight="1">
      <c r="A26" s="93" t="s">
        <v>327</v>
      </c>
      <c r="B26" s="117" t="s">
        <v>267</v>
      </c>
      <c r="C26" s="134">
        <v>0</v>
      </c>
      <c r="D26" s="134">
        <v>0</v>
      </c>
      <c r="E26" s="134">
        <v>0</v>
      </c>
      <c r="F26" s="134" t="s">
        <v>327</v>
      </c>
      <c r="G26" s="134" t="s">
        <v>327</v>
      </c>
      <c r="H26" s="134" t="s">
        <v>327</v>
      </c>
      <c r="I26" s="134" t="s">
        <v>327</v>
      </c>
      <c r="J26" s="136" t="s">
        <v>327</v>
      </c>
      <c r="K26" s="108" t="s">
        <v>327</v>
      </c>
      <c r="L26" s="93" t="s">
        <v>327</v>
      </c>
      <c r="M26" s="331" t="s">
        <v>327</v>
      </c>
      <c r="N26" s="331" t="s">
        <v>327</v>
      </c>
      <c r="O26" s="331" t="s">
        <v>327</v>
      </c>
      <c r="P26" s="331" t="s">
        <v>327</v>
      </c>
      <c r="Q26" s="331" t="s">
        <v>327</v>
      </c>
      <c r="R26" s="331" t="s">
        <v>327</v>
      </c>
      <c r="S26" s="331" t="s">
        <v>327</v>
      </c>
    </row>
    <row r="27" spans="1:19">
      <c r="A27" s="93" t="s">
        <v>327</v>
      </c>
      <c r="B27" s="117" t="s">
        <v>268</v>
      </c>
      <c r="C27" s="134">
        <v>0</v>
      </c>
      <c r="D27" s="134">
        <v>0</v>
      </c>
      <c r="E27" s="134">
        <v>0</v>
      </c>
      <c r="F27" s="134" t="s">
        <v>327</v>
      </c>
      <c r="G27" s="134" t="s">
        <v>327</v>
      </c>
      <c r="H27" s="134" t="s">
        <v>327</v>
      </c>
      <c r="I27" s="134" t="s">
        <v>327</v>
      </c>
      <c r="J27" s="120" t="s">
        <v>327</v>
      </c>
      <c r="K27" s="120" t="s">
        <v>327</v>
      </c>
      <c r="L27" s="93" t="s">
        <v>327</v>
      </c>
      <c r="M27" s="331" t="s">
        <v>327</v>
      </c>
      <c r="N27" s="331" t="s">
        <v>327</v>
      </c>
      <c r="O27" s="331" t="s">
        <v>327</v>
      </c>
      <c r="P27" s="331" t="s">
        <v>327</v>
      </c>
      <c r="Q27" s="331" t="s">
        <v>327</v>
      </c>
      <c r="R27" s="331" t="s">
        <v>327</v>
      </c>
      <c r="S27" s="331" t="s">
        <v>327</v>
      </c>
    </row>
    <row r="28" spans="1:19">
      <c r="A28" s="93" t="s">
        <v>327</v>
      </c>
      <c r="B28" s="117" t="s">
        <v>269</v>
      </c>
      <c r="C28" s="134">
        <v>0</v>
      </c>
      <c r="D28" s="134">
        <v>0</v>
      </c>
      <c r="E28" s="134">
        <v>0</v>
      </c>
      <c r="F28" s="134" t="s">
        <v>327</v>
      </c>
      <c r="G28" s="134" t="s">
        <v>327</v>
      </c>
      <c r="H28" s="134" t="s">
        <v>327</v>
      </c>
      <c r="I28" s="134" t="s">
        <v>327</v>
      </c>
      <c r="J28" s="120" t="s">
        <v>327</v>
      </c>
      <c r="K28" s="120" t="s">
        <v>327</v>
      </c>
      <c r="L28" s="138" t="s">
        <v>327</v>
      </c>
      <c r="M28" s="1153" t="s">
        <v>327</v>
      </c>
      <c r="N28" s="1153"/>
      <c r="O28" s="1153"/>
      <c r="P28" s="1153"/>
      <c r="Q28" s="1153"/>
      <c r="R28" s="1153"/>
      <c r="S28" s="1153"/>
    </row>
    <row r="29" spans="1:19">
      <c r="A29" s="93" t="s">
        <v>327</v>
      </c>
      <c r="B29" s="125" t="s">
        <v>270</v>
      </c>
      <c r="C29" s="132" t="s">
        <v>327</v>
      </c>
      <c r="D29" s="132" t="s">
        <v>327</v>
      </c>
      <c r="E29" s="132" t="s">
        <v>327</v>
      </c>
      <c r="F29" s="132" t="s">
        <v>327</v>
      </c>
      <c r="G29" s="132" t="s">
        <v>327</v>
      </c>
      <c r="H29" s="132" t="s">
        <v>327</v>
      </c>
      <c r="I29" s="132" t="s">
        <v>327</v>
      </c>
      <c r="J29" s="132" t="s">
        <v>327</v>
      </c>
      <c r="K29" s="133" t="s">
        <v>327</v>
      </c>
      <c r="L29" s="93" t="s">
        <v>327</v>
      </c>
      <c r="M29" s="331" t="s">
        <v>327</v>
      </c>
      <c r="N29" s="331" t="s">
        <v>327</v>
      </c>
      <c r="O29" s="331" t="s">
        <v>327</v>
      </c>
      <c r="P29" s="331" t="s">
        <v>327</v>
      </c>
      <c r="Q29" s="331" t="s">
        <v>327</v>
      </c>
      <c r="R29" s="331" t="s">
        <v>327</v>
      </c>
      <c r="S29" s="331" t="s">
        <v>327</v>
      </c>
    </row>
    <row r="30" spans="1:19">
      <c r="A30" s="93" t="s">
        <v>327</v>
      </c>
      <c r="B30" s="117" t="s">
        <v>271</v>
      </c>
      <c r="C30" s="139">
        <v>2.2000000000000002</v>
      </c>
      <c r="D30" s="140">
        <v>2.1120000000000001</v>
      </c>
      <c r="E30" s="140">
        <v>1.9580000000000002</v>
      </c>
      <c r="F30" s="139">
        <v>1.6500000000000001</v>
      </c>
      <c r="G30" s="139">
        <v>2.75</v>
      </c>
      <c r="H30" s="139">
        <v>1.4685000000000001</v>
      </c>
      <c r="I30" s="140">
        <v>2.4475000000000002</v>
      </c>
      <c r="J30" s="120" t="s">
        <v>330</v>
      </c>
      <c r="K30" s="108" t="s">
        <v>331</v>
      </c>
      <c r="L30" s="93" t="s">
        <v>327</v>
      </c>
      <c r="M30" s="331" t="s">
        <v>327</v>
      </c>
      <c r="N30" s="331" t="s">
        <v>327</v>
      </c>
      <c r="O30" s="331" t="s">
        <v>327</v>
      </c>
      <c r="P30" s="331" t="s">
        <v>327</v>
      </c>
      <c r="Q30" s="331" t="s">
        <v>327</v>
      </c>
      <c r="R30" s="331" t="s">
        <v>327</v>
      </c>
      <c r="S30" s="331" t="s">
        <v>327</v>
      </c>
    </row>
    <row r="31" spans="1:19">
      <c r="A31" s="93" t="s">
        <v>327</v>
      </c>
      <c r="B31" s="117" t="s">
        <v>274</v>
      </c>
      <c r="C31" s="142">
        <v>0.3</v>
      </c>
      <c r="D31" s="142">
        <v>0.3</v>
      </c>
      <c r="E31" s="142">
        <v>0.3</v>
      </c>
      <c r="F31" s="142">
        <v>0.2</v>
      </c>
      <c r="G31" s="142">
        <v>0.5</v>
      </c>
      <c r="H31" s="142">
        <v>0.2</v>
      </c>
      <c r="I31" s="142">
        <v>0.5</v>
      </c>
      <c r="J31" s="120" t="s">
        <v>253</v>
      </c>
      <c r="K31" s="120" t="s">
        <v>332</v>
      </c>
      <c r="L31" s="93" t="s">
        <v>327</v>
      </c>
      <c r="M31" s="331" t="s">
        <v>327</v>
      </c>
      <c r="N31" s="331" t="s">
        <v>327</v>
      </c>
      <c r="O31" s="331" t="s">
        <v>327</v>
      </c>
      <c r="P31" s="331" t="s">
        <v>327</v>
      </c>
      <c r="Q31" s="331" t="s">
        <v>327</v>
      </c>
      <c r="R31" s="331" t="s">
        <v>327</v>
      </c>
      <c r="S31" s="331" t="s">
        <v>327</v>
      </c>
    </row>
    <row r="32" spans="1:19">
      <c r="A32" s="93" t="s">
        <v>327</v>
      </c>
      <c r="B32" s="117" t="s">
        <v>275</v>
      </c>
      <c r="C32" s="142">
        <v>0.7</v>
      </c>
      <c r="D32" s="142">
        <v>0.7</v>
      </c>
      <c r="E32" s="142">
        <v>0.7</v>
      </c>
      <c r="F32" s="142">
        <v>0.5</v>
      </c>
      <c r="G32" s="142">
        <v>0.8</v>
      </c>
      <c r="H32" s="142">
        <v>0.5</v>
      </c>
      <c r="I32" s="142">
        <v>0.8</v>
      </c>
      <c r="J32" s="120" t="s">
        <v>253</v>
      </c>
      <c r="K32" s="120" t="s">
        <v>332</v>
      </c>
      <c r="L32" s="93" t="s">
        <v>327</v>
      </c>
      <c r="M32" s="331" t="s">
        <v>327</v>
      </c>
      <c r="N32" s="331" t="s">
        <v>327</v>
      </c>
      <c r="O32" s="331" t="s">
        <v>327</v>
      </c>
      <c r="P32" s="331" t="s">
        <v>327</v>
      </c>
      <c r="Q32" s="331" t="s">
        <v>327</v>
      </c>
      <c r="R32" s="331" t="s">
        <v>327</v>
      </c>
      <c r="S32" s="331" t="s">
        <v>327</v>
      </c>
    </row>
    <row r="33" spans="1:19">
      <c r="A33" s="93" t="s">
        <v>327</v>
      </c>
      <c r="B33" s="117" t="s">
        <v>276</v>
      </c>
      <c r="C33" s="129">
        <v>43000</v>
      </c>
      <c r="D33" s="129">
        <v>41000</v>
      </c>
      <c r="E33" s="129">
        <v>38000</v>
      </c>
      <c r="F33" s="226">
        <v>32250</v>
      </c>
      <c r="G33" s="226">
        <v>53750</v>
      </c>
      <c r="H33" s="226">
        <v>28500</v>
      </c>
      <c r="I33" s="145">
        <v>47500</v>
      </c>
      <c r="J33" s="120" t="s">
        <v>265</v>
      </c>
      <c r="K33" s="108" t="s">
        <v>331</v>
      </c>
      <c r="L33" s="93" t="s">
        <v>327</v>
      </c>
      <c r="M33" s="331" t="s">
        <v>327</v>
      </c>
      <c r="N33" s="331" t="s">
        <v>327</v>
      </c>
      <c r="O33" s="331" t="s">
        <v>327</v>
      </c>
      <c r="P33" s="331" t="s">
        <v>327</v>
      </c>
      <c r="Q33" s="331" t="s">
        <v>327</v>
      </c>
      <c r="R33" s="331" t="s">
        <v>327</v>
      </c>
      <c r="S33" s="331" t="s">
        <v>327</v>
      </c>
    </row>
    <row r="34" spans="1:19">
      <c r="A34" s="93" t="s">
        <v>327</v>
      </c>
      <c r="B34" s="117" t="s">
        <v>279</v>
      </c>
      <c r="C34" s="139">
        <v>0.74</v>
      </c>
      <c r="D34" s="143">
        <v>0.71</v>
      </c>
      <c r="E34" s="143">
        <v>0.66</v>
      </c>
      <c r="F34" s="139">
        <v>0.55499999999999994</v>
      </c>
      <c r="G34" s="139">
        <v>0.92500000000000004</v>
      </c>
      <c r="H34" s="139">
        <v>0.495</v>
      </c>
      <c r="I34" s="140">
        <v>0.82500000000000007</v>
      </c>
      <c r="J34" s="120" t="s">
        <v>265</v>
      </c>
      <c r="K34" s="108" t="s">
        <v>314</v>
      </c>
      <c r="L34" s="93" t="s">
        <v>327</v>
      </c>
      <c r="M34" s="331" t="s">
        <v>327</v>
      </c>
      <c r="N34" s="331" t="s">
        <v>327</v>
      </c>
      <c r="O34" s="331" t="s">
        <v>327</v>
      </c>
      <c r="P34" s="331" t="s">
        <v>327</v>
      </c>
      <c r="Q34" s="331" t="s">
        <v>327</v>
      </c>
      <c r="R34" s="331" t="s">
        <v>327</v>
      </c>
      <c r="S34" s="331" t="s">
        <v>327</v>
      </c>
    </row>
    <row r="35" spans="1:19">
      <c r="A35" s="93" t="s">
        <v>327</v>
      </c>
      <c r="B35" s="117" t="s">
        <v>282</v>
      </c>
      <c r="C35" s="106" t="s">
        <v>146</v>
      </c>
      <c r="D35" s="106" t="s">
        <v>146</v>
      </c>
      <c r="E35" s="106" t="s">
        <v>146</v>
      </c>
      <c r="F35" s="106" t="s">
        <v>146</v>
      </c>
      <c r="G35" s="106" t="s">
        <v>146</v>
      </c>
      <c r="H35" s="106" t="s">
        <v>146</v>
      </c>
      <c r="I35" s="145" t="s">
        <v>146</v>
      </c>
      <c r="J35" s="120" t="s">
        <v>327</v>
      </c>
      <c r="K35" s="108" t="s">
        <v>327</v>
      </c>
      <c r="L35" s="93" t="s">
        <v>327</v>
      </c>
      <c r="M35" s="1153" t="s">
        <v>327</v>
      </c>
      <c r="N35" s="1153"/>
      <c r="O35" s="1153"/>
      <c r="P35" s="1153"/>
      <c r="Q35" s="1153"/>
      <c r="R35" s="1153"/>
      <c r="S35" s="1153"/>
    </row>
    <row r="36" spans="1:19">
      <c r="A36" s="340" t="s">
        <v>327</v>
      </c>
      <c r="B36" s="317" t="s">
        <v>327</v>
      </c>
      <c r="C36" s="317" t="s">
        <v>327</v>
      </c>
      <c r="D36" s="317" t="s">
        <v>327</v>
      </c>
      <c r="E36" s="317" t="s">
        <v>327</v>
      </c>
      <c r="F36" s="317" t="s">
        <v>327</v>
      </c>
      <c r="G36" s="317" t="s">
        <v>327</v>
      </c>
      <c r="H36" s="317" t="s">
        <v>327</v>
      </c>
      <c r="I36" s="317" t="s">
        <v>327</v>
      </c>
      <c r="J36" s="317" t="s">
        <v>327</v>
      </c>
      <c r="K36" s="317" t="s">
        <v>327</v>
      </c>
      <c r="L36" s="319" t="s">
        <v>327</v>
      </c>
      <c r="M36" s="319" t="s">
        <v>327</v>
      </c>
      <c r="N36" s="319" t="s">
        <v>327</v>
      </c>
      <c r="O36" s="319" t="s">
        <v>327</v>
      </c>
      <c r="P36" s="319" t="s">
        <v>327</v>
      </c>
      <c r="Q36" s="319" t="s">
        <v>327</v>
      </c>
      <c r="R36" s="319" t="s">
        <v>327</v>
      </c>
      <c r="S36" s="319" t="s">
        <v>327</v>
      </c>
    </row>
    <row r="37" spans="1:19" s="93" customFormat="1" ht="11.45" customHeight="1">
      <c r="A37" s="340" t="s">
        <v>286</v>
      </c>
      <c r="B37" s="227"/>
      <c r="C37" s="170" t="s">
        <v>327</v>
      </c>
      <c r="D37" s="170"/>
      <c r="E37" s="170"/>
      <c r="F37" s="170"/>
      <c r="G37" s="170"/>
      <c r="H37" s="170"/>
      <c r="I37" s="170"/>
      <c r="J37" s="170"/>
      <c r="K37" s="170"/>
      <c r="L37" s="317" t="s">
        <v>327</v>
      </c>
    </row>
    <row r="38" spans="1:19" ht="14.1" customHeight="1">
      <c r="A38" s="502">
        <v>1</v>
      </c>
      <c r="B38" s="177" t="s">
        <v>287</v>
      </c>
      <c r="C38" s="150"/>
      <c r="D38" s="150"/>
      <c r="E38" s="150"/>
      <c r="F38" s="150"/>
      <c r="G38" s="150"/>
      <c r="H38" s="150"/>
      <c r="I38" s="150"/>
      <c r="J38" s="150"/>
      <c r="K38" s="150"/>
      <c r="L38" s="443"/>
      <c r="M38" s="517"/>
      <c r="N38" s="517"/>
    </row>
    <row r="39" spans="1:19" ht="14.1" customHeight="1">
      <c r="A39" s="502">
        <v>2</v>
      </c>
      <c r="B39" s="93" t="s">
        <v>333</v>
      </c>
      <c r="C39" s="150"/>
      <c r="D39" s="150"/>
      <c r="E39" s="150"/>
      <c r="F39" s="150"/>
      <c r="G39" s="150"/>
      <c r="L39" s="443" t="s">
        <v>327</v>
      </c>
      <c r="M39" s="517"/>
      <c r="N39" s="517"/>
    </row>
    <row r="40" spans="1:19" ht="14.1" customHeight="1">
      <c r="A40" s="502">
        <v>3</v>
      </c>
      <c r="B40" s="93" t="s">
        <v>334</v>
      </c>
      <c r="C40" s="150"/>
      <c r="D40" s="150"/>
      <c r="E40" s="150"/>
      <c r="F40" s="150"/>
      <c r="G40" s="150"/>
      <c r="L40" s="443" t="s">
        <v>327</v>
      </c>
      <c r="M40" s="517"/>
      <c r="N40" s="517"/>
    </row>
    <row r="41" spans="1:19" ht="14.1" customHeight="1">
      <c r="A41" s="502">
        <v>4</v>
      </c>
      <c r="B41" s="1150" t="s">
        <v>289</v>
      </c>
      <c r="C41" s="1150"/>
      <c r="D41" s="1150"/>
      <c r="E41" s="1150"/>
      <c r="F41" s="1150"/>
      <c r="G41" s="1150"/>
      <c r="H41" s="1150"/>
      <c r="I41" s="1150"/>
      <c r="J41" s="1150"/>
      <c r="K41" s="1150"/>
      <c r="L41" s="443" t="s">
        <v>327</v>
      </c>
      <c r="M41" s="517"/>
      <c r="N41" s="517"/>
    </row>
    <row r="42" spans="1:19" ht="14.1" customHeight="1">
      <c r="A42" s="502">
        <v>5</v>
      </c>
      <c r="B42" s="1149" t="s">
        <v>290</v>
      </c>
      <c r="C42" s="1149"/>
      <c r="D42" s="1149"/>
      <c r="E42" s="1149"/>
      <c r="F42" s="1149"/>
      <c r="G42" s="1149"/>
      <c r="H42" s="1149"/>
      <c r="I42" s="1149"/>
      <c r="J42" s="1149"/>
      <c r="K42" s="1149"/>
      <c r="L42" s="443" t="s">
        <v>327</v>
      </c>
      <c r="M42" s="517"/>
      <c r="N42" s="517"/>
    </row>
    <row r="43" spans="1:19" ht="14.1" customHeight="1">
      <c r="A43" s="502">
        <v>6</v>
      </c>
      <c r="B43" s="1149" t="s">
        <v>335</v>
      </c>
      <c r="C43" s="1149"/>
      <c r="D43" s="1149"/>
      <c r="E43" s="1149"/>
      <c r="F43" s="1149"/>
      <c r="G43" s="1149"/>
      <c r="H43" s="1149"/>
      <c r="I43" s="1149"/>
      <c r="J43" s="1149"/>
      <c r="K43" s="1149"/>
      <c r="L43" s="443" t="s">
        <v>327</v>
      </c>
      <c r="M43" s="517"/>
      <c r="N43" s="517"/>
    </row>
    <row r="44" spans="1:19" ht="14.1" customHeight="1">
      <c r="A44" s="502">
        <v>7</v>
      </c>
      <c r="B44" s="1149" t="s">
        <v>336</v>
      </c>
      <c r="C44" s="1149"/>
      <c r="D44" s="1149"/>
      <c r="E44" s="1149"/>
      <c r="F44" s="1149"/>
      <c r="G44" s="1149"/>
      <c r="H44" s="1149"/>
      <c r="I44" s="1149"/>
      <c r="J44" s="1149"/>
      <c r="K44" s="1149"/>
      <c r="L44" s="443"/>
      <c r="M44" s="517"/>
      <c r="N44" s="517"/>
    </row>
    <row r="45" spans="1:19" ht="24.75" customHeight="1">
      <c r="A45" s="502">
        <v>8</v>
      </c>
      <c r="B45" s="1156" t="s">
        <v>337</v>
      </c>
      <c r="C45" s="1156"/>
      <c r="D45" s="1156"/>
      <c r="E45" s="1156"/>
      <c r="F45" s="1156"/>
      <c r="G45" s="1156"/>
      <c r="H45" s="1156"/>
      <c r="I45" s="1156"/>
      <c r="J45" s="1156"/>
      <c r="K45" s="1156"/>
      <c r="L45" s="512"/>
      <c r="M45" s="512"/>
      <c r="N45" s="512"/>
    </row>
    <row r="46" spans="1:19" ht="14.1" customHeight="1">
      <c r="A46" s="502">
        <v>9</v>
      </c>
      <c r="B46" s="1149" t="s">
        <v>338</v>
      </c>
      <c r="C46" s="1149"/>
      <c r="D46" s="1149"/>
      <c r="E46" s="1149"/>
      <c r="F46" s="1149"/>
      <c r="G46" s="1149"/>
      <c r="H46" s="1149"/>
      <c r="I46" s="1149"/>
      <c r="J46" s="1149"/>
      <c r="K46" s="1149"/>
      <c r="L46" s="443"/>
      <c r="M46" s="517"/>
      <c r="N46" s="517"/>
    </row>
    <row r="47" spans="1:19" ht="14.1" customHeight="1">
      <c r="A47" s="502">
        <v>10</v>
      </c>
      <c r="B47" s="1149" t="s">
        <v>339</v>
      </c>
      <c r="C47" s="1149"/>
      <c r="D47" s="1149"/>
      <c r="E47" s="1149"/>
      <c r="F47" s="1149"/>
      <c r="G47" s="1149"/>
      <c r="H47" s="1149"/>
      <c r="I47" s="1149"/>
      <c r="J47" s="1149"/>
      <c r="K47" s="1149"/>
      <c r="L47" s="443" t="s">
        <v>327</v>
      </c>
      <c r="M47" s="517"/>
      <c r="N47" s="517"/>
    </row>
    <row r="48" spans="1:19" ht="14.1" customHeight="1">
      <c r="A48" s="502">
        <v>11</v>
      </c>
      <c r="B48" s="1149" t="s">
        <v>340</v>
      </c>
      <c r="C48" s="1149"/>
      <c r="D48" s="1149"/>
      <c r="E48" s="1149"/>
      <c r="F48" s="1149"/>
      <c r="G48" s="1149"/>
      <c r="H48" s="1149"/>
      <c r="I48" s="1149"/>
      <c r="J48" s="1149"/>
      <c r="K48" s="1149"/>
      <c r="L48" s="317"/>
    </row>
    <row r="49" spans="1:19" ht="14.1" customHeight="1">
      <c r="A49" s="340" t="s">
        <v>298</v>
      </c>
      <c r="B49" s="1149"/>
      <c r="C49" s="1149" t="s">
        <v>327</v>
      </c>
      <c r="D49" s="1149" t="s">
        <v>327</v>
      </c>
      <c r="E49" s="1149" t="s">
        <v>327</v>
      </c>
      <c r="F49" s="1149" t="s">
        <v>327</v>
      </c>
      <c r="G49" s="1149" t="s">
        <v>327</v>
      </c>
      <c r="H49" s="1149" t="s">
        <v>327</v>
      </c>
      <c r="I49" s="1149" t="s">
        <v>327</v>
      </c>
      <c r="J49" s="1149" t="s">
        <v>327</v>
      </c>
      <c r="K49" s="1149" t="s">
        <v>327</v>
      </c>
      <c r="L49" s="317" t="s">
        <v>327</v>
      </c>
    </row>
    <row r="50" spans="1:19" ht="14.1" customHeight="1">
      <c r="A50" s="502" t="s">
        <v>246</v>
      </c>
      <c r="B50" s="1157" t="s">
        <v>341</v>
      </c>
      <c r="C50" s="1157"/>
      <c r="D50" s="1157"/>
      <c r="E50" s="1157"/>
      <c r="F50" s="1157"/>
      <c r="G50" s="1157"/>
      <c r="H50" s="1157"/>
      <c r="I50" s="1157"/>
      <c r="J50" s="1157"/>
      <c r="K50" s="1157"/>
      <c r="L50" s="317" t="s">
        <v>327</v>
      </c>
    </row>
    <row r="51" spans="1:19" ht="13.5" customHeight="1">
      <c r="A51" s="502" t="s">
        <v>300</v>
      </c>
      <c r="B51" s="1158" t="s">
        <v>342</v>
      </c>
      <c r="C51" s="1158"/>
      <c r="D51" s="1158"/>
      <c r="E51" s="1158"/>
      <c r="F51" s="1158"/>
      <c r="G51" s="1158"/>
      <c r="H51" s="1158"/>
      <c r="I51" s="1158"/>
      <c r="J51" s="1158"/>
      <c r="K51" s="1158"/>
      <c r="L51" s="317" t="s">
        <v>327</v>
      </c>
    </row>
    <row r="52" spans="1:19" ht="22.5" customHeight="1">
      <c r="A52" s="502" t="s">
        <v>265</v>
      </c>
      <c r="B52" s="177" t="s">
        <v>323</v>
      </c>
      <c r="C52" s="177"/>
      <c r="D52" s="177"/>
      <c r="E52" s="177"/>
      <c r="F52" s="177"/>
      <c r="G52" s="177"/>
      <c r="H52" s="177"/>
      <c r="I52" s="177"/>
      <c r="J52" s="177"/>
      <c r="K52" s="177"/>
      <c r="L52" s="317" t="s">
        <v>327</v>
      </c>
    </row>
    <row r="53" spans="1:19" ht="24.75" customHeight="1">
      <c r="A53" s="502" t="s">
        <v>303</v>
      </c>
      <c r="B53" s="1155" t="s">
        <v>343</v>
      </c>
      <c r="C53" s="1155"/>
      <c r="D53" s="1155"/>
      <c r="E53" s="1155"/>
      <c r="F53" s="1155"/>
      <c r="G53" s="1155"/>
      <c r="H53" s="1155"/>
      <c r="I53" s="1155"/>
      <c r="J53" s="1155"/>
      <c r="K53" s="1155"/>
      <c r="L53" s="317" t="s">
        <v>327</v>
      </c>
    </row>
    <row r="54" spans="1:19" ht="14.1" customHeight="1">
      <c r="A54" s="502" t="s">
        <v>305</v>
      </c>
      <c r="B54" s="1155" t="s">
        <v>324</v>
      </c>
      <c r="C54" s="1155"/>
      <c r="D54" s="1155"/>
      <c r="E54" s="1155"/>
      <c r="F54" s="1155"/>
      <c r="G54" s="1155"/>
      <c r="H54" s="1155"/>
      <c r="I54" s="1155"/>
      <c r="J54" s="1155"/>
      <c r="K54" s="1155"/>
      <c r="L54" s="317" t="s">
        <v>327</v>
      </c>
    </row>
    <row r="55" spans="1:19" ht="28.5" customHeight="1">
      <c r="A55" s="502" t="s">
        <v>307</v>
      </c>
      <c r="B55" s="1155" t="s">
        <v>325</v>
      </c>
      <c r="C55" s="1155"/>
      <c r="D55" s="1155"/>
      <c r="E55" s="1155"/>
      <c r="F55" s="1155"/>
      <c r="G55" s="1155"/>
      <c r="H55" s="1155"/>
      <c r="I55" s="1155"/>
      <c r="J55" s="1155"/>
      <c r="K55" s="1155"/>
      <c r="L55" s="317" t="s">
        <v>327</v>
      </c>
    </row>
    <row r="56" spans="1:19" ht="14.1" customHeight="1">
      <c r="A56" s="502" t="s">
        <v>309</v>
      </c>
      <c r="B56" s="1155" t="s">
        <v>344</v>
      </c>
      <c r="C56" s="1155"/>
      <c r="D56" s="1155"/>
      <c r="E56" s="1155"/>
      <c r="F56" s="1155"/>
      <c r="G56" s="1155"/>
      <c r="H56" s="1155"/>
      <c r="I56" s="1155"/>
      <c r="J56" s="1155"/>
      <c r="K56" s="1155"/>
      <c r="L56" s="317" t="s">
        <v>327</v>
      </c>
    </row>
    <row r="57" spans="1:19" ht="14.1" customHeight="1">
      <c r="A57" s="152" t="s">
        <v>253</v>
      </c>
      <c r="B57" s="1154" t="s">
        <v>345</v>
      </c>
      <c r="C57" s="1154"/>
      <c r="D57" s="1154"/>
      <c r="E57" s="1154"/>
      <c r="F57" s="1154"/>
      <c r="G57" s="1154"/>
      <c r="H57" s="1154"/>
      <c r="I57" s="1154"/>
      <c r="J57" s="1154"/>
      <c r="K57" s="1154"/>
    </row>
    <row r="58" spans="1:19">
      <c r="A58" s="317"/>
      <c r="B58" s="317"/>
      <c r="C58" s="317"/>
      <c r="D58" s="317"/>
      <c r="E58" s="317"/>
      <c r="F58" s="317"/>
      <c r="G58" s="317"/>
      <c r="H58" s="317"/>
      <c r="I58" s="317"/>
      <c r="J58" s="317"/>
      <c r="K58" s="317"/>
      <c r="L58" s="317"/>
      <c r="M58" s="319"/>
      <c r="N58" s="319"/>
      <c r="O58" s="319"/>
      <c r="P58" s="319"/>
      <c r="Q58" s="319"/>
      <c r="R58" s="319"/>
      <c r="S58" s="319"/>
    </row>
    <row r="59" spans="1:19">
      <c r="A59" s="155"/>
    </row>
    <row r="61" spans="1:19">
      <c r="B61" s="94"/>
    </row>
    <row r="62" spans="1:19">
      <c r="B62" s="94"/>
    </row>
  </sheetData>
  <mergeCells count="25">
    <mergeCell ref="B57:K57"/>
    <mergeCell ref="B55:K55"/>
    <mergeCell ref="B56:K56"/>
    <mergeCell ref="M23:S23"/>
    <mergeCell ref="M28:S28"/>
    <mergeCell ref="M35:S35"/>
    <mergeCell ref="B45:K45"/>
    <mergeCell ref="B54:K54"/>
    <mergeCell ref="B46:K46"/>
    <mergeCell ref="B47:K47"/>
    <mergeCell ref="B50:K50"/>
    <mergeCell ref="B51:K51"/>
    <mergeCell ref="B53:K53"/>
    <mergeCell ref="B41:K41"/>
    <mergeCell ref="B42:K42"/>
    <mergeCell ref="B43:K43"/>
    <mergeCell ref="B44:K44"/>
    <mergeCell ref="B48:K48"/>
    <mergeCell ref="B49:K49"/>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4D5A-BC12-4623-8962-B0E43DCE3B57}">
  <sheetPr codeName="Sheet75">
    <tabColor theme="4"/>
  </sheetPr>
  <dimension ref="A1:S57"/>
  <sheetViews>
    <sheetView zoomScaleNormal="100" zoomScaleSheetLayoutView="120" workbookViewId="0">
      <selection activeCell="B47" sqref="B47:K47"/>
    </sheetView>
  </sheetViews>
  <sheetFormatPr defaultColWidth="9.28515625" defaultRowHeight="15"/>
  <cols>
    <col min="1" max="1" width="3" style="93" customWidth="1"/>
    <col min="2" max="2" width="35.28515625" style="93" customWidth="1"/>
    <col min="3" max="9" width="9.28515625" style="93" customWidth="1"/>
    <col min="10" max="10" width="6.5703125" style="93" customWidth="1"/>
    <col min="11" max="11" width="7.140625" style="93" customWidth="1"/>
    <col min="12" max="12" width="6.7109375" style="93" customWidth="1"/>
    <col min="13" max="16384" width="9.28515625" style="94"/>
  </cols>
  <sheetData>
    <row r="1" spans="1:19" ht="20.25">
      <c r="A1" s="317" t="s">
        <v>327</v>
      </c>
      <c r="B1" s="318" t="s">
        <v>234</v>
      </c>
      <c r="C1" s="317" t="s">
        <v>327</v>
      </c>
      <c r="D1" s="317" t="s">
        <v>327</v>
      </c>
      <c r="E1" s="317" t="s">
        <v>327</v>
      </c>
      <c r="F1" s="317" t="s">
        <v>327</v>
      </c>
      <c r="G1" s="317" t="s">
        <v>327</v>
      </c>
      <c r="H1" s="317" t="s">
        <v>327</v>
      </c>
      <c r="I1" s="317" t="s">
        <v>327</v>
      </c>
      <c r="J1" s="317" t="s">
        <v>327</v>
      </c>
      <c r="K1" s="317" t="s">
        <v>327</v>
      </c>
      <c r="L1" s="317" t="s">
        <v>327</v>
      </c>
    </row>
    <row r="2" spans="1:19">
      <c r="A2" s="317" t="s">
        <v>327</v>
      </c>
      <c r="B2" s="317" t="s">
        <v>327</v>
      </c>
      <c r="C2" s="317" t="s">
        <v>327</v>
      </c>
      <c r="D2" s="317" t="s">
        <v>327</v>
      </c>
      <c r="E2" s="317" t="s">
        <v>327</v>
      </c>
      <c r="F2" s="317" t="s">
        <v>327</v>
      </c>
      <c r="G2" s="317" t="s">
        <v>327</v>
      </c>
      <c r="H2" s="317" t="s">
        <v>327</v>
      </c>
      <c r="I2" s="317" t="s">
        <v>327</v>
      </c>
      <c r="J2" s="317" t="s">
        <v>327</v>
      </c>
      <c r="K2" s="317" t="s">
        <v>327</v>
      </c>
      <c r="L2" s="317" t="s">
        <v>327</v>
      </c>
    </row>
    <row r="3" spans="1:19">
      <c r="A3" s="93" t="s">
        <v>327</v>
      </c>
      <c r="B3" s="95" t="s">
        <v>145</v>
      </c>
      <c r="C3" s="1141" t="s">
        <v>346</v>
      </c>
      <c r="D3" s="1141"/>
      <c r="E3" s="1141"/>
      <c r="F3" s="1141"/>
      <c r="G3" s="1141"/>
      <c r="H3" s="1141"/>
      <c r="I3" s="1141"/>
      <c r="J3" s="1141"/>
      <c r="K3" s="1142"/>
      <c r="L3" s="93" t="s">
        <v>327</v>
      </c>
      <c r="M3" s="97"/>
      <c r="N3" s="1143"/>
      <c r="O3" s="1144"/>
      <c r="P3" s="1144"/>
      <c r="Q3" s="1144"/>
      <c r="R3" s="1144"/>
      <c r="S3" s="1144"/>
    </row>
    <row r="4" spans="1:19" ht="13.9" customHeight="1">
      <c r="A4" s="93" t="s">
        <v>327</v>
      </c>
      <c r="B4" s="98" t="s">
        <v>327</v>
      </c>
      <c r="C4" s="99">
        <v>2023</v>
      </c>
      <c r="D4" s="99">
        <v>2030</v>
      </c>
      <c r="E4" s="99">
        <v>2050</v>
      </c>
      <c r="F4" s="1145" t="s">
        <v>236</v>
      </c>
      <c r="G4" s="1142"/>
      <c r="H4" s="1145" t="s">
        <v>237</v>
      </c>
      <c r="I4" s="1142"/>
      <c r="J4" s="99" t="s">
        <v>238</v>
      </c>
      <c r="K4" s="99" t="s">
        <v>239</v>
      </c>
      <c r="L4" s="93" t="s">
        <v>327</v>
      </c>
      <c r="M4" s="100"/>
      <c r="N4" s="101"/>
      <c r="O4" s="101"/>
      <c r="P4" s="101"/>
      <c r="Q4" s="101"/>
      <c r="R4" s="101"/>
      <c r="S4" s="101"/>
    </row>
    <row r="5" spans="1:19">
      <c r="A5" s="93" t="s">
        <v>327</v>
      </c>
      <c r="B5" s="102" t="s">
        <v>240</v>
      </c>
      <c r="C5" s="103" t="s">
        <v>327</v>
      </c>
      <c r="D5" s="103" t="s">
        <v>327</v>
      </c>
      <c r="E5" s="103" t="s">
        <v>327</v>
      </c>
      <c r="F5" s="96" t="s">
        <v>241</v>
      </c>
      <c r="G5" s="96" t="s">
        <v>242</v>
      </c>
      <c r="H5" s="96" t="s">
        <v>241</v>
      </c>
      <c r="I5" s="96" t="s">
        <v>242</v>
      </c>
      <c r="J5" s="103" t="s">
        <v>327</v>
      </c>
      <c r="K5" s="104" t="s">
        <v>327</v>
      </c>
      <c r="L5" s="93" t="s">
        <v>327</v>
      </c>
      <c r="M5" s="1146"/>
      <c r="N5" s="1146"/>
      <c r="O5" s="1146"/>
      <c r="P5" s="1146"/>
      <c r="Q5" s="1146"/>
      <c r="R5" s="1146"/>
      <c r="S5" s="1146"/>
    </row>
    <row r="6" spans="1:19">
      <c r="A6" s="93" t="s">
        <v>327</v>
      </c>
      <c r="B6" s="105" t="s">
        <v>243</v>
      </c>
      <c r="C6" s="106">
        <v>5</v>
      </c>
      <c r="D6" s="106">
        <v>5</v>
      </c>
      <c r="E6" s="106">
        <v>5</v>
      </c>
      <c r="F6" s="118">
        <v>1</v>
      </c>
      <c r="G6" s="106">
        <v>22</v>
      </c>
      <c r="H6" s="118">
        <v>1</v>
      </c>
      <c r="I6" s="106">
        <v>50</v>
      </c>
      <c r="J6" s="107" t="s">
        <v>305</v>
      </c>
      <c r="K6" s="108" t="s">
        <v>347</v>
      </c>
      <c r="L6" s="93" t="s">
        <v>327</v>
      </c>
      <c r="M6" s="109"/>
      <c r="N6" s="1139"/>
      <c r="O6" s="1140"/>
      <c r="P6" s="1140"/>
      <c r="Q6" s="1140"/>
      <c r="R6" s="1140"/>
      <c r="S6" s="1140"/>
    </row>
    <row r="7" spans="1:19" ht="24">
      <c r="A7" s="93" t="s">
        <v>327</v>
      </c>
      <c r="B7" s="105" t="s">
        <v>244</v>
      </c>
      <c r="C7" s="106">
        <v>11</v>
      </c>
      <c r="D7" s="106">
        <v>11</v>
      </c>
      <c r="E7" s="106">
        <v>11</v>
      </c>
      <c r="F7" s="106">
        <v>1</v>
      </c>
      <c r="G7" s="106">
        <v>100</v>
      </c>
      <c r="H7" s="106">
        <v>20</v>
      </c>
      <c r="I7" s="106">
        <v>100</v>
      </c>
      <c r="J7" s="107" t="s">
        <v>305</v>
      </c>
      <c r="K7" s="108" t="s">
        <v>347</v>
      </c>
      <c r="L7" s="93" t="s">
        <v>327</v>
      </c>
      <c r="M7" s="109"/>
      <c r="N7" s="110"/>
      <c r="O7" s="111"/>
      <c r="P7" s="111"/>
      <c r="Q7" s="111"/>
      <c r="R7" s="111"/>
      <c r="S7" s="111"/>
    </row>
    <row r="8" spans="1:19">
      <c r="A8" s="93" t="s">
        <v>327</v>
      </c>
      <c r="B8" s="105" t="s">
        <v>245</v>
      </c>
      <c r="C8" s="106">
        <v>95</v>
      </c>
      <c r="D8" s="106">
        <v>95</v>
      </c>
      <c r="E8" s="106">
        <v>95</v>
      </c>
      <c r="F8" s="106">
        <v>85</v>
      </c>
      <c r="G8" s="106">
        <v>97</v>
      </c>
      <c r="H8" s="106">
        <v>85</v>
      </c>
      <c r="I8" s="106">
        <v>97</v>
      </c>
      <c r="J8" s="107" t="s">
        <v>246</v>
      </c>
      <c r="K8" s="112">
        <v>1</v>
      </c>
      <c r="L8" s="93" t="s">
        <v>327</v>
      </c>
      <c r="M8" s="109"/>
      <c r="N8" s="113"/>
      <c r="O8" s="113"/>
      <c r="P8" s="113"/>
      <c r="Q8" s="113"/>
      <c r="R8" s="113"/>
      <c r="S8" s="113"/>
    </row>
    <row r="9" spans="1:19">
      <c r="A9" s="93" t="s">
        <v>327</v>
      </c>
      <c r="B9" s="114" t="s">
        <v>247</v>
      </c>
      <c r="C9" s="106">
        <v>95</v>
      </c>
      <c r="D9" s="106">
        <v>95</v>
      </c>
      <c r="E9" s="106">
        <v>95</v>
      </c>
      <c r="F9" s="106">
        <v>85</v>
      </c>
      <c r="G9" s="106">
        <v>97</v>
      </c>
      <c r="H9" s="106">
        <v>85</v>
      </c>
      <c r="I9" s="106">
        <v>97</v>
      </c>
      <c r="J9" s="107" t="s">
        <v>246</v>
      </c>
      <c r="K9" s="112">
        <v>1</v>
      </c>
      <c r="L9" s="93" t="s">
        <v>327</v>
      </c>
      <c r="M9" s="109"/>
      <c r="N9" s="113"/>
      <c r="O9" s="113"/>
      <c r="P9" s="113"/>
      <c r="Q9" s="113"/>
      <c r="R9" s="113"/>
      <c r="S9" s="113"/>
    </row>
    <row r="10" spans="1:19">
      <c r="A10" s="93" t="s">
        <v>327</v>
      </c>
      <c r="B10" s="105" t="s">
        <v>248</v>
      </c>
      <c r="C10" s="129">
        <v>4</v>
      </c>
      <c r="D10" s="129">
        <v>4</v>
      </c>
      <c r="E10" s="129">
        <v>4</v>
      </c>
      <c r="F10" s="106">
        <v>2</v>
      </c>
      <c r="G10" s="106">
        <v>10</v>
      </c>
      <c r="H10" s="106">
        <v>2</v>
      </c>
      <c r="I10" s="106">
        <v>10</v>
      </c>
      <c r="J10" s="107" t="s">
        <v>327</v>
      </c>
      <c r="K10" s="108">
        <v>1</v>
      </c>
      <c r="L10" s="93" t="s">
        <v>327</v>
      </c>
      <c r="M10" s="93"/>
      <c r="N10" s="116"/>
      <c r="O10" s="116"/>
      <c r="P10" s="116"/>
      <c r="Q10" s="116"/>
      <c r="R10" s="116"/>
      <c r="S10" s="113"/>
    </row>
    <row r="11" spans="1:19">
      <c r="A11" s="93" t="s">
        <v>327</v>
      </c>
      <c r="B11" s="117" t="s">
        <v>249</v>
      </c>
      <c r="C11" s="129">
        <v>6</v>
      </c>
      <c r="D11" s="129">
        <v>6</v>
      </c>
      <c r="E11" s="129">
        <v>6</v>
      </c>
      <c r="F11" s="106">
        <v>3</v>
      </c>
      <c r="G11" s="106">
        <v>10</v>
      </c>
      <c r="H11" s="106">
        <v>3</v>
      </c>
      <c r="I11" s="106">
        <v>10</v>
      </c>
      <c r="J11" s="107" t="s">
        <v>327</v>
      </c>
      <c r="K11" s="108">
        <v>1</v>
      </c>
      <c r="L11" s="93" t="s">
        <v>327</v>
      </c>
      <c r="M11" s="93"/>
      <c r="N11" s="116"/>
      <c r="O11" s="116"/>
      <c r="P11" s="116"/>
      <c r="Q11" s="116"/>
      <c r="R11" s="116"/>
      <c r="S11" s="113"/>
    </row>
    <row r="12" spans="1:19">
      <c r="A12" s="93" t="s">
        <v>327</v>
      </c>
      <c r="B12" s="117" t="s">
        <v>250</v>
      </c>
      <c r="C12" s="129">
        <v>50</v>
      </c>
      <c r="D12" s="129">
        <v>50</v>
      </c>
      <c r="E12" s="129">
        <v>50</v>
      </c>
      <c r="F12" s="106">
        <v>40</v>
      </c>
      <c r="G12" s="106">
        <v>90</v>
      </c>
      <c r="H12" s="106">
        <v>40</v>
      </c>
      <c r="I12" s="106">
        <v>90</v>
      </c>
      <c r="J12" s="107" t="s">
        <v>327</v>
      </c>
      <c r="K12" s="108">
        <v>1</v>
      </c>
      <c r="L12" s="93" t="s">
        <v>327</v>
      </c>
      <c r="M12" s="109"/>
      <c r="N12" s="113"/>
      <c r="O12" s="113"/>
      <c r="P12" s="113"/>
      <c r="Q12" s="113"/>
      <c r="R12" s="113"/>
      <c r="S12" s="113"/>
    </row>
    <row r="13" spans="1:19">
      <c r="A13" s="93" t="s">
        <v>327</v>
      </c>
      <c r="B13" s="117" t="s">
        <v>252</v>
      </c>
      <c r="C13" s="156">
        <v>3</v>
      </c>
      <c r="D13" s="156">
        <v>3</v>
      </c>
      <c r="E13" s="156">
        <v>3</v>
      </c>
      <c r="F13" s="107">
        <v>2</v>
      </c>
      <c r="G13" s="107">
        <v>6</v>
      </c>
      <c r="H13" s="107">
        <v>2</v>
      </c>
      <c r="I13" s="107">
        <v>6</v>
      </c>
      <c r="J13" s="107" t="s">
        <v>327</v>
      </c>
      <c r="K13" s="108">
        <v>1</v>
      </c>
      <c r="L13" s="93" t="s">
        <v>327</v>
      </c>
      <c r="M13" s="109"/>
      <c r="N13" s="113"/>
      <c r="O13" s="113"/>
      <c r="P13" s="113"/>
      <c r="Q13" s="113"/>
      <c r="R13" s="113"/>
      <c r="S13" s="113"/>
    </row>
    <row r="14" spans="1:19">
      <c r="A14" s="93" t="s">
        <v>327</v>
      </c>
      <c r="B14" s="119" t="s">
        <v>254</v>
      </c>
      <c r="C14" s="129">
        <v>14</v>
      </c>
      <c r="D14" s="129">
        <v>14</v>
      </c>
      <c r="E14" s="129">
        <v>14</v>
      </c>
      <c r="F14" s="112">
        <v>11</v>
      </c>
      <c r="G14" s="112">
        <v>18</v>
      </c>
      <c r="H14" s="112">
        <v>11</v>
      </c>
      <c r="I14" s="112">
        <v>18</v>
      </c>
      <c r="J14" s="120" t="s">
        <v>300</v>
      </c>
      <c r="K14" s="107" t="s">
        <v>327</v>
      </c>
      <c r="L14" s="93" t="s">
        <v>327</v>
      </c>
      <c r="M14" s="109"/>
      <c r="N14" s="113"/>
      <c r="O14" s="113"/>
      <c r="P14" s="113"/>
      <c r="Q14" s="113"/>
      <c r="R14" s="113"/>
      <c r="S14" s="113"/>
    </row>
    <row r="15" spans="1:19">
      <c r="A15" s="93" t="s">
        <v>327</v>
      </c>
      <c r="B15" s="121" t="s">
        <v>255</v>
      </c>
      <c r="C15" s="122" t="s">
        <v>327</v>
      </c>
      <c r="D15" s="122" t="s">
        <v>327</v>
      </c>
      <c r="E15" s="122" t="s">
        <v>327</v>
      </c>
      <c r="F15" s="122" t="s">
        <v>327</v>
      </c>
      <c r="G15" s="122" t="s">
        <v>327</v>
      </c>
      <c r="H15" s="122" t="s">
        <v>327</v>
      </c>
      <c r="I15" s="123" t="s">
        <v>327</v>
      </c>
      <c r="J15" s="123" t="s">
        <v>327</v>
      </c>
      <c r="K15" s="124" t="s">
        <v>327</v>
      </c>
      <c r="L15" s="93" t="s">
        <v>327</v>
      </c>
      <c r="M15" s="109"/>
      <c r="N15" s="113"/>
      <c r="O15" s="113"/>
      <c r="P15" s="113"/>
      <c r="Q15" s="113"/>
      <c r="R15" s="113"/>
      <c r="S15" s="113"/>
    </row>
    <row r="16" spans="1:19">
      <c r="A16" s="93" t="s">
        <v>327</v>
      </c>
      <c r="B16" s="119" t="s">
        <v>256</v>
      </c>
      <c r="C16" s="112">
        <v>55</v>
      </c>
      <c r="D16" s="112">
        <v>55</v>
      </c>
      <c r="E16" s="112">
        <v>55</v>
      </c>
      <c r="F16" s="112">
        <v>20</v>
      </c>
      <c r="G16" s="112">
        <v>95</v>
      </c>
      <c r="H16" s="112">
        <v>20</v>
      </c>
      <c r="I16" s="112">
        <v>95</v>
      </c>
      <c r="J16" s="120" t="s">
        <v>327</v>
      </c>
      <c r="K16" s="112" t="s">
        <v>348</v>
      </c>
      <c r="L16" s="93" t="s">
        <v>327</v>
      </c>
      <c r="M16" s="109"/>
      <c r="N16" s="113"/>
      <c r="O16" s="113"/>
      <c r="P16" s="113"/>
      <c r="Q16" s="113"/>
      <c r="R16" s="113"/>
      <c r="S16" s="113"/>
    </row>
    <row r="17" spans="1:19">
      <c r="A17" s="93" t="s">
        <v>327</v>
      </c>
      <c r="B17" s="119" t="s">
        <v>257</v>
      </c>
      <c r="C17" s="112">
        <v>51</v>
      </c>
      <c r="D17" s="112">
        <v>51</v>
      </c>
      <c r="E17" s="112">
        <v>51</v>
      </c>
      <c r="F17" s="112">
        <v>20</v>
      </c>
      <c r="G17" s="112">
        <v>95</v>
      </c>
      <c r="H17" s="112">
        <v>20</v>
      </c>
      <c r="I17" s="112">
        <v>95</v>
      </c>
      <c r="J17" s="120" t="s">
        <v>327</v>
      </c>
      <c r="K17" s="112" t="s">
        <v>348</v>
      </c>
      <c r="L17" s="93" t="s">
        <v>327</v>
      </c>
      <c r="M17" s="109"/>
      <c r="N17" s="113"/>
      <c r="O17" s="113"/>
      <c r="P17" s="113"/>
      <c r="Q17" s="113"/>
      <c r="R17" s="113"/>
      <c r="S17" s="113"/>
    </row>
    <row r="18" spans="1:19">
      <c r="A18" s="93" t="s">
        <v>327</v>
      </c>
      <c r="B18" s="125" t="s">
        <v>258</v>
      </c>
      <c r="C18" s="126" t="s">
        <v>327</v>
      </c>
      <c r="D18" s="126" t="s">
        <v>327</v>
      </c>
      <c r="E18" s="126" t="s">
        <v>327</v>
      </c>
      <c r="F18" s="126" t="s">
        <v>327</v>
      </c>
      <c r="G18" s="126" t="s">
        <v>327</v>
      </c>
      <c r="H18" s="126" t="s">
        <v>327</v>
      </c>
      <c r="I18" s="127" t="s">
        <v>327</v>
      </c>
      <c r="J18" s="127" t="s">
        <v>327</v>
      </c>
      <c r="K18" s="128" t="s">
        <v>327</v>
      </c>
      <c r="L18" s="93" t="s">
        <v>327</v>
      </c>
      <c r="M18" s="109"/>
      <c r="N18" s="113"/>
      <c r="O18" s="113"/>
      <c r="P18" s="113"/>
      <c r="Q18" s="113"/>
      <c r="R18" s="113"/>
      <c r="S18" s="113"/>
    </row>
    <row r="19" spans="1:19">
      <c r="A19" s="93" t="s">
        <v>327</v>
      </c>
      <c r="B19" s="117" t="s">
        <v>259</v>
      </c>
      <c r="C19" s="129">
        <v>50</v>
      </c>
      <c r="D19" s="129">
        <v>50</v>
      </c>
      <c r="E19" s="129">
        <v>50</v>
      </c>
      <c r="F19" s="129">
        <v>30</v>
      </c>
      <c r="G19" s="129">
        <v>100</v>
      </c>
      <c r="H19" s="129">
        <v>30</v>
      </c>
      <c r="I19" s="129">
        <v>100</v>
      </c>
      <c r="J19" s="120" t="s">
        <v>327</v>
      </c>
      <c r="K19" s="108">
        <v>3</v>
      </c>
      <c r="L19" s="130" t="s">
        <v>327</v>
      </c>
      <c r="M19" s="109"/>
      <c r="N19" s="113"/>
      <c r="O19" s="113"/>
      <c r="P19" s="113"/>
      <c r="Q19" s="113"/>
      <c r="R19" s="113"/>
      <c r="S19" s="113"/>
    </row>
    <row r="20" spans="1:19">
      <c r="A20" s="93" t="s">
        <v>327</v>
      </c>
      <c r="B20" s="117" t="s">
        <v>260</v>
      </c>
      <c r="C20" s="129">
        <v>0</v>
      </c>
      <c r="D20" s="129">
        <v>0</v>
      </c>
      <c r="E20" s="129">
        <v>0</v>
      </c>
      <c r="F20" s="129">
        <v>0</v>
      </c>
      <c r="G20" s="129">
        <v>0</v>
      </c>
      <c r="H20" s="129">
        <v>0</v>
      </c>
      <c r="I20" s="129">
        <v>0</v>
      </c>
      <c r="J20" s="120" t="s">
        <v>327</v>
      </c>
      <c r="K20" s="108">
        <v>3</v>
      </c>
      <c r="L20" s="93" t="s">
        <v>327</v>
      </c>
      <c r="M20" s="109"/>
      <c r="N20" s="113"/>
      <c r="O20" s="113"/>
      <c r="P20" s="113"/>
      <c r="Q20" s="113"/>
      <c r="R20" s="113"/>
      <c r="S20" s="113"/>
    </row>
    <row r="21" spans="1:19">
      <c r="A21" s="93" t="s">
        <v>327</v>
      </c>
      <c r="B21" s="117" t="s">
        <v>261</v>
      </c>
      <c r="C21" s="129">
        <v>0.1</v>
      </c>
      <c r="D21" s="129">
        <v>0.1</v>
      </c>
      <c r="E21" s="129">
        <v>0.1</v>
      </c>
      <c r="F21" s="129">
        <v>0</v>
      </c>
      <c r="G21" s="129">
        <v>0.3</v>
      </c>
      <c r="H21" s="129">
        <v>0</v>
      </c>
      <c r="I21" s="129">
        <v>0.3</v>
      </c>
      <c r="J21" s="120" t="s">
        <v>327</v>
      </c>
      <c r="K21" s="108">
        <v>3</v>
      </c>
      <c r="L21" s="93" t="s">
        <v>327</v>
      </c>
      <c r="M21" s="109"/>
      <c r="N21" s="113"/>
      <c r="O21" s="113"/>
      <c r="P21" s="113"/>
      <c r="Q21" s="113"/>
      <c r="R21" s="113"/>
      <c r="S21" s="113"/>
    </row>
    <row r="22" spans="1:19">
      <c r="A22" s="93" t="s">
        <v>327</v>
      </c>
      <c r="B22" s="117" t="s">
        <v>262</v>
      </c>
      <c r="C22" s="129">
        <v>0.1</v>
      </c>
      <c r="D22" s="129">
        <v>0.1</v>
      </c>
      <c r="E22" s="129">
        <v>0.1</v>
      </c>
      <c r="F22" s="129">
        <v>0</v>
      </c>
      <c r="G22" s="129">
        <v>0.3</v>
      </c>
      <c r="H22" s="129">
        <v>0</v>
      </c>
      <c r="I22" s="129">
        <v>0.3</v>
      </c>
      <c r="J22" s="120" t="s">
        <v>327</v>
      </c>
      <c r="K22" s="108">
        <v>3</v>
      </c>
      <c r="L22" s="93" t="s">
        <v>327</v>
      </c>
      <c r="M22" s="109"/>
      <c r="N22" s="113"/>
      <c r="O22" s="113"/>
      <c r="P22" s="113"/>
      <c r="Q22" s="113"/>
      <c r="R22" s="113"/>
      <c r="S22" s="113"/>
    </row>
    <row r="23" spans="1:19">
      <c r="A23" s="93" t="s">
        <v>327</v>
      </c>
      <c r="B23" s="125" t="s">
        <v>263</v>
      </c>
      <c r="C23" s="131" t="s">
        <v>327</v>
      </c>
      <c r="D23" s="132" t="s">
        <v>327</v>
      </c>
      <c r="E23" s="132" t="s">
        <v>327</v>
      </c>
      <c r="F23" s="132" t="s">
        <v>327</v>
      </c>
      <c r="G23" s="132" t="s">
        <v>327</v>
      </c>
      <c r="H23" s="132" t="s">
        <v>327</v>
      </c>
      <c r="I23" s="132" t="s">
        <v>327</v>
      </c>
      <c r="J23" s="132" t="s">
        <v>327</v>
      </c>
      <c r="K23" s="133" t="s">
        <v>327</v>
      </c>
      <c r="L23" s="93" t="s">
        <v>327</v>
      </c>
      <c r="M23" s="1146"/>
      <c r="N23" s="1146"/>
      <c r="O23" s="1146"/>
      <c r="P23" s="1146"/>
      <c r="Q23" s="1146"/>
      <c r="R23" s="1146"/>
      <c r="S23" s="1146"/>
    </row>
    <row r="24" spans="1:19">
      <c r="A24" s="93" t="s">
        <v>327</v>
      </c>
      <c r="B24" s="117" t="s">
        <v>264</v>
      </c>
      <c r="C24" s="134">
        <v>0</v>
      </c>
      <c r="D24" s="134">
        <v>0</v>
      </c>
      <c r="E24" s="134">
        <v>0</v>
      </c>
      <c r="F24" s="134" t="s">
        <v>327</v>
      </c>
      <c r="G24" s="134" t="s">
        <v>327</v>
      </c>
      <c r="H24" s="134" t="s">
        <v>327</v>
      </c>
      <c r="I24" s="134" t="s">
        <v>327</v>
      </c>
      <c r="J24" s="135" t="s">
        <v>327</v>
      </c>
      <c r="K24" s="108" t="s">
        <v>327</v>
      </c>
      <c r="L24" s="93" t="s">
        <v>327</v>
      </c>
      <c r="M24" s="109"/>
      <c r="N24" s="113"/>
      <c r="O24" s="113"/>
      <c r="P24" s="113"/>
      <c r="Q24" s="113"/>
      <c r="R24" s="113"/>
      <c r="S24" s="113"/>
    </row>
    <row r="25" spans="1:19">
      <c r="A25" s="93" t="s">
        <v>327</v>
      </c>
      <c r="B25" s="117" t="s">
        <v>266</v>
      </c>
      <c r="C25" s="134">
        <v>0</v>
      </c>
      <c r="D25" s="134">
        <v>0</v>
      </c>
      <c r="E25" s="134">
        <v>0</v>
      </c>
      <c r="F25" s="134" t="s">
        <v>327</v>
      </c>
      <c r="G25" s="134" t="s">
        <v>327</v>
      </c>
      <c r="H25" s="134" t="s">
        <v>327</v>
      </c>
      <c r="I25" s="134" t="s">
        <v>327</v>
      </c>
      <c r="J25" s="135" t="s">
        <v>327</v>
      </c>
      <c r="K25" s="108" t="s">
        <v>327</v>
      </c>
      <c r="L25" s="93" t="s">
        <v>327</v>
      </c>
      <c r="M25" s="109"/>
      <c r="N25" s="113"/>
      <c r="O25" s="113"/>
      <c r="P25" s="113"/>
      <c r="Q25" s="113"/>
      <c r="R25" s="113"/>
      <c r="S25" s="113"/>
    </row>
    <row r="26" spans="1:19">
      <c r="A26" s="93" t="s">
        <v>327</v>
      </c>
      <c r="B26" s="117" t="s">
        <v>267</v>
      </c>
      <c r="C26" s="134">
        <v>0</v>
      </c>
      <c r="D26" s="134">
        <v>0</v>
      </c>
      <c r="E26" s="134">
        <v>0</v>
      </c>
      <c r="F26" s="134" t="s">
        <v>327</v>
      </c>
      <c r="G26" s="134" t="s">
        <v>327</v>
      </c>
      <c r="H26" s="134" t="s">
        <v>327</v>
      </c>
      <c r="I26" s="134" t="s">
        <v>327</v>
      </c>
      <c r="J26" s="136" t="s">
        <v>327</v>
      </c>
      <c r="K26" s="108" t="s">
        <v>327</v>
      </c>
      <c r="L26" s="93" t="s">
        <v>327</v>
      </c>
      <c r="M26" s="109"/>
      <c r="N26" s="113"/>
      <c r="O26" s="113"/>
      <c r="P26" s="113"/>
      <c r="Q26" s="113"/>
      <c r="R26" s="113"/>
      <c r="S26" s="113"/>
    </row>
    <row r="27" spans="1:19">
      <c r="A27" s="93" t="s">
        <v>327</v>
      </c>
      <c r="B27" s="117" t="s">
        <v>268</v>
      </c>
      <c r="C27" s="134">
        <v>0</v>
      </c>
      <c r="D27" s="134">
        <v>0</v>
      </c>
      <c r="E27" s="134">
        <v>0</v>
      </c>
      <c r="F27" s="134" t="s">
        <v>327</v>
      </c>
      <c r="G27" s="134" t="s">
        <v>327</v>
      </c>
      <c r="H27" s="134" t="s">
        <v>327</v>
      </c>
      <c r="I27" s="134" t="s">
        <v>327</v>
      </c>
      <c r="J27" s="120" t="s">
        <v>327</v>
      </c>
      <c r="K27" s="120" t="s">
        <v>327</v>
      </c>
      <c r="L27" s="93" t="s">
        <v>327</v>
      </c>
      <c r="M27" s="109"/>
      <c r="N27" s="137"/>
      <c r="O27" s="137"/>
      <c r="P27" s="137"/>
      <c r="Q27" s="137"/>
      <c r="R27" s="113"/>
      <c r="S27" s="113"/>
    </row>
    <row r="28" spans="1:19">
      <c r="A28" s="93" t="s">
        <v>327</v>
      </c>
      <c r="B28" s="117" t="s">
        <v>269</v>
      </c>
      <c r="C28" s="134">
        <v>0</v>
      </c>
      <c r="D28" s="134">
        <v>0</v>
      </c>
      <c r="E28" s="134">
        <v>0</v>
      </c>
      <c r="F28" s="134" t="s">
        <v>327</v>
      </c>
      <c r="G28" s="134" t="s">
        <v>327</v>
      </c>
      <c r="H28" s="134" t="s">
        <v>327</v>
      </c>
      <c r="I28" s="134" t="s">
        <v>327</v>
      </c>
      <c r="J28" s="120" t="s">
        <v>327</v>
      </c>
      <c r="K28" s="120" t="s">
        <v>327</v>
      </c>
      <c r="L28" s="138" t="s">
        <v>327</v>
      </c>
      <c r="M28" s="97"/>
      <c r="N28" s="97"/>
      <c r="O28" s="97"/>
      <c r="P28" s="97"/>
      <c r="Q28" s="97"/>
      <c r="R28" s="97"/>
      <c r="S28" s="97"/>
    </row>
    <row r="29" spans="1:19">
      <c r="A29" s="93" t="s">
        <v>327</v>
      </c>
      <c r="B29" s="125" t="s">
        <v>270</v>
      </c>
      <c r="C29" s="132" t="s">
        <v>327</v>
      </c>
      <c r="D29" s="132" t="s">
        <v>327</v>
      </c>
      <c r="E29" s="132" t="s">
        <v>327</v>
      </c>
      <c r="F29" s="132" t="s">
        <v>327</v>
      </c>
      <c r="G29" s="132" t="s">
        <v>327</v>
      </c>
      <c r="H29" s="132" t="s">
        <v>327</v>
      </c>
      <c r="I29" s="132" t="s">
        <v>327</v>
      </c>
      <c r="J29" s="132" t="s">
        <v>327</v>
      </c>
      <c r="K29" s="133" t="s">
        <v>327</v>
      </c>
      <c r="L29" s="93" t="s">
        <v>327</v>
      </c>
      <c r="M29" s="109"/>
      <c r="N29" s="113"/>
      <c r="O29" s="113"/>
      <c r="P29" s="113"/>
      <c r="Q29" s="113"/>
      <c r="R29" s="113"/>
      <c r="S29" s="113"/>
    </row>
    <row r="30" spans="1:19" ht="14.25" customHeight="1">
      <c r="A30" s="93" t="s">
        <v>327</v>
      </c>
      <c r="B30" s="117" t="s">
        <v>271</v>
      </c>
      <c r="C30" s="139">
        <v>2.5</v>
      </c>
      <c r="D30" s="140">
        <v>2.4</v>
      </c>
      <c r="E30" s="140">
        <v>2.2250000000000001</v>
      </c>
      <c r="F30" s="139">
        <v>1.875</v>
      </c>
      <c r="G30" s="139">
        <v>3.125</v>
      </c>
      <c r="H30" s="139">
        <v>1.6687500000000002</v>
      </c>
      <c r="I30" s="140">
        <v>2.78125</v>
      </c>
      <c r="J30" s="120" t="s">
        <v>319</v>
      </c>
      <c r="K30" s="108" t="s">
        <v>349</v>
      </c>
      <c r="L30" s="93" t="s">
        <v>327</v>
      </c>
      <c r="M30" s="109"/>
      <c r="N30" s="141"/>
      <c r="O30" s="141"/>
      <c r="P30" s="141"/>
      <c r="Q30" s="141"/>
      <c r="R30" s="113"/>
      <c r="S30" s="113"/>
    </row>
    <row r="31" spans="1:19">
      <c r="A31" s="93" t="s">
        <v>327</v>
      </c>
      <c r="B31" s="117" t="s">
        <v>274</v>
      </c>
      <c r="C31" s="142">
        <v>0.4</v>
      </c>
      <c r="D31" s="142">
        <v>0.4</v>
      </c>
      <c r="E31" s="142">
        <v>0.4</v>
      </c>
      <c r="F31" s="142">
        <v>0.2</v>
      </c>
      <c r="G31" s="142">
        <v>0.5</v>
      </c>
      <c r="H31" s="142">
        <v>0.2</v>
      </c>
      <c r="I31" s="142">
        <v>0.5</v>
      </c>
      <c r="J31" s="120" t="s">
        <v>307</v>
      </c>
      <c r="K31" s="120">
        <v>6</v>
      </c>
      <c r="L31" s="93" t="s">
        <v>327</v>
      </c>
      <c r="M31" s="109"/>
      <c r="N31" s="141"/>
      <c r="O31" s="141"/>
      <c r="P31" s="141"/>
      <c r="Q31" s="141"/>
      <c r="R31" s="113"/>
      <c r="S31" s="113"/>
    </row>
    <row r="32" spans="1:19">
      <c r="A32" s="93" t="s">
        <v>327</v>
      </c>
      <c r="B32" s="117" t="s">
        <v>275</v>
      </c>
      <c r="C32" s="142">
        <v>0.6</v>
      </c>
      <c r="D32" s="142">
        <v>0.6</v>
      </c>
      <c r="E32" s="142">
        <v>0.6</v>
      </c>
      <c r="F32" s="142">
        <v>0.5</v>
      </c>
      <c r="G32" s="142">
        <v>0.8</v>
      </c>
      <c r="H32" s="142">
        <v>0.5</v>
      </c>
      <c r="I32" s="142">
        <v>0.8</v>
      </c>
      <c r="J32" s="120" t="s">
        <v>307</v>
      </c>
      <c r="K32" s="120">
        <v>6</v>
      </c>
      <c r="L32" s="93" t="s">
        <v>327</v>
      </c>
      <c r="M32" s="109"/>
      <c r="N32" s="141"/>
      <c r="O32" s="141"/>
      <c r="P32" s="141"/>
      <c r="Q32" s="141"/>
      <c r="R32" s="113"/>
      <c r="S32" s="113"/>
    </row>
    <row r="33" spans="1:19">
      <c r="A33" s="93" t="s">
        <v>327</v>
      </c>
      <c r="B33" s="117" t="s">
        <v>276</v>
      </c>
      <c r="C33" s="129">
        <v>47800</v>
      </c>
      <c r="D33" s="129">
        <v>45800</v>
      </c>
      <c r="E33" s="129">
        <v>42500</v>
      </c>
      <c r="F33" s="226">
        <v>35850</v>
      </c>
      <c r="G33" s="226">
        <v>59750</v>
      </c>
      <c r="H33" s="226">
        <v>31875</v>
      </c>
      <c r="I33" s="145">
        <v>53125</v>
      </c>
      <c r="J33" s="120" t="s">
        <v>327</v>
      </c>
      <c r="K33" s="108" t="s">
        <v>350</v>
      </c>
      <c r="L33" s="93" t="s">
        <v>327</v>
      </c>
      <c r="M33" s="109"/>
      <c r="N33" s="141"/>
      <c r="O33" s="141"/>
      <c r="P33" s="141"/>
      <c r="Q33" s="141"/>
      <c r="R33" s="113"/>
      <c r="S33" s="113"/>
    </row>
    <row r="34" spans="1:19">
      <c r="A34" s="93" t="s">
        <v>327</v>
      </c>
      <c r="B34" s="117" t="s">
        <v>279</v>
      </c>
      <c r="C34" s="139">
        <v>0.56999999999999995</v>
      </c>
      <c r="D34" s="143">
        <v>0.54719999999999991</v>
      </c>
      <c r="E34" s="143">
        <v>0.51300000000000001</v>
      </c>
      <c r="F34" s="139">
        <v>0.42749999999999999</v>
      </c>
      <c r="G34" s="139">
        <v>0.71249999999999991</v>
      </c>
      <c r="H34" s="139">
        <v>0.38475000000000004</v>
      </c>
      <c r="I34" s="140">
        <v>0.64124999999999999</v>
      </c>
      <c r="J34" s="120" t="s">
        <v>300</v>
      </c>
      <c r="K34" s="108">
        <v>1</v>
      </c>
      <c r="L34" s="93" t="s">
        <v>327</v>
      </c>
      <c r="M34" s="109"/>
      <c r="N34" s="141"/>
      <c r="O34" s="141"/>
      <c r="P34" s="141"/>
      <c r="Q34" s="141"/>
      <c r="R34" s="113"/>
      <c r="S34" s="113"/>
    </row>
    <row r="35" spans="1:19">
      <c r="A35" s="93" t="s">
        <v>327</v>
      </c>
      <c r="B35" s="117" t="s">
        <v>282</v>
      </c>
      <c r="C35" s="106" t="s">
        <v>146</v>
      </c>
      <c r="D35" s="106" t="s">
        <v>146</v>
      </c>
      <c r="E35" s="106" t="s">
        <v>146</v>
      </c>
      <c r="F35" s="106" t="s">
        <v>146</v>
      </c>
      <c r="G35" s="106" t="s">
        <v>146</v>
      </c>
      <c r="H35" s="106" t="s">
        <v>146</v>
      </c>
      <c r="I35" s="145" t="s">
        <v>146</v>
      </c>
      <c r="J35" s="120" t="s">
        <v>327</v>
      </c>
      <c r="K35" s="108" t="s">
        <v>327</v>
      </c>
      <c r="L35" s="93" t="s">
        <v>327</v>
      </c>
      <c r="M35" s="97"/>
      <c r="N35" s="97"/>
      <c r="O35" s="97"/>
      <c r="P35" s="97"/>
      <c r="Q35" s="97"/>
      <c r="R35" s="97"/>
      <c r="S35" s="97"/>
    </row>
    <row r="36" spans="1:19">
      <c r="A36" s="340" t="s">
        <v>327</v>
      </c>
      <c r="B36" s="317" t="s">
        <v>327</v>
      </c>
      <c r="C36" s="317" t="s">
        <v>327</v>
      </c>
      <c r="D36" s="317" t="s">
        <v>327</v>
      </c>
      <c r="E36" s="317" t="s">
        <v>327</v>
      </c>
      <c r="F36" s="317" t="s">
        <v>327</v>
      </c>
      <c r="G36" s="317" t="s">
        <v>327</v>
      </c>
      <c r="H36" s="317" t="s">
        <v>327</v>
      </c>
      <c r="I36" s="317" t="s">
        <v>327</v>
      </c>
      <c r="J36" s="317" t="s">
        <v>327</v>
      </c>
      <c r="K36" s="317" t="s">
        <v>327</v>
      </c>
      <c r="L36" s="319" t="s">
        <v>327</v>
      </c>
    </row>
    <row r="37" spans="1:19" s="93" customFormat="1" ht="11.45" customHeight="1">
      <c r="A37" s="381" t="s">
        <v>286</v>
      </c>
      <c r="B37" s="227"/>
      <c r="C37" s="170" t="s">
        <v>327</v>
      </c>
      <c r="D37" s="170" t="s">
        <v>327</v>
      </c>
      <c r="E37" s="170" t="s">
        <v>327</v>
      </c>
      <c r="F37" s="170" t="s">
        <v>327</v>
      </c>
      <c r="G37" s="170" t="s">
        <v>327</v>
      </c>
      <c r="H37" s="170" t="s">
        <v>327</v>
      </c>
      <c r="I37" s="170" t="s">
        <v>327</v>
      </c>
      <c r="J37" s="170" t="s">
        <v>327</v>
      </c>
      <c r="K37" s="170" t="s">
        <v>327</v>
      </c>
      <c r="L37" s="317" t="s">
        <v>327</v>
      </c>
    </row>
    <row r="38" spans="1:19" ht="14.1" customHeight="1">
      <c r="A38" s="502">
        <v>1</v>
      </c>
      <c r="B38" s="177" t="s">
        <v>336</v>
      </c>
      <c r="C38" s="150"/>
      <c r="D38" s="150"/>
      <c r="E38" s="150"/>
      <c r="F38" s="150"/>
      <c r="G38" s="150"/>
      <c r="H38" s="150"/>
      <c r="I38" s="150"/>
      <c r="J38" s="150"/>
      <c r="K38" s="150"/>
      <c r="L38" s="443"/>
      <c r="M38" s="517"/>
      <c r="N38" s="517"/>
      <c r="O38" s="517"/>
    </row>
    <row r="39" spans="1:19" ht="25.5" customHeight="1">
      <c r="A39" s="502">
        <v>2</v>
      </c>
      <c r="B39" s="1148" t="s">
        <v>337</v>
      </c>
      <c r="C39" s="1148"/>
      <c r="D39" s="1148"/>
      <c r="E39" s="1148"/>
      <c r="F39" s="1148"/>
      <c r="G39" s="1148"/>
      <c r="H39" s="1148"/>
      <c r="I39" s="1148"/>
      <c r="J39" s="1148"/>
      <c r="K39" s="1148"/>
      <c r="L39" s="512"/>
      <c r="M39" s="512"/>
      <c r="N39" s="512"/>
      <c r="O39" s="512"/>
    </row>
    <row r="40" spans="1:19" ht="14.1" customHeight="1">
      <c r="A40" s="502">
        <v>3</v>
      </c>
      <c r="B40" s="93" t="s">
        <v>334</v>
      </c>
      <c r="C40" s="150"/>
      <c r="D40" s="150"/>
      <c r="E40" s="150"/>
      <c r="F40" s="150"/>
      <c r="G40" s="150"/>
      <c r="L40" s="443" t="s">
        <v>327</v>
      </c>
      <c r="M40" s="517"/>
      <c r="N40" s="517"/>
      <c r="O40" s="517"/>
    </row>
    <row r="41" spans="1:19" ht="14.1" customHeight="1">
      <c r="A41" s="502">
        <v>4</v>
      </c>
      <c r="B41" s="1149" t="s">
        <v>351</v>
      </c>
      <c r="C41" s="1149"/>
      <c r="D41" s="1149"/>
      <c r="E41" s="1149"/>
      <c r="F41" s="1149"/>
      <c r="G41" s="1149"/>
      <c r="H41" s="1149"/>
      <c r="I41" s="1149"/>
      <c r="J41" s="1149"/>
      <c r="K41" s="1149"/>
      <c r="L41" s="443"/>
      <c r="M41" s="517"/>
      <c r="N41" s="517"/>
      <c r="O41" s="517"/>
    </row>
    <row r="42" spans="1:19" ht="14.1" customHeight="1">
      <c r="A42" s="502">
        <v>5</v>
      </c>
      <c r="B42" s="1149" t="s">
        <v>289</v>
      </c>
      <c r="C42" s="1149"/>
      <c r="D42" s="1149"/>
      <c r="E42" s="1149"/>
      <c r="F42" s="1149"/>
      <c r="G42" s="1149"/>
      <c r="H42" s="1149"/>
      <c r="I42" s="1149"/>
      <c r="J42" s="1149"/>
      <c r="K42" s="1149"/>
      <c r="L42" s="443" t="s">
        <v>327</v>
      </c>
      <c r="M42" s="517"/>
      <c r="N42" s="517"/>
      <c r="O42" s="517"/>
    </row>
    <row r="43" spans="1:19" ht="14.1" customHeight="1">
      <c r="A43" s="502">
        <v>6</v>
      </c>
      <c r="B43" s="1149" t="s">
        <v>335</v>
      </c>
      <c r="C43" s="1149"/>
      <c r="D43" s="1149"/>
      <c r="E43" s="1149"/>
      <c r="F43" s="1149"/>
      <c r="G43" s="1149"/>
      <c r="H43" s="1149"/>
      <c r="I43" s="1149"/>
      <c r="J43" s="1149"/>
      <c r="K43" s="1149"/>
      <c r="L43" s="443"/>
      <c r="M43" s="517"/>
      <c r="N43" s="517"/>
      <c r="O43" s="517"/>
    </row>
    <row r="44" spans="1:19" ht="14.1" customHeight="1">
      <c r="A44" s="502">
        <v>7</v>
      </c>
      <c r="B44" s="1149" t="s">
        <v>352</v>
      </c>
      <c r="C44" s="1149"/>
      <c r="D44" s="1149"/>
      <c r="E44" s="1149"/>
      <c r="F44" s="1149"/>
      <c r="G44" s="1149"/>
      <c r="H44" s="1149"/>
      <c r="I44" s="1149"/>
      <c r="J44" s="1149"/>
      <c r="K44" s="1149"/>
      <c r="L44" s="443"/>
      <c r="M44" s="517"/>
      <c r="N44" s="517"/>
      <c r="O44" s="517"/>
    </row>
    <row r="45" spans="1:19" ht="14.1" customHeight="1">
      <c r="A45" s="502">
        <v>8</v>
      </c>
      <c r="B45" s="1149" t="s">
        <v>333</v>
      </c>
      <c r="C45" s="1149"/>
      <c r="D45" s="1149"/>
      <c r="E45" s="1149"/>
      <c r="F45" s="1149"/>
      <c r="G45" s="1149"/>
      <c r="H45" s="1149"/>
      <c r="I45" s="1149"/>
      <c r="J45" s="1149"/>
      <c r="K45" s="1149"/>
      <c r="L45" s="443"/>
      <c r="M45" s="517"/>
      <c r="N45" s="517"/>
      <c r="O45" s="517"/>
    </row>
    <row r="46" spans="1:19" ht="14.1" customHeight="1">
      <c r="A46" s="502">
        <v>9</v>
      </c>
      <c r="B46" s="1149" t="s">
        <v>287</v>
      </c>
      <c r="C46" s="1149"/>
      <c r="D46" s="1149"/>
      <c r="E46" s="1149"/>
      <c r="F46" s="1149"/>
      <c r="G46" s="1149"/>
      <c r="H46" s="1149"/>
      <c r="I46" s="1149"/>
      <c r="J46" s="1149"/>
      <c r="K46" s="1149"/>
      <c r="L46" s="443"/>
      <c r="M46" s="517"/>
      <c r="N46" s="517"/>
      <c r="O46" s="517"/>
    </row>
    <row r="47" spans="1:19" ht="14.1" customHeight="1">
      <c r="A47" s="381" t="s">
        <v>298</v>
      </c>
      <c r="B47" s="1149"/>
      <c r="C47" s="1149" t="s">
        <v>327</v>
      </c>
      <c r="D47" s="1149" t="s">
        <v>327</v>
      </c>
      <c r="E47" s="1149" t="s">
        <v>327</v>
      </c>
      <c r="F47" s="1149" t="s">
        <v>327</v>
      </c>
      <c r="G47" s="1149" t="s">
        <v>327</v>
      </c>
      <c r="H47" s="1149" t="s">
        <v>327</v>
      </c>
      <c r="I47" s="1149" t="s">
        <v>327</v>
      </c>
      <c r="J47" s="1149" t="s">
        <v>327</v>
      </c>
      <c r="K47" s="1149" t="s">
        <v>327</v>
      </c>
      <c r="L47" s="317"/>
    </row>
    <row r="48" spans="1:19" ht="14.1" customHeight="1">
      <c r="A48" s="502" t="s">
        <v>246</v>
      </c>
      <c r="B48" s="1149" t="s">
        <v>341</v>
      </c>
      <c r="C48" s="1149"/>
      <c r="D48" s="1149"/>
      <c r="E48" s="1149"/>
      <c r="F48" s="1149"/>
      <c r="G48" s="1149"/>
      <c r="H48" s="1149"/>
      <c r="I48" s="1149"/>
      <c r="J48" s="1149"/>
      <c r="K48" s="1149"/>
      <c r="L48" s="317" t="s">
        <v>327</v>
      </c>
    </row>
    <row r="49" spans="1:12" ht="14.1" customHeight="1">
      <c r="A49" s="502" t="s">
        <v>300</v>
      </c>
      <c r="B49" s="1149" t="s">
        <v>323</v>
      </c>
      <c r="C49" s="1149"/>
      <c r="D49" s="1149"/>
      <c r="E49" s="1149"/>
      <c r="F49" s="1149"/>
      <c r="G49" s="1149"/>
      <c r="H49" s="1149"/>
      <c r="I49" s="1149"/>
      <c r="J49" s="1149"/>
      <c r="K49" s="1149"/>
      <c r="L49" s="317" t="s">
        <v>327</v>
      </c>
    </row>
    <row r="50" spans="1:12" ht="12.75" customHeight="1">
      <c r="A50" s="502" t="s">
        <v>265</v>
      </c>
      <c r="B50" s="1157" t="s">
        <v>343</v>
      </c>
      <c r="C50" s="1157"/>
      <c r="D50" s="1157"/>
      <c r="E50" s="1157"/>
      <c r="F50" s="1157"/>
      <c r="G50" s="1157"/>
      <c r="H50" s="1157"/>
      <c r="I50" s="1157"/>
      <c r="J50" s="1157"/>
      <c r="K50" s="1157"/>
      <c r="L50" s="317" t="s">
        <v>327</v>
      </c>
    </row>
    <row r="51" spans="1:12" ht="23.25" customHeight="1">
      <c r="A51" s="502" t="s">
        <v>303</v>
      </c>
      <c r="B51" s="1158" t="s">
        <v>324</v>
      </c>
      <c r="C51" s="1158"/>
      <c r="D51" s="1158"/>
      <c r="E51" s="1158"/>
      <c r="F51" s="1158"/>
      <c r="G51" s="1158"/>
      <c r="H51" s="1158"/>
      <c r="I51" s="1158"/>
      <c r="J51" s="1158"/>
      <c r="K51" s="1158"/>
      <c r="L51" s="317" t="s">
        <v>327</v>
      </c>
    </row>
    <row r="52" spans="1:12" ht="14.1" customHeight="1">
      <c r="A52" s="502" t="s">
        <v>305</v>
      </c>
      <c r="B52" s="177" t="s">
        <v>344</v>
      </c>
      <c r="C52" s="177"/>
      <c r="D52" s="177"/>
      <c r="E52" s="177"/>
      <c r="F52" s="177"/>
      <c r="G52" s="177"/>
      <c r="H52" s="177"/>
      <c r="I52" s="177"/>
      <c r="J52" s="177"/>
      <c r="K52" s="177"/>
      <c r="L52" s="317" t="s">
        <v>327</v>
      </c>
    </row>
    <row r="53" spans="1:12" ht="14.1" customHeight="1">
      <c r="A53" s="152" t="s">
        <v>307</v>
      </c>
      <c r="B53" s="1155" t="s">
        <v>353</v>
      </c>
      <c r="C53" s="1155"/>
      <c r="D53" s="1155"/>
      <c r="E53" s="1155"/>
      <c r="F53" s="1155"/>
      <c r="G53" s="1155"/>
      <c r="H53" s="1155"/>
      <c r="I53" s="1155"/>
      <c r="J53" s="1155"/>
      <c r="K53" s="1155"/>
      <c r="L53" s="317" t="s">
        <v>327</v>
      </c>
    </row>
    <row r="54" spans="1:12">
      <c r="A54" s="152"/>
      <c r="B54" s="1148"/>
      <c r="C54" s="1148"/>
      <c r="D54" s="1148"/>
      <c r="E54" s="1148"/>
      <c r="F54" s="1148"/>
      <c r="G54" s="1148"/>
      <c r="H54" s="1148"/>
      <c r="I54" s="1148"/>
      <c r="J54" s="1148"/>
      <c r="K54" s="1148"/>
    </row>
    <row r="56" spans="1:12">
      <c r="B56" s="94"/>
    </row>
    <row r="57" spans="1:12">
      <c r="B57" s="94"/>
    </row>
  </sheetData>
  <mergeCells count="21">
    <mergeCell ref="M23:S23"/>
    <mergeCell ref="B39:K39"/>
    <mergeCell ref="B50:K50"/>
    <mergeCell ref="B51:K51"/>
    <mergeCell ref="C3:K3"/>
    <mergeCell ref="N3:S3"/>
    <mergeCell ref="F4:G4"/>
    <mergeCell ref="H4:I4"/>
    <mergeCell ref="M5:S5"/>
    <mergeCell ref="N6:S6"/>
    <mergeCell ref="B41:K41"/>
    <mergeCell ref="B42:K42"/>
    <mergeCell ref="B43:K43"/>
    <mergeCell ref="B44:K44"/>
    <mergeCell ref="B54:K54"/>
    <mergeCell ref="B45:K45"/>
    <mergeCell ref="B46:K46"/>
    <mergeCell ref="B49:K49"/>
    <mergeCell ref="B53:K53"/>
    <mergeCell ref="B47:K47"/>
    <mergeCell ref="B48:K48"/>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0DFC5-A830-44BF-B06F-CC29A01BF8CC}">
  <sheetPr codeName="Sheet11">
    <tabColor theme="4"/>
  </sheetPr>
  <dimension ref="A1:S59"/>
  <sheetViews>
    <sheetView zoomScaleNormal="100" zoomScaleSheetLayoutView="120" workbookViewId="0">
      <selection activeCell="B47" sqref="B47:K47"/>
    </sheetView>
  </sheetViews>
  <sheetFormatPr defaultColWidth="9.28515625" defaultRowHeight="15"/>
  <cols>
    <col min="1" max="1" width="3" style="93" customWidth="1"/>
    <col min="2" max="2" width="35.28515625" style="93" customWidth="1"/>
    <col min="3" max="9" width="9.28515625" style="150" customWidth="1"/>
    <col min="10" max="10" width="8.7109375" style="150" customWidth="1"/>
    <col min="11" max="11" width="6.5703125" style="150" customWidth="1"/>
    <col min="12" max="12" width="6.7109375" style="93" customWidth="1"/>
    <col min="13" max="13" width="30.28515625" style="94" customWidth="1"/>
    <col min="14" max="14" width="10.28515625" style="94" customWidth="1"/>
    <col min="15" max="15" width="9.7109375" style="94" customWidth="1"/>
    <col min="16" max="16" width="10" style="94" customWidth="1"/>
    <col min="17" max="17" width="7.7109375" style="94" customWidth="1"/>
    <col min="18" max="18" width="7.28515625" style="94" customWidth="1"/>
    <col min="19" max="19" width="7.7109375" style="94" customWidth="1"/>
    <col min="20" max="16384" width="9.28515625" style="94"/>
  </cols>
  <sheetData>
    <row r="1" spans="1:19" ht="20.25">
      <c r="A1" s="317" t="s">
        <v>327</v>
      </c>
      <c r="B1" s="318" t="s">
        <v>234</v>
      </c>
      <c r="C1" s="344" t="s">
        <v>327</v>
      </c>
      <c r="D1" s="344" t="s">
        <v>327</v>
      </c>
      <c r="E1" s="344" t="s">
        <v>327</v>
      </c>
      <c r="F1" s="344" t="s">
        <v>327</v>
      </c>
      <c r="G1" s="344" t="s">
        <v>327</v>
      </c>
      <c r="H1" s="344" t="s">
        <v>327</v>
      </c>
      <c r="I1" s="344" t="s">
        <v>327</v>
      </c>
      <c r="J1" s="344" t="s">
        <v>327</v>
      </c>
      <c r="K1" s="344" t="s">
        <v>327</v>
      </c>
      <c r="L1" s="317" t="s">
        <v>327</v>
      </c>
      <c r="M1" s="319" t="s">
        <v>327</v>
      </c>
      <c r="N1" s="319" t="s">
        <v>327</v>
      </c>
      <c r="O1" s="319" t="s">
        <v>327</v>
      </c>
      <c r="P1" s="319" t="s">
        <v>327</v>
      </c>
      <c r="Q1" s="319" t="s">
        <v>327</v>
      </c>
      <c r="R1" s="319" t="s">
        <v>327</v>
      </c>
      <c r="S1" s="319" t="s">
        <v>327</v>
      </c>
    </row>
    <row r="2" spans="1:19">
      <c r="A2" s="317" t="s">
        <v>327</v>
      </c>
      <c r="B2" s="317" t="s">
        <v>327</v>
      </c>
      <c r="C2" s="344" t="s">
        <v>327</v>
      </c>
      <c r="D2" s="344" t="s">
        <v>327</v>
      </c>
      <c r="E2" s="344" t="s">
        <v>327</v>
      </c>
      <c r="F2" s="344" t="s">
        <v>327</v>
      </c>
      <c r="G2" s="344" t="s">
        <v>327</v>
      </c>
      <c r="H2" s="344" t="s">
        <v>327</v>
      </c>
      <c r="I2" s="344" t="s">
        <v>327</v>
      </c>
      <c r="J2" s="344" t="s">
        <v>327</v>
      </c>
      <c r="K2" s="344" t="s">
        <v>327</v>
      </c>
      <c r="L2" s="317" t="s">
        <v>327</v>
      </c>
      <c r="M2" s="319" t="s">
        <v>327</v>
      </c>
      <c r="N2" s="319" t="s">
        <v>327</v>
      </c>
      <c r="O2" s="319" t="s">
        <v>327</v>
      </c>
      <c r="P2" s="319" t="s">
        <v>327</v>
      </c>
      <c r="Q2" s="319" t="s">
        <v>327</v>
      </c>
      <c r="R2" s="319" t="s">
        <v>327</v>
      </c>
      <c r="S2" s="319" t="s">
        <v>327</v>
      </c>
    </row>
    <row r="3" spans="1:19">
      <c r="A3" s="93" t="s">
        <v>327</v>
      </c>
      <c r="B3" s="95" t="s">
        <v>145</v>
      </c>
      <c r="C3" s="1145" t="s">
        <v>354</v>
      </c>
      <c r="D3" s="1141"/>
      <c r="E3" s="1141"/>
      <c r="F3" s="1141"/>
      <c r="G3" s="1141"/>
      <c r="H3" s="1141"/>
      <c r="I3" s="1141"/>
      <c r="J3" s="1141"/>
      <c r="K3" s="1142"/>
      <c r="L3" s="93" t="s">
        <v>327</v>
      </c>
      <c r="M3" s="321" t="s">
        <v>327</v>
      </c>
      <c r="N3" s="1152" t="s">
        <v>327</v>
      </c>
      <c r="O3" s="1152"/>
      <c r="P3" s="1152"/>
      <c r="Q3" s="1152"/>
      <c r="R3" s="1152"/>
      <c r="S3" s="1152"/>
    </row>
    <row r="4" spans="1:19">
      <c r="A4" s="93" t="s">
        <v>327</v>
      </c>
      <c r="B4" s="98" t="s">
        <v>327</v>
      </c>
      <c r="C4" s="99">
        <v>2023</v>
      </c>
      <c r="D4" s="99">
        <v>2030</v>
      </c>
      <c r="E4" s="99">
        <v>2050</v>
      </c>
      <c r="F4" s="1145" t="s">
        <v>236</v>
      </c>
      <c r="G4" s="1142"/>
      <c r="H4" s="1145" t="s">
        <v>237</v>
      </c>
      <c r="I4" s="1142"/>
      <c r="J4" s="99" t="s">
        <v>238</v>
      </c>
      <c r="K4" s="99" t="s">
        <v>239</v>
      </c>
      <c r="L4" s="93" t="s">
        <v>327</v>
      </c>
      <c r="M4" s="322" t="s">
        <v>327</v>
      </c>
      <c r="N4" s="321" t="s">
        <v>327</v>
      </c>
      <c r="O4" s="321" t="s">
        <v>327</v>
      </c>
      <c r="P4" s="321" t="s">
        <v>327</v>
      </c>
      <c r="Q4" s="321" t="s">
        <v>327</v>
      </c>
      <c r="R4" s="321" t="s">
        <v>327</v>
      </c>
      <c r="S4" s="321" t="s">
        <v>327</v>
      </c>
    </row>
    <row r="5" spans="1:19" ht="15" customHeight="1">
      <c r="A5" s="93" t="s">
        <v>327</v>
      </c>
      <c r="B5" s="102" t="s">
        <v>240</v>
      </c>
      <c r="C5" s="103" t="s">
        <v>327</v>
      </c>
      <c r="D5" s="103" t="s">
        <v>327</v>
      </c>
      <c r="E5" s="103" t="s">
        <v>327</v>
      </c>
      <c r="F5" s="96" t="s">
        <v>241</v>
      </c>
      <c r="G5" s="96" t="s">
        <v>242</v>
      </c>
      <c r="H5" s="96" t="s">
        <v>241</v>
      </c>
      <c r="I5" s="96" t="s">
        <v>242</v>
      </c>
      <c r="J5" s="103" t="s">
        <v>327</v>
      </c>
      <c r="K5" s="104" t="s">
        <v>327</v>
      </c>
      <c r="L5" s="93" t="s">
        <v>327</v>
      </c>
      <c r="M5" s="1153" t="s">
        <v>327</v>
      </c>
      <c r="N5" s="1153"/>
      <c r="O5" s="1153"/>
      <c r="P5" s="1153"/>
      <c r="Q5" s="1153"/>
      <c r="R5" s="1153"/>
      <c r="S5" s="1153"/>
    </row>
    <row r="6" spans="1:19">
      <c r="A6" s="93" t="s">
        <v>327</v>
      </c>
      <c r="B6" s="105" t="s">
        <v>243</v>
      </c>
      <c r="C6" s="118">
        <v>0.5</v>
      </c>
      <c r="D6" s="118">
        <v>0.5</v>
      </c>
      <c r="E6" s="118">
        <v>0.5</v>
      </c>
      <c r="F6" s="118">
        <v>0.1</v>
      </c>
      <c r="G6" s="106">
        <v>1</v>
      </c>
      <c r="H6" s="118">
        <v>0.1</v>
      </c>
      <c r="I6" s="106">
        <v>1</v>
      </c>
      <c r="J6" s="107" t="s">
        <v>309</v>
      </c>
      <c r="K6" s="108" t="s">
        <v>313</v>
      </c>
      <c r="L6" s="93" t="s">
        <v>327</v>
      </c>
      <c r="M6" s="331" t="s">
        <v>327</v>
      </c>
      <c r="N6" s="1151" t="s">
        <v>327</v>
      </c>
      <c r="O6" s="1151"/>
      <c r="P6" s="1151"/>
      <c r="Q6" s="1151"/>
      <c r="R6" s="1151"/>
      <c r="S6" s="1151"/>
    </row>
    <row r="7" spans="1:19" ht="15" customHeight="1">
      <c r="A7" s="93" t="s">
        <v>327</v>
      </c>
      <c r="B7" s="105" t="s">
        <v>244</v>
      </c>
      <c r="C7" s="106">
        <v>0.69</v>
      </c>
      <c r="D7" s="106">
        <v>0.69</v>
      </c>
      <c r="E7" s="106">
        <v>0.69</v>
      </c>
      <c r="F7" s="106">
        <v>0.1</v>
      </c>
      <c r="G7" s="106">
        <v>1.3</v>
      </c>
      <c r="H7" s="106">
        <v>0.1</v>
      </c>
      <c r="I7" s="106">
        <v>1.3</v>
      </c>
      <c r="J7" s="107" t="s">
        <v>309</v>
      </c>
      <c r="K7" s="108" t="s">
        <v>313</v>
      </c>
      <c r="L7" s="93" t="s">
        <v>327</v>
      </c>
      <c r="M7" s="331" t="s">
        <v>327</v>
      </c>
      <c r="N7" s="332" t="s">
        <v>327</v>
      </c>
      <c r="O7" s="333" t="s">
        <v>327</v>
      </c>
      <c r="P7" s="333" t="s">
        <v>327</v>
      </c>
      <c r="Q7" s="333" t="s">
        <v>327</v>
      </c>
      <c r="R7" s="333" t="s">
        <v>327</v>
      </c>
      <c r="S7" s="333" t="s">
        <v>327</v>
      </c>
    </row>
    <row r="8" spans="1:19">
      <c r="A8" s="93" t="s">
        <v>327</v>
      </c>
      <c r="B8" s="105" t="s">
        <v>245</v>
      </c>
      <c r="C8" s="106">
        <v>80</v>
      </c>
      <c r="D8" s="106">
        <v>80</v>
      </c>
      <c r="E8" s="106">
        <v>80</v>
      </c>
      <c r="F8" s="106">
        <v>70</v>
      </c>
      <c r="G8" s="106">
        <v>90</v>
      </c>
      <c r="H8" s="106">
        <v>70</v>
      </c>
      <c r="I8" s="106">
        <v>90</v>
      </c>
      <c r="J8" s="107" t="s">
        <v>246</v>
      </c>
      <c r="K8" s="112">
        <v>7</v>
      </c>
      <c r="L8" s="93" t="s">
        <v>327</v>
      </c>
      <c r="M8" s="331" t="s">
        <v>327</v>
      </c>
      <c r="N8" s="331" t="s">
        <v>327</v>
      </c>
      <c r="O8" s="331" t="s">
        <v>327</v>
      </c>
      <c r="P8" s="331" t="s">
        <v>327</v>
      </c>
      <c r="Q8" s="331" t="s">
        <v>327</v>
      </c>
      <c r="R8" s="331" t="s">
        <v>327</v>
      </c>
      <c r="S8" s="331" t="s">
        <v>327</v>
      </c>
    </row>
    <row r="9" spans="1:19">
      <c r="A9" s="93" t="s">
        <v>327</v>
      </c>
      <c r="B9" s="114" t="s">
        <v>247</v>
      </c>
      <c r="C9" s="106">
        <v>80</v>
      </c>
      <c r="D9" s="106">
        <v>80</v>
      </c>
      <c r="E9" s="106">
        <v>80</v>
      </c>
      <c r="F9" s="106">
        <v>70</v>
      </c>
      <c r="G9" s="106">
        <v>90</v>
      </c>
      <c r="H9" s="106">
        <v>70</v>
      </c>
      <c r="I9" s="106">
        <v>90</v>
      </c>
      <c r="J9" s="107" t="s">
        <v>246</v>
      </c>
      <c r="K9" s="112">
        <v>7</v>
      </c>
      <c r="O9" s="331" t="s">
        <v>327</v>
      </c>
      <c r="P9" s="331" t="s">
        <v>327</v>
      </c>
      <c r="Q9" s="331" t="s">
        <v>327</v>
      </c>
      <c r="R9" s="331" t="s">
        <v>327</v>
      </c>
      <c r="S9" s="331" t="s">
        <v>327</v>
      </c>
    </row>
    <row r="10" spans="1:19">
      <c r="A10" s="93" t="s">
        <v>327</v>
      </c>
      <c r="B10" s="105" t="s">
        <v>248</v>
      </c>
      <c r="C10" s="129">
        <v>4</v>
      </c>
      <c r="D10" s="129">
        <v>4</v>
      </c>
      <c r="E10" s="129">
        <v>4</v>
      </c>
      <c r="F10" s="106">
        <v>2</v>
      </c>
      <c r="G10" s="106">
        <v>10</v>
      </c>
      <c r="H10" s="106">
        <v>2</v>
      </c>
      <c r="I10" s="106">
        <v>10</v>
      </c>
      <c r="J10" s="107" t="s">
        <v>327</v>
      </c>
      <c r="K10" s="108" t="s">
        <v>327</v>
      </c>
      <c r="L10" s="93" t="s">
        <v>327</v>
      </c>
      <c r="M10" s="317" t="s">
        <v>327</v>
      </c>
      <c r="N10" s="331" t="s">
        <v>327</v>
      </c>
      <c r="O10" s="331" t="s">
        <v>327</v>
      </c>
      <c r="P10" s="331" t="s">
        <v>327</v>
      </c>
      <c r="Q10" s="331" t="s">
        <v>327</v>
      </c>
      <c r="R10" s="331" t="s">
        <v>327</v>
      </c>
      <c r="S10" s="331" t="s">
        <v>327</v>
      </c>
    </row>
    <row r="11" spans="1:19">
      <c r="A11" s="93" t="s">
        <v>327</v>
      </c>
      <c r="B11" s="117" t="s">
        <v>249</v>
      </c>
      <c r="C11" s="129">
        <v>6</v>
      </c>
      <c r="D11" s="129">
        <v>6</v>
      </c>
      <c r="E11" s="129">
        <v>6</v>
      </c>
      <c r="F11" s="106">
        <v>3</v>
      </c>
      <c r="G11" s="106">
        <v>10</v>
      </c>
      <c r="H11" s="106">
        <v>3</v>
      </c>
      <c r="I11" s="106">
        <v>10</v>
      </c>
      <c r="J11" s="107" t="s">
        <v>327</v>
      </c>
      <c r="K11" s="108" t="s">
        <v>327</v>
      </c>
      <c r="L11" s="93" t="s">
        <v>327</v>
      </c>
      <c r="M11" s="317" t="s">
        <v>327</v>
      </c>
      <c r="N11" s="331" t="s">
        <v>327</v>
      </c>
      <c r="O11" s="331" t="s">
        <v>327</v>
      </c>
      <c r="P11" s="331" t="s">
        <v>327</v>
      </c>
      <c r="Q11" s="331" t="s">
        <v>327</v>
      </c>
      <c r="R11" s="331" t="s">
        <v>327</v>
      </c>
      <c r="S11" s="331" t="s">
        <v>327</v>
      </c>
    </row>
    <row r="12" spans="1:19">
      <c r="A12" s="93" t="s">
        <v>327</v>
      </c>
      <c r="B12" s="117" t="s">
        <v>250</v>
      </c>
      <c r="C12" s="129">
        <v>50</v>
      </c>
      <c r="D12" s="129">
        <v>50</v>
      </c>
      <c r="E12" s="129">
        <v>50</v>
      </c>
      <c r="F12" s="106">
        <v>40</v>
      </c>
      <c r="G12" s="106">
        <v>90</v>
      </c>
      <c r="H12" s="106">
        <v>40</v>
      </c>
      <c r="I12" s="106">
        <v>90</v>
      </c>
      <c r="J12" s="107" t="s">
        <v>300</v>
      </c>
      <c r="K12" s="108" t="s">
        <v>327</v>
      </c>
      <c r="L12" s="93" t="s">
        <v>327</v>
      </c>
      <c r="M12" s="331" t="s">
        <v>327</v>
      </c>
      <c r="N12" s="331" t="s">
        <v>327</v>
      </c>
      <c r="O12" s="331" t="s">
        <v>327</v>
      </c>
      <c r="P12" s="331" t="s">
        <v>327</v>
      </c>
      <c r="Q12" s="331" t="s">
        <v>327</v>
      </c>
      <c r="R12" s="331" t="s">
        <v>327</v>
      </c>
      <c r="S12" s="331" t="s">
        <v>327</v>
      </c>
    </row>
    <row r="13" spans="1:19">
      <c r="A13" s="93" t="s">
        <v>327</v>
      </c>
      <c r="B13" s="117" t="s">
        <v>252</v>
      </c>
      <c r="C13" s="156">
        <v>2</v>
      </c>
      <c r="D13" s="156">
        <v>2</v>
      </c>
      <c r="E13" s="156">
        <v>2</v>
      </c>
      <c r="F13" s="107">
        <v>1.5</v>
      </c>
      <c r="G13" s="107">
        <v>3</v>
      </c>
      <c r="H13" s="107">
        <v>1.5</v>
      </c>
      <c r="I13" s="107">
        <v>3</v>
      </c>
      <c r="J13" s="107" t="s">
        <v>327</v>
      </c>
      <c r="K13" s="108" t="s">
        <v>327</v>
      </c>
      <c r="L13" s="93" t="s">
        <v>327</v>
      </c>
      <c r="M13" s="331" t="s">
        <v>327</v>
      </c>
      <c r="N13" s="331" t="s">
        <v>327</v>
      </c>
      <c r="O13" s="331" t="s">
        <v>327</v>
      </c>
      <c r="P13" s="331" t="s">
        <v>327</v>
      </c>
      <c r="Q13" s="331" t="s">
        <v>327</v>
      </c>
      <c r="R13" s="331" t="s">
        <v>327</v>
      </c>
      <c r="S13" s="331" t="s">
        <v>327</v>
      </c>
    </row>
    <row r="14" spans="1:19">
      <c r="A14" s="93" t="s">
        <v>327</v>
      </c>
      <c r="B14" s="119" t="s">
        <v>254</v>
      </c>
      <c r="C14" s="129" t="s">
        <v>327</v>
      </c>
      <c r="D14" s="129" t="s">
        <v>327</v>
      </c>
      <c r="E14" s="129" t="s">
        <v>327</v>
      </c>
      <c r="F14" s="112" t="s">
        <v>327</v>
      </c>
      <c r="G14" s="112" t="s">
        <v>327</v>
      </c>
      <c r="H14" s="112" t="s">
        <v>327</v>
      </c>
      <c r="I14" s="112" t="s">
        <v>327</v>
      </c>
      <c r="J14" s="120" t="s">
        <v>327</v>
      </c>
      <c r="K14" s="107" t="s">
        <v>327</v>
      </c>
      <c r="L14" s="93" t="s">
        <v>327</v>
      </c>
      <c r="M14" s="331" t="s">
        <v>327</v>
      </c>
      <c r="N14" s="331" t="s">
        <v>327</v>
      </c>
      <c r="O14" s="331" t="s">
        <v>327</v>
      </c>
      <c r="P14" s="331" t="s">
        <v>327</v>
      </c>
      <c r="Q14" s="331" t="s">
        <v>327</v>
      </c>
      <c r="R14" s="331" t="s">
        <v>327</v>
      </c>
      <c r="S14" s="331" t="s">
        <v>327</v>
      </c>
    </row>
    <row r="15" spans="1:19">
      <c r="A15" s="93" t="s">
        <v>327</v>
      </c>
      <c r="B15" s="121" t="s">
        <v>255</v>
      </c>
      <c r="C15" s="122" t="s">
        <v>327</v>
      </c>
      <c r="D15" s="122" t="s">
        <v>327</v>
      </c>
      <c r="E15" s="122" t="s">
        <v>327</v>
      </c>
      <c r="F15" s="122" t="s">
        <v>327</v>
      </c>
      <c r="G15" s="122" t="s">
        <v>327</v>
      </c>
      <c r="H15" s="122" t="s">
        <v>327</v>
      </c>
      <c r="I15" s="123" t="s">
        <v>327</v>
      </c>
      <c r="J15" s="123" t="s">
        <v>327</v>
      </c>
      <c r="K15" s="124" t="s">
        <v>327</v>
      </c>
      <c r="L15" s="93" t="s">
        <v>327</v>
      </c>
      <c r="M15" s="331" t="s">
        <v>327</v>
      </c>
      <c r="N15" s="331" t="s">
        <v>327</v>
      </c>
      <c r="O15" s="331" t="s">
        <v>327</v>
      </c>
      <c r="P15" s="331" t="s">
        <v>327</v>
      </c>
      <c r="Q15" s="331" t="s">
        <v>327</v>
      </c>
      <c r="R15" s="331" t="s">
        <v>327</v>
      </c>
      <c r="S15" s="331" t="s">
        <v>327</v>
      </c>
    </row>
    <row r="16" spans="1:19">
      <c r="A16" s="93" t="s">
        <v>327</v>
      </c>
      <c r="B16" s="119" t="s">
        <v>256</v>
      </c>
      <c r="C16" s="112">
        <v>55</v>
      </c>
      <c r="D16" s="112">
        <v>55</v>
      </c>
      <c r="E16" s="112">
        <v>55</v>
      </c>
      <c r="F16" s="112">
        <v>20</v>
      </c>
      <c r="G16" s="112">
        <v>95</v>
      </c>
      <c r="H16" s="112">
        <v>20</v>
      </c>
      <c r="I16" s="112">
        <v>95</v>
      </c>
      <c r="J16" s="120" t="s">
        <v>327</v>
      </c>
      <c r="K16" s="112" t="s">
        <v>355</v>
      </c>
      <c r="L16" s="93" t="s">
        <v>327</v>
      </c>
      <c r="M16" s="331" t="s">
        <v>327</v>
      </c>
      <c r="N16" s="331" t="s">
        <v>327</v>
      </c>
      <c r="O16" s="331" t="s">
        <v>327</v>
      </c>
      <c r="P16" s="331" t="s">
        <v>327</v>
      </c>
      <c r="Q16" s="331" t="s">
        <v>327</v>
      </c>
      <c r="R16" s="331" t="s">
        <v>327</v>
      </c>
      <c r="S16" s="331" t="s">
        <v>327</v>
      </c>
    </row>
    <row r="17" spans="1:19">
      <c r="A17" s="93" t="s">
        <v>327</v>
      </c>
      <c r="B17" s="119" t="s">
        <v>257</v>
      </c>
      <c r="C17" s="112">
        <v>51</v>
      </c>
      <c r="D17" s="112">
        <v>51</v>
      </c>
      <c r="E17" s="112">
        <v>51</v>
      </c>
      <c r="F17" s="112">
        <v>20</v>
      </c>
      <c r="G17" s="112">
        <v>95</v>
      </c>
      <c r="H17" s="112">
        <v>20</v>
      </c>
      <c r="I17" s="112">
        <v>95</v>
      </c>
      <c r="J17" s="120" t="s">
        <v>327</v>
      </c>
      <c r="K17" s="112" t="s">
        <v>355</v>
      </c>
      <c r="L17" s="219"/>
      <c r="M17" s="219"/>
      <c r="N17" s="219"/>
      <c r="O17" s="331" t="s">
        <v>327</v>
      </c>
      <c r="P17" s="331" t="s">
        <v>327</v>
      </c>
      <c r="Q17" s="331" t="s">
        <v>327</v>
      </c>
      <c r="R17" s="331" t="s">
        <v>327</v>
      </c>
      <c r="S17" s="331" t="s">
        <v>327</v>
      </c>
    </row>
    <row r="18" spans="1:19">
      <c r="A18" s="93" t="s">
        <v>327</v>
      </c>
      <c r="B18" s="125" t="s">
        <v>258</v>
      </c>
      <c r="C18" s="126" t="s">
        <v>327</v>
      </c>
      <c r="D18" s="126" t="s">
        <v>327</v>
      </c>
      <c r="E18" s="126" t="s">
        <v>327</v>
      </c>
      <c r="F18" s="126" t="s">
        <v>327</v>
      </c>
      <c r="G18" s="126" t="s">
        <v>327</v>
      </c>
      <c r="H18" s="126" t="s">
        <v>327</v>
      </c>
      <c r="I18" s="127" t="s">
        <v>327</v>
      </c>
      <c r="J18" s="127" t="s">
        <v>327</v>
      </c>
      <c r="K18" s="128" t="s">
        <v>327</v>
      </c>
      <c r="L18" s="93" t="s">
        <v>327</v>
      </c>
      <c r="M18" s="331" t="s">
        <v>327</v>
      </c>
      <c r="N18" s="331" t="s">
        <v>327</v>
      </c>
      <c r="O18" s="331" t="s">
        <v>327</v>
      </c>
      <c r="P18" s="331" t="s">
        <v>327</v>
      </c>
      <c r="Q18" s="331" t="s">
        <v>327</v>
      </c>
      <c r="R18" s="331" t="s">
        <v>327</v>
      </c>
      <c r="S18" s="331" t="s">
        <v>327</v>
      </c>
    </row>
    <row r="19" spans="1:19">
      <c r="A19" s="93" t="s">
        <v>327</v>
      </c>
      <c r="B19" s="117" t="s">
        <v>259</v>
      </c>
      <c r="C19" s="129" t="s">
        <v>146</v>
      </c>
      <c r="D19" s="129" t="s">
        <v>146</v>
      </c>
      <c r="E19" s="129" t="s">
        <v>146</v>
      </c>
      <c r="F19" s="129" t="s">
        <v>146</v>
      </c>
      <c r="G19" s="129" t="s">
        <v>146</v>
      </c>
      <c r="H19" s="129" t="s">
        <v>146</v>
      </c>
      <c r="I19" s="129" t="s">
        <v>146</v>
      </c>
      <c r="J19" s="120" t="s">
        <v>305</v>
      </c>
      <c r="K19" s="108" t="s">
        <v>327</v>
      </c>
      <c r="L19" s="130" t="s">
        <v>327</v>
      </c>
      <c r="M19" s="331" t="s">
        <v>327</v>
      </c>
      <c r="N19" s="331" t="s">
        <v>327</v>
      </c>
      <c r="O19" s="331" t="s">
        <v>327</v>
      </c>
      <c r="P19" s="331" t="s">
        <v>327</v>
      </c>
      <c r="Q19" s="331" t="s">
        <v>327</v>
      </c>
      <c r="R19" s="331" t="s">
        <v>327</v>
      </c>
      <c r="S19" s="331" t="s">
        <v>327</v>
      </c>
    </row>
    <row r="20" spans="1:19">
      <c r="A20" s="93" t="s">
        <v>327</v>
      </c>
      <c r="B20" s="117" t="s">
        <v>260</v>
      </c>
      <c r="C20" s="129" t="s">
        <v>146</v>
      </c>
      <c r="D20" s="129" t="s">
        <v>146</v>
      </c>
      <c r="E20" s="129" t="s">
        <v>146</v>
      </c>
      <c r="F20" s="129" t="s">
        <v>146</v>
      </c>
      <c r="G20" s="129" t="s">
        <v>146</v>
      </c>
      <c r="H20" s="129" t="s">
        <v>146</v>
      </c>
      <c r="I20" s="129" t="s">
        <v>146</v>
      </c>
      <c r="J20" s="120" t="s">
        <v>305</v>
      </c>
      <c r="K20" s="108" t="s">
        <v>327</v>
      </c>
      <c r="L20" s="93" t="s">
        <v>327</v>
      </c>
      <c r="M20" s="331" t="s">
        <v>327</v>
      </c>
      <c r="N20" s="331" t="s">
        <v>327</v>
      </c>
      <c r="O20" s="331" t="s">
        <v>327</v>
      </c>
      <c r="P20" s="331" t="s">
        <v>327</v>
      </c>
      <c r="Q20" s="331" t="s">
        <v>327</v>
      </c>
      <c r="R20" s="331" t="s">
        <v>327</v>
      </c>
      <c r="S20" s="331" t="s">
        <v>327</v>
      </c>
    </row>
    <row r="21" spans="1:19">
      <c r="A21" s="93" t="s">
        <v>327</v>
      </c>
      <c r="B21" s="117" t="s">
        <v>261</v>
      </c>
      <c r="C21" s="129" t="s">
        <v>146</v>
      </c>
      <c r="D21" s="129" t="s">
        <v>146</v>
      </c>
      <c r="E21" s="129" t="s">
        <v>146</v>
      </c>
      <c r="F21" s="129" t="s">
        <v>146</v>
      </c>
      <c r="G21" s="129" t="s">
        <v>146</v>
      </c>
      <c r="H21" s="129" t="s">
        <v>146</v>
      </c>
      <c r="I21" s="129" t="s">
        <v>146</v>
      </c>
      <c r="J21" s="120" t="s">
        <v>305</v>
      </c>
      <c r="K21" s="108" t="s">
        <v>327</v>
      </c>
      <c r="L21" s="93" t="s">
        <v>327</v>
      </c>
      <c r="M21" s="331" t="s">
        <v>327</v>
      </c>
      <c r="N21" s="331" t="s">
        <v>327</v>
      </c>
      <c r="O21" s="331" t="s">
        <v>327</v>
      </c>
      <c r="P21" s="331" t="s">
        <v>327</v>
      </c>
      <c r="Q21" s="331" t="s">
        <v>327</v>
      </c>
      <c r="R21" s="331" t="s">
        <v>327</v>
      </c>
      <c r="S21" s="331" t="s">
        <v>327</v>
      </c>
    </row>
    <row r="22" spans="1:19">
      <c r="A22" s="93" t="s">
        <v>327</v>
      </c>
      <c r="B22" s="117" t="s">
        <v>262</v>
      </c>
      <c r="C22" s="129" t="s">
        <v>146</v>
      </c>
      <c r="D22" s="129" t="s">
        <v>146</v>
      </c>
      <c r="E22" s="129" t="s">
        <v>146</v>
      </c>
      <c r="F22" s="129" t="s">
        <v>146</v>
      </c>
      <c r="G22" s="129" t="s">
        <v>146</v>
      </c>
      <c r="H22" s="129" t="s">
        <v>146</v>
      </c>
      <c r="I22" s="129" t="s">
        <v>146</v>
      </c>
      <c r="J22" s="120" t="s">
        <v>305</v>
      </c>
      <c r="K22" s="108" t="s">
        <v>327</v>
      </c>
      <c r="L22" s="93" t="s">
        <v>327</v>
      </c>
      <c r="M22" s="331" t="s">
        <v>327</v>
      </c>
      <c r="N22" s="331" t="s">
        <v>327</v>
      </c>
      <c r="O22" s="331" t="s">
        <v>327</v>
      </c>
      <c r="P22" s="331" t="s">
        <v>327</v>
      </c>
      <c r="Q22" s="331" t="s">
        <v>327</v>
      </c>
      <c r="R22" s="331" t="s">
        <v>327</v>
      </c>
      <c r="S22" s="331" t="s">
        <v>327</v>
      </c>
    </row>
    <row r="23" spans="1:19">
      <c r="A23" s="93" t="s">
        <v>327</v>
      </c>
      <c r="B23" s="125" t="s">
        <v>263</v>
      </c>
      <c r="C23" s="131" t="s">
        <v>327</v>
      </c>
      <c r="D23" s="132" t="s">
        <v>327</v>
      </c>
      <c r="E23" s="132" t="s">
        <v>327</v>
      </c>
      <c r="F23" s="132" t="s">
        <v>327</v>
      </c>
      <c r="G23" s="132" t="s">
        <v>327</v>
      </c>
      <c r="H23" s="132" t="s">
        <v>327</v>
      </c>
      <c r="I23" s="132" t="s">
        <v>327</v>
      </c>
      <c r="J23" s="132" t="s">
        <v>327</v>
      </c>
      <c r="K23" s="133" t="s">
        <v>327</v>
      </c>
      <c r="L23" s="93" t="s">
        <v>327</v>
      </c>
      <c r="M23" s="1153" t="s">
        <v>327</v>
      </c>
      <c r="N23" s="1153"/>
      <c r="O23" s="1153"/>
      <c r="P23" s="1153"/>
      <c r="Q23" s="1153"/>
      <c r="R23" s="1153"/>
      <c r="S23" s="1153"/>
    </row>
    <row r="24" spans="1:19">
      <c r="A24" s="93" t="s">
        <v>327</v>
      </c>
      <c r="B24" s="117" t="s">
        <v>264</v>
      </c>
      <c r="C24" s="134">
        <v>0</v>
      </c>
      <c r="D24" s="134">
        <v>0</v>
      </c>
      <c r="E24" s="134">
        <v>0</v>
      </c>
      <c r="F24" s="134" t="s">
        <v>327</v>
      </c>
      <c r="G24" s="134" t="s">
        <v>327</v>
      </c>
      <c r="H24" s="134" t="s">
        <v>327</v>
      </c>
      <c r="I24" s="134" t="s">
        <v>327</v>
      </c>
      <c r="J24" s="135" t="s">
        <v>327</v>
      </c>
      <c r="K24" s="108" t="s">
        <v>327</v>
      </c>
      <c r="L24" s="93" t="s">
        <v>327</v>
      </c>
      <c r="M24" s="331" t="s">
        <v>327</v>
      </c>
      <c r="N24" s="331" t="s">
        <v>327</v>
      </c>
      <c r="O24" s="331" t="s">
        <v>327</v>
      </c>
      <c r="P24" s="331" t="s">
        <v>327</v>
      </c>
      <c r="Q24" s="331" t="s">
        <v>327</v>
      </c>
      <c r="R24" s="331" t="s">
        <v>327</v>
      </c>
      <c r="S24" s="331" t="s">
        <v>327</v>
      </c>
    </row>
    <row r="25" spans="1:19">
      <c r="A25" s="93" t="s">
        <v>327</v>
      </c>
      <c r="B25" s="117" t="s">
        <v>266</v>
      </c>
      <c r="C25" s="134">
        <v>0</v>
      </c>
      <c r="D25" s="134">
        <v>0</v>
      </c>
      <c r="E25" s="134">
        <v>0</v>
      </c>
      <c r="F25" s="134" t="s">
        <v>327</v>
      </c>
      <c r="G25" s="134" t="s">
        <v>327</v>
      </c>
      <c r="H25" s="134" t="s">
        <v>327</v>
      </c>
      <c r="I25" s="134" t="s">
        <v>327</v>
      </c>
      <c r="J25" s="135" t="s">
        <v>327</v>
      </c>
      <c r="K25" s="108" t="s">
        <v>327</v>
      </c>
      <c r="L25" s="93" t="s">
        <v>327</v>
      </c>
      <c r="M25" s="331" t="s">
        <v>327</v>
      </c>
      <c r="N25" s="331" t="s">
        <v>327</v>
      </c>
      <c r="O25" s="331" t="s">
        <v>327</v>
      </c>
      <c r="P25" s="331" t="s">
        <v>327</v>
      </c>
      <c r="Q25" s="331" t="s">
        <v>327</v>
      </c>
      <c r="R25" s="331" t="s">
        <v>327</v>
      </c>
      <c r="S25" s="331" t="s">
        <v>327</v>
      </c>
    </row>
    <row r="26" spans="1:19" ht="15" customHeight="1">
      <c r="A26" s="93" t="s">
        <v>327</v>
      </c>
      <c r="B26" s="117" t="s">
        <v>267</v>
      </c>
      <c r="C26" s="134">
        <v>0</v>
      </c>
      <c r="D26" s="134">
        <v>0</v>
      </c>
      <c r="E26" s="134">
        <v>0</v>
      </c>
      <c r="F26" s="134" t="s">
        <v>327</v>
      </c>
      <c r="G26" s="134" t="s">
        <v>327</v>
      </c>
      <c r="H26" s="134" t="s">
        <v>327</v>
      </c>
      <c r="I26" s="134" t="s">
        <v>327</v>
      </c>
      <c r="J26" s="136" t="s">
        <v>327</v>
      </c>
      <c r="K26" s="108" t="s">
        <v>327</v>
      </c>
      <c r="L26" s="93" t="s">
        <v>327</v>
      </c>
      <c r="M26" s="331" t="s">
        <v>327</v>
      </c>
      <c r="N26" s="331" t="s">
        <v>327</v>
      </c>
      <c r="O26" s="331" t="s">
        <v>327</v>
      </c>
      <c r="P26" s="331" t="s">
        <v>327</v>
      </c>
      <c r="Q26" s="331" t="s">
        <v>327</v>
      </c>
      <c r="R26" s="331" t="s">
        <v>327</v>
      </c>
      <c r="S26" s="331" t="s">
        <v>327</v>
      </c>
    </row>
    <row r="27" spans="1:19">
      <c r="A27" s="93" t="s">
        <v>327</v>
      </c>
      <c r="B27" s="117" t="s">
        <v>268</v>
      </c>
      <c r="C27" s="134">
        <v>0</v>
      </c>
      <c r="D27" s="134">
        <v>0</v>
      </c>
      <c r="E27" s="134">
        <v>0</v>
      </c>
      <c r="F27" s="134" t="s">
        <v>327</v>
      </c>
      <c r="G27" s="134" t="s">
        <v>327</v>
      </c>
      <c r="H27" s="134" t="s">
        <v>327</v>
      </c>
      <c r="I27" s="134" t="s">
        <v>327</v>
      </c>
      <c r="J27" s="120" t="s">
        <v>327</v>
      </c>
      <c r="K27" s="120" t="s">
        <v>327</v>
      </c>
      <c r="L27" s="93" t="s">
        <v>327</v>
      </c>
      <c r="M27" s="331" t="s">
        <v>327</v>
      </c>
      <c r="N27" s="331" t="s">
        <v>327</v>
      </c>
      <c r="O27" s="331" t="s">
        <v>327</v>
      </c>
      <c r="P27" s="331" t="s">
        <v>327</v>
      </c>
      <c r="Q27" s="331" t="s">
        <v>327</v>
      </c>
      <c r="R27" s="331" t="s">
        <v>327</v>
      </c>
      <c r="S27" s="331" t="s">
        <v>327</v>
      </c>
    </row>
    <row r="28" spans="1:19">
      <c r="A28" s="93" t="s">
        <v>327</v>
      </c>
      <c r="B28" s="117" t="s">
        <v>269</v>
      </c>
      <c r="C28" s="134">
        <v>0</v>
      </c>
      <c r="D28" s="134">
        <v>0</v>
      </c>
      <c r="E28" s="134">
        <v>0</v>
      </c>
      <c r="F28" s="134" t="s">
        <v>327</v>
      </c>
      <c r="G28" s="134" t="s">
        <v>327</v>
      </c>
      <c r="H28" s="134" t="s">
        <v>327</v>
      </c>
      <c r="I28" s="134" t="s">
        <v>327</v>
      </c>
      <c r="J28" s="120" t="s">
        <v>327</v>
      </c>
      <c r="K28" s="120" t="s">
        <v>327</v>
      </c>
      <c r="L28" s="138" t="s">
        <v>327</v>
      </c>
      <c r="M28" s="1153" t="s">
        <v>327</v>
      </c>
      <c r="N28" s="1153"/>
      <c r="O28" s="1153"/>
      <c r="P28" s="1153"/>
      <c r="Q28" s="1153"/>
      <c r="R28" s="1153"/>
      <c r="S28" s="1153"/>
    </row>
    <row r="29" spans="1:19">
      <c r="A29" s="93" t="s">
        <v>327</v>
      </c>
      <c r="B29" s="125" t="s">
        <v>270</v>
      </c>
      <c r="C29" s="132" t="s">
        <v>327</v>
      </c>
      <c r="D29" s="132" t="s">
        <v>327</v>
      </c>
      <c r="E29" s="132" t="s">
        <v>327</v>
      </c>
      <c r="F29" s="132" t="s">
        <v>327</v>
      </c>
      <c r="G29" s="132" t="s">
        <v>327</v>
      </c>
      <c r="H29" s="132" t="s">
        <v>327</v>
      </c>
      <c r="I29" s="132" t="s">
        <v>327</v>
      </c>
      <c r="J29" s="132" t="s">
        <v>327</v>
      </c>
      <c r="K29" s="133" t="s">
        <v>327</v>
      </c>
      <c r="L29" s="93" t="s">
        <v>327</v>
      </c>
      <c r="M29" s="331" t="s">
        <v>327</v>
      </c>
      <c r="N29" s="331" t="s">
        <v>327</v>
      </c>
      <c r="O29" s="331" t="s">
        <v>327</v>
      </c>
      <c r="P29" s="331" t="s">
        <v>327</v>
      </c>
      <c r="Q29" s="331" t="s">
        <v>327</v>
      </c>
      <c r="R29" s="331" t="s">
        <v>327</v>
      </c>
      <c r="S29" s="331" t="s">
        <v>327</v>
      </c>
    </row>
    <row r="30" spans="1:19">
      <c r="A30" s="93" t="s">
        <v>327</v>
      </c>
      <c r="B30" s="117" t="s">
        <v>271</v>
      </c>
      <c r="C30" s="139">
        <v>2.7</v>
      </c>
      <c r="D30" s="140">
        <v>2.5920000000000001</v>
      </c>
      <c r="E30" s="140">
        <v>2.403</v>
      </c>
      <c r="F30" s="139">
        <v>2.0250000000000004</v>
      </c>
      <c r="G30" s="139">
        <v>3.375</v>
      </c>
      <c r="H30" s="139">
        <v>1.8022499999999999</v>
      </c>
      <c r="I30" s="140">
        <v>3.0037500000000001</v>
      </c>
      <c r="J30" s="120" t="s">
        <v>356</v>
      </c>
      <c r="K30" s="108" t="s">
        <v>357</v>
      </c>
      <c r="L30" s="93" t="s">
        <v>327</v>
      </c>
      <c r="M30" s="331" t="s">
        <v>327</v>
      </c>
      <c r="N30" s="331" t="s">
        <v>327</v>
      </c>
      <c r="O30" s="331" t="s">
        <v>327</v>
      </c>
      <c r="P30" s="331" t="s">
        <v>327</v>
      </c>
      <c r="Q30" s="331" t="s">
        <v>327</v>
      </c>
      <c r="R30" s="331" t="s">
        <v>327</v>
      </c>
      <c r="S30" s="331" t="s">
        <v>327</v>
      </c>
    </row>
    <row r="31" spans="1:19">
      <c r="A31" s="93" t="s">
        <v>327</v>
      </c>
      <c r="B31" s="117" t="s">
        <v>274</v>
      </c>
      <c r="C31" s="142">
        <v>0.4</v>
      </c>
      <c r="D31" s="142">
        <v>0.4</v>
      </c>
      <c r="E31" s="142">
        <v>0.4</v>
      </c>
      <c r="F31" s="142">
        <v>0.2</v>
      </c>
      <c r="G31" s="142">
        <v>0.5</v>
      </c>
      <c r="H31" s="142">
        <v>0.2</v>
      </c>
      <c r="I31" s="142">
        <v>0.5</v>
      </c>
      <c r="J31" s="120" t="s">
        <v>327</v>
      </c>
      <c r="K31" s="120">
        <v>6</v>
      </c>
      <c r="L31" s="93" t="s">
        <v>327</v>
      </c>
      <c r="M31" s="331" t="s">
        <v>327</v>
      </c>
      <c r="N31" s="331" t="s">
        <v>327</v>
      </c>
      <c r="O31" s="331" t="s">
        <v>327</v>
      </c>
      <c r="P31" s="331" t="s">
        <v>327</v>
      </c>
      <c r="Q31" s="331" t="s">
        <v>327</v>
      </c>
      <c r="R31" s="331" t="s">
        <v>327</v>
      </c>
      <c r="S31" s="331" t="s">
        <v>327</v>
      </c>
    </row>
    <row r="32" spans="1:19">
      <c r="A32" s="93" t="s">
        <v>327</v>
      </c>
      <c r="B32" s="117" t="s">
        <v>275</v>
      </c>
      <c r="C32" s="142">
        <v>0.6</v>
      </c>
      <c r="D32" s="142">
        <v>0.6</v>
      </c>
      <c r="E32" s="142">
        <v>0.6</v>
      </c>
      <c r="F32" s="142">
        <v>0.5</v>
      </c>
      <c r="G32" s="142">
        <v>0.8</v>
      </c>
      <c r="H32" s="142">
        <v>0.5</v>
      </c>
      <c r="I32" s="142">
        <v>0.8</v>
      </c>
      <c r="J32" s="120" t="s">
        <v>327</v>
      </c>
      <c r="K32" s="120">
        <v>6</v>
      </c>
      <c r="L32" s="93" t="s">
        <v>327</v>
      </c>
      <c r="M32" s="331" t="s">
        <v>327</v>
      </c>
      <c r="N32" s="331" t="s">
        <v>327</v>
      </c>
      <c r="O32" s="331" t="s">
        <v>327</v>
      </c>
      <c r="P32" s="331" t="s">
        <v>327</v>
      </c>
      <c r="Q32" s="331" t="s">
        <v>327</v>
      </c>
      <c r="R32" s="331" t="s">
        <v>327</v>
      </c>
      <c r="S32" s="331" t="s">
        <v>327</v>
      </c>
    </row>
    <row r="33" spans="1:19">
      <c r="A33" s="93" t="s">
        <v>327</v>
      </c>
      <c r="B33" s="117" t="s">
        <v>276</v>
      </c>
      <c r="C33" s="129">
        <v>60400</v>
      </c>
      <c r="D33" s="145">
        <v>58000</v>
      </c>
      <c r="E33" s="145">
        <v>54000</v>
      </c>
      <c r="F33" s="226">
        <v>45300</v>
      </c>
      <c r="G33" s="226">
        <v>75500</v>
      </c>
      <c r="H33" s="226">
        <v>40500</v>
      </c>
      <c r="I33" s="145">
        <v>67500</v>
      </c>
      <c r="J33" s="120" t="s">
        <v>265</v>
      </c>
      <c r="K33" s="108" t="s">
        <v>357</v>
      </c>
      <c r="L33" s="93" t="s">
        <v>327</v>
      </c>
      <c r="M33" s="331" t="s">
        <v>327</v>
      </c>
      <c r="N33" s="331" t="s">
        <v>327</v>
      </c>
      <c r="O33" s="331" t="s">
        <v>327</v>
      </c>
      <c r="P33" s="331" t="s">
        <v>327</v>
      </c>
      <c r="Q33" s="331" t="s">
        <v>327</v>
      </c>
      <c r="R33" s="331" t="s">
        <v>327</v>
      </c>
      <c r="S33" s="331" t="s">
        <v>327</v>
      </c>
    </row>
    <row r="34" spans="1:19">
      <c r="A34" s="93" t="s">
        <v>327</v>
      </c>
      <c r="B34" s="117" t="s">
        <v>279</v>
      </c>
      <c r="C34" s="139">
        <v>0.56999999999999995</v>
      </c>
      <c r="D34" s="140">
        <v>0.54719999999999991</v>
      </c>
      <c r="E34" s="140">
        <v>0.50729999999999997</v>
      </c>
      <c r="F34" s="139">
        <v>0.42749999999999999</v>
      </c>
      <c r="G34" s="139">
        <v>0.71249999999999991</v>
      </c>
      <c r="H34" s="139">
        <v>0.38047500000000001</v>
      </c>
      <c r="I34" s="140">
        <v>0.63412499999999994</v>
      </c>
      <c r="J34" s="120" t="s">
        <v>265</v>
      </c>
      <c r="K34" s="108" t="s">
        <v>314</v>
      </c>
      <c r="L34" s="93" t="s">
        <v>327</v>
      </c>
      <c r="M34" s="331" t="s">
        <v>327</v>
      </c>
      <c r="N34" s="331" t="s">
        <v>327</v>
      </c>
      <c r="O34" s="331" t="s">
        <v>327</v>
      </c>
      <c r="P34" s="331" t="s">
        <v>327</v>
      </c>
      <c r="Q34" s="331" t="s">
        <v>327</v>
      </c>
      <c r="R34" s="331" t="s">
        <v>327</v>
      </c>
      <c r="S34" s="331" t="s">
        <v>327</v>
      </c>
    </row>
    <row r="35" spans="1:19">
      <c r="A35" s="93" t="s">
        <v>327</v>
      </c>
      <c r="B35" s="117" t="s">
        <v>282</v>
      </c>
      <c r="C35" s="106" t="s">
        <v>146</v>
      </c>
      <c r="D35" s="106" t="s">
        <v>146</v>
      </c>
      <c r="E35" s="106" t="s">
        <v>146</v>
      </c>
      <c r="F35" s="106" t="s">
        <v>146</v>
      </c>
      <c r="G35" s="106" t="s">
        <v>146</v>
      </c>
      <c r="H35" s="106" t="s">
        <v>146</v>
      </c>
      <c r="I35" s="145" t="s">
        <v>146</v>
      </c>
      <c r="J35" s="120" t="s">
        <v>327</v>
      </c>
      <c r="K35" s="108" t="s">
        <v>327</v>
      </c>
      <c r="L35" s="93" t="s">
        <v>327</v>
      </c>
      <c r="M35" s="1153" t="s">
        <v>327</v>
      </c>
      <c r="N35" s="1153"/>
      <c r="O35" s="1153"/>
      <c r="P35" s="1153"/>
      <c r="Q35" s="1153"/>
      <c r="R35" s="1153"/>
      <c r="S35" s="1153"/>
    </row>
    <row r="36" spans="1:19">
      <c r="A36" s="340" t="s">
        <v>327</v>
      </c>
      <c r="B36" s="317" t="s">
        <v>327</v>
      </c>
      <c r="C36" s="344" t="s">
        <v>327</v>
      </c>
      <c r="D36" s="344" t="s">
        <v>327</v>
      </c>
      <c r="E36" s="344" t="s">
        <v>327</v>
      </c>
      <c r="F36" s="344" t="s">
        <v>327</v>
      </c>
      <c r="G36" s="344" t="s">
        <v>327</v>
      </c>
      <c r="H36" s="344" t="s">
        <v>327</v>
      </c>
      <c r="I36" s="344" t="s">
        <v>327</v>
      </c>
      <c r="J36" s="344" t="s">
        <v>327</v>
      </c>
      <c r="K36" s="344" t="s">
        <v>327</v>
      </c>
      <c r="L36" s="319" t="s">
        <v>327</v>
      </c>
      <c r="M36" s="319" t="s">
        <v>327</v>
      </c>
      <c r="N36" s="319" t="s">
        <v>327</v>
      </c>
      <c r="O36" s="319" t="s">
        <v>327</v>
      </c>
      <c r="P36" s="319" t="s">
        <v>327</v>
      </c>
      <c r="Q36" s="319" t="s">
        <v>327</v>
      </c>
      <c r="R36" s="319" t="s">
        <v>327</v>
      </c>
      <c r="S36" s="319" t="s">
        <v>327</v>
      </c>
    </row>
    <row r="37" spans="1:19" s="93" customFormat="1" ht="11.45" customHeight="1">
      <c r="A37" s="652" t="s">
        <v>286</v>
      </c>
      <c r="B37" s="227"/>
      <c r="C37" s="170" t="s">
        <v>327</v>
      </c>
      <c r="D37" s="170" t="s">
        <v>327</v>
      </c>
      <c r="E37" s="170" t="s">
        <v>327</v>
      </c>
      <c r="F37" s="170" t="s">
        <v>327</v>
      </c>
      <c r="G37" s="170" t="s">
        <v>327</v>
      </c>
      <c r="H37" s="170" t="s">
        <v>327</v>
      </c>
      <c r="I37" s="170"/>
      <c r="J37" s="170"/>
      <c r="K37" s="170"/>
      <c r="L37" s="317" t="s">
        <v>327</v>
      </c>
      <c r="M37" s="317" t="s">
        <v>327</v>
      </c>
      <c r="N37" s="317" t="s">
        <v>327</v>
      </c>
      <c r="O37" s="317" t="s">
        <v>327</v>
      </c>
      <c r="P37" s="317" t="s">
        <v>327</v>
      </c>
      <c r="Q37" s="317" t="s">
        <v>327</v>
      </c>
      <c r="R37" s="317" t="s">
        <v>327</v>
      </c>
      <c r="S37" s="317" t="s">
        <v>327</v>
      </c>
    </row>
    <row r="38" spans="1:19" ht="14.1" customHeight="1">
      <c r="A38" s="358">
        <v>1</v>
      </c>
      <c r="B38" s="177" t="s">
        <v>287</v>
      </c>
      <c r="L38" s="317" t="s">
        <v>327</v>
      </c>
      <c r="M38" s="319" t="s">
        <v>327</v>
      </c>
      <c r="N38" s="319" t="s">
        <v>327</v>
      </c>
      <c r="O38" s="319" t="s">
        <v>327</v>
      </c>
      <c r="P38" s="319" t="s">
        <v>327</v>
      </c>
      <c r="Q38" s="319" t="s">
        <v>327</v>
      </c>
      <c r="R38" s="319" t="s">
        <v>327</v>
      </c>
      <c r="S38" s="319" t="s">
        <v>327</v>
      </c>
    </row>
    <row r="39" spans="1:19" ht="14.1" customHeight="1">
      <c r="A39" s="358">
        <v>2</v>
      </c>
      <c r="B39" s="93" t="s">
        <v>333</v>
      </c>
      <c r="H39" s="93"/>
      <c r="I39" s="93"/>
      <c r="J39" s="93"/>
      <c r="K39" s="93"/>
      <c r="L39" s="317" t="s">
        <v>327</v>
      </c>
      <c r="M39" s="319" t="s">
        <v>327</v>
      </c>
      <c r="N39" s="319" t="s">
        <v>327</v>
      </c>
      <c r="O39" s="319" t="s">
        <v>327</v>
      </c>
      <c r="P39" s="319" t="s">
        <v>327</v>
      </c>
      <c r="Q39" s="319" t="s">
        <v>327</v>
      </c>
      <c r="R39" s="319" t="s">
        <v>327</v>
      </c>
      <c r="S39" s="319" t="s">
        <v>327</v>
      </c>
    </row>
    <row r="40" spans="1:19" s="93" customFormat="1" ht="14.1" customHeight="1">
      <c r="A40" s="358">
        <v>3</v>
      </c>
      <c r="B40" s="93" t="s">
        <v>334</v>
      </c>
      <c r="C40" s="150"/>
      <c r="D40" s="150"/>
      <c r="E40" s="150"/>
      <c r="F40" s="150"/>
      <c r="G40" s="150"/>
      <c r="L40" s="317" t="s">
        <v>327</v>
      </c>
      <c r="M40" s="319" t="s">
        <v>327</v>
      </c>
      <c r="N40" s="319" t="s">
        <v>327</v>
      </c>
      <c r="O40" s="319" t="s">
        <v>327</v>
      </c>
      <c r="P40" s="319" t="s">
        <v>327</v>
      </c>
      <c r="Q40" s="319" t="s">
        <v>327</v>
      </c>
      <c r="R40" s="319" t="s">
        <v>327</v>
      </c>
      <c r="S40" s="319" t="s">
        <v>327</v>
      </c>
    </row>
    <row r="41" spans="1:19" s="93" customFormat="1" ht="14.1" customHeight="1">
      <c r="A41" s="358">
        <v>4</v>
      </c>
      <c r="B41" s="1149" t="s">
        <v>289</v>
      </c>
      <c r="C41" s="1149"/>
      <c r="D41" s="1149"/>
      <c r="E41" s="1149"/>
      <c r="F41" s="1149"/>
      <c r="G41" s="1149"/>
      <c r="H41" s="1149"/>
      <c r="I41" s="1149"/>
      <c r="J41" s="1149"/>
      <c r="K41" s="1149"/>
      <c r="L41" s="317" t="s">
        <v>327</v>
      </c>
      <c r="M41" s="319" t="s">
        <v>327</v>
      </c>
      <c r="N41" s="319" t="s">
        <v>327</v>
      </c>
      <c r="O41" s="319" t="s">
        <v>327</v>
      </c>
      <c r="P41" s="319" t="s">
        <v>327</v>
      </c>
      <c r="Q41" s="319" t="s">
        <v>327</v>
      </c>
      <c r="R41" s="319" t="s">
        <v>327</v>
      </c>
      <c r="S41" s="319" t="s">
        <v>327</v>
      </c>
    </row>
    <row r="42" spans="1:19" s="93" customFormat="1" ht="14.1" customHeight="1">
      <c r="A42" s="358">
        <v>5</v>
      </c>
      <c r="B42" s="1149" t="s">
        <v>290</v>
      </c>
      <c r="C42" s="1149"/>
      <c r="D42" s="1149"/>
      <c r="E42" s="1149"/>
      <c r="F42" s="1149"/>
      <c r="G42" s="1149"/>
      <c r="H42" s="1149"/>
      <c r="I42" s="1149"/>
      <c r="J42" s="1149"/>
      <c r="K42" s="1149"/>
      <c r="L42" s="317" t="s">
        <v>327</v>
      </c>
      <c r="M42" s="319" t="s">
        <v>327</v>
      </c>
      <c r="N42" s="319" t="s">
        <v>327</v>
      </c>
      <c r="O42" s="319" t="s">
        <v>327</v>
      </c>
      <c r="P42" s="319" t="s">
        <v>327</v>
      </c>
      <c r="Q42" s="319" t="s">
        <v>327</v>
      </c>
      <c r="R42" s="319" t="s">
        <v>327</v>
      </c>
      <c r="S42" s="319" t="s">
        <v>327</v>
      </c>
    </row>
    <row r="43" spans="1:19" s="93" customFormat="1" ht="14.1" customHeight="1">
      <c r="A43" s="358">
        <v>6</v>
      </c>
      <c r="B43" s="1149" t="s">
        <v>335</v>
      </c>
      <c r="C43" s="1149"/>
      <c r="D43" s="1149"/>
      <c r="E43" s="1149"/>
      <c r="F43" s="1149"/>
      <c r="G43" s="1149"/>
      <c r="H43" s="1149"/>
      <c r="I43" s="1149"/>
      <c r="J43" s="1149"/>
      <c r="K43" s="1149"/>
      <c r="L43" s="317" t="s">
        <v>327</v>
      </c>
      <c r="M43" s="319" t="s">
        <v>327</v>
      </c>
      <c r="N43" s="319" t="s">
        <v>327</v>
      </c>
      <c r="O43" s="319" t="s">
        <v>327</v>
      </c>
      <c r="P43" s="319" t="s">
        <v>327</v>
      </c>
      <c r="Q43" s="319" t="s">
        <v>327</v>
      </c>
      <c r="R43" s="319" t="s">
        <v>327</v>
      </c>
      <c r="S43" s="319" t="s">
        <v>327</v>
      </c>
    </row>
    <row r="44" spans="1:19" s="93" customFormat="1" ht="14.1" customHeight="1">
      <c r="A44" s="358">
        <v>7</v>
      </c>
      <c r="B44" s="1149" t="s">
        <v>358</v>
      </c>
      <c r="C44" s="1149"/>
      <c r="D44" s="1149"/>
      <c r="E44" s="1149"/>
      <c r="F44" s="1149"/>
      <c r="G44" s="1149"/>
      <c r="H44" s="1149"/>
      <c r="I44" s="1149"/>
      <c r="J44" s="1149"/>
      <c r="K44" s="1149"/>
      <c r="L44" s="317" t="s">
        <v>327</v>
      </c>
      <c r="M44" s="319" t="s">
        <v>327</v>
      </c>
      <c r="N44" s="319" t="s">
        <v>327</v>
      </c>
      <c r="O44" s="319" t="s">
        <v>327</v>
      </c>
      <c r="P44" s="319" t="s">
        <v>327</v>
      </c>
      <c r="Q44" s="319" t="s">
        <v>327</v>
      </c>
      <c r="R44" s="319" t="s">
        <v>327</v>
      </c>
      <c r="S44" s="319" t="s">
        <v>327</v>
      </c>
    </row>
    <row r="45" spans="1:19" s="93" customFormat="1" ht="24.75" customHeight="1">
      <c r="A45" s="358">
        <v>8</v>
      </c>
      <c r="B45" s="1149" t="s">
        <v>337</v>
      </c>
      <c r="C45" s="1149"/>
      <c r="D45" s="1149"/>
      <c r="E45" s="1149"/>
      <c r="F45" s="1149"/>
      <c r="G45" s="1149"/>
      <c r="H45" s="1149"/>
      <c r="I45" s="1149"/>
      <c r="J45" s="1149"/>
      <c r="K45" s="1149"/>
      <c r="L45" s="317" t="s">
        <v>327</v>
      </c>
      <c r="M45" s="319" t="s">
        <v>327</v>
      </c>
      <c r="N45" s="319" t="s">
        <v>327</v>
      </c>
      <c r="O45" s="319" t="s">
        <v>327</v>
      </c>
      <c r="P45" s="319" t="s">
        <v>327</v>
      </c>
      <c r="Q45" s="319" t="s">
        <v>327</v>
      </c>
      <c r="R45" s="319" t="s">
        <v>327</v>
      </c>
      <c r="S45" s="319" t="s">
        <v>327</v>
      </c>
    </row>
    <row r="46" spans="1:19" s="93" customFormat="1" ht="14.1" customHeight="1">
      <c r="A46" s="381" t="s">
        <v>298</v>
      </c>
      <c r="B46" s="1149"/>
      <c r="C46" s="1149" t="s">
        <v>327</v>
      </c>
      <c r="D46" s="1149" t="s">
        <v>327</v>
      </c>
      <c r="E46" s="1149" t="s">
        <v>327</v>
      </c>
      <c r="F46" s="1149" t="s">
        <v>327</v>
      </c>
      <c r="G46" s="1149" t="s">
        <v>327</v>
      </c>
      <c r="H46" s="1149" t="s">
        <v>327</v>
      </c>
      <c r="I46" s="1149" t="s">
        <v>327</v>
      </c>
      <c r="J46" s="1149" t="s">
        <v>327</v>
      </c>
      <c r="K46" s="1149" t="s">
        <v>327</v>
      </c>
      <c r="L46" s="317" t="s">
        <v>327</v>
      </c>
      <c r="M46" s="319" t="s">
        <v>327</v>
      </c>
      <c r="N46" s="319" t="s">
        <v>327</v>
      </c>
      <c r="O46" s="319" t="s">
        <v>327</v>
      </c>
      <c r="P46" s="319" t="s">
        <v>327</v>
      </c>
      <c r="Q46" s="319" t="s">
        <v>327</v>
      </c>
      <c r="R46" s="319" t="s">
        <v>327</v>
      </c>
      <c r="S46" s="319" t="s">
        <v>327</v>
      </c>
    </row>
    <row r="47" spans="1:19" s="93" customFormat="1" ht="14.1" customHeight="1">
      <c r="A47" s="502" t="s">
        <v>246</v>
      </c>
      <c r="B47" s="1149" t="s">
        <v>341</v>
      </c>
      <c r="C47" s="1149"/>
      <c r="D47" s="1149"/>
      <c r="E47" s="1149"/>
      <c r="F47" s="1149"/>
      <c r="G47" s="1149"/>
      <c r="H47" s="1149"/>
      <c r="I47" s="1149"/>
      <c r="J47" s="1149"/>
      <c r="K47" s="1149"/>
      <c r="L47" s="317" t="s">
        <v>327</v>
      </c>
      <c r="M47" s="319" t="s">
        <v>327</v>
      </c>
      <c r="N47" s="319" t="s">
        <v>327</v>
      </c>
      <c r="O47" s="319" t="s">
        <v>327</v>
      </c>
      <c r="P47" s="319" t="s">
        <v>327</v>
      </c>
      <c r="Q47" s="319" t="s">
        <v>327</v>
      </c>
      <c r="R47" s="319" t="s">
        <v>327</v>
      </c>
      <c r="S47" s="319" t="s">
        <v>327</v>
      </c>
    </row>
    <row r="48" spans="1:19" s="93" customFormat="1" ht="14.1" customHeight="1">
      <c r="A48" s="502" t="s">
        <v>300</v>
      </c>
      <c r="B48" s="1149" t="s">
        <v>359</v>
      </c>
      <c r="C48" s="1149"/>
      <c r="D48" s="1149"/>
      <c r="E48" s="1149"/>
      <c r="F48" s="1149"/>
      <c r="G48" s="1149"/>
      <c r="H48" s="1149"/>
      <c r="I48" s="1149"/>
      <c r="J48" s="1149"/>
      <c r="K48" s="1149"/>
      <c r="L48" s="317" t="s">
        <v>327</v>
      </c>
      <c r="M48" s="319" t="s">
        <v>327</v>
      </c>
      <c r="N48" s="319" t="s">
        <v>327</v>
      </c>
      <c r="O48" s="319" t="s">
        <v>327</v>
      </c>
      <c r="P48" s="319" t="s">
        <v>327</v>
      </c>
      <c r="Q48" s="319" t="s">
        <v>327</v>
      </c>
      <c r="R48" s="319" t="s">
        <v>327</v>
      </c>
      <c r="S48" s="319" t="s">
        <v>327</v>
      </c>
    </row>
    <row r="49" spans="1:19" s="93" customFormat="1" ht="14.1" customHeight="1">
      <c r="A49" s="502" t="s">
        <v>265</v>
      </c>
      <c r="B49" s="1149" t="s">
        <v>323</v>
      </c>
      <c r="C49" s="1149"/>
      <c r="D49" s="1149"/>
      <c r="E49" s="1149"/>
      <c r="F49" s="1149"/>
      <c r="G49" s="1149"/>
      <c r="H49" s="1149"/>
      <c r="I49" s="1149"/>
      <c r="J49" s="1149"/>
      <c r="K49" s="1149"/>
      <c r="L49" s="317" t="s">
        <v>327</v>
      </c>
      <c r="M49" s="319" t="s">
        <v>327</v>
      </c>
      <c r="N49" s="319" t="s">
        <v>327</v>
      </c>
      <c r="O49" s="319" t="s">
        <v>327</v>
      </c>
      <c r="P49" s="319" t="s">
        <v>327</v>
      </c>
      <c r="Q49" s="319" t="s">
        <v>327</v>
      </c>
      <c r="R49" s="319" t="s">
        <v>327</v>
      </c>
      <c r="S49" s="319" t="s">
        <v>327</v>
      </c>
    </row>
    <row r="50" spans="1:19" s="93" customFormat="1" ht="24.75" customHeight="1">
      <c r="A50" s="502" t="s">
        <v>303</v>
      </c>
      <c r="B50" s="1160" t="s">
        <v>360</v>
      </c>
      <c r="C50" s="1160"/>
      <c r="D50" s="1160"/>
      <c r="E50" s="1160"/>
      <c r="F50" s="1160"/>
      <c r="G50" s="1160"/>
      <c r="H50" s="1160"/>
      <c r="I50" s="1160"/>
      <c r="J50" s="1160"/>
      <c r="K50" s="1160"/>
      <c r="L50" s="317" t="s">
        <v>327</v>
      </c>
      <c r="M50" s="319" t="s">
        <v>327</v>
      </c>
      <c r="N50" s="319" t="s">
        <v>327</v>
      </c>
      <c r="O50" s="319" t="s">
        <v>327</v>
      </c>
      <c r="P50" s="319" t="s">
        <v>327</v>
      </c>
      <c r="Q50" s="319" t="s">
        <v>327</v>
      </c>
      <c r="R50" s="319" t="s">
        <v>327</v>
      </c>
      <c r="S50" s="319" t="s">
        <v>327</v>
      </c>
    </row>
    <row r="51" spans="1:19" s="93" customFormat="1" ht="23.25" customHeight="1">
      <c r="A51" s="502" t="s">
        <v>305</v>
      </c>
      <c r="B51" s="1158" t="s">
        <v>361</v>
      </c>
      <c r="C51" s="1158"/>
      <c r="D51" s="1158"/>
      <c r="E51" s="1158"/>
      <c r="F51" s="1158"/>
      <c r="G51" s="1158"/>
      <c r="H51" s="1158"/>
      <c r="I51" s="1158"/>
      <c r="J51" s="1158"/>
      <c r="K51" s="1158"/>
      <c r="L51" s="317" t="s">
        <v>327</v>
      </c>
      <c r="M51" s="319" t="s">
        <v>327</v>
      </c>
      <c r="N51" s="319" t="s">
        <v>327</v>
      </c>
      <c r="O51" s="319" t="s">
        <v>327</v>
      </c>
      <c r="P51" s="319" t="s">
        <v>327</v>
      </c>
      <c r="Q51" s="319" t="s">
        <v>327</v>
      </c>
      <c r="R51" s="319" t="s">
        <v>327</v>
      </c>
      <c r="S51" s="319" t="s">
        <v>327</v>
      </c>
    </row>
    <row r="52" spans="1:19" s="93" customFormat="1" ht="17.25" customHeight="1">
      <c r="A52" s="502" t="s">
        <v>307</v>
      </c>
      <c r="B52" s="177" t="s">
        <v>324</v>
      </c>
      <c r="C52" s="177"/>
      <c r="D52" s="177"/>
      <c r="E52" s="177"/>
      <c r="F52" s="177"/>
      <c r="G52" s="177"/>
      <c r="H52" s="177"/>
      <c r="I52" s="177"/>
      <c r="J52" s="177"/>
      <c r="K52" s="177"/>
      <c r="L52" s="317" t="s">
        <v>327</v>
      </c>
      <c r="M52" s="319" t="s">
        <v>327</v>
      </c>
      <c r="N52" s="319" t="s">
        <v>327</v>
      </c>
      <c r="O52" s="319" t="s">
        <v>327</v>
      </c>
      <c r="P52" s="319" t="s">
        <v>327</v>
      </c>
      <c r="Q52" s="319" t="s">
        <v>327</v>
      </c>
      <c r="R52" s="319" t="s">
        <v>327</v>
      </c>
      <c r="S52" s="319" t="s">
        <v>327</v>
      </c>
    </row>
    <row r="53" spans="1:19" s="93" customFormat="1">
      <c r="A53" s="502" t="s">
        <v>309</v>
      </c>
      <c r="B53" s="1155" t="s">
        <v>344</v>
      </c>
      <c r="C53" s="1155"/>
      <c r="D53" s="1155"/>
      <c r="E53" s="1155"/>
      <c r="F53" s="1155"/>
      <c r="G53" s="1155"/>
      <c r="H53" s="1155"/>
      <c r="I53" s="1155"/>
      <c r="J53" s="1155"/>
      <c r="K53" s="1155"/>
      <c r="L53" s="317" t="s">
        <v>327</v>
      </c>
      <c r="M53" s="319" t="s">
        <v>327</v>
      </c>
      <c r="N53" s="319" t="s">
        <v>327</v>
      </c>
      <c r="O53" s="319" t="s">
        <v>327</v>
      </c>
      <c r="P53" s="319" t="s">
        <v>327</v>
      </c>
      <c r="Q53" s="319" t="s">
        <v>327</v>
      </c>
      <c r="R53" s="319" t="s">
        <v>327</v>
      </c>
      <c r="S53" s="319" t="s">
        <v>327</v>
      </c>
    </row>
    <row r="54" spans="1:19" s="93" customFormat="1" ht="14.1" customHeight="1">
      <c r="A54" s="317"/>
      <c r="B54" s="1159"/>
      <c r="C54" s="1159"/>
      <c r="D54" s="1159"/>
      <c r="E54" s="1159"/>
      <c r="F54" s="1159"/>
      <c r="G54" s="1159"/>
      <c r="H54" s="1159"/>
      <c r="I54" s="1159"/>
      <c r="J54" s="1159"/>
      <c r="K54" s="1159"/>
      <c r="L54" s="317"/>
      <c r="M54" s="319"/>
      <c r="N54" s="319"/>
      <c r="O54" s="319"/>
      <c r="P54" s="319"/>
      <c r="Q54" s="319"/>
      <c r="R54" s="319"/>
      <c r="S54" s="319"/>
    </row>
    <row r="55" spans="1:19" s="93" customFormat="1">
      <c r="A55" s="317"/>
      <c r="B55" s="317"/>
      <c r="C55" s="344"/>
      <c r="D55" s="344"/>
      <c r="E55" s="344"/>
      <c r="F55" s="344"/>
      <c r="G55" s="344"/>
      <c r="H55" s="344"/>
      <c r="I55" s="344"/>
      <c r="J55" s="344"/>
      <c r="K55" s="344"/>
      <c r="L55" s="317"/>
      <c r="M55" s="319"/>
      <c r="N55" s="319"/>
      <c r="O55" s="319"/>
      <c r="P55" s="319"/>
      <c r="Q55" s="319"/>
      <c r="R55" s="319"/>
      <c r="S55" s="319"/>
    </row>
    <row r="56" spans="1:19" s="93" customFormat="1">
      <c r="A56" s="317"/>
      <c r="B56" s="317"/>
      <c r="C56" s="344"/>
      <c r="D56" s="344"/>
      <c r="E56" s="344"/>
      <c r="F56" s="344"/>
      <c r="G56" s="344"/>
      <c r="H56" s="344"/>
      <c r="I56" s="344"/>
      <c r="J56" s="344"/>
      <c r="K56" s="344"/>
      <c r="L56" s="317"/>
      <c r="M56" s="319"/>
      <c r="N56" s="319"/>
      <c r="O56" s="319"/>
      <c r="P56" s="319"/>
      <c r="Q56" s="319"/>
      <c r="R56" s="319"/>
      <c r="S56" s="319"/>
    </row>
    <row r="58" spans="1:19" s="93" customFormat="1">
      <c r="B58" s="94"/>
      <c r="C58" s="150"/>
      <c r="D58" s="150"/>
      <c r="E58" s="150"/>
      <c r="F58" s="150"/>
      <c r="G58" s="150"/>
      <c r="H58" s="150"/>
      <c r="I58" s="150"/>
      <c r="J58" s="150"/>
      <c r="K58" s="150"/>
      <c r="M58" s="94"/>
      <c r="N58" s="94"/>
      <c r="O58" s="94"/>
      <c r="P58" s="94"/>
      <c r="Q58" s="94"/>
      <c r="R58" s="94"/>
      <c r="S58" s="94"/>
    </row>
    <row r="59" spans="1:19" s="93" customFormat="1">
      <c r="B59" s="94"/>
      <c r="C59" s="150"/>
      <c r="D59" s="150"/>
      <c r="E59" s="150"/>
      <c r="F59" s="150"/>
      <c r="G59" s="150"/>
      <c r="H59" s="150"/>
      <c r="I59" s="150"/>
      <c r="J59" s="150"/>
      <c r="K59" s="150"/>
      <c r="M59" s="94"/>
      <c r="N59" s="94"/>
      <c r="O59" s="94"/>
      <c r="P59" s="94"/>
      <c r="Q59" s="94"/>
      <c r="R59" s="94"/>
      <c r="S59" s="94"/>
    </row>
  </sheetData>
  <mergeCells count="22">
    <mergeCell ref="B51:K51"/>
    <mergeCell ref="B54:K54"/>
    <mergeCell ref="B53:K53"/>
    <mergeCell ref="M23:S23"/>
    <mergeCell ref="M28:S28"/>
    <mergeCell ref="M35:S35"/>
    <mergeCell ref="B45:K45"/>
    <mergeCell ref="B41:K41"/>
    <mergeCell ref="B42:K42"/>
    <mergeCell ref="B43:K43"/>
    <mergeCell ref="B44:K44"/>
    <mergeCell ref="B46:K46"/>
    <mergeCell ref="B47:K47"/>
    <mergeCell ref="B48:K48"/>
    <mergeCell ref="B49:K49"/>
    <mergeCell ref="B50:K50"/>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00DD8-A3FB-4488-B4D9-704C9EF619F9}">
  <sheetPr codeName="Sheet13">
    <tabColor rgb="FFFFC000"/>
  </sheetPr>
  <dimension ref="A1:N84"/>
  <sheetViews>
    <sheetView zoomScaleNormal="100" workbookViewId="0">
      <selection activeCell="B47" sqref="B47:K47"/>
    </sheetView>
  </sheetViews>
  <sheetFormatPr defaultColWidth="9.140625" defaultRowHeight="15"/>
  <cols>
    <col min="1" max="1" width="3" style="93" customWidth="1"/>
    <col min="2" max="2" width="38.28515625" style="93" customWidth="1"/>
    <col min="3" max="9" width="9.28515625" style="93" customWidth="1"/>
    <col min="10" max="10" width="8.7109375" style="93" customWidth="1"/>
    <col min="11" max="11" width="8.5703125" style="93" customWidth="1"/>
    <col min="12" max="16384" width="9.140625" style="94"/>
  </cols>
  <sheetData>
    <row r="1" spans="2:14" ht="20.25">
      <c r="B1" s="92" t="s">
        <v>234</v>
      </c>
    </row>
    <row r="3" spans="2:14">
      <c r="B3" s="531" t="s">
        <v>145</v>
      </c>
      <c r="C3" s="1161" t="s">
        <v>362</v>
      </c>
      <c r="D3" s="1162"/>
      <c r="E3" s="1162"/>
      <c r="F3" s="1162"/>
      <c r="G3" s="1162"/>
      <c r="H3" s="1162"/>
      <c r="I3" s="1162"/>
      <c r="J3" s="1162"/>
      <c r="K3" s="1163"/>
    </row>
    <row r="4" spans="2:14" ht="13.9" customHeight="1">
      <c r="B4" s="533"/>
      <c r="C4" s="534">
        <v>2023</v>
      </c>
      <c r="D4" s="534">
        <v>2030</v>
      </c>
      <c r="E4" s="534">
        <v>2050</v>
      </c>
      <c r="F4" s="1161" t="s">
        <v>236</v>
      </c>
      <c r="G4" s="1163"/>
      <c r="H4" s="1161" t="s">
        <v>237</v>
      </c>
      <c r="I4" s="1163"/>
      <c r="J4" s="534" t="s">
        <v>238</v>
      </c>
      <c r="K4" s="534" t="s">
        <v>239</v>
      </c>
    </row>
    <row r="5" spans="2:14">
      <c r="B5" s="535" t="s">
        <v>240</v>
      </c>
      <c r="C5" s="536"/>
      <c r="D5" s="536"/>
      <c r="E5" s="536"/>
      <c r="F5" s="532" t="s">
        <v>241</v>
      </c>
      <c r="G5" s="532" t="s">
        <v>242</v>
      </c>
      <c r="H5" s="532" t="s">
        <v>241</v>
      </c>
      <c r="I5" s="532" t="s">
        <v>242</v>
      </c>
      <c r="J5" s="536"/>
      <c r="K5" s="537"/>
    </row>
    <row r="6" spans="2:14">
      <c r="B6" s="538" t="s">
        <v>363</v>
      </c>
      <c r="C6" s="785">
        <v>50</v>
      </c>
      <c r="D6" s="785">
        <v>80</v>
      </c>
      <c r="E6" s="786">
        <v>100</v>
      </c>
      <c r="F6" s="787"/>
      <c r="G6" s="785"/>
      <c r="H6" s="785"/>
      <c r="I6" s="785"/>
      <c r="J6" s="788" t="s">
        <v>246</v>
      </c>
      <c r="K6" s="789">
        <v>1</v>
      </c>
    </row>
    <row r="7" spans="2:14">
      <c r="B7" s="538" t="s">
        <v>245</v>
      </c>
      <c r="C7" s="785" t="s">
        <v>146</v>
      </c>
      <c r="D7" s="785" t="s">
        <v>146</v>
      </c>
      <c r="E7" s="786" t="s">
        <v>146</v>
      </c>
      <c r="F7" s="787"/>
      <c r="G7" s="785"/>
      <c r="H7" s="785"/>
      <c r="I7" s="785"/>
      <c r="J7" s="788" t="s">
        <v>300</v>
      </c>
      <c r="K7" s="790"/>
    </row>
    <row r="8" spans="2:14">
      <c r="B8" s="539" t="s">
        <v>247</v>
      </c>
      <c r="C8" s="785" t="s">
        <v>146</v>
      </c>
      <c r="D8" s="785" t="s">
        <v>146</v>
      </c>
      <c r="E8" s="786" t="s">
        <v>146</v>
      </c>
      <c r="F8" s="787"/>
      <c r="G8" s="785"/>
      <c r="H8" s="785"/>
      <c r="I8" s="785"/>
      <c r="J8" s="791" t="s">
        <v>300</v>
      </c>
      <c r="K8" s="792"/>
    </row>
    <row r="9" spans="2:14">
      <c r="B9" s="538" t="s">
        <v>248</v>
      </c>
      <c r="C9" s="785" t="s">
        <v>146</v>
      </c>
      <c r="D9" s="785" t="s">
        <v>146</v>
      </c>
      <c r="E9" s="786" t="s">
        <v>146</v>
      </c>
      <c r="F9" s="787"/>
      <c r="G9" s="785"/>
      <c r="H9" s="785"/>
      <c r="I9" s="785"/>
      <c r="J9" s="788"/>
      <c r="K9" s="793"/>
    </row>
    <row r="10" spans="2:14">
      <c r="B10" s="533" t="s">
        <v>249</v>
      </c>
      <c r="C10" s="785" t="s">
        <v>146</v>
      </c>
      <c r="D10" s="785" t="s">
        <v>146</v>
      </c>
      <c r="E10" s="786" t="s">
        <v>146</v>
      </c>
      <c r="F10" s="787"/>
      <c r="G10" s="785"/>
      <c r="H10" s="785"/>
      <c r="I10" s="785"/>
      <c r="J10" s="788"/>
      <c r="K10" s="793"/>
    </row>
    <row r="11" spans="2:14">
      <c r="B11" s="533" t="s">
        <v>250</v>
      </c>
      <c r="C11" s="785">
        <v>27</v>
      </c>
      <c r="D11" s="785">
        <v>30</v>
      </c>
      <c r="E11" s="785">
        <v>35</v>
      </c>
      <c r="F11" s="785">
        <v>25</v>
      </c>
      <c r="G11" s="785">
        <v>30</v>
      </c>
      <c r="H11" s="785">
        <v>28</v>
      </c>
      <c r="I11" s="785">
        <v>42</v>
      </c>
      <c r="J11" s="788"/>
      <c r="K11" s="793" t="s">
        <v>364</v>
      </c>
    </row>
    <row r="12" spans="2:14">
      <c r="B12" s="533" t="s">
        <v>252</v>
      </c>
      <c r="C12" s="794">
        <v>0.5</v>
      </c>
      <c r="D12" s="794">
        <v>0.5</v>
      </c>
      <c r="E12" s="795">
        <v>0.5</v>
      </c>
      <c r="F12" s="794">
        <v>0.5</v>
      </c>
      <c r="G12" s="794">
        <v>1.5</v>
      </c>
      <c r="H12" s="794">
        <v>0.25</v>
      </c>
      <c r="I12" s="794">
        <v>1</v>
      </c>
      <c r="J12" s="788"/>
      <c r="K12" s="793">
        <v>1</v>
      </c>
    </row>
    <row r="13" spans="2:14">
      <c r="B13" s="540" t="s">
        <v>365</v>
      </c>
      <c r="C13" s="794">
        <v>9.1</v>
      </c>
      <c r="D13" s="794">
        <f>C13*(1-0.8*(1-C40/D40))</f>
        <v>8.3086956521739115</v>
      </c>
      <c r="E13" s="794">
        <f>D13*(1-0.8*(1-D40/E40))</f>
        <v>7.5417391304347809</v>
      </c>
      <c r="F13" s="794">
        <v>6</v>
      </c>
      <c r="G13" s="794">
        <v>13</v>
      </c>
      <c r="H13" s="794">
        <v>5</v>
      </c>
      <c r="I13" s="795">
        <v>12</v>
      </c>
      <c r="J13" s="789" t="s">
        <v>366</v>
      </c>
      <c r="K13" s="788" t="s">
        <v>367</v>
      </c>
    </row>
    <row r="14" spans="2:14">
      <c r="B14" s="541" t="s">
        <v>255</v>
      </c>
      <c r="C14" s="796"/>
      <c r="D14" s="796"/>
      <c r="E14" s="797"/>
      <c r="F14" s="796"/>
      <c r="G14" s="796"/>
      <c r="H14" s="796"/>
      <c r="I14" s="798"/>
      <c r="J14" s="798"/>
      <c r="K14" s="799"/>
    </row>
    <row r="15" spans="2:14">
      <c r="B15" s="540" t="s">
        <v>256</v>
      </c>
      <c r="C15" s="800">
        <f>C43/8760*100</f>
        <v>20.547945205479451</v>
      </c>
      <c r="D15" s="800">
        <f t="shared" ref="D15:E15" si="0">D43/8760*100</f>
        <v>21.118721461187214</v>
      </c>
      <c r="E15" s="800">
        <f t="shared" si="0"/>
        <v>21.689497716894977</v>
      </c>
      <c r="F15" s="800">
        <f>0.85*C15</f>
        <v>17.465753424657532</v>
      </c>
      <c r="G15" s="800">
        <f>C15*1.15</f>
        <v>23.630136986301366</v>
      </c>
      <c r="H15" s="800">
        <f>0.85*E15</f>
        <v>18.43607305936073</v>
      </c>
      <c r="I15" s="800">
        <f>E15*1.15</f>
        <v>24.942922374429219</v>
      </c>
      <c r="J15" s="789" t="s">
        <v>368</v>
      </c>
      <c r="K15" s="790" t="s">
        <v>369</v>
      </c>
    </row>
    <row r="16" spans="2:14">
      <c r="B16" s="540" t="s">
        <v>257</v>
      </c>
      <c r="C16" s="800">
        <f>0.995*C15</f>
        <v>20.445205479452053</v>
      </c>
      <c r="D16" s="800">
        <f>0.995*D15</f>
        <v>21.013127853881276</v>
      </c>
      <c r="E16" s="800">
        <f>0.995*E15</f>
        <v>21.581050228310502</v>
      </c>
      <c r="F16" s="800">
        <f>0.85*C16</f>
        <v>17.378424657534243</v>
      </c>
      <c r="G16" s="800">
        <f>C16*1.15</f>
        <v>23.511986301369859</v>
      </c>
      <c r="H16" s="800">
        <f>0.85*E16</f>
        <v>18.343892694063925</v>
      </c>
      <c r="I16" s="800">
        <f>E16*1.15</f>
        <v>24.818207762557076</v>
      </c>
      <c r="J16" s="789" t="s">
        <v>370</v>
      </c>
      <c r="K16" s="790" t="s">
        <v>369</v>
      </c>
      <c r="L16" s="1051"/>
      <c r="M16" s="1051"/>
      <c r="N16" s="1051"/>
    </row>
    <row r="17" spans="2:11">
      <c r="B17" s="542" t="s">
        <v>258</v>
      </c>
      <c r="C17" s="801"/>
      <c r="D17" s="801"/>
      <c r="E17" s="802"/>
      <c r="F17" s="801"/>
      <c r="G17" s="801"/>
      <c r="H17" s="801"/>
      <c r="I17" s="803"/>
      <c r="J17" s="803"/>
      <c r="K17" s="804"/>
    </row>
    <row r="18" spans="2:11">
      <c r="B18" s="533" t="s">
        <v>259</v>
      </c>
      <c r="C18" s="785" t="s">
        <v>146</v>
      </c>
      <c r="D18" s="785" t="s">
        <v>146</v>
      </c>
      <c r="E18" s="786" t="s">
        <v>146</v>
      </c>
      <c r="F18" s="787" t="s">
        <v>146</v>
      </c>
      <c r="G18" s="785" t="s">
        <v>146</v>
      </c>
      <c r="H18" s="785" t="s">
        <v>146</v>
      </c>
      <c r="I18" s="790" t="s">
        <v>146</v>
      </c>
      <c r="J18" s="789" t="s">
        <v>265</v>
      </c>
      <c r="K18" s="793"/>
    </row>
    <row r="19" spans="2:11">
      <c r="B19" s="533" t="s">
        <v>260</v>
      </c>
      <c r="C19" s="785" t="s">
        <v>146</v>
      </c>
      <c r="D19" s="785" t="s">
        <v>146</v>
      </c>
      <c r="E19" s="786" t="s">
        <v>146</v>
      </c>
      <c r="F19" s="787" t="s">
        <v>146</v>
      </c>
      <c r="G19" s="785" t="s">
        <v>146</v>
      </c>
      <c r="H19" s="785" t="s">
        <v>146</v>
      </c>
      <c r="I19" s="790" t="s">
        <v>146</v>
      </c>
      <c r="J19" s="789" t="s">
        <v>265</v>
      </c>
      <c r="K19" s="793"/>
    </row>
    <row r="20" spans="2:11">
      <c r="B20" s="533" t="s">
        <v>261</v>
      </c>
      <c r="C20" s="785" t="s">
        <v>146</v>
      </c>
      <c r="D20" s="785" t="s">
        <v>146</v>
      </c>
      <c r="E20" s="786" t="s">
        <v>146</v>
      </c>
      <c r="F20" s="787" t="s">
        <v>146</v>
      </c>
      <c r="G20" s="785" t="s">
        <v>146</v>
      </c>
      <c r="H20" s="785" t="s">
        <v>146</v>
      </c>
      <c r="I20" s="790" t="s">
        <v>146</v>
      </c>
      <c r="J20" s="789" t="s">
        <v>265</v>
      </c>
      <c r="K20" s="793"/>
    </row>
    <row r="21" spans="2:11">
      <c r="B21" s="533" t="s">
        <v>262</v>
      </c>
      <c r="C21" s="785" t="s">
        <v>146</v>
      </c>
      <c r="D21" s="785" t="s">
        <v>146</v>
      </c>
      <c r="E21" s="786" t="s">
        <v>146</v>
      </c>
      <c r="F21" s="787" t="s">
        <v>146</v>
      </c>
      <c r="G21" s="785" t="s">
        <v>146</v>
      </c>
      <c r="H21" s="785" t="s">
        <v>146</v>
      </c>
      <c r="I21" s="790" t="s">
        <v>146</v>
      </c>
      <c r="J21" s="789" t="s">
        <v>265</v>
      </c>
      <c r="K21" s="793"/>
    </row>
    <row r="22" spans="2:11">
      <c r="B22" s="542" t="s">
        <v>263</v>
      </c>
      <c r="C22" s="805"/>
      <c r="D22" s="806"/>
      <c r="E22" s="807"/>
      <c r="F22" s="806"/>
      <c r="G22" s="806"/>
      <c r="H22" s="806"/>
      <c r="I22" s="806"/>
      <c r="J22" s="806"/>
      <c r="K22" s="807"/>
    </row>
    <row r="23" spans="2:11">
      <c r="B23" s="533" t="s">
        <v>371</v>
      </c>
      <c r="C23" s="808">
        <v>0</v>
      </c>
      <c r="D23" s="808">
        <v>0</v>
      </c>
      <c r="E23" s="808">
        <v>0</v>
      </c>
      <c r="F23" s="808"/>
      <c r="G23" s="808"/>
      <c r="H23" s="808"/>
      <c r="I23" s="808"/>
      <c r="J23" s="809"/>
      <c r="K23" s="793"/>
    </row>
    <row r="24" spans="2:11">
      <c r="B24" s="533" t="s">
        <v>372</v>
      </c>
      <c r="C24" s="808">
        <v>0</v>
      </c>
      <c r="D24" s="808">
        <v>0</v>
      </c>
      <c r="E24" s="808">
        <v>0</v>
      </c>
      <c r="F24" s="808"/>
      <c r="G24" s="808"/>
      <c r="H24" s="808"/>
      <c r="I24" s="808"/>
      <c r="J24" s="809"/>
      <c r="K24" s="793"/>
    </row>
    <row r="25" spans="2:11">
      <c r="B25" s="533" t="s">
        <v>373</v>
      </c>
      <c r="C25" s="808">
        <v>0</v>
      </c>
      <c r="D25" s="808">
        <v>0</v>
      </c>
      <c r="E25" s="808">
        <v>0</v>
      </c>
      <c r="F25" s="808"/>
      <c r="G25" s="808"/>
      <c r="H25" s="808"/>
      <c r="I25" s="808"/>
      <c r="J25" s="810"/>
      <c r="K25" s="793"/>
    </row>
    <row r="26" spans="2:11">
      <c r="B26" s="533" t="s">
        <v>374</v>
      </c>
      <c r="C26" s="808">
        <v>0</v>
      </c>
      <c r="D26" s="808">
        <v>0</v>
      </c>
      <c r="E26" s="808">
        <v>0</v>
      </c>
      <c r="F26" s="808"/>
      <c r="G26" s="808"/>
      <c r="H26" s="808"/>
      <c r="I26" s="808"/>
      <c r="J26" s="789"/>
      <c r="K26" s="789"/>
    </row>
    <row r="27" spans="2:11">
      <c r="B27" s="533" t="s">
        <v>375</v>
      </c>
      <c r="C27" s="808">
        <v>0</v>
      </c>
      <c r="D27" s="808">
        <v>0</v>
      </c>
      <c r="E27" s="808">
        <v>0</v>
      </c>
      <c r="F27" s="808"/>
      <c r="G27" s="808"/>
      <c r="H27" s="808"/>
      <c r="I27" s="808"/>
      <c r="J27" s="789"/>
      <c r="K27" s="789"/>
    </row>
    <row r="28" spans="2:11">
      <c r="B28" s="542" t="s">
        <v>270</v>
      </c>
      <c r="C28" s="806"/>
      <c r="D28" s="806"/>
      <c r="E28" s="807"/>
      <c r="F28" s="806"/>
      <c r="G28" s="806"/>
      <c r="H28" s="806"/>
      <c r="I28" s="806"/>
      <c r="J28" s="806"/>
      <c r="K28" s="807"/>
    </row>
    <row r="29" spans="2:11">
      <c r="B29" s="533" t="s">
        <v>376</v>
      </c>
      <c r="C29" s="811">
        <f>C50</f>
        <v>0.96</v>
      </c>
      <c r="D29" s="811">
        <f t="shared" ref="D29:I29" si="1">D50</f>
        <v>0.67199999999999993</v>
      </c>
      <c r="E29" s="812">
        <f t="shared" si="1"/>
        <v>0.48</v>
      </c>
      <c r="F29" s="812">
        <f t="shared" si="1"/>
        <v>0.82799999999999996</v>
      </c>
      <c r="G29" s="812">
        <f t="shared" si="1"/>
        <v>1.5</v>
      </c>
      <c r="H29" s="812">
        <f t="shared" si="1"/>
        <v>0.28799999999999998</v>
      </c>
      <c r="I29" s="812">
        <f t="shared" si="1"/>
        <v>0.6</v>
      </c>
      <c r="J29" s="789" t="s">
        <v>377</v>
      </c>
      <c r="K29" s="813" t="s">
        <v>378</v>
      </c>
    </row>
    <row r="30" spans="2:11">
      <c r="B30" s="533" t="s">
        <v>274</v>
      </c>
      <c r="C30" s="543">
        <f>100%-C31</f>
        <v>0.85</v>
      </c>
      <c r="D30" s="543">
        <f>100%-D31</f>
        <v>0.8</v>
      </c>
      <c r="E30" s="543">
        <f>100%-E31</f>
        <v>0.76</v>
      </c>
      <c r="F30" s="814"/>
      <c r="G30" s="815"/>
      <c r="H30" s="815"/>
      <c r="I30" s="815"/>
      <c r="J30" s="789"/>
      <c r="K30" s="789" t="s">
        <v>281</v>
      </c>
    </row>
    <row r="31" spans="2:11">
      <c r="B31" s="533" t="s">
        <v>275</v>
      </c>
      <c r="C31" s="543">
        <v>0.15</v>
      </c>
      <c r="D31" s="543">
        <v>0.2</v>
      </c>
      <c r="E31" s="543">
        <v>0.24</v>
      </c>
      <c r="F31" s="814"/>
      <c r="G31" s="815"/>
      <c r="H31" s="815"/>
      <c r="I31" s="815"/>
      <c r="J31" s="789" t="s">
        <v>379</v>
      </c>
      <c r="K31" s="789" t="s">
        <v>281</v>
      </c>
    </row>
    <row r="32" spans="2:11">
      <c r="B32" s="533" t="s">
        <v>276</v>
      </c>
      <c r="C32" s="544">
        <v>7500</v>
      </c>
      <c r="D32" s="544">
        <v>6800</v>
      </c>
      <c r="E32" s="544">
        <v>6100</v>
      </c>
      <c r="F32" s="544">
        <f>ROUND(C32*0.5,-2)</f>
        <v>3800</v>
      </c>
      <c r="G32" s="544">
        <f>ROUND(C32*1.5,-2)</f>
        <v>11300</v>
      </c>
      <c r="H32" s="544">
        <f>ROUND(E32*0.5,-2)</f>
        <v>3100</v>
      </c>
      <c r="I32" s="544">
        <f>ROUND(E32*1.5,-2)</f>
        <v>9200</v>
      </c>
      <c r="J32" s="816" t="s">
        <v>380</v>
      </c>
      <c r="K32" s="789" t="s">
        <v>281</v>
      </c>
    </row>
    <row r="33" spans="1:11">
      <c r="B33" s="533" t="s">
        <v>279</v>
      </c>
      <c r="C33" s="785">
        <v>0</v>
      </c>
      <c r="D33" s="785">
        <v>0</v>
      </c>
      <c r="E33" s="786">
        <v>0</v>
      </c>
      <c r="F33" s="787"/>
      <c r="G33" s="785"/>
      <c r="H33" s="785"/>
      <c r="I33" s="817"/>
      <c r="J33" s="789"/>
      <c r="K33" s="793"/>
    </row>
    <row r="34" spans="1:11">
      <c r="B34" s="533" t="s">
        <v>282</v>
      </c>
      <c r="C34" s="785">
        <v>0</v>
      </c>
      <c r="D34" s="785">
        <v>0</v>
      </c>
      <c r="E34" s="786">
        <v>0</v>
      </c>
      <c r="F34" s="787"/>
      <c r="G34" s="785"/>
      <c r="H34" s="785"/>
      <c r="I34" s="817"/>
      <c r="J34" s="789"/>
      <c r="K34" s="793"/>
    </row>
    <row r="35" spans="1:11">
      <c r="B35" s="535" t="s">
        <v>283</v>
      </c>
      <c r="C35" s="818"/>
      <c r="D35" s="818"/>
      <c r="E35" s="819"/>
      <c r="F35" s="818"/>
      <c r="G35" s="818"/>
      <c r="H35" s="818"/>
      <c r="I35" s="818"/>
      <c r="J35" s="818"/>
      <c r="K35" s="819"/>
    </row>
    <row r="36" spans="1:11">
      <c r="B36" s="545" t="s">
        <v>381</v>
      </c>
      <c r="C36" s="820">
        <v>1700</v>
      </c>
      <c r="D36" s="820">
        <v>1700</v>
      </c>
      <c r="E36" s="820">
        <v>1700</v>
      </c>
      <c r="F36" s="817">
        <v>1300</v>
      </c>
      <c r="G36" s="817">
        <v>2200</v>
      </c>
      <c r="H36" s="817">
        <v>1300</v>
      </c>
      <c r="I36" s="817">
        <v>2200</v>
      </c>
      <c r="J36" s="817" t="s">
        <v>307</v>
      </c>
      <c r="K36" s="821" t="s">
        <v>369</v>
      </c>
    </row>
    <row r="37" spans="1:11">
      <c r="B37" s="545" t="s">
        <v>382</v>
      </c>
      <c r="C37" s="822">
        <v>1.2</v>
      </c>
      <c r="D37" s="822">
        <v>1.2</v>
      </c>
      <c r="E37" s="822">
        <v>1.2</v>
      </c>
      <c r="F37" s="823"/>
      <c r="G37" s="824"/>
      <c r="H37" s="817"/>
      <c r="I37" s="817"/>
      <c r="J37" s="817" t="s">
        <v>309</v>
      </c>
      <c r="K37" s="821" t="s">
        <v>314</v>
      </c>
    </row>
    <row r="38" spans="1:11">
      <c r="B38" s="545" t="s">
        <v>383</v>
      </c>
      <c r="C38" s="822">
        <v>1.01</v>
      </c>
      <c r="D38" s="822">
        <v>1.01</v>
      </c>
      <c r="E38" s="822">
        <v>1.01</v>
      </c>
      <c r="F38" s="823"/>
      <c r="G38" s="824"/>
      <c r="H38" s="817"/>
      <c r="I38" s="817"/>
      <c r="J38" s="817" t="s">
        <v>253</v>
      </c>
      <c r="K38" s="821">
        <v>3</v>
      </c>
    </row>
    <row r="39" spans="1:11">
      <c r="B39" s="545" t="s">
        <v>384</v>
      </c>
      <c r="C39" s="822">
        <v>0.86</v>
      </c>
      <c r="D39" s="822">
        <v>0.9</v>
      </c>
      <c r="E39" s="822">
        <v>0.92</v>
      </c>
      <c r="F39" s="823"/>
      <c r="G39" s="824"/>
      <c r="H39" s="817"/>
      <c r="I39" s="817"/>
      <c r="J39" s="817" t="s">
        <v>385</v>
      </c>
      <c r="K39" s="821" t="s">
        <v>314</v>
      </c>
    </row>
    <row r="40" spans="1:11">
      <c r="B40" s="545" t="s">
        <v>386</v>
      </c>
      <c r="C40" s="546">
        <v>0.20499999999999999</v>
      </c>
      <c r="D40" s="546">
        <v>0.23</v>
      </c>
      <c r="E40" s="546">
        <v>0.26</v>
      </c>
      <c r="F40" s="825"/>
      <c r="G40" s="826"/>
      <c r="H40" s="817"/>
      <c r="I40" s="817"/>
      <c r="J40" s="817"/>
      <c r="K40" s="821" t="s">
        <v>357</v>
      </c>
    </row>
    <row r="41" spans="1:11">
      <c r="A41" s="130"/>
      <c r="B41" s="547" t="s">
        <v>387</v>
      </c>
      <c r="C41" s="827">
        <v>12.5</v>
      </c>
      <c r="D41" s="827">
        <v>15</v>
      </c>
      <c r="E41" s="827">
        <v>15</v>
      </c>
      <c r="F41" s="828" t="s">
        <v>5</v>
      </c>
      <c r="G41" s="829"/>
      <c r="H41" s="830"/>
      <c r="I41" s="830"/>
      <c r="J41" s="789"/>
      <c r="K41" s="789">
        <v>5</v>
      </c>
    </row>
    <row r="42" spans="1:11">
      <c r="A42" s="130"/>
      <c r="B42" s="548" t="s">
        <v>388</v>
      </c>
      <c r="C42" s="831"/>
      <c r="D42" s="831"/>
      <c r="E42" s="831"/>
      <c r="F42" s="831"/>
      <c r="G42" s="831"/>
      <c r="H42" s="832"/>
      <c r="I42" s="832"/>
      <c r="J42" s="818"/>
      <c r="K42" s="819"/>
    </row>
    <row r="43" spans="1:11">
      <c r="A43" s="130"/>
      <c r="B43" s="549" t="s">
        <v>389</v>
      </c>
      <c r="C43" s="833">
        <f>MROUND(C44*C37,50)</f>
        <v>1800</v>
      </c>
      <c r="D43" s="833">
        <f t="shared" ref="D43:E43" si="2">MROUND(D44*D37,50)</f>
        <v>1850</v>
      </c>
      <c r="E43" s="833">
        <f t="shared" si="2"/>
        <v>1900</v>
      </c>
      <c r="F43" s="834">
        <f>MROUND(F36*C38*C39*C37,50)</f>
        <v>1350</v>
      </c>
      <c r="G43" s="834">
        <f>MROUND(G36*C38*C39*C37,50)</f>
        <v>2300</v>
      </c>
      <c r="H43" s="834">
        <f>MROUND(H36*E38*E39*E37,50)</f>
        <v>1450</v>
      </c>
      <c r="I43" s="834">
        <f>MROUND(I36*E38*E39*E37,50)</f>
        <v>2450</v>
      </c>
      <c r="J43" s="817" t="s">
        <v>390</v>
      </c>
      <c r="K43" s="821"/>
    </row>
    <row r="44" spans="1:11">
      <c r="A44" s="130"/>
      <c r="B44" s="545" t="s">
        <v>391</v>
      </c>
      <c r="C44" s="833">
        <f>MROUND(C36*C38*C39,50)</f>
        <v>1500</v>
      </c>
      <c r="D44" s="833">
        <f t="shared" ref="D44:E44" si="3">MROUND(D36*D38*D39,50)</f>
        <v>1550</v>
      </c>
      <c r="E44" s="833">
        <f t="shared" si="3"/>
        <v>1600</v>
      </c>
      <c r="F44" s="834">
        <f>MROUND(F43*C37,50)</f>
        <v>1600</v>
      </c>
      <c r="G44" s="834">
        <f>MROUND(G43*D37,50)</f>
        <v>2750</v>
      </c>
      <c r="H44" s="834">
        <f>MROUND(H43*E37,50)</f>
        <v>1750</v>
      </c>
      <c r="I44" s="834">
        <f>MROUND(I43*E37,50)</f>
        <v>2950</v>
      </c>
      <c r="J44" s="789" t="s">
        <v>392</v>
      </c>
      <c r="K44" s="789"/>
    </row>
    <row r="45" spans="1:11">
      <c r="A45" s="130"/>
      <c r="B45" s="548" t="s">
        <v>393</v>
      </c>
      <c r="C45" s="831"/>
      <c r="D45" s="831"/>
      <c r="E45" s="831"/>
      <c r="F45" s="831"/>
      <c r="G45" s="831"/>
      <c r="H45" s="832"/>
      <c r="I45" s="832"/>
      <c r="J45" s="818"/>
      <c r="K45" s="819"/>
    </row>
    <row r="46" spans="1:11">
      <c r="A46" s="130"/>
      <c r="B46" s="550" t="s">
        <v>394</v>
      </c>
      <c r="C46" s="835">
        <f>0.6*C49*C30</f>
        <v>0.40799999999999997</v>
      </c>
      <c r="D46" s="835">
        <f t="shared" ref="D46:E46" si="4">0.6*D49*D30</f>
        <v>0.26879999999999998</v>
      </c>
      <c r="E46" s="835">
        <f t="shared" si="4"/>
        <v>0.18240000000000001</v>
      </c>
      <c r="F46" s="835">
        <f>0.6*F49*C30</f>
        <v>0.35189999999999999</v>
      </c>
      <c r="G46" s="835">
        <f>0.6*G49*C30</f>
        <v>0.63749999999999996</v>
      </c>
      <c r="H46" s="835">
        <f>0.6*H49*E30</f>
        <v>0.10944</v>
      </c>
      <c r="I46" s="835">
        <f>0.6*I49*E30</f>
        <v>0.22799999999999998</v>
      </c>
      <c r="J46" s="817"/>
      <c r="K46" s="821" t="s">
        <v>281</v>
      </c>
    </row>
    <row r="47" spans="1:11">
      <c r="A47" s="130"/>
      <c r="B47" s="550" t="s">
        <v>395</v>
      </c>
      <c r="C47" s="822">
        <f>0.4*C49*C30</f>
        <v>0.27200000000000002</v>
      </c>
      <c r="D47" s="822">
        <f t="shared" ref="D47:E47" si="5">0.4*D49*D30</f>
        <v>0.1792</v>
      </c>
      <c r="E47" s="822">
        <f t="shared" si="5"/>
        <v>0.12160000000000003</v>
      </c>
      <c r="F47" s="822">
        <f>0.4*F49*C30</f>
        <v>0.23459999999999998</v>
      </c>
      <c r="G47" s="822">
        <f>0.4*G49*C30</f>
        <v>0.42499999999999999</v>
      </c>
      <c r="H47" s="822">
        <f>0.4*H49*E30</f>
        <v>7.2959999999999997E-2</v>
      </c>
      <c r="I47" s="822">
        <f>0.4*I49*E30</f>
        <v>0.15200000000000002</v>
      </c>
      <c r="J47" s="817"/>
      <c r="K47" s="821" t="s">
        <v>281</v>
      </c>
    </row>
    <row r="48" spans="1:11">
      <c r="A48" s="130"/>
      <c r="B48" s="530" t="s">
        <v>396</v>
      </c>
      <c r="C48" s="822">
        <f>C49-C47-C46</f>
        <v>0.12000000000000005</v>
      </c>
      <c r="D48" s="822">
        <f t="shared" ref="D48:I48" si="6">D49-D47-D46</f>
        <v>0.11199999999999993</v>
      </c>
      <c r="E48" s="822">
        <f t="shared" si="6"/>
        <v>9.5999999999999974E-2</v>
      </c>
      <c r="F48" s="822">
        <f t="shared" si="6"/>
        <v>0.10349999999999998</v>
      </c>
      <c r="G48" s="822">
        <f t="shared" si="6"/>
        <v>0.1875</v>
      </c>
      <c r="H48" s="822">
        <f t="shared" si="6"/>
        <v>5.7599999999999998E-2</v>
      </c>
      <c r="I48" s="822">
        <f t="shared" si="6"/>
        <v>0.12</v>
      </c>
      <c r="J48" s="789" t="s">
        <v>379</v>
      </c>
      <c r="K48" s="821" t="s">
        <v>281</v>
      </c>
    </row>
    <row r="49" spans="1:11">
      <c r="A49" s="130"/>
      <c r="B49" s="550" t="s">
        <v>397</v>
      </c>
      <c r="C49" s="822">
        <v>0.8</v>
      </c>
      <c r="D49" s="822">
        <f>C49*0.7</f>
        <v>0.55999999999999994</v>
      </c>
      <c r="E49" s="822">
        <f>C49*0.5</f>
        <v>0.4</v>
      </c>
      <c r="F49" s="812">
        <v>0.69</v>
      </c>
      <c r="G49" s="812">
        <v>1.25</v>
      </c>
      <c r="H49" s="812">
        <f>MROUND(E49*0.6,0.01)</f>
        <v>0.24</v>
      </c>
      <c r="I49" s="812">
        <f>MROUND(E49*1.25,0.01)</f>
        <v>0.5</v>
      </c>
      <c r="J49" s="817" t="s">
        <v>305</v>
      </c>
      <c r="K49" s="824" t="s">
        <v>378</v>
      </c>
    </row>
    <row r="50" spans="1:11">
      <c r="A50" s="130"/>
      <c r="B50" s="545" t="s">
        <v>398</v>
      </c>
      <c r="C50" s="822">
        <f>C49*C37</f>
        <v>0.96</v>
      </c>
      <c r="D50" s="822">
        <f t="shared" ref="D50" si="7">D49*D37</f>
        <v>0.67199999999999993</v>
      </c>
      <c r="E50" s="822">
        <f>E49*E37</f>
        <v>0.48</v>
      </c>
      <c r="F50" s="822">
        <f>F49*C37</f>
        <v>0.82799999999999996</v>
      </c>
      <c r="G50" s="822">
        <f>G49*C37</f>
        <v>1.5</v>
      </c>
      <c r="H50" s="822">
        <f>H49*E37</f>
        <v>0.28799999999999998</v>
      </c>
      <c r="I50" s="822">
        <f>I49*E37</f>
        <v>0.6</v>
      </c>
      <c r="J50" s="817" t="s">
        <v>399</v>
      </c>
      <c r="K50" s="824" t="s">
        <v>378</v>
      </c>
    </row>
    <row r="51" spans="1:11" ht="7.5" customHeight="1">
      <c r="A51" s="130"/>
      <c r="B51" s="94"/>
      <c r="C51" s="394"/>
      <c r="D51" s="394"/>
      <c r="E51" s="394"/>
      <c r="F51" s="94"/>
      <c r="G51" s="94"/>
      <c r="H51" s="94"/>
      <c r="I51" s="170"/>
      <c r="J51" s="170"/>
      <c r="K51" s="171"/>
    </row>
    <row r="52" spans="1:11" s="93" customFormat="1" ht="12">
      <c r="A52" s="130" t="s">
        <v>286</v>
      </c>
      <c r="C52" s="551"/>
      <c r="D52" s="551"/>
      <c r="E52" s="551"/>
      <c r="F52" s="150"/>
      <c r="G52" s="150"/>
      <c r="I52" s="130"/>
    </row>
    <row r="53" spans="1:11" ht="14.1" customHeight="1">
      <c r="A53" s="152">
        <v>1</v>
      </c>
      <c r="B53" s="1148" t="s">
        <v>287</v>
      </c>
      <c r="C53" s="1148"/>
      <c r="D53" s="1148"/>
      <c r="E53" s="1148"/>
      <c r="F53" s="1148"/>
      <c r="G53" s="1148"/>
      <c r="H53" s="1148"/>
      <c r="I53" s="1148"/>
      <c r="J53" s="1148"/>
      <c r="K53" s="1148"/>
    </row>
    <row r="54" spans="1:11">
      <c r="A54" s="152">
        <v>2</v>
      </c>
      <c r="B54" s="1148" t="s">
        <v>400</v>
      </c>
      <c r="C54" s="1148"/>
      <c r="D54" s="1148"/>
      <c r="E54" s="1148"/>
      <c r="F54" s="1148"/>
      <c r="G54" s="1148"/>
      <c r="H54" s="1148"/>
      <c r="I54" s="1148"/>
      <c r="J54" s="1148"/>
      <c r="K54" s="1148"/>
    </row>
    <row r="55" spans="1:11">
      <c r="A55" s="152">
        <v>3</v>
      </c>
      <c r="B55" s="1148" t="s">
        <v>401</v>
      </c>
      <c r="C55" s="1148"/>
      <c r="D55" s="1148"/>
      <c r="E55" s="1148"/>
      <c r="F55" s="1148"/>
      <c r="G55" s="1148"/>
      <c r="H55" s="1148"/>
      <c r="I55" s="1148"/>
      <c r="J55" s="1148"/>
      <c r="K55" s="1148"/>
    </row>
    <row r="56" spans="1:11">
      <c r="A56" s="152">
        <v>4</v>
      </c>
      <c r="B56" s="1148" t="s">
        <v>402</v>
      </c>
      <c r="C56" s="1148"/>
      <c r="D56" s="1148"/>
      <c r="E56" s="1148"/>
      <c r="F56" s="1148"/>
      <c r="G56" s="1148"/>
      <c r="H56" s="1148"/>
      <c r="I56" s="1148"/>
      <c r="J56" s="1148"/>
      <c r="K56" s="1148"/>
    </row>
    <row r="57" spans="1:11">
      <c r="A57" s="152">
        <v>5</v>
      </c>
      <c r="B57" s="1148" t="s">
        <v>403</v>
      </c>
      <c r="C57" s="1148"/>
      <c r="D57" s="1148"/>
      <c r="E57" s="1148"/>
      <c r="F57" s="1148"/>
      <c r="G57" s="1148"/>
      <c r="H57" s="1148"/>
      <c r="I57" s="1148"/>
      <c r="J57" s="1148"/>
      <c r="K57" s="1148"/>
    </row>
    <row r="58" spans="1:11">
      <c r="A58" s="152">
        <v>6</v>
      </c>
      <c r="B58" s="1148" t="s">
        <v>404</v>
      </c>
      <c r="C58" s="1148"/>
      <c r="D58" s="1148"/>
      <c r="E58" s="1148"/>
      <c r="F58" s="1148"/>
      <c r="G58" s="1148"/>
      <c r="H58" s="1148"/>
      <c r="I58" s="1148"/>
      <c r="J58" s="1148"/>
      <c r="K58" s="1148"/>
    </row>
    <row r="59" spans="1:11">
      <c r="A59" s="152">
        <v>7</v>
      </c>
      <c r="B59" s="1148" t="s">
        <v>405</v>
      </c>
      <c r="C59" s="1148"/>
      <c r="D59" s="1148"/>
      <c r="E59" s="1148"/>
      <c r="F59" s="1148"/>
      <c r="G59" s="1148"/>
      <c r="H59" s="1148"/>
      <c r="I59" s="1148"/>
      <c r="J59" s="1148"/>
      <c r="K59" s="1148"/>
    </row>
    <row r="60" spans="1:11">
      <c r="A60" s="152">
        <v>8</v>
      </c>
      <c r="B60" s="1148" t="s">
        <v>406</v>
      </c>
      <c r="C60" s="1148"/>
      <c r="D60" s="1148"/>
      <c r="E60" s="1148"/>
      <c r="F60" s="1148"/>
      <c r="G60" s="1148"/>
      <c r="H60" s="1148"/>
      <c r="I60" s="1148"/>
      <c r="J60" s="1148"/>
      <c r="K60" s="1148"/>
    </row>
    <row r="61" spans="1:11">
      <c r="A61" s="152">
        <v>9</v>
      </c>
      <c r="B61" s="1150" t="s">
        <v>407</v>
      </c>
      <c r="C61" s="1150"/>
      <c r="D61" s="1150"/>
      <c r="E61" s="1150"/>
      <c r="F61" s="1150"/>
      <c r="G61" s="1150"/>
      <c r="H61" s="1150"/>
      <c r="I61" s="1150"/>
      <c r="J61" s="1150"/>
      <c r="K61" s="1150"/>
    </row>
    <row r="62" spans="1:11">
      <c r="A62" s="130" t="s">
        <v>298</v>
      </c>
    </row>
    <row r="63" spans="1:11">
      <c r="A63" s="552" t="s">
        <v>246</v>
      </c>
      <c r="B63" s="1148" t="s">
        <v>408</v>
      </c>
      <c r="C63" s="1148"/>
      <c r="D63" s="1148"/>
      <c r="E63" s="1148"/>
      <c r="F63" s="1148"/>
      <c r="G63" s="1148"/>
      <c r="H63" s="1148"/>
      <c r="I63" s="1148"/>
      <c r="J63" s="1148"/>
      <c r="K63" s="1148"/>
    </row>
    <row r="64" spans="1:11">
      <c r="A64" s="552" t="s">
        <v>300</v>
      </c>
      <c r="B64" s="1148" t="s">
        <v>409</v>
      </c>
      <c r="C64" s="1148"/>
      <c r="D64" s="1148"/>
      <c r="E64" s="1148"/>
      <c r="F64" s="1148"/>
      <c r="G64" s="1148"/>
      <c r="H64" s="1148"/>
      <c r="I64" s="1148"/>
      <c r="J64" s="1148"/>
      <c r="K64" s="1148"/>
    </row>
    <row r="65" spans="1:11">
      <c r="A65" s="552" t="s">
        <v>265</v>
      </c>
      <c r="B65" s="1148" t="s">
        <v>410</v>
      </c>
      <c r="C65" s="1148"/>
      <c r="D65" s="1148"/>
      <c r="E65" s="1148"/>
      <c r="F65" s="1148"/>
      <c r="G65" s="1148"/>
      <c r="H65" s="1148"/>
      <c r="I65" s="1148"/>
      <c r="J65" s="1148"/>
      <c r="K65" s="1148"/>
    </row>
    <row r="66" spans="1:11" ht="15.75" customHeight="1">
      <c r="A66" s="152" t="s">
        <v>305</v>
      </c>
      <c r="B66" s="1148" t="s">
        <v>324</v>
      </c>
      <c r="C66" s="1148"/>
      <c r="D66" s="1148"/>
      <c r="E66" s="1148"/>
      <c r="F66" s="1148"/>
      <c r="G66" s="1148"/>
      <c r="H66" s="1148"/>
      <c r="I66" s="1148"/>
      <c r="J66" s="1148"/>
      <c r="K66" s="1148"/>
    </row>
    <row r="67" spans="1:11" ht="26.25" customHeight="1">
      <c r="A67" s="152" t="s">
        <v>307</v>
      </c>
      <c r="B67" s="1148" t="s">
        <v>411</v>
      </c>
      <c r="C67" s="1148"/>
      <c r="D67" s="1148"/>
      <c r="E67" s="1148"/>
      <c r="F67" s="1148"/>
      <c r="G67" s="1148"/>
      <c r="H67" s="1148"/>
      <c r="I67" s="1148"/>
      <c r="J67" s="1148"/>
      <c r="K67" s="1148"/>
    </row>
    <row r="68" spans="1:11">
      <c r="A68" s="152" t="s">
        <v>309</v>
      </c>
      <c r="B68" s="1148" t="s">
        <v>412</v>
      </c>
      <c r="C68" s="1148"/>
      <c r="D68" s="1148"/>
      <c r="E68" s="1148"/>
      <c r="F68" s="1148"/>
      <c r="G68" s="1148"/>
      <c r="H68" s="1148"/>
      <c r="I68" s="1148"/>
      <c r="J68" s="1148"/>
      <c r="K68" s="1148"/>
    </row>
    <row r="69" spans="1:11">
      <c r="A69" s="152" t="s">
        <v>253</v>
      </c>
      <c r="B69" s="1148" t="s">
        <v>413</v>
      </c>
      <c r="C69" s="1148"/>
      <c r="D69" s="1148"/>
      <c r="E69" s="1148"/>
      <c r="F69" s="1148"/>
      <c r="G69" s="1148"/>
      <c r="H69" s="1148"/>
      <c r="I69" s="1148"/>
      <c r="J69" s="1148"/>
      <c r="K69" s="1148"/>
    </row>
    <row r="70" spans="1:11">
      <c r="A70" s="152" t="s">
        <v>385</v>
      </c>
      <c r="B70" s="1148" t="s">
        <v>414</v>
      </c>
      <c r="C70" s="1148"/>
      <c r="D70" s="1148"/>
      <c r="E70" s="1148"/>
      <c r="F70" s="1148"/>
      <c r="G70" s="1148"/>
      <c r="H70" s="1148"/>
      <c r="I70" s="1148"/>
      <c r="J70" s="1148"/>
      <c r="K70" s="1148"/>
    </row>
    <row r="71" spans="1:11" ht="20.100000000000001" customHeight="1">
      <c r="A71" s="152" t="s">
        <v>415</v>
      </c>
      <c r="B71" s="1150" t="s">
        <v>416</v>
      </c>
      <c r="C71" s="1150"/>
      <c r="D71" s="1150"/>
      <c r="E71" s="1150"/>
      <c r="F71" s="1150"/>
      <c r="G71" s="1150"/>
      <c r="H71" s="1150"/>
      <c r="I71" s="1150"/>
      <c r="J71" s="1150"/>
      <c r="K71" s="1150"/>
    </row>
    <row r="72" spans="1:11" ht="24.75" customHeight="1">
      <c r="A72" s="152" t="s">
        <v>417</v>
      </c>
      <c r="B72" s="1148" t="s">
        <v>418</v>
      </c>
      <c r="C72" s="1148"/>
      <c r="D72" s="1148"/>
      <c r="E72" s="1148"/>
      <c r="F72" s="1148"/>
      <c r="G72" s="1148"/>
      <c r="H72" s="1148"/>
      <c r="I72" s="1148"/>
      <c r="J72" s="1148"/>
      <c r="K72" s="1148"/>
    </row>
    <row r="73" spans="1:11" ht="14.25" customHeight="1">
      <c r="A73" s="152" t="s">
        <v>419</v>
      </c>
      <c r="B73" s="1148" t="s">
        <v>420</v>
      </c>
      <c r="C73" s="1148"/>
      <c r="D73" s="1148"/>
      <c r="E73" s="1148"/>
      <c r="F73" s="1148"/>
      <c r="G73" s="1148"/>
      <c r="H73" s="1148"/>
      <c r="I73" s="1148"/>
      <c r="J73" s="1148"/>
      <c r="K73" s="1148"/>
    </row>
    <row r="74" spans="1:11">
      <c r="A74" s="152" t="s">
        <v>421</v>
      </c>
      <c r="B74" s="1148" t="s">
        <v>422</v>
      </c>
      <c r="C74" s="1148"/>
      <c r="D74" s="1148"/>
      <c r="E74" s="1148"/>
      <c r="F74" s="1148"/>
      <c r="G74" s="1148"/>
      <c r="H74" s="1148"/>
      <c r="I74" s="1148"/>
      <c r="J74" s="1148"/>
      <c r="K74" s="1148"/>
    </row>
    <row r="75" spans="1:11" ht="14.25" customHeight="1">
      <c r="A75" s="152" t="s">
        <v>423</v>
      </c>
      <c r="B75" s="1148" t="s">
        <v>424</v>
      </c>
      <c r="C75" s="1148"/>
      <c r="D75" s="1148"/>
      <c r="E75" s="1148"/>
      <c r="F75" s="1148"/>
      <c r="G75" s="1148"/>
      <c r="H75" s="1148"/>
      <c r="I75" s="1148"/>
      <c r="J75" s="1148"/>
      <c r="K75" s="1148"/>
    </row>
    <row r="76" spans="1:11">
      <c r="A76" s="152" t="s">
        <v>380</v>
      </c>
      <c r="B76" s="1148" t="s">
        <v>425</v>
      </c>
      <c r="C76" s="1148"/>
      <c r="D76" s="1148"/>
      <c r="E76" s="1148"/>
      <c r="F76" s="1148"/>
      <c r="G76" s="1148"/>
      <c r="H76" s="1148"/>
      <c r="I76" s="1148"/>
      <c r="J76" s="1148"/>
      <c r="K76" s="1148"/>
    </row>
    <row r="77" spans="1:11" ht="26.25" customHeight="1">
      <c r="A77" s="152" t="s">
        <v>426</v>
      </c>
      <c r="B77" s="1148" t="s">
        <v>427</v>
      </c>
      <c r="C77" s="1148"/>
      <c r="D77" s="1148"/>
      <c r="E77" s="1148"/>
      <c r="F77" s="1148"/>
      <c r="G77" s="1148"/>
      <c r="H77" s="1148"/>
      <c r="I77" s="1148"/>
      <c r="J77" s="1148"/>
      <c r="K77" s="1148"/>
    </row>
    <row r="78" spans="1:11">
      <c r="A78" s="152" t="s">
        <v>428</v>
      </c>
      <c r="B78" s="1148" t="s">
        <v>429</v>
      </c>
      <c r="C78" s="1148"/>
      <c r="D78" s="1148"/>
      <c r="E78" s="1148"/>
      <c r="F78" s="1148"/>
      <c r="G78" s="1148"/>
      <c r="H78" s="1148"/>
      <c r="I78" s="1148"/>
      <c r="J78" s="1148"/>
      <c r="K78" s="1148"/>
    </row>
    <row r="79" spans="1:11">
      <c r="A79" s="152" t="s">
        <v>430</v>
      </c>
      <c r="B79" s="1148" t="s">
        <v>431</v>
      </c>
      <c r="C79" s="1148" t="s">
        <v>432</v>
      </c>
      <c r="D79" s="1148"/>
      <c r="E79" s="1148"/>
      <c r="F79" s="1148"/>
      <c r="G79" s="1148"/>
      <c r="H79" s="1148"/>
      <c r="I79" s="1148"/>
      <c r="J79" s="1148"/>
      <c r="K79" s="1148"/>
    </row>
    <row r="80" spans="1:11">
      <c r="A80" s="152" t="s">
        <v>433</v>
      </c>
      <c r="B80" s="1148" t="s">
        <v>434</v>
      </c>
      <c r="C80" s="1148"/>
      <c r="D80" s="1148"/>
      <c r="E80" s="1148"/>
      <c r="F80" s="1148"/>
      <c r="G80" s="1148"/>
      <c r="H80" s="1148"/>
      <c r="I80" s="1148"/>
      <c r="J80" s="1148"/>
      <c r="K80" s="1148"/>
    </row>
    <row r="81" spans="1:11" ht="23.25" customHeight="1">
      <c r="A81" s="152" t="s">
        <v>435</v>
      </c>
      <c r="B81" s="1148" t="s">
        <v>436</v>
      </c>
      <c r="C81" s="1148"/>
      <c r="D81" s="1148"/>
      <c r="E81" s="1148"/>
      <c r="F81" s="1148"/>
      <c r="G81" s="1148"/>
      <c r="H81" s="1148"/>
      <c r="I81" s="1148"/>
      <c r="J81" s="1148"/>
      <c r="K81" s="1148"/>
    </row>
    <row r="82" spans="1:11">
      <c r="A82" s="152" t="s">
        <v>379</v>
      </c>
      <c r="B82" s="1148" t="s">
        <v>437</v>
      </c>
      <c r="C82" s="1148"/>
      <c r="D82" s="1148"/>
      <c r="E82" s="1148"/>
      <c r="F82" s="1148"/>
      <c r="G82" s="1148"/>
      <c r="H82" s="1148"/>
      <c r="I82" s="1148"/>
      <c r="J82" s="1148"/>
      <c r="K82" s="1148"/>
    </row>
    <row r="83" spans="1:11">
      <c r="A83" s="152" t="s">
        <v>438</v>
      </c>
      <c r="B83" s="93" t="s">
        <v>439</v>
      </c>
    </row>
    <row r="84" spans="1:11" ht="14.1" customHeight="1"/>
  </sheetData>
  <mergeCells count="32">
    <mergeCell ref="C3:K3"/>
    <mergeCell ref="F4:G4"/>
    <mergeCell ref="H4:I4"/>
    <mergeCell ref="B71:K71"/>
    <mergeCell ref="B72:K72"/>
    <mergeCell ref="B63:K63"/>
    <mergeCell ref="B68:K68"/>
    <mergeCell ref="B69:K69"/>
    <mergeCell ref="B70:K70"/>
    <mergeCell ref="B53:K53"/>
    <mergeCell ref="B54:K54"/>
    <mergeCell ref="B55:K55"/>
    <mergeCell ref="B56:K56"/>
    <mergeCell ref="B57:K57"/>
    <mergeCell ref="B58:K58"/>
    <mergeCell ref="B59:K59"/>
    <mergeCell ref="B60:K60"/>
    <mergeCell ref="B61:K61"/>
    <mergeCell ref="B64:K64"/>
    <mergeCell ref="B82:K82"/>
    <mergeCell ref="B65:K65"/>
    <mergeCell ref="B66:K66"/>
    <mergeCell ref="B67:K67"/>
    <mergeCell ref="B74:K74"/>
    <mergeCell ref="B78:K78"/>
    <mergeCell ref="B80:K80"/>
    <mergeCell ref="B79:K79"/>
    <mergeCell ref="B81:K81"/>
    <mergeCell ref="B73:K73"/>
    <mergeCell ref="B75:K75"/>
    <mergeCell ref="B76:K76"/>
    <mergeCell ref="B77:K7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E824A-857C-4D6F-8263-ED7108D057D9}">
  <sheetPr>
    <tabColor rgb="FFFF99FF"/>
  </sheetPr>
  <dimension ref="B1:B2"/>
  <sheetViews>
    <sheetView showGridLines="0" tabSelected="1" topLeftCell="A25" zoomScale="85" zoomScaleNormal="85" workbookViewId="0">
      <selection activeCell="P20" sqref="P20"/>
    </sheetView>
  </sheetViews>
  <sheetFormatPr defaultRowHeight="15"/>
  <sheetData>
    <row r="1" spans="2:2">
      <c r="B1" s="63" t="s">
        <v>1017</v>
      </c>
    </row>
    <row r="2" spans="2:2">
      <c r="B2" s="63" t="s">
        <v>1008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9B36C-DB37-462A-A59D-F1C686F6CF31}">
  <sheetPr codeName="Sheet14">
    <tabColor rgb="FFFFC000"/>
  </sheetPr>
  <dimension ref="A1:AG82"/>
  <sheetViews>
    <sheetView zoomScale="96" zoomScaleNormal="96" zoomScaleSheetLayoutView="120" workbookViewId="0">
      <selection activeCell="B47" sqref="B47:K47"/>
    </sheetView>
  </sheetViews>
  <sheetFormatPr defaultColWidth="9.140625" defaultRowHeight="15"/>
  <cols>
    <col min="1" max="1" width="3" style="93" customWidth="1"/>
    <col min="2" max="2" width="38.28515625" style="93" customWidth="1"/>
    <col min="3" max="9" width="9.28515625" style="93" customWidth="1"/>
    <col min="10" max="10" width="8.7109375" style="93" customWidth="1"/>
    <col min="11" max="11" width="8.5703125" style="93" customWidth="1"/>
    <col min="12" max="12" width="10.42578125" style="94" customWidth="1"/>
    <col min="13" max="13" width="10.28515625" style="94" customWidth="1"/>
    <col min="14" max="14" width="9.7109375" style="94" customWidth="1"/>
    <col min="15" max="15" width="10" style="94" customWidth="1"/>
    <col min="16" max="16" width="7.85546875" style="94" customWidth="1"/>
    <col min="17" max="17" width="7.140625" style="94" customWidth="1"/>
    <col min="18" max="18" width="7.7109375" style="94" customWidth="1"/>
    <col min="19" max="16384" width="9.140625" style="94"/>
  </cols>
  <sheetData>
    <row r="1" spans="2:33" ht="20.25">
      <c r="B1" s="92" t="s">
        <v>234</v>
      </c>
    </row>
    <row r="3" spans="2:33">
      <c r="B3" s="531" t="s">
        <v>145</v>
      </c>
      <c r="C3" s="1162" t="s">
        <v>440</v>
      </c>
      <c r="D3" s="1162"/>
      <c r="E3" s="1162"/>
      <c r="F3" s="1162"/>
      <c r="G3" s="1162"/>
      <c r="H3" s="1162"/>
      <c r="I3" s="1162"/>
      <c r="J3" s="1162"/>
      <c r="K3" s="1163"/>
      <c r="L3" s="97"/>
      <c r="M3" s="1143"/>
      <c r="N3" s="1144"/>
      <c r="O3" s="1144"/>
      <c r="P3" s="1144"/>
      <c r="Q3" s="1144"/>
      <c r="R3" s="1144"/>
    </row>
    <row r="4" spans="2:33" ht="13.9" customHeight="1">
      <c r="B4" s="533"/>
      <c r="C4" s="534">
        <v>2023</v>
      </c>
      <c r="D4" s="534">
        <v>2030</v>
      </c>
      <c r="E4" s="534">
        <v>2050</v>
      </c>
      <c r="F4" s="1161" t="s">
        <v>236</v>
      </c>
      <c r="G4" s="1163"/>
      <c r="H4" s="1161" t="s">
        <v>237</v>
      </c>
      <c r="I4" s="1163"/>
      <c r="J4" s="534" t="s">
        <v>238</v>
      </c>
      <c r="K4" s="534" t="s">
        <v>239</v>
      </c>
      <c r="L4" s="100"/>
      <c r="M4" s="101"/>
      <c r="N4" s="101"/>
      <c r="O4" s="101"/>
      <c r="P4" s="413"/>
      <c r="Q4" s="101"/>
      <c r="R4" s="101"/>
    </row>
    <row r="5" spans="2:33">
      <c r="B5" s="535" t="s">
        <v>240</v>
      </c>
      <c r="C5" s="536"/>
      <c r="D5" s="536"/>
      <c r="E5" s="536"/>
      <c r="F5" s="532" t="s">
        <v>241</v>
      </c>
      <c r="G5" s="532" t="s">
        <v>242</v>
      </c>
      <c r="H5" s="532" t="s">
        <v>241</v>
      </c>
      <c r="I5" s="532" t="s">
        <v>242</v>
      </c>
      <c r="J5" s="536"/>
      <c r="K5" s="537"/>
      <c r="L5" s="1146"/>
      <c r="M5" s="1146"/>
      <c r="N5" s="1146"/>
      <c r="O5" s="1146"/>
      <c r="P5" s="1146"/>
      <c r="Q5" s="1146"/>
      <c r="R5" s="1146"/>
    </row>
    <row r="6" spans="2:33">
      <c r="B6" s="538" t="s">
        <v>441</v>
      </c>
      <c r="C6" s="553">
        <v>5</v>
      </c>
      <c r="D6" s="553">
        <v>5</v>
      </c>
      <c r="E6" s="554">
        <v>5</v>
      </c>
      <c r="F6" s="555"/>
      <c r="G6" s="553"/>
      <c r="H6" s="553"/>
      <c r="I6" s="553"/>
      <c r="J6" s="556" t="s">
        <v>246</v>
      </c>
      <c r="K6" s="557">
        <v>1</v>
      </c>
      <c r="L6" s="109"/>
      <c r="M6" s="110"/>
      <c r="N6" s="111"/>
      <c r="O6" s="111"/>
      <c r="P6" s="111"/>
      <c r="Q6" s="111"/>
      <c r="R6" s="111"/>
    </row>
    <row r="7" spans="2:33">
      <c r="B7" s="538" t="s">
        <v>245</v>
      </c>
      <c r="C7" s="553" t="s">
        <v>146</v>
      </c>
      <c r="D7" s="553" t="s">
        <v>146</v>
      </c>
      <c r="E7" s="554" t="s">
        <v>146</v>
      </c>
      <c r="F7" s="555"/>
      <c r="G7" s="553"/>
      <c r="H7" s="553"/>
      <c r="I7" s="553"/>
      <c r="J7" s="556" t="s">
        <v>300</v>
      </c>
      <c r="K7" s="558"/>
      <c r="L7" s="109"/>
      <c r="M7" s="113"/>
      <c r="N7" s="113"/>
      <c r="O7" s="113"/>
      <c r="P7" s="113"/>
      <c r="Q7" s="113"/>
      <c r="R7" s="113"/>
    </row>
    <row r="8" spans="2:33">
      <c r="B8" s="539" t="s">
        <v>247</v>
      </c>
      <c r="C8" s="553" t="s">
        <v>146</v>
      </c>
      <c r="D8" s="553" t="s">
        <v>146</v>
      </c>
      <c r="E8" s="554" t="s">
        <v>146</v>
      </c>
      <c r="F8" s="555"/>
      <c r="G8" s="553"/>
      <c r="H8" s="553"/>
      <c r="I8" s="553"/>
      <c r="J8" s="559" t="s">
        <v>300</v>
      </c>
      <c r="K8" s="560"/>
      <c r="L8" s="109"/>
      <c r="M8" s="113"/>
      <c r="N8" s="113"/>
      <c r="O8" s="113"/>
      <c r="P8" s="113"/>
      <c r="Q8" s="113"/>
      <c r="R8" s="113"/>
      <c r="AF8" s="394"/>
      <c r="AG8" s="414"/>
    </row>
    <row r="9" spans="2:33">
      <c r="B9" s="538" t="s">
        <v>248</v>
      </c>
      <c r="C9" s="553" t="s">
        <v>146</v>
      </c>
      <c r="D9" s="553" t="s">
        <v>146</v>
      </c>
      <c r="E9" s="554" t="s">
        <v>146</v>
      </c>
      <c r="F9" s="555"/>
      <c r="G9" s="553"/>
      <c r="H9" s="553"/>
      <c r="I9" s="553"/>
      <c r="J9" s="556"/>
      <c r="K9" s="561"/>
      <c r="L9" s="93"/>
      <c r="M9" s="116"/>
      <c r="N9" s="116"/>
      <c r="O9" s="116"/>
      <c r="P9" s="116"/>
      <c r="Q9" s="116"/>
      <c r="R9" s="113"/>
      <c r="AF9" s="394"/>
      <c r="AG9" s="414"/>
    </row>
    <row r="10" spans="2:33">
      <c r="B10" s="533" t="s">
        <v>249</v>
      </c>
      <c r="C10" s="553" t="s">
        <v>146</v>
      </c>
      <c r="D10" s="553" t="s">
        <v>146</v>
      </c>
      <c r="E10" s="554" t="s">
        <v>146</v>
      </c>
      <c r="F10" s="555"/>
      <c r="G10" s="553"/>
      <c r="H10" s="553"/>
      <c r="I10" s="553"/>
      <c r="J10" s="556"/>
      <c r="K10" s="561"/>
      <c r="L10" s="93"/>
      <c r="M10" s="116"/>
      <c r="N10" s="116"/>
      <c r="O10" s="116"/>
      <c r="P10" s="116"/>
      <c r="Q10" s="116"/>
      <c r="R10" s="113"/>
      <c r="AG10" s="414"/>
    </row>
    <row r="11" spans="2:33">
      <c r="B11" s="533" t="s">
        <v>250</v>
      </c>
      <c r="C11" s="553">
        <f>'Ground-mounted PV'!C11</f>
        <v>27</v>
      </c>
      <c r="D11" s="553">
        <f>'Ground-mounted PV'!D11</f>
        <v>30</v>
      </c>
      <c r="E11" s="553">
        <f>'Ground-mounted PV'!E11</f>
        <v>35</v>
      </c>
      <c r="F11" s="553">
        <f>'Ground-mounted PV'!F11</f>
        <v>25</v>
      </c>
      <c r="G11" s="553">
        <f>'Ground-mounted PV'!G11</f>
        <v>30</v>
      </c>
      <c r="H11" s="553">
        <f>'Ground-mounted PV'!H11</f>
        <v>28</v>
      </c>
      <c r="I11" s="553">
        <f>'Ground-mounted PV'!I11</f>
        <v>42</v>
      </c>
      <c r="J11" s="556"/>
      <c r="K11" s="561" t="s">
        <v>364</v>
      </c>
      <c r="L11" s="109"/>
      <c r="M11" s="113"/>
      <c r="N11" s="113"/>
      <c r="O11" s="113"/>
      <c r="P11" s="113"/>
      <c r="Q11" s="113"/>
      <c r="R11" s="113"/>
      <c r="AF11" s="394"/>
      <c r="AG11" s="414"/>
    </row>
    <row r="12" spans="2:33">
      <c r="B12" s="533" t="s">
        <v>252</v>
      </c>
      <c r="C12" s="562">
        <v>0.1</v>
      </c>
      <c r="D12" s="562">
        <v>0.1</v>
      </c>
      <c r="E12" s="563">
        <v>0.1</v>
      </c>
      <c r="F12" s="562">
        <v>0.1</v>
      </c>
      <c r="G12" s="562">
        <v>0.5</v>
      </c>
      <c r="H12" s="562">
        <v>0.1</v>
      </c>
      <c r="I12" s="562">
        <v>0.5</v>
      </c>
      <c r="J12" s="556"/>
      <c r="K12" s="561">
        <v>1</v>
      </c>
      <c r="L12" s="109"/>
      <c r="M12" s="113"/>
      <c r="N12" s="113"/>
      <c r="O12" s="113"/>
      <c r="P12" s="113"/>
      <c r="Q12" s="113"/>
      <c r="R12" s="113"/>
      <c r="AF12" s="394"/>
      <c r="AG12" s="414"/>
    </row>
    <row r="13" spans="2:33">
      <c r="B13" s="540" t="s">
        <v>442</v>
      </c>
      <c r="C13" s="562">
        <v>5.0999999999999996</v>
      </c>
      <c r="D13" s="562">
        <f>C13*(1-0.95*(1-C40/D40))</f>
        <v>4.5733695652173907</v>
      </c>
      <c r="E13" s="562">
        <f>D13*(1-0.95*(1-D40/E40))</f>
        <v>4.072057901337792</v>
      </c>
      <c r="F13" s="562">
        <v>4.4000000000000004</v>
      </c>
      <c r="G13" s="562">
        <v>6</v>
      </c>
      <c r="H13" s="562">
        <v>4</v>
      </c>
      <c r="I13" s="563">
        <v>5.5</v>
      </c>
      <c r="J13" s="557" t="s">
        <v>435</v>
      </c>
      <c r="K13" s="556">
        <v>1</v>
      </c>
      <c r="L13" s="109"/>
      <c r="M13" s="113"/>
      <c r="N13" s="113"/>
      <c r="O13" s="113"/>
      <c r="P13" s="113"/>
      <c r="Q13" s="113"/>
      <c r="R13" s="113"/>
      <c r="AG13" s="414"/>
    </row>
    <row r="14" spans="2:33">
      <c r="B14" s="541" t="s">
        <v>255</v>
      </c>
      <c r="C14" s="564"/>
      <c r="D14" s="564"/>
      <c r="E14" s="565"/>
      <c r="F14" s="564"/>
      <c r="G14" s="564"/>
      <c r="H14" s="564"/>
      <c r="I14" s="566"/>
      <c r="J14" s="566"/>
      <c r="K14" s="567"/>
      <c r="L14" s="109"/>
      <c r="M14" s="113"/>
      <c r="N14" s="113"/>
      <c r="O14" s="113"/>
      <c r="P14" s="113"/>
      <c r="Q14" s="113"/>
      <c r="R14" s="113"/>
      <c r="AF14" s="394"/>
      <c r="AG14" s="414"/>
    </row>
    <row r="15" spans="2:33">
      <c r="B15" s="540" t="s">
        <v>256</v>
      </c>
      <c r="C15" s="568">
        <f>C43/8760*100</f>
        <v>20.547945205479451</v>
      </c>
      <c r="D15" s="568">
        <f t="shared" ref="D15:E15" si="0">D43/8760*100</f>
        <v>21.118721461187214</v>
      </c>
      <c r="E15" s="568">
        <f t="shared" si="0"/>
        <v>21.689497716894977</v>
      </c>
      <c r="F15" s="568">
        <f>'Ground-mounted PV'!F15</f>
        <v>17.465753424657532</v>
      </c>
      <c r="G15" s="568">
        <f>'Ground-mounted PV'!G15</f>
        <v>23.630136986301366</v>
      </c>
      <c r="H15" s="568">
        <f>'Ground-mounted PV'!H15</f>
        <v>18.43607305936073</v>
      </c>
      <c r="I15" s="568">
        <f>'Ground-mounted PV'!I15</f>
        <v>24.942922374429219</v>
      </c>
      <c r="J15" s="557" t="s">
        <v>368</v>
      </c>
      <c r="K15" s="558" t="s">
        <v>369</v>
      </c>
      <c r="L15" s="109"/>
      <c r="M15" s="113"/>
      <c r="N15" s="784"/>
      <c r="O15" s="784"/>
      <c r="P15" s="784"/>
      <c r="Q15" s="784"/>
      <c r="R15" s="113"/>
      <c r="AF15" s="394"/>
      <c r="AG15" s="414"/>
    </row>
    <row r="16" spans="2:33">
      <c r="B16" s="540" t="s">
        <v>257</v>
      </c>
      <c r="C16" s="568">
        <f>0.995*C15</f>
        <v>20.445205479452053</v>
      </c>
      <c r="D16" s="568">
        <f t="shared" ref="D16:E16" si="1">0.995*D15</f>
        <v>21.013127853881276</v>
      </c>
      <c r="E16" s="568">
        <f t="shared" si="1"/>
        <v>21.581050228310502</v>
      </c>
      <c r="F16" s="568">
        <f>0.9*C16</f>
        <v>18.400684931506849</v>
      </c>
      <c r="G16" s="568">
        <f>C16*1.1</f>
        <v>22.489726027397261</v>
      </c>
      <c r="H16" s="568">
        <f>0.9*E16</f>
        <v>19.422945205479454</v>
      </c>
      <c r="I16" s="568">
        <f>E16*1.1</f>
        <v>23.739155251141554</v>
      </c>
      <c r="J16" s="557" t="s">
        <v>370</v>
      </c>
      <c r="K16" s="558" t="s">
        <v>369</v>
      </c>
      <c r="L16" s="1051"/>
      <c r="M16" s="1051"/>
      <c r="N16" s="1051"/>
      <c r="O16" s="113"/>
      <c r="P16" s="113"/>
      <c r="Q16" s="113"/>
      <c r="R16" s="113"/>
    </row>
    <row r="17" spans="2:28">
      <c r="B17" s="542" t="s">
        <v>258</v>
      </c>
      <c r="C17" s="569"/>
      <c r="D17" s="569"/>
      <c r="E17" s="570"/>
      <c r="F17" s="569"/>
      <c r="G17" s="569"/>
      <c r="H17" s="569"/>
      <c r="I17" s="571"/>
      <c r="J17" s="571"/>
      <c r="K17" s="572"/>
      <c r="L17" s="109"/>
      <c r="M17" s="113"/>
      <c r="N17" s="113"/>
      <c r="O17" s="113"/>
      <c r="P17" s="113"/>
      <c r="Q17" s="113"/>
      <c r="R17" s="113"/>
    </row>
    <row r="18" spans="2:28">
      <c r="B18" s="533" t="s">
        <v>259</v>
      </c>
      <c r="C18" s="553" t="s">
        <v>146</v>
      </c>
      <c r="D18" s="553" t="s">
        <v>146</v>
      </c>
      <c r="E18" s="554" t="s">
        <v>146</v>
      </c>
      <c r="F18" s="555" t="s">
        <v>146</v>
      </c>
      <c r="G18" s="553" t="s">
        <v>146</v>
      </c>
      <c r="H18" s="553" t="s">
        <v>146</v>
      </c>
      <c r="I18" s="558" t="s">
        <v>146</v>
      </c>
      <c r="J18" s="557" t="s">
        <v>265</v>
      </c>
      <c r="K18" s="561"/>
      <c r="L18" s="109"/>
      <c r="M18" s="113"/>
      <c r="N18" s="113"/>
      <c r="O18" s="113"/>
      <c r="P18" s="113"/>
      <c r="Q18" s="113"/>
      <c r="R18" s="113"/>
    </row>
    <row r="19" spans="2:28">
      <c r="B19" s="533" t="s">
        <v>260</v>
      </c>
      <c r="C19" s="553" t="s">
        <v>146</v>
      </c>
      <c r="D19" s="553" t="s">
        <v>146</v>
      </c>
      <c r="E19" s="554" t="s">
        <v>146</v>
      </c>
      <c r="F19" s="555" t="s">
        <v>146</v>
      </c>
      <c r="G19" s="553" t="s">
        <v>146</v>
      </c>
      <c r="H19" s="553" t="s">
        <v>146</v>
      </c>
      <c r="I19" s="558" t="s">
        <v>146</v>
      </c>
      <c r="J19" s="557" t="s">
        <v>265</v>
      </c>
      <c r="K19" s="561"/>
      <c r="L19" s="109"/>
      <c r="M19" s="113"/>
      <c r="N19" s="113"/>
      <c r="O19" s="113"/>
      <c r="P19" s="113"/>
      <c r="Q19" s="113"/>
      <c r="R19" s="113"/>
    </row>
    <row r="20" spans="2:28" ht="16.5">
      <c r="B20" s="533" t="s">
        <v>261</v>
      </c>
      <c r="C20" s="553" t="s">
        <v>146</v>
      </c>
      <c r="D20" s="553" t="s">
        <v>146</v>
      </c>
      <c r="E20" s="554" t="s">
        <v>146</v>
      </c>
      <c r="F20" s="555" t="s">
        <v>146</v>
      </c>
      <c r="G20" s="553" t="s">
        <v>146</v>
      </c>
      <c r="H20" s="553" t="s">
        <v>146</v>
      </c>
      <c r="I20" s="558" t="s">
        <v>146</v>
      </c>
      <c r="J20" s="557" t="s">
        <v>265</v>
      </c>
      <c r="K20" s="561"/>
      <c r="L20" s="109"/>
      <c r="M20" s="113"/>
      <c r="N20" s="113"/>
      <c r="O20" s="113"/>
      <c r="P20" s="113"/>
      <c r="Q20" s="113"/>
      <c r="R20" s="113"/>
      <c r="AB20" s="573"/>
    </row>
    <row r="21" spans="2:28">
      <c r="B21" s="533" t="s">
        <v>262</v>
      </c>
      <c r="C21" s="553" t="s">
        <v>146</v>
      </c>
      <c r="D21" s="553" t="s">
        <v>146</v>
      </c>
      <c r="E21" s="554" t="s">
        <v>146</v>
      </c>
      <c r="F21" s="555" t="s">
        <v>146</v>
      </c>
      <c r="G21" s="553" t="s">
        <v>146</v>
      </c>
      <c r="H21" s="553" t="s">
        <v>146</v>
      </c>
      <c r="I21" s="558" t="s">
        <v>146</v>
      </c>
      <c r="J21" s="557" t="s">
        <v>265</v>
      </c>
      <c r="K21" s="561"/>
      <c r="L21" s="109"/>
      <c r="M21" s="113"/>
      <c r="N21" s="113"/>
      <c r="O21" s="113"/>
      <c r="P21" s="113"/>
      <c r="Q21" s="113"/>
      <c r="R21" s="113"/>
    </row>
    <row r="22" spans="2:28">
      <c r="B22" s="542" t="s">
        <v>263</v>
      </c>
      <c r="C22" s="574"/>
      <c r="D22" s="575"/>
      <c r="E22" s="576"/>
      <c r="F22" s="575"/>
      <c r="G22" s="575"/>
      <c r="H22" s="575"/>
      <c r="I22" s="575"/>
      <c r="J22" s="575"/>
      <c r="K22" s="576"/>
      <c r="L22" s="1146"/>
      <c r="M22" s="1146"/>
      <c r="N22" s="1146"/>
      <c r="O22" s="1146"/>
      <c r="P22" s="1146"/>
      <c r="Q22" s="1146"/>
      <c r="R22" s="1146"/>
    </row>
    <row r="23" spans="2:28">
      <c r="B23" s="533" t="s">
        <v>443</v>
      </c>
      <c r="C23" s="577">
        <v>0</v>
      </c>
      <c r="D23" s="577">
        <v>0</v>
      </c>
      <c r="E23" s="577">
        <v>0</v>
      </c>
      <c r="F23" s="577"/>
      <c r="G23" s="577"/>
      <c r="H23" s="577"/>
      <c r="I23" s="577"/>
      <c r="J23" s="578"/>
      <c r="K23" s="561"/>
      <c r="L23" s="109"/>
      <c r="M23" s="113"/>
      <c r="N23" s="113"/>
      <c r="O23" s="113"/>
      <c r="P23" s="113"/>
      <c r="Q23" s="113"/>
      <c r="R23" s="113"/>
    </row>
    <row r="24" spans="2:28">
      <c r="B24" s="533" t="s">
        <v>444</v>
      </c>
      <c r="C24" s="577">
        <v>0</v>
      </c>
      <c r="D24" s="577">
        <v>0</v>
      </c>
      <c r="E24" s="577">
        <v>0</v>
      </c>
      <c r="F24" s="577"/>
      <c r="G24" s="577"/>
      <c r="H24" s="577"/>
      <c r="I24" s="577"/>
      <c r="J24" s="578"/>
      <c r="K24" s="561"/>
      <c r="L24" s="109"/>
      <c r="M24" s="113"/>
      <c r="N24" s="113"/>
      <c r="O24" s="113"/>
      <c r="P24" s="113"/>
      <c r="Q24" s="113"/>
      <c r="R24" s="113"/>
    </row>
    <row r="25" spans="2:28">
      <c r="B25" s="533" t="s">
        <v>445</v>
      </c>
      <c r="C25" s="577">
        <v>0</v>
      </c>
      <c r="D25" s="577">
        <v>0</v>
      </c>
      <c r="E25" s="577">
        <v>0</v>
      </c>
      <c r="F25" s="577"/>
      <c r="G25" s="577"/>
      <c r="H25" s="577"/>
      <c r="I25" s="577"/>
      <c r="J25" s="579"/>
      <c r="K25" s="561"/>
      <c r="L25" s="109"/>
      <c r="M25" s="113"/>
      <c r="N25" s="113"/>
      <c r="O25" s="113"/>
      <c r="P25" s="113"/>
      <c r="Q25" s="113"/>
      <c r="R25" s="113"/>
    </row>
    <row r="26" spans="2:28">
      <c r="B26" s="533" t="s">
        <v>446</v>
      </c>
      <c r="C26" s="577">
        <v>0</v>
      </c>
      <c r="D26" s="577">
        <v>0</v>
      </c>
      <c r="E26" s="577">
        <v>0</v>
      </c>
      <c r="F26" s="577"/>
      <c r="G26" s="577"/>
      <c r="H26" s="577"/>
      <c r="I26" s="577"/>
      <c r="J26" s="557"/>
      <c r="K26" s="557"/>
      <c r="L26" s="109"/>
      <c r="M26" s="137"/>
      <c r="N26" s="137"/>
      <c r="O26" s="137"/>
      <c r="P26" s="137"/>
      <c r="Q26" s="113"/>
      <c r="R26" s="113"/>
    </row>
    <row r="27" spans="2:28">
      <c r="B27" s="533" t="s">
        <v>447</v>
      </c>
      <c r="C27" s="577">
        <v>0</v>
      </c>
      <c r="D27" s="577">
        <v>0</v>
      </c>
      <c r="E27" s="577">
        <v>0</v>
      </c>
      <c r="F27" s="577"/>
      <c r="G27" s="577"/>
      <c r="H27" s="577"/>
      <c r="I27" s="577"/>
      <c r="J27" s="557"/>
      <c r="K27" s="557"/>
      <c r="L27" s="1146"/>
      <c r="M27" s="1146"/>
      <c r="N27" s="1146"/>
      <c r="O27" s="1146"/>
      <c r="P27" s="1146"/>
      <c r="Q27" s="1146"/>
      <c r="R27" s="1146"/>
    </row>
    <row r="28" spans="2:28">
      <c r="B28" s="542" t="s">
        <v>270</v>
      </c>
      <c r="C28" s="575"/>
      <c r="D28" s="575"/>
      <c r="E28" s="576"/>
      <c r="F28" s="575"/>
      <c r="G28" s="575"/>
      <c r="H28" s="575"/>
      <c r="I28" s="575"/>
      <c r="J28" s="575"/>
      <c r="K28" s="576"/>
      <c r="L28" s="109"/>
      <c r="M28" s="113"/>
      <c r="N28" s="113"/>
      <c r="O28" s="113"/>
      <c r="P28" s="113"/>
      <c r="Q28" s="113"/>
      <c r="R28" s="113"/>
    </row>
    <row r="29" spans="2:28">
      <c r="B29" s="533" t="s">
        <v>376</v>
      </c>
      <c r="C29" s="580">
        <f>C50</f>
        <v>1.2</v>
      </c>
      <c r="D29" s="580">
        <f t="shared" ref="D29:I29" si="2">D50</f>
        <v>0.84</v>
      </c>
      <c r="E29" s="581">
        <f t="shared" si="2"/>
        <v>0.6</v>
      </c>
      <c r="F29" s="581">
        <f t="shared" si="2"/>
        <v>1.1519999999999999</v>
      </c>
      <c r="G29" s="581">
        <f t="shared" si="2"/>
        <v>1.92</v>
      </c>
      <c r="H29" s="581">
        <f t="shared" si="2"/>
        <v>0.36</v>
      </c>
      <c r="I29" s="581">
        <f t="shared" si="2"/>
        <v>0.75600000000000001</v>
      </c>
      <c r="J29" s="557" t="s">
        <v>448</v>
      </c>
      <c r="K29" s="582" t="s">
        <v>449</v>
      </c>
      <c r="L29" s="154"/>
      <c r="M29" s="779"/>
      <c r="N29" s="779"/>
      <c r="O29" s="113"/>
      <c r="P29" s="113"/>
      <c r="Q29" s="113"/>
      <c r="R29" s="113"/>
    </row>
    <row r="30" spans="2:28">
      <c r="B30" s="533" t="s">
        <v>274</v>
      </c>
      <c r="C30" s="583">
        <f>100%-C31</f>
        <v>0.8</v>
      </c>
      <c r="D30" s="583">
        <f>100%-D31</f>
        <v>0.75</v>
      </c>
      <c r="E30" s="583">
        <f>100%-E31</f>
        <v>0.7</v>
      </c>
      <c r="F30" s="584"/>
      <c r="G30" s="585"/>
      <c r="H30" s="585"/>
      <c r="I30" s="585"/>
      <c r="J30" s="557"/>
      <c r="K30" s="586" t="s">
        <v>450</v>
      </c>
      <c r="O30" s="3"/>
      <c r="P30" s="3"/>
      <c r="Q30" s="3"/>
      <c r="R30" s="113"/>
    </row>
    <row r="31" spans="2:28">
      <c r="B31" s="533" t="s">
        <v>275</v>
      </c>
      <c r="C31" s="583">
        <f>'Ground-mounted PV'!C31+5%</f>
        <v>0.2</v>
      </c>
      <c r="D31" s="583">
        <f>'Ground-mounted PV'!D31+5%</f>
        <v>0.25</v>
      </c>
      <c r="E31" s="583">
        <v>0.3</v>
      </c>
      <c r="F31" s="584"/>
      <c r="G31" s="585"/>
      <c r="H31" s="585"/>
      <c r="I31" s="585"/>
      <c r="J31" s="557" t="s">
        <v>379</v>
      </c>
      <c r="K31" s="586" t="s">
        <v>450</v>
      </c>
      <c r="Q31" s="113"/>
      <c r="R31" s="113"/>
    </row>
    <row r="32" spans="2:28">
      <c r="B32" s="533" t="s">
        <v>276</v>
      </c>
      <c r="C32" s="587">
        <v>4900</v>
      </c>
      <c r="D32" s="587">
        <f>ROUND(C32*0.9,-2)</f>
        <v>4400</v>
      </c>
      <c r="E32" s="587">
        <f>ROUND(C32*0.8,-2)</f>
        <v>3900</v>
      </c>
      <c r="F32" s="587">
        <f>ROUND(C32*0.5,-2)</f>
        <v>2500</v>
      </c>
      <c r="G32" s="587">
        <f>ROUND(C32*1.5,-2)</f>
        <v>7400</v>
      </c>
      <c r="H32" s="587">
        <f>ROUND(E32*0.5,-2)</f>
        <v>2000</v>
      </c>
      <c r="I32" s="587">
        <f>ROUND(E32*1.5,-2)</f>
        <v>5900</v>
      </c>
      <c r="J32" s="588" t="s">
        <v>380</v>
      </c>
      <c r="K32" s="557" t="s">
        <v>450</v>
      </c>
      <c r="Q32" s="113"/>
      <c r="R32" s="113"/>
    </row>
    <row r="33" spans="1:18">
      <c r="B33" s="533" t="s">
        <v>279</v>
      </c>
      <c r="C33" s="553">
        <v>0</v>
      </c>
      <c r="D33" s="553">
        <v>0</v>
      </c>
      <c r="E33" s="554">
        <v>0</v>
      </c>
      <c r="F33" s="555"/>
      <c r="G33" s="553"/>
      <c r="H33" s="553"/>
      <c r="I33" s="589"/>
      <c r="J33" s="557"/>
      <c r="K33" s="561"/>
      <c r="Q33" s="113"/>
      <c r="R33" s="113"/>
    </row>
    <row r="34" spans="1:18">
      <c r="B34" s="533" t="s">
        <v>282</v>
      </c>
      <c r="C34" s="553">
        <v>0</v>
      </c>
      <c r="D34" s="553">
        <v>0</v>
      </c>
      <c r="E34" s="554">
        <v>0</v>
      </c>
      <c r="F34" s="555"/>
      <c r="G34" s="553"/>
      <c r="H34" s="553"/>
      <c r="I34" s="589"/>
      <c r="J34" s="557"/>
      <c r="K34" s="561"/>
      <c r="L34" s="1146"/>
      <c r="M34" s="1146"/>
      <c r="N34" s="1146"/>
      <c r="O34" s="1146"/>
      <c r="P34" s="1146"/>
      <c r="Q34" s="1146"/>
      <c r="R34" s="1146"/>
    </row>
    <row r="35" spans="1:18">
      <c r="B35" s="535" t="s">
        <v>283</v>
      </c>
      <c r="C35" s="590"/>
      <c r="D35" s="590"/>
      <c r="E35" s="591"/>
      <c r="F35" s="590"/>
      <c r="G35" s="590"/>
      <c r="H35" s="590"/>
      <c r="I35" s="590"/>
      <c r="J35" s="590"/>
      <c r="K35" s="591"/>
      <c r="M35" s="113"/>
      <c r="N35" s="113"/>
      <c r="O35" s="113"/>
      <c r="P35" s="113"/>
      <c r="Q35" s="113"/>
      <c r="R35" s="113"/>
    </row>
    <row r="36" spans="1:18" ht="15.75">
      <c r="B36" s="592" t="s">
        <v>381</v>
      </c>
      <c r="C36" s="593">
        <v>1700</v>
      </c>
      <c r="D36" s="593">
        <v>1700</v>
      </c>
      <c r="E36" s="593">
        <v>1700</v>
      </c>
      <c r="F36" s="589">
        <v>1300</v>
      </c>
      <c r="G36" s="589">
        <v>2200</v>
      </c>
      <c r="H36" s="589">
        <v>1300</v>
      </c>
      <c r="I36" s="589">
        <v>2200</v>
      </c>
      <c r="J36" s="589" t="s">
        <v>307</v>
      </c>
      <c r="K36" s="586" t="s">
        <v>451</v>
      </c>
      <c r="L36" s="418"/>
      <c r="N36" s="109"/>
      <c r="O36" s="113"/>
      <c r="P36" s="113"/>
      <c r="Q36" s="113"/>
      <c r="R36" s="113"/>
    </row>
    <row r="37" spans="1:18">
      <c r="B37" s="592" t="s">
        <v>382</v>
      </c>
      <c r="C37" s="594">
        <v>1.2</v>
      </c>
      <c r="D37" s="594">
        <v>1.2</v>
      </c>
      <c r="E37" s="594">
        <v>1.2</v>
      </c>
      <c r="F37" s="595"/>
      <c r="G37" s="582"/>
      <c r="H37" s="589"/>
      <c r="I37" s="589"/>
      <c r="J37" s="589" t="s">
        <v>309</v>
      </c>
      <c r="K37" s="586" t="s">
        <v>281</v>
      </c>
      <c r="M37" s="3"/>
      <c r="N37" s="836"/>
      <c r="O37" s="3"/>
      <c r="P37" s="3"/>
      <c r="Q37" s="113"/>
      <c r="R37" s="113"/>
    </row>
    <row r="38" spans="1:18">
      <c r="B38" s="592" t="s">
        <v>383</v>
      </c>
      <c r="C38" s="594">
        <f>'Ground-mounted PV'!C38</f>
        <v>1.01</v>
      </c>
      <c r="D38" s="594">
        <f>'Ground-mounted PV'!D38</f>
        <v>1.01</v>
      </c>
      <c r="E38" s="594">
        <f>'Ground-mounted PV'!E38</f>
        <v>1.01</v>
      </c>
      <c r="F38" s="595"/>
      <c r="G38" s="582"/>
      <c r="H38" s="589"/>
      <c r="I38" s="589"/>
      <c r="J38" s="589" t="s">
        <v>253</v>
      </c>
      <c r="K38" s="586">
        <v>3</v>
      </c>
      <c r="M38" s="3"/>
      <c r="N38" s="109"/>
      <c r="Q38" s="113"/>
      <c r="R38" s="113"/>
    </row>
    <row r="39" spans="1:18">
      <c r="B39" s="592" t="s">
        <v>452</v>
      </c>
      <c r="C39" s="594">
        <f>'Ground-mounted PV'!C39</f>
        <v>0.86</v>
      </c>
      <c r="D39" s="594">
        <f>'Ground-mounted PV'!D39</f>
        <v>0.9</v>
      </c>
      <c r="E39" s="594">
        <f>'Ground-mounted PV'!E39</f>
        <v>0.92</v>
      </c>
      <c r="F39" s="595"/>
      <c r="G39" s="582"/>
      <c r="H39" s="589"/>
      <c r="I39" s="589"/>
      <c r="J39" s="589" t="s">
        <v>385</v>
      </c>
      <c r="K39" s="586" t="s">
        <v>281</v>
      </c>
      <c r="M39" s="3"/>
      <c r="N39" s="419"/>
      <c r="Q39" s="113"/>
      <c r="R39" s="113"/>
    </row>
    <row r="40" spans="1:18">
      <c r="B40" s="592" t="s">
        <v>386</v>
      </c>
      <c r="C40" s="596">
        <f>'Ground-mounted PV'!C40</f>
        <v>0.20499999999999999</v>
      </c>
      <c r="D40" s="596">
        <f>'Ground-mounted PV'!D40</f>
        <v>0.23</v>
      </c>
      <c r="E40" s="596">
        <f>'Ground-mounted PV'!E40</f>
        <v>0.26</v>
      </c>
      <c r="F40" s="597"/>
      <c r="G40" s="598"/>
      <c r="H40" s="589"/>
      <c r="I40" s="589"/>
      <c r="J40" s="589" t="s">
        <v>430</v>
      </c>
      <c r="K40" s="586" t="s">
        <v>453</v>
      </c>
      <c r="M40" s="3"/>
      <c r="N40" s="109"/>
      <c r="Q40" s="113"/>
      <c r="R40" s="113"/>
    </row>
    <row r="41" spans="1:18">
      <c r="A41" s="130"/>
      <c r="B41" s="599" t="s">
        <v>387</v>
      </c>
      <c r="C41" s="600">
        <f>'Ground-mounted PV'!C41</f>
        <v>12.5</v>
      </c>
      <c r="D41" s="600">
        <f>'Ground-mounted PV'!D41</f>
        <v>15</v>
      </c>
      <c r="E41" s="600">
        <f>'Ground-mounted PV'!E41</f>
        <v>15</v>
      </c>
      <c r="F41" s="601" t="s">
        <v>5</v>
      </c>
      <c r="G41" s="602"/>
      <c r="H41" s="603"/>
      <c r="I41" s="603"/>
      <c r="J41" s="557"/>
      <c r="K41" s="557">
        <v>4</v>
      </c>
    </row>
    <row r="42" spans="1:18">
      <c r="A42" s="130"/>
      <c r="B42" s="604" t="s">
        <v>388</v>
      </c>
      <c r="C42" s="605"/>
      <c r="D42" s="605"/>
      <c r="E42" s="605"/>
      <c r="F42" s="605"/>
      <c r="G42" s="605"/>
      <c r="H42" s="606"/>
      <c r="I42" s="606"/>
      <c r="J42" s="590"/>
      <c r="K42" s="591"/>
    </row>
    <row r="43" spans="1:18">
      <c r="A43" s="130"/>
      <c r="B43" s="607" t="s">
        <v>389</v>
      </c>
      <c r="C43" s="608">
        <f>MROUND(C44*C37,50)</f>
        <v>1800</v>
      </c>
      <c r="D43" s="608">
        <f t="shared" ref="D43:E43" si="3">MROUND(D44*D37,50)</f>
        <v>1850</v>
      </c>
      <c r="E43" s="608">
        <f t="shared" si="3"/>
        <v>1900</v>
      </c>
      <c r="F43" s="609"/>
      <c r="G43" s="609" t="s">
        <v>5</v>
      </c>
      <c r="H43" s="610"/>
      <c r="I43" s="610"/>
      <c r="J43" s="589" t="s">
        <v>454</v>
      </c>
      <c r="K43" s="586"/>
    </row>
    <row r="44" spans="1:18">
      <c r="A44" s="130"/>
      <c r="B44" s="592" t="s">
        <v>391</v>
      </c>
      <c r="C44" s="608">
        <f>MROUND(C36*C38*C39,50)</f>
        <v>1500</v>
      </c>
      <c r="D44" s="608">
        <f t="shared" ref="D44:E44" si="4">MROUND(D36*D38*D39,50)</f>
        <v>1550</v>
      </c>
      <c r="E44" s="608">
        <f t="shared" si="4"/>
        <v>1600</v>
      </c>
      <c r="F44" s="582"/>
      <c r="G44" s="582" t="s">
        <v>5</v>
      </c>
      <c r="H44" s="589"/>
      <c r="I44" s="589"/>
      <c r="J44" s="557" t="s">
        <v>455</v>
      </c>
      <c r="K44" s="557"/>
      <c r="M44" s="393"/>
    </row>
    <row r="45" spans="1:18">
      <c r="A45" s="130"/>
      <c r="B45" s="604" t="s">
        <v>393</v>
      </c>
      <c r="C45" s="605"/>
      <c r="D45" s="605"/>
      <c r="E45" s="605"/>
      <c r="F45" s="605"/>
      <c r="G45" s="605"/>
      <c r="H45" s="606"/>
      <c r="I45" s="606"/>
      <c r="J45" s="590"/>
      <c r="K45" s="591"/>
      <c r="M45" s="393"/>
      <c r="N45" s="393"/>
      <c r="O45" s="393"/>
    </row>
    <row r="46" spans="1:18">
      <c r="A46" s="130"/>
      <c r="B46" s="611" t="s">
        <v>394</v>
      </c>
      <c r="C46" s="612">
        <f>0.85*C49*C30</f>
        <v>0.68</v>
      </c>
      <c r="D46" s="612">
        <f t="shared" ref="D46:E46" si="5">0.85*D49*D30</f>
        <v>0.44624999999999998</v>
      </c>
      <c r="E46" s="612">
        <f t="shared" si="5"/>
        <v>0.29749999999999999</v>
      </c>
      <c r="F46" s="612">
        <f>0.85*F49*C30</f>
        <v>0.65280000000000005</v>
      </c>
      <c r="G46" s="612">
        <f>0.85*G49*C30</f>
        <v>1.0880000000000001</v>
      </c>
      <c r="H46" s="612">
        <f>0.85*H49*E30</f>
        <v>0.17849999999999999</v>
      </c>
      <c r="I46" s="612">
        <f>0.85*I49*E30</f>
        <v>0.37484999999999996</v>
      </c>
      <c r="J46" s="589"/>
      <c r="K46" s="586" t="s">
        <v>450</v>
      </c>
      <c r="M46" s="394"/>
      <c r="N46" s="394"/>
      <c r="O46" s="394"/>
    </row>
    <row r="47" spans="1:18">
      <c r="A47" s="130"/>
      <c r="B47" s="611" t="s">
        <v>395</v>
      </c>
      <c r="C47" s="594">
        <f>0.15*C49*C30</f>
        <v>0.12</v>
      </c>
      <c r="D47" s="594">
        <f t="shared" ref="D47:E47" si="6">0.15*D49*D30</f>
        <v>7.8750000000000001E-2</v>
      </c>
      <c r="E47" s="594">
        <f t="shared" si="6"/>
        <v>5.2499999999999998E-2</v>
      </c>
      <c r="F47" s="594">
        <f>0.15*F49*C30</f>
        <v>0.1152</v>
      </c>
      <c r="G47" s="594">
        <f>0.15*G49*C30</f>
        <v>0.192</v>
      </c>
      <c r="H47" s="594">
        <f>0.15*H49*E30</f>
        <v>3.15E-2</v>
      </c>
      <c r="I47" s="594">
        <f>0.15*I49*E30</f>
        <v>6.615E-2</v>
      </c>
      <c r="J47" s="589"/>
      <c r="K47" s="586" t="s">
        <v>450</v>
      </c>
      <c r="M47" s="394"/>
      <c r="N47" s="394"/>
      <c r="O47" s="394"/>
    </row>
    <row r="48" spans="1:18">
      <c r="A48" s="130"/>
      <c r="B48" s="613" t="s">
        <v>396</v>
      </c>
      <c r="C48" s="594">
        <f>C49-C47-C46</f>
        <v>0.19999999999999996</v>
      </c>
      <c r="D48" s="594">
        <f t="shared" ref="D48:I48" si="7">D49-D47-D46</f>
        <v>0.17499999999999999</v>
      </c>
      <c r="E48" s="594">
        <f t="shared" si="7"/>
        <v>0.15000000000000002</v>
      </c>
      <c r="F48" s="594">
        <f t="shared" si="7"/>
        <v>0.19199999999999995</v>
      </c>
      <c r="G48" s="594">
        <f t="shared" si="7"/>
        <v>0.32000000000000006</v>
      </c>
      <c r="H48" s="594">
        <f t="shared" si="7"/>
        <v>8.9999999999999969E-2</v>
      </c>
      <c r="I48" s="594">
        <f t="shared" si="7"/>
        <v>0.189</v>
      </c>
      <c r="J48" s="557" t="s">
        <v>379</v>
      </c>
      <c r="K48" s="586" t="s">
        <v>450</v>
      </c>
      <c r="M48" s="394"/>
      <c r="N48" s="394"/>
      <c r="O48" s="394"/>
    </row>
    <row r="49" spans="1:16">
      <c r="A49" s="130"/>
      <c r="B49" s="611" t="s">
        <v>397</v>
      </c>
      <c r="C49" s="594">
        <v>1</v>
      </c>
      <c r="D49" s="594">
        <f>C49*0.7</f>
        <v>0.7</v>
      </c>
      <c r="E49" s="594">
        <f>C49*0.5</f>
        <v>0.5</v>
      </c>
      <c r="F49" s="581">
        <f>MROUND(C49*0.96,0.01)</f>
        <v>0.96</v>
      </c>
      <c r="G49" s="581">
        <f>MROUND(C49*1.6,0.01)</f>
        <v>1.6</v>
      </c>
      <c r="H49" s="581">
        <f>MROUND(E49*0.6,0.01)</f>
        <v>0.3</v>
      </c>
      <c r="I49" s="581">
        <f>MROUND(E49*1.25,0.01)</f>
        <v>0.63</v>
      </c>
      <c r="J49" s="589" t="s">
        <v>448</v>
      </c>
      <c r="K49" s="582" t="s">
        <v>449</v>
      </c>
      <c r="M49" s="394"/>
      <c r="N49" s="394"/>
      <c r="O49" s="394"/>
    </row>
    <row r="50" spans="1:16">
      <c r="A50" s="130"/>
      <c r="B50" s="592" t="s">
        <v>456</v>
      </c>
      <c r="C50" s="594">
        <f>C49*C37</f>
        <v>1.2</v>
      </c>
      <c r="D50" s="594">
        <f t="shared" ref="D50:E50" si="8">D49*D37</f>
        <v>0.84</v>
      </c>
      <c r="E50" s="594">
        <f t="shared" si="8"/>
        <v>0.6</v>
      </c>
      <c r="F50" s="594">
        <f>F49*C37</f>
        <v>1.1519999999999999</v>
      </c>
      <c r="G50" s="594">
        <f>G49*C37</f>
        <v>1.92</v>
      </c>
      <c r="H50" s="594">
        <f>H49*E37</f>
        <v>0.36</v>
      </c>
      <c r="I50" s="594">
        <f>I49*E37</f>
        <v>0.75600000000000001</v>
      </c>
      <c r="J50" s="589" t="s">
        <v>399</v>
      </c>
      <c r="K50" s="582" t="s">
        <v>449</v>
      </c>
    </row>
    <row r="51" spans="1:16" ht="7.5" customHeight="1">
      <c r="A51" s="130"/>
      <c r="B51" s="94"/>
      <c r="C51" s="394"/>
      <c r="D51" s="394"/>
      <c r="E51" s="394"/>
      <c r="F51" s="94"/>
      <c r="G51" s="94"/>
      <c r="H51" s="94"/>
      <c r="I51" s="170"/>
      <c r="J51" s="170"/>
      <c r="K51" s="614"/>
    </row>
    <row r="52" spans="1:16" s="93" customFormat="1">
      <c r="A52" s="130" t="s">
        <v>286</v>
      </c>
      <c r="C52" s="551"/>
      <c r="D52" s="551"/>
      <c r="E52" s="551"/>
      <c r="F52" s="150"/>
      <c r="G52" s="150"/>
      <c r="I52" s="130"/>
      <c r="M52" s="94"/>
      <c r="N52" s="94"/>
      <c r="O52" s="94"/>
      <c r="P52" s="94"/>
    </row>
    <row r="53" spans="1:16" ht="14.1" customHeight="1">
      <c r="A53" s="152">
        <v>1</v>
      </c>
      <c r="B53" s="1148" t="s">
        <v>287</v>
      </c>
      <c r="C53" s="1148"/>
      <c r="D53" s="1148"/>
      <c r="E53" s="1148"/>
      <c r="F53" s="1148"/>
      <c r="G53" s="1148"/>
      <c r="H53" s="1148"/>
      <c r="I53" s="1148"/>
      <c r="J53" s="1148"/>
      <c r="K53" s="1148"/>
    </row>
    <row r="54" spans="1:16">
      <c r="A54" s="152">
        <v>2</v>
      </c>
      <c r="B54" s="1148" t="s">
        <v>400</v>
      </c>
      <c r="C54" s="1148"/>
      <c r="D54" s="1148"/>
      <c r="E54" s="1148"/>
      <c r="F54" s="1148"/>
      <c r="G54" s="1148"/>
      <c r="H54" s="1148"/>
      <c r="I54" s="1148"/>
      <c r="J54" s="1148"/>
      <c r="K54" s="1148"/>
    </row>
    <row r="55" spans="1:16">
      <c r="A55" s="152">
        <v>3</v>
      </c>
      <c r="B55" s="1148" t="s">
        <v>401</v>
      </c>
      <c r="C55" s="1148"/>
      <c r="D55" s="1148"/>
      <c r="E55" s="1148"/>
      <c r="F55" s="1148"/>
      <c r="G55" s="1148"/>
      <c r="H55" s="1148"/>
      <c r="I55" s="1148"/>
      <c r="J55" s="1148"/>
      <c r="K55" s="1148"/>
    </row>
    <row r="56" spans="1:16">
      <c r="A56" s="152">
        <v>4</v>
      </c>
      <c r="B56" s="1148" t="s">
        <v>403</v>
      </c>
      <c r="C56" s="1148"/>
      <c r="D56" s="1148"/>
      <c r="E56" s="1148"/>
      <c r="F56" s="1148"/>
      <c r="G56" s="1148"/>
      <c r="H56" s="1148"/>
      <c r="I56" s="1148"/>
      <c r="J56" s="1148"/>
      <c r="K56" s="1148"/>
    </row>
    <row r="57" spans="1:16">
      <c r="A57" s="152">
        <v>5</v>
      </c>
      <c r="B57" s="1148" t="s">
        <v>457</v>
      </c>
      <c r="C57" s="1148"/>
      <c r="D57" s="1148"/>
      <c r="E57" s="1148"/>
      <c r="F57" s="1148"/>
      <c r="G57" s="1148"/>
      <c r="H57" s="1148"/>
      <c r="I57" s="1148"/>
      <c r="J57" s="1148"/>
      <c r="K57" s="1148"/>
    </row>
    <row r="58" spans="1:16">
      <c r="A58" s="152">
        <v>6</v>
      </c>
      <c r="B58" s="1148" t="s">
        <v>402</v>
      </c>
      <c r="C58" s="1148"/>
      <c r="D58" s="1148"/>
      <c r="E58" s="1148"/>
      <c r="F58" s="1148"/>
      <c r="G58" s="1148"/>
      <c r="H58" s="1148"/>
      <c r="I58" s="1148"/>
      <c r="J58" s="1148"/>
      <c r="K58" s="1148"/>
    </row>
    <row r="59" spans="1:16">
      <c r="A59" s="152">
        <v>7</v>
      </c>
      <c r="B59" s="1148" t="s">
        <v>458</v>
      </c>
      <c r="C59" s="1148"/>
      <c r="D59" s="1148"/>
      <c r="E59" s="1148"/>
      <c r="F59" s="1148"/>
      <c r="G59" s="1148"/>
      <c r="H59" s="1148"/>
      <c r="I59" s="1148"/>
      <c r="J59" s="1148"/>
      <c r="K59" s="1148"/>
    </row>
    <row r="60" spans="1:16">
      <c r="A60" s="152">
        <v>8</v>
      </c>
      <c r="B60" s="1148" t="s">
        <v>459</v>
      </c>
      <c r="C60" s="1148"/>
      <c r="D60" s="1148"/>
      <c r="E60" s="1148"/>
      <c r="F60" s="1148"/>
      <c r="G60" s="1148"/>
      <c r="H60" s="1148"/>
      <c r="I60" s="1148"/>
      <c r="J60" s="1148"/>
      <c r="K60" s="1148"/>
    </row>
    <row r="61" spans="1:16">
      <c r="A61" s="152">
        <v>9</v>
      </c>
      <c r="B61" s="1150" t="s">
        <v>407</v>
      </c>
      <c r="C61" s="1150"/>
      <c r="D61" s="1150"/>
      <c r="E61" s="1150"/>
      <c r="F61" s="1150"/>
      <c r="G61" s="1150"/>
      <c r="H61" s="1150"/>
      <c r="I61" s="1150"/>
      <c r="J61" s="1150"/>
      <c r="K61" s="1150"/>
    </row>
    <row r="62" spans="1:16">
      <c r="A62" s="130" t="s">
        <v>298</v>
      </c>
    </row>
    <row r="63" spans="1:16" ht="15" customHeight="1">
      <c r="A63" s="152" t="s">
        <v>246</v>
      </c>
      <c r="B63" s="1148" t="s">
        <v>408</v>
      </c>
      <c r="C63" s="1148"/>
      <c r="D63" s="1148"/>
      <c r="E63" s="1148"/>
      <c r="F63" s="1148"/>
      <c r="G63" s="1148"/>
      <c r="H63" s="1148"/>
      <c r="I63" s="1148"/>
      <c r="J63" s="1148"/>
      <c r="K63" s="1148"/>
    </row>
    <row r="64" spans="1:16" ht="13.5" customHeight="1">
      <c r="A64" s="152" t="s">
        <v>300</v>
      </c>
      <c r="B64" s="1148" t="s">
        <v>409</v>
      </c>
      <c r="C64" s="1148"/>
      <c r="D64" s="1148"/>
      <c r="E64" s="1148"/>
      <c r="F64" s="1148"/>
      <c r="G64" s="1148"/>
      <c r="H64" s="1148"/>
      <c r="I64" s="1148"/>
      <c r="J64" s="1148"/>
      <c r="K64" s="1148"/>
    </row>
    <row r="65" spans="1:11" ht="15" customHeight="1">
      <c r="A65" s="152" t="s">
        <v>265</v>
      </c>
      <c r="B65" s="1148" t="s">
        <v>410</v>
      </c>
      <c r="C65" s="1148"/>
      <c r="D65" s="1148"/>
      <c r="E65" s="1148"/>
      <c r="F65" s="1148"/>
      <c r="G65" s="1148"/>
      <c r="H65" s="1148"/>
      <c r="I65" s="1148"/>
      <c r="J65" s="1148"/>
      <c r="K65" s="1148"/>
    </row>
    <row r="66" spans="1:11" ht="15.75" customHeight="1">
      <c r="A66" s="152" t="s">
        <v>305</v>
      </c>
      <c r="B66" s="1148" t="s">
        <v>460</v>
      </c>
      <c r="C66" s="1148"/>
      <c r="D66" s="1148"/>
      <c r="E66" s="1148"/>
      <c r="F66" s="1148"/>
      <c r="G66" s="1148"/>
      <c r="H66" s="1148"/>
      <c r="I66" s="1148"/>
      <c r="J66" s="1148"/>
      <c r="K66" s="1148"/>
    </row>
    <row r="67" spans="1:11" ht="26.25" customHeight="1">
      <c r="A67" s="152" t="s">
        <v>307</v>
      </c>
      <c r="B67" s="1148" t="s">
        <v>461</v>
      </c>
      <c r="C67" s="1148"/>
      <c r="D67" s="1148"/>
      <c r="E67" s="1148"/>
      <c r="F67" s="1148"/>
      <c r="G67" s="1148"/>
      <c r="H67" s="1148"/>
      <c r="I67" s="1148"/>
      <c r="J67" s="1148"/>
      <c r="K67" s="1148"/>
    </row>
    <row r="68" spans="1:11" ht="25.5" customHeight="1">
      <c r="A68" s="152" t="s">
        <v>309</v>
      </c>
      <c r="B68" s="1148" t="s">
        <v>462</v>
      </c>
      <c r="C68" s="1148"/>
      <c r="D68" s="1148"/>
      <c r="E68" s="1148"/>
      <c r="F68" s="1148"/>
      <c r="G68" s="1148"/>
      <c r="H68" s="1148"/>
      <c r="I68" s="1148"/>
      <c r="J68" s="1148"/>
      <c r="K68" s="1148"/>
    </row>
    <row r="69" spans="1:11" ht="39" customHeight="1">
      <c r="A69" s="152" t="s">
        <v>253</v>
      </c>
      <c r="B69" s="1148" t="s">
        <v>413</v>
      </c>
      <c r="C69" s="1148"/>
      <c r="D69" s="1148"/>
      <c r="E69" s="1148"/>
      <c r="F69" s="1148"/>
      <c r="G69" s="1148"/>
      <c r="H69" s="1148"/>
      <c r="I69" s="1148"/>
      <c r="J69" s="1148"/>
      <c r="K69" s="1148"/>
    </row>
    <row r="70" spans="1:11" ht="72" customHeight="1">
      <c r="A70" s="152" t="s">
        <v>385</v>
      </c>
      <c r="B70" s="1148" t="s">
        <v>463</v>
      </c>
      <c r="C70" s="1148"/>
      <c r="D70" s="1148"/>
      <c r="E70" s="1148"/>
      <c r="F70" s="1148"/>
      <c r="G70" s="1148"/>
      <c r="H70" s="1148"/>
      <c r="I70" s="1148"/>
      <c r="J70" s="1148"/>
      <c r="K70" s="1148"/>
    </row>
    <row r="71" spans="1:11">
      <c r="A71" s="152" t="s">
        <v>415</v>
      </c>
      <c r="B71" s="1150" t="s">
        <v>416</v>
      </c>
      <c r="C71" s="1150"/>
      <c r="D71" s="1150"/>
      <c r="E71" s="1150"/>
      <c r="F71" s="1150"/>
      <c r="G71" s="1150"/>
      <c r="H71" s="1150"/>
      <c r="I71" s="1150"/>
      <c r="J71" s="1150"/>
      <c r="K71" s="1150"/>
    </row>
    <row r="72" spans="1:11" ht="24.75" customHeight="1">
      <c r="A72" s="152" t="s">
        <v>417</v>
      </c>
      <c r="B72" s="1148" t="s">
        <v>418</v>
      </c>
      <c r="C72" s="1148"/>
      <c r="D72" s="1148"/>
      <c r="E72" s="1148"/>
      <c r="F72" s="1148"/>
      <c r="G72" s="1148"/>
      <c r="H72" s="1148"/>
      <c r="I72" s="1148"/>
      <c r="J72" s="1148"/>
      <c r="K72" s="1148"/>
    </row>
    <row r="73" spans="1:11" ht="14.25" customHeight="1">
      <c r="A73" s="152" t="s">
        <v>419</v>
      </c>
      <c r="B73" s="1148" t="s">
        <v>420</v>
      </c>
      <c r="C73" s="1148"/>
      <c r="D73" s="1148"/>
      <c r="E73" s="1148"/>
      <c r="F73" s="1148"/>
      <c r="G73" s="1148"/>
      <c r="H73" s="1148"/>
      <c r="I73" s="1148"/>
      <c r="J73" s="1148"/>
      <c r="K73" s="1148"/>
    </row>
    <row r="74" spans="1:11" ht="24" customHeight="1">
      <c r="A74" s="152" t="s">
        <v>421</v>
      </c>
      <c r="B74" s="1148" t="s">
        <v>422</v>
      </c>
      <c r="C74" s="1148"/>
      <c r="D74" s="1148"/>
      <c r="E74" s="1148"/>
      <c r="F74" s="1148"/>
      <c r="G74" s="1148"/>
      <c r="H74" s="1148"/>
      <c r="I74" s="1148"/>
      <c r="J74" s="1148"/>
      <c r="K74" s="1148"/>
    </row>
    <row r="75" spans="1:11" ht="14.25" customHeight="1">
      <c r="A75" s="152" t="s">
        <v>423</v>
      </c>
      <c r="B75" s="1148" t="s">
        <v>424</v>
      </c>
      <c r="C75" s="1148"/>
      <c r="D75" s="1148"/>
      <c r="E75" s="1148"/>
      <c r="F75" s="1148"/>
      <c r="G75" s="1148"/>
      <c r="H75" s="1148"/>
      <c r="I75" s="1148"/>
      <c r="J75" s="1148"/>
      <c r="K75" s="1148"/>
    </row>
    <row r="76" spans="1:11" ht="37.5" customHeight="1">
      <c r="A76" s="152" t="s">
        <v>380</v>
      </c>
      <c r="B76" s="1148" t="s">
        <v>464</v>
      </c>
      <c r="C76" s="1148"/>
      <c r="D76" s="1148"/>
      <c r="E76" s="1148"/>
      <c r="F76" s="1148"/>
      <c r="G76" s="1148"/>
      <c r="H76" s="1148"/>
      <c r="I76" s="1148"/>
      <c r="J76" s="1148"/>
      <c r="K76" s="1148"/>
    </row>
    <row r="77" spans="1:11" ht="26.25" customHeight="1">
      <c r="A77" s="152" t="s">
        <v>426</v>
      </c>
      <c r="B77" s="1148" t="s">
        <v>465</v>
      </c>
      <c r="C77" s="1148"/>
      <c r="D77" s="1148"/>
      <c r="E77" s="1148"/>
      <c r="F77" s="1148"/>
      <c r="G77" s="1148"/>
      <c r="H77" s="1148"/>
      <c r="I77" s="1148"/>
      <c r="J77" s="1148"/>
      <c r="K77" s="1148"/>
    </row>
    <row r="78" spans="1:11">
      <c r="A78" s="152" t="s">
        <v>428</v>
      </c>
      <c r="B78" s="1148" t="s">
        <v>466</v>
      </c>
      <c r="C78" s="1148"/>
      <c r="D78" s="1148"/>
      <c r="E78" s="1148"/>
      <c r="F78" s="1148"/>
      <c r="G78" s="1148"/>
      <c r="H78" s="1148"/>
      <c r="I78" s="1148"/>
      <c r="J78" s="1148"/>
      <c r="K78" s="1148"/>
    </row>
    <row r="79" spans="1:11" ht="15" customHeight="1">
      <c r="A79" s="152" t="s">
        <v>430</v>
      </c>
      <c r="B79" s="1148" t="s">
        <v>431</v>
      </c>
      <c r="C79" s="1148" t="s">
        <v>432</v>
      </c>
      <c r="D79" s="1148"/>
      <c r="E79" s="1148"/>
      <c r="F79" s="1148"/>
      <c r="G79" s="1148"/>
      <c r="H79" s="1148"/>
      <c r="I79" s="1148"/>
      <c r="J79" s="1148"/>
      <c r="K79" s="1148"/>
    </row>
    <row r="80" spans="1:11">
      <c r="A80" s="152" t="s">
        <v>435</v>
      </c>
      <c r="B80" s="1148" t="s">
        <v>467</v>
      </c>
      <c r="C80" s="1148"/>
      <c r="D80" s="1148"/>
      <c r="E80" s="1148"/>
      <c r="F80" s="1148"/>
      <c r="G80" s="1148"/>
      <c r="H80" s="1148"/>
      <c r="I80" s="1148"/>
      <c r="J80" s="1148"/>
      <c r="K80" s="1148"/>
    </row>
    <row r="81" spans="1:11" ht="23.25" customHeight="1">
      <c r="A81" s="152" t="s">
        <v>379</v>
      </c>
      <c r="B81" s="1148" t="s">
        <v>437</v>
      </c>
      <c r="C81" s="1148"/>
      <c r="D81" s="1148"/>
      <c r="E81" s="1148"/>
      <c r="F81" s="1148"/>
      <c r="G81" s="1148"/>
      <c r="H81" s="1148"/>
      <c r="I81" s="1148"/>
      <c r="J81" s="1148"/>
      <c r="K81" s="1148"/>
    </row>
    <row r="82" spans="1:11">
      <c r="A82" s="152" t="s">
        <v>438</v>
      </c>
      <c r="B82" s="1148" t="s">
        <v>468</v>
      </c>
      <c r="C82" s="1148"/>
      <c r="D82" s="1148"/>
      <c r="E82" s="1148"/>
      <c r="F82" s="1148"/>
      <c r="G82" s="1148"/>
      <c r="H82" s="1148"/>
      <c r="I82" s="1148"/>
      <c r="J82" s="1148"/>
      <c r="K82" s="1148"/>
    </row>
  </sheetData>
  <mergeCells count="37">
    <mergeCell ref="B63:K63"/>
    <mergeCell ref="B79:K79"/>
    <mergeCell ref="L27:R27"/>
    <mergeCell ref="L34:R34"/>
    <mergeCell ref="B70:K70"/>
    <mergeCell ref="B71:K71"/>
    <mergeCell ref="B74:K74"/>
    <mergeCell ref="B69:K69"/>
    <mergeCell ref="B53:K53"/>
    <mergeCell ref="B54:K54"/>
    <mergeCell ref="B55:K55"/>
    <mergeCell ref="B56:K56"/>
    <mergeCell ref="B57:K57"/>
    <mergeCell ref="B58:K58"/>
    <mergeCell ref="B59:K59"/>
    <mergeCell ref="B60:K60"/>
    <mergeCell ref="B61:K61"/>
    <mergeCell ref="L22:R22"/>
    <mergeCell ref="C3:K3"/>
    <mergeCell ref="M3:R3"/>
    <mergeCell ref="F4:G4"/>
    <mergeCell ref="H4:I4"/>
    <mergeCell ref="L5:R5"/>
    <mergeCell ref="B82:K82"/>
    <mergeCell ref="B64:K64"/>
    <mergeCell ref="B65:K65"/>
    <mergeCell ref="B66:K66"/>
    <mergeCell ref="B67:K67"/>
    <mergeCell ref="B68:K68"/>
    <mergeCell ref="B81:K81"/>
    <mergeCell ref="B72:K72"/>
    <mergeCell ref="B73:K73"/>
    <mergeCell ref="B76:K76"/>
    <mergeCell ref="B80:K80"/>
    <mergeCell ref="B75:K75"/>
    <mergeCell ref="B77:K77"/>
    <mergeCell ref="B78:K78"/>
  </mergeCells>
  <pageMargins left="0.70866141732283472" right="0.70866141732283472" top="0.74803149606299213" bottom="0.74803149606299213" header="0.31496062992125984" footer="0.31496062992125984"/>
  <pageSetup paperSize="9" scale="6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44C0-E426-4084-A5B2-1B9415845EEF}">
  <sheetPr codeName="Sheet15">
    <tabColor rgb="FFFFC000"/>
  </sheetPr>
  <dimension ref="A1:AC85"/>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7.5703125" style="93" customWidth="1"/>
    <col min="12" max="12" width="10" style="94" customWidth="1"/>
    <col min="13" max="13" width="7.85546875" style="94" customWidth="1"/>
    <col min="14" max="14" width="7.140625" style="94" customWidth="1"/>
    <col min="15" max="15" width="7.7109375" style="94" customWidth="1"/>
    <col min="16" max="16384" width="9.140625" style="94"/>
  </cols>
  <sheetData>
    <row r="1" spans="2:15" ht="20.25">
      <c r="B1" s="92" t="s">
        <v>234</v>
      </c>
    </row>
    <row r="3" spans="2:15">
      <c r="B3" s="837" t="s">
        <v>145</v>
      </c>
      <c r="C3" s="1164" t="s">
        <v>469</v>
      </c>
      <c r="D3" s="1164"/>
      <c r="E3" s="1164"/>
      <c r="F3" s="1164"/>
      <c r="G3" s="1164"/>
      <c r="H3" s="1164"/>
      <c r="I3" s="1164"/>
      <c r="J3" s="1164"/>
      <c r="K3" s="1165"/>
      <c r="L3" s="1144"/>
      <c r="M3" s="1144"/>
      <c r="N3" s="1144"/>
      <c r="O3" s="1144"/>
    </row>
    <row r="4" spans="2:15" ht="13.9" customHeight="1">
      <c r="B4" s="839"/>
      <c r="C4" s="534">
        <v>2023</v>
      </c>
      <c r="D4" s="534">
        <v>2030</v>
      </c>
      <c r="E4" s="534">
        <v>2050</v>
      </c>
      <c r="F4" s="1161" t="s">
        <v>236</v>
      </c>
      <c r="G4" s="1163"/>
      <c r="H4" s="1161" t="s">
        <v>237</v>
      </c>
      <c r="I4" s="1163"/>
      <c r="J4" s="534" t="s">
        <v>238</v>
      </c>
      <c r="K4" s="534" t="s">
        <v>239</v>
      </c>
      <c r="L4" s="101"/>
      <c r="M4" s="101"/>
      <c r="N4" s="101"/>
      <c r="O4" s="101"/>
    </row>
    <row r="5" spans="2:15">
      <c r="B5" s="840" t="s">
        <v>240</v>
      </c>
      <c r="C5" s="590"/>
      <c r="D5" s="590"/>
      <c r="E5" s="590"/>
      <c r="F5" s="838" t="s">
        <v>241</v>
      </c>
      <c r="G5" s="838" t="s">
        <v>242</v>
      </c>
      <c r="H5" s="838" t="s">
        <v>241</v>
      </c>
      <c r="I5" s="838" t="s">
        <v>242</v>
      </c>
      <c r="J5" s="590"/>
      <c r="K5" s="591"/>
      <c r="L5" s="1146"/>
      <c r="M5" s="1146"/>
      <c r="N5" s="1146"/>
      <c r="O5" s="1146"/>
    </row>
    <row r="6" spans="2:15" ht="14.25" customHeight="1">
      <c r="B6" s="841" t="s">
        <v>470</v>
      </c>
      <c r="C6" s="553">
        <v>100</v>
      </c>
      <c r="D6" s="553">
        <v>100</v>
      </c>
      <c r="E6" s="553">
        <v>100</v>
      </c>
      <c r="F6" s="553"/>
      <c r="G6" s="553"/>
      <c r="H6" s="553"/>
      <c r="I6" s="553"/>
      <c r="J6" s="556" t="s">
        <v>246</v>
      </c>
      <c r="K6" s="557">
        <v>1</v>
      </c>
      <c r="L6" s="111"/>
      <c r="M6" s="111"/>
      <c r="N6" s="111"/>
      <c r="O6" s="111"/>
    </row>
    <row r="7" spans="2:15">
      <c r="B7" s="841" t="s">
        <v>245</v>
      </c>
      <c r="C7" s="553" t="s">
        <v>146</v>
      </c>
      <c r="D7" s="553" t="s">
        <v>146</v>
      </c>
      <c r="E7" s="553" t="s">
        <v>146</v>
      </c>
      <c r="F7" s="553"/>
      <c r="G7" s="553"/>
      <c r="H7" s="553"/>
      <c r="I7" s="553"/>
      <c r="J7" s="556" t="s">
        <v>300</v>
      </c>
      <c r="K7" s="558"/>
      <c r="L7" s="113"/>
      <c r="M7" s="113"/>
      <c r="N7" s="113"/>
      <c r="O7" s="113"/>
    </row>
    <row r="8" spans="2:15">
      <c r="B8" s="842" t="s">
        <v>247</v>
      </c>
      <c r="C8" s="553" t="s">
        <v>146</v>
      </c>
      <c r="D8" s="553" t="s">
        <v>146</v>
      </c>
      <c r="E8" s="553" t="s">
        <v>146</v>
      </c>
      <c r="F8" s="553"/>
      <c r="G8" s="553"/>
      <c r="H8" s="553"/>
      <c r="I8" s="553"/>
      <c r="J8" s="559" t="s">
        <v>300</v>
      </c>
      <c r="K8" s="560"/>
      <c r="L8" s="113"/>
      <c r="M8" s="113"/>
      <c r="N8" s="113"/>
      <c r="O8" s="113"/>
    </row>
    <row r="9" spans="2:15">
      <c r="B9" s="841" t="s">
        <v>248</v>
      </c>
      <c r="C9" s="553" t="s">
        <v>146</v>
      </c>
      <c r="D9" s="553" t="s">
        <v>146</v>
      </c>
      <c r="E9" s="553" t="s">
        <v>146</v>
      </c>
      <c r="F9" s="553"/>
      <c r="G9" s="553"/>
      <c r="H9" s="553"/>
      <c r="I9" s="553"/>
      <c r="J9" s="556"/>
      <c r="K9" s="561"/>
      <c r="L9" s="116"/>
      <c r="M9" s="116"/>
      <c r="N9" s="116"/>
      <c r="O9" s="113"/>
    </row>
    <row r="10" spans="2:15">
      <c r="B10" s="839" t="s">
        <v>249</v>
      </c>
      <c r="C10" s="553" t="s">
        <v>146</v>
      </c>
      <c r="D10" s="553" t="s">
        <v>146</v>
      </c>
      <c r="E10" s="553" t="s">
        <v>146</v>
      </c>
      <c r="F10" s="553"/>
      <c r="G10" s="553"/>
      <c r="H10" s="553"/>
      <c r="I10" s="553"/>
      <c r="J10" s="556"/>
      <c r="K10" s="561"/>
      <c r="L10" s="116"/>
      <c r="M10" s="116"/>
      <c r="N10" s="116"/>
      <c r="O10" s="113"/>
    </row>
    <row r="11" spans="2:15">
      <c r="B11" s="839" t="s">
        <v>250</v>
      </c>
      <c r="C11" s="553">
        <v>27</v>
      </c>
      <c r="D11" s="553">
        <v>30</v>
      </c>
      <c r="E11" s="553">
        <v>35</v>
      </c>
      <c r="F11" s="553">
        <v>25</v>
      </c>
      <c r="G11" s="553">
        <v>30</v>
      </c>
      <c r="H11" s="553">
        <v>28</v>
      </c>
      <c r="I11" s="553">
        <v>42</v>
      </c>
      <c r="J11" s="556"/>
      <c r="K11" s="561" t="s">
        <v>364</v>
      </c>
      <c r="L11" s="113"/>
      <c r="M11" s="113"/>
      <c r="N11" s="113"/>
      <c r="O11" s="113"/>
    </row>
    <row r="12" spans="2:15">
      <c r="B12" s="839" t="s">
        <v>252</v>
      </c>
      <c r="C12" s="562">
        <v>0.5</v>
      </c>
      <c r="D12" s="562">
        <v>0.5</v>
      </c>
      <c r="E12" s="562">
        <v>0.5</v>
      </c>
      <c r="F12" s="556">
        <v>0.5</v>
      </c>
      <c r="G12" s="556">
        <v>1.5</v>
      </c>
      <c r="H12" s="556">
        <v>0.25</v>
      </c>
      <c r="I12" s="553">
        <v>1</v>
      </c>
      <c r="J12" s="556"/>
      <c r="K12" s="561">
        <v>1</v>
      </c>
      <c r="L12" s="113"/>
      <c r="M12" s="113"/>
      <c r="N12" s="113"/>
      <c r="O12" s="113"/>
    </row>
    <row r="13" spans="2:15">
      <c r="B13" s="843" t="s">
        <v>471</v>
      </c>
      <c r="C13" s="562">
        <v>5.0999999999999996</v>
      </c>
      <c r="D13" s="562">
        <f>C13*(1-0.95*(1-C40/D40))</f>
        <v>4.5733695652173907</v>
      </c>
      <c r="E13" s="562">
        <f>D13*(1-0.95*(1-D40/E40))</f>
        <v>4.072057901337792</v>
      </c>
      <c r="F13" s="562">
        <v>4.4000000000000004</v>
      </c>
      <c r="G13" s="562">
        <v>6</v>
      </c>
      <c r="H13" s="562">
        <v>4</v>
      </c>
      <c r="I13" s="563">
        <v>5.5</v>
      </c>
      <c r="J13" s="557" t="s">
        <v>435</v>
      </c>
      <c r="K13" s="556">
        <v>1</v>
      </c>
      <c r="L13" s="113"/>
      <c r="M13" s="113"/>
      <c r="N13" s="113"/>
      <c r="O13" s="113"/>
    </row>
    <row r="14" spans="2:15">
      <c r="B14" s="844" t="s">
        <v>255</v>
      </c>
      <c r="C14" s="564"/>
      <c r="D14" s="564"/>
      <c r="E14" s="564"/>
      <c r="F14" s="564"/>
      <c r="G14" s="564"/>
      <c r="H14" s="564"/>
      <c r="I14" s="566"/>
      <c r="J14" s="566"/>
      <c r="K14" s="567"/>
      <c r="L14" s="113"/>
      <c r="M14" s="113"/>
      <c r="N14" s="113"/>
      <c r="O14" s="113"/>
    </row>
    <row r="15" spans="2:15">
      <c r="B15" s="843" t="s">
        <v>256</v>
      </c>
      <c r="C15" s="568">
        <f>C43/8760*100</f>
        <v>20.547945205479451</v>
      </c>
      <c r="D15" s="568">
        <f t="shared" ref="D15:E15" si="0">D43/8760*100</f>
        <v>21.118721461187214</v>
      </c>
      <c r="E15" s="568">
        <f t="shared" si="0"/>
        <v>21.689497716894977</v>
      </c>
      <c r="F15" s="568">
        <v>16.063150684931507</v>
      </c>
      <c r="G15" s="568">
        <v>19.632739726027399</v>
      </c>
      <c r="H15" s="568">
        <v>18.117739726027398</v>
      </c>
      <c r="I15" s="568">
        <v>22.143904109589045</v>
      </c>
      <c r="J15" s="557" t="s">
        <v>368</v>
      </c>
      <c r="K15" s="558" t="s">
        <v>472</v>
      </c>
      <c r="L15" s="113"/>
      <c r="M15" s="113"/>
      <c r="N15" s="113"/>
      <c r="O15" s="113"/>
    </row>
    <row r="16" spans="2:15">
      <c r="B16" s="843" t="s">
        <v>257</v>
      </c>
      <c r="C16" s="568">
        <f>0.995*C15</f>
        <v>20.445205479452053</v>
      </c>
      <c r="D16" s="568">
        <f t="shared" ref="D16:E16" si="1">0.995*D15</f>
        <v>21.013127853881276</v>
      </c>
      <c r="E16" s="568">
        <f t="shared" si="1"/>
        <v>21.581050228310502</v>
      </c>
      <c r="F16" s="568">
        <f>0.9*C16</f>
        <v>18.400684931506849</v>
      </c>
      <c r="G16" s="568">
        <f>C16*1.1</f>
        <v>22.489726027397261</v>
      </c>
      <c r="H16" s="568">
        <f>0.9*E16</f>
        <v>19.422945205479454</v>
      </c>
      <c r="I16" s="568">
        <f>E16*1.1</f>
        <v>23.739155251141554</v>
      </c>
      <c r="J16" s="557" t="s">
        <v>370</v>
      </c>
      <c r="K16" s="558" t="s">
        <v>472</v>
      </c>
      <c r="L16" s="1051"/>
      <c r="M16" s="1051"/>
      <c r="N16" s="1051"/>
      <c r="O16" s="113"/>
    </row>
    <row r="17" spans="2:15">
      <c r="B17" s="845" t="s">
        <v>258</v>
      </c>
      <c r="C17" s="569"/>
      <c r="D17" s="569"/>
      <c r="E17" s="569"/>
      <c r="F17" s="569"/>
      <c r="G17" s="569"/>
      <c r="H17" s="569"/>
      <c r="I17" s="571"/>
      <c r="J17" s="571"/>
      <c r="K17" s="572"/>
      <c r="L17" s="113"/>
      <c r="M17" s="113"/>
      <c r="N17" s="113"/>
      <c r="O17" s="113"/>
    </row>
    <row r="18" spans="2:15">
      <c r="B18" s="839" t="s">
        <v>259</v>
      </c>
      <c r="C18" s="553" t="s">
        <v>146</v>
      </c>
      <c r="D18" s="553" t="s">
        <v>146</v>
      </c>
      <c r="E18" s="553" t="s">
        <v>146</v>
      </c>
      <c r="F18" s="553" t="s">
        <v>146</v>
      </c>
      <c r="G18" s="553" t="s">
        <v>146</v>
      </c>
      <c r="H18" s="553" t="s">
        <v>146</v>
      </c>
      <c r="I18" s="558" t="s">
        <v>146</v>
      </c>
      <c r="J18" s="557" t="s">
        <v>265</v>
      </c>
      <c r="K18" s="561"/>
      <c r="L18" s="113"/>
      <c r="M18" s="113"/>
      <c r="N18" s="113"/>
      <c r="O18" s="113"/>
    </row>
    <row r="19" spans="2:15">
      <c r="B19" s="839" t="s">
        <v>260</v>
      </c>
      <c r="C19" s="553" t="s">
        <v>146</v>
      </c>
      <c r="D19" s="553" t="s">
        <v>146</v>
      </c>
      <c r="E19" s="553" t="s">
        <v>146</v>
      </c>
      <c r="F19" s="553" t="s">
        <v>146</v>
      </c>
      <c r="G19" s="553" t="s">
        <v>146</v>
      </c>
      <c r="H19" s="553" t="s">
        <v>146</v>
      </c>
      <c r="I19" s="558" t="s">
        <v>146</v>
      </c>
      <c r="J19" s="557" t="s">
        <v>265</v>
      </c>
      <c r="K19" s="561"/>
      <c r="L19" s="113"/>
      <c r="M19" s="113"/>
      <c r="N19" s="113"/>
      <c r="O19" s="113"/>
    </row>
    <row r="20" spans="2:15">
      <c r="B20" s="839" t="s">
        <v>261</v>
      </c>
      <c r="C20" s="553" t="s">
        <v>146</v>
      </c>
      <c r="D20" s="553" t="s">
        <v>146</v>
      </c>
      <c r="E20" s="553" t="s">
        <v>146</v>
      </c>
      <c r="F20" s="553" t="s">
        <v>146</v>
      </c>
      <c r="G20" s="553" t="s">
        <v>146</v>
      </c>
      <c r="H20" s="553" t="s">
        <v>146</v>
      </c>
      <c r="I20" s="558" t="s">
        <v>146</v>
      </c>
      <c r="J20" s="557" t="s">
        <v>265</v>
      </c>
      <c r="K20" s="561"/>
      <c r="L20" s="113"/>
      <c r="M20" s="113"/>
      <c r="N20" s="113"/>
      <c r="O20" s="113"/>
    </row>
    <row r="21" spans="2:15">
      <c r="B21" s="839" t="s">
        <v>262</v>
      </c>
      <c r="C21" s="553" t="s">
        <v>146</v>
      </c>
      <c r="D21" s="553" t="s">
        <v>146</v>
      </c>
      <c r="E21" s="553" t="s">
        <v>146</v>
      </c>
      <c r="F21" s="553" t="s">
        <v>146</v>
      </c>
      <c r="G21" s="553" t="s">
        <v>146</v>
      </c>
      <c r="H21" s="553" t="s">
        <v>146</v>
      </c>
      <c r="I21" s="558" t="s">
        <v>146</v>
      </c>
      <c r="J21" s="557" t="s">
        <v>265</v>
      </c>
      <c r="K21" s="561"/>
      <c r="L21" s="113"/>
      <c r="M21" s="113"/>
      <c r="N21" s="113"/>
      <c r="O21" s="113"/>
    </row>
    <row r="22" spans="2:15">
      <c r="B22" s="845" t="s">
        <v>263</v>
      </c>
      <c r="C22" s="574"/>
      <c r="D22" s="575"/>
      <c r="E22" s="575"/>
      <c r="F22" s="575"/>
      <c r="G22" s="575"/>
      <c r="H22" s="575"/>
      <c r="I22" s="575"/>
      <c r="J22" s="575"/>
      <c r="K22" s="576"/>
      <c r="L22" s="1146"/>
      <c r="M22" s="1146"/>
      <c r="N22" s="1146"/>
      <c r="O22" s="1146"/>
    </row>
    <row r="23" spans="2:15">
      <c r="B23" s="839" t="s">
        <v>371</v>
      </c>
      <c r="C23" s="577">
        <v>0</v>
      </c>
      <c r="D23" s="577">
        <v>0</v>
      </c>
      <c r="E23" s="577">
        <v>0</v>
      </c>
      <c r="F23" s="577"/>
      <c r="G23" s="577"/>
      <c r="H23" s="577"/>
      <c r="I23" s="577"/>
      <c r="J23" s="578"/>
      <c r="K23" s="561"/>
      <c r="L23" s="113"/>
      <c r="M23" s="113"/>
      <c r="N23" s="113"/>
      <c r="O23" s="113"/>
    </row>
    <row r="24" spans="2:15">
      <c r="B24" s="839" t="s">
        <v>372</v>
      </c>
      <c r="C24" s="577">
        <v>0</v>
      </c>
      <c r="D24" s="577">
        <v>0</v>
      </c>
      <c r="E24" s="577">
        <v>0</v>
      </c>
      <c r="F24" s="577"/>
      <c r="G24" s="577"/>
      <c r="H24" s="577"/>
      <c r="I24" s="577"/>
      <c r="J24" s="578"/>
      <c r="K24" s="561"/>
      <c r="L24" s="113"/>
      <c r="M24" s="113"/>
      <c r="N24" s="113"/>
      <c r="O24" s="113"/>
    </row>
    <row r="25" spans="2:15">
      <c r="B25" s="839" t="s">
        <v>373</v>
      </c>
      <c r="C25" s="577">
        <v>0</v>
      </c>
      <c r="D25" s="577">
        <v>0</v>
      </c>
      <c r="E25" s="577">
        <v>0</v>
      </c>
      <c r="F25" s="577"/>
      <c r="G25" s="577"/>
      <c r="H25" s="577"/>
      <c r="I25" s="577"/>
      <c r="J25" s="579"/>
      <c r="K25" s="561"/>
      <c r="L25" s="113"/>
      <c r="M25" s="113"/>
      <c r="N25" s="113"/>
      <c r="O25" s="113"/>
    </row>
    <row r="26" spans="2:15">
      <c r="B26" s="839" t="s">
        <v>374</v>
      </c>
      <c r="C26" s="577">
        <v>0</v>
      </c>
      <c r="D26" s="577">
        <v>0</v>
      </c>
      <c r="E26" s="577">
        <v>0</v>
      </c>
      <c r="F26" s="577"/>
      <c r="G26" s="577"/>
      <c r="H26" s="577"/>
      <c r="I26" s="577"/>
      <c r="J26" s="557"/>
      <c r="K26" s="557"/>
      <c r="L26" s="137"/>
      <c r="M26" s="137"/>
      <c r="N26" s="113"/>
      <c r="O26" s="113"/>
    </row>
    <row r="27" spans="2:15">
      <c r="B27" s="839" t="s">
        <v>375</v>
      </c>
      <c r="C27" s="577">
        <v>0</v>
      </c>
      <c r="D27" s="577">
        <v>0</v>
      </c>
      <c r="E27" s="577">
        <v>0</v>
      </c>
      <c r="F27" s="577"/>
      <c r="G27" s="577"/>
      <c r="H27" s="577"/>
      <c r="I27" s="577"/>
      <c r="J27" s="557"/>
      <c r="K27" s="557"/>
      <c r="L27" s="1146"/>
      <c r="M27" s="1146"/>
      <c r="N27" s="1146"/>
      <c r="O27" s="1146"/>
    </row>
    <row r="28" spans="2:15">
      <c r="B28" s="845" t="s">
        <v>270</v>
      </c>
      <c r="C28" s="575"/>
      <c r="D28" s="575"/>
      <c r="E28" s="575"/>
      <c r="F28" s="575"/>
      <c r="G28" s="575"/>
      <c r="H28" s="575"/>
      <c r="I28" s="846"/>
      <c r="J28" s="575"/>
      <c r="K28" s="576"/>
      <c r="L28" s="113"/>
      <c r="M28" s="113"/>
      <c r="N28" s="113"/>
      <c r="O28" s="113"/>
    </row>
    <row r="29" spans="2:15">
      <c r="B29" s="839" t="s">
        <v>376</v>
      </c>
      <c r="C29" s="580">
        <f>C50</f>
        <v>1.08</v>
      </c>
      <c r="D29" s="580">
        <f t="shared" ref="D29:I29" si="2">D50</f>
        <v>0.75600000000000001</v>
      </c>
      <c r="E29" s="580">
        <f t="shared" si="2"/>
        <v>0.54</v>
      </c>
      <c r="F29" s="580">
        <f t="shared" si="2"/>
        <v>1.032</v>
      </c>
      <c r="G29" s="580">
        <f t="shared" si="2"/>
        <v>1.728</v>
      </c>
      <c r="H29" s="580">
        <f t="shared" si="2"/>
        <v>0.32400000000000001</v>
      </c>
      <c r="I29" s="847">
        <f t="shared" si="2"/>
        <v>1.296</v>
      </c>
      <c r="J29" s="557" t="s">
        <v>448</v>
      </c>
      <c r="K29" s="582" t="s">
        <v>473</v>
      </c>
      <c r="L29" s="154"/>
      <c r="M29" s="779"/>
      <c r="N29" s="779"/>
      <c r="O29" s="113"/>
    </row>
    <row r="30" spans="2:15">
      <c r="B30" s="839" t="s">
        <v>274</v>
      </c>
      <c r="C30" s="583">
        <f>100%-C31</f>
        <v>0.8</v>
      </c>
      <c r="D30" s="583">
        <f>100%-D31</f>
        <v>0.75</v>
      </c>
      <c r="E30" s="583">
        <f>100%-E31</f>
        <v>0.7</v>
      </c>
      <c r="F30" s="585"/>
      <c r="G30" s="585"/>
      <c r="H30" s="585"/>
      <c r="I30" s="848"/>
      <c r="J30" s="557" t="s">
        <v>303</v>
      </c>
      <c r="K30" s="557" t="s">
        <v>450</v>
      </c>
      <c r="L30" s="141"/>
      <c r="M30" s="141"/>
      <c r="N30" s="113"/>
      <c r="O30" s="113"/>
    </row>
    <row r="31" spans="2:15">
      <c r="B31" s="839" t="s">
        <v>275</v>
      </c>
      <c r="C31" s="583">
        <f>'Ground-mounted PV'!C31+5%</f>
        <v>0.2</v>
      </c>
      <c r="D31" s="583">
        <f>'Ground-mounted PV'!D31+5%</f>
        <v>0.25</v>
      </c>
      <c r="E31" s="583">
        <v>0.3</v>
      </c>
      <c r="F31" s="585"/>
      <c r="G31" s="585"/>
      <c r="H31" s="585"/>
      <c r="I31" s="585"/>
      <c r="J31" s="557" t="s">
        <v>474</v>
      </c>
      <c r="K31" s="557" t="s">
        <v>450</v>
      </c>
      <c r="L31" s="141"/>
      <c r="M31" s="141"/>
      <c r="N31" s="113"/>
      <c r="O31" s="113"/>
    </row>
    <row r="32" spans="2:15">
      <c r="B32" s="839" t="s">
        <v>276</v>
      </c>
      <c r="C32" s="587">
        <f>ROUND('Rooftop PV'!C32*0.95,-2)</f>
        <v>4700</v>
      </c>
      <c r="D32" s="587">
        <f>ROUND('Rooftop PV'!D32*0.95,-2)</f>
        <v>4200</v>
      </c>
      <c r="E32" s="587">
        <f>ROUND('Rooftop PV'!E32*0.95,-2)</f>
        <v>3700</v>
      </c>
      <c r="F32" s="587">
        <f>ROUND(C32*0.5,-2)</f>
        <v>2400</v>
      </c>
      <c r="G32" s="587">
        <f>ROUND(C32*1.5,-2)</f>
        <v>7100</v>
      </c>
      <c r="H32" s="587">
        <f>ROUND(E32*0.5,-2)</f>
        <v>1900</v>
      </c>
      <c r="I32" s="587">
        <f>ROUND(E32*1.5,-2)</f>
        <v>5600</v>
      </c>
      <c r="J32" s="588" t="s">
        <v>380</v>
      </c>
      <c r="K32" s="561" t="s">
        <v>475</v>
      </c>
      <c r="L32" s="141"/>
      <c r="M32" s="141"/>
      <c r="N32" s="113"/>
      <c r="O32" s="113"/>
    </row>
    <row r="33" spans="1:29">
      <c r="B33" s="839" t="s">
        <v>279</v>
      </c>
      <c r="C33" s="553">
        <v>0</v>
      </c>
      <c r="D33" s="553">
        <v>0</v>
      </c>
      <c r="E33" s="553">
        <v>0</v>
      </c>
      <c r="F33" s="553"/>
      <c r="G33" s="553"/>
      <c r="H33" s="553"/>
      <c r="I33" s="589"/>
      <c r="J33" s="557"/>
      <c r="K33" s="561"/>
      <c r="L33" s="141"/>
      <c r="M33" s="141"/>
      <c r="N33" s="113"/>
      <c r="O33" s="113"/>
    </row>
    <row r="34" spans="1:29">
      <c r="B34" s="839" t="s">
        <v>282</v>
      </c>
      <c r="C34" s="553">
        <v>0</v>
      </c>
      <c r="D34" s="553">
        <v>0</v>
      </c>
      <c r="E34" s="553">
        <v>0</v>
      </c>
      <c r="F34" s="553"/>
      <c r="G34" s="553"/>
      <c r="H34" s="553"/>
      <c r="I34" s="589"/>
      <c r="J34" s="557"/>
      <c r="K34" s="561"/>
      <c r="L34" s="97"/>
      <c r="M34" s="97"/>
      <c r="N34" s="97"/>
      <c r="O34" s="97"/>
    </row>
    <row r="35" spans="1:29">
      <c r="B35" s="840" t="s">
        <v>283</v>
      </c>
      <c r="C35" s="590"/>
      <c r="D35" s="590"/>
      <c r="E35" s="590"/>
      <c r="F35" s="590"/>
      <c r="G35" s="590"/>
      <c r="H35" s="590"/>
      <c r="I35" s="590"/>
      <c r="J35" s="590"/>
      <c r="K35" s="591"/>
      <c r="L35" s="113"/>
      <c r="M35" s="113"/>
      <c r="N35" s="113"/>
      <c r="O35" s="113"/>
    </row>
    <row r="36" spans="1:29">
      <c r="B36" s="849" t="s">
        <v>381</v>
      </c>
      <c r="C36" s="593">
        <v>1700</v>
      </c>
      <c r="D36" s="593">
        <v>1700</v>
      </c>
      <c r="E36" s="593">
        <v>1700</v>
      </c>
      <c r="F36" s="589">
        <v>1300</v>
      </c>
      <c r="G36" s="589">
        <v>2200</v>
      </c>
      <c r="H36" s="589">
        <v>1300</v>
      </c>
      <c r="I36" s="589">
        <v>2200</v>
      </c>
      <c r="J36" s="589" t="s">
        <v>476</v>
      </c>
      <c r="K36" s="586" t="s">
        <v>472</v>
      </c>
      <c r="L36" s="113"/>
      <c r="M36" s="113"/>
      <c r="N36" s="113"/>
      <c r="O36" s="113"/>
    </row>
    <row r="37" spans="1:29">
      <c r="B37" s="849" t="s">
        <v>477</v>
      </c>
      <c r="C37" s="594">
        <v>1.2</v>
      </c>
      <c r="D37" s="594">
        <v>1.2</v>
      </c>
      <c r="E37" s="594">
        <v>1.2</v>
      </c>
      <c r="F37" s="582"/>
      <c r="G37" s="582"/>
      <c r="H37" s="589"/>
      <c r="I37" s="589"/>
      <c r="J37" s="589" t="s">
        <v>309</v>
      </c>
      <c r="K37" s="586" t="s">
        <v>314</v>
      </c>
      <c r="L37" s="3"/>
      <c r="M37" s="3"/>
      <c r="N37" s="3"/>
      <c r="O37" s="3"/>
      <c r="P37" s="3"/>
      <c r="Q37" s="3"/>
      <c r="R37" s="3"/>
      <c r="S37" s="3"/>
      <c r="T37" s="3"/>
      <c r="U37" s="3"/>
      <c r="V37" s="3"/>
      <c r="W37" s="3"/>
      <c r="X37" s="3"/>
      <c r="Y37" s="3"/>
      <c r="Z37" s="3"/>
      <c r="AA37" s="3"/>
      <c r="AB37" s="3"/>
      <c r="AC37" s="3"/>
    </row>
    <row r="38" spans="1:29">
      <c r="B38" s="849" t="s">
        <v>383</v>
      </c>
      <c r="C38" s="594">
        <f>'Ground-mounted PV'!C38</f>
        <v>1.01</v>
      </c>
      <c r="D38" s="594">
        <f>'Ground-mounted PV'!D38</f>
        <v>1.01</v>
      </c>
      <c r="E38" s="594">
        <f>'Ground-mounted PV'!E38</f>
        <v>1.01</v>
      </c>
      <c r="F38" s="582"/>
      <c r="G38" s="582"/>
      <c r="H38" s="589"/>
      <c r="I38" s="589"/>
      <c r="J38" s="589" t="s">
        <v>253</v>
      </c>
      <c r="K38" s="586">
        <v>7</v>
      </c>
      <c r="N38" s="113"/>
      <c r="O38" s="113"/>
    </row>
    <row r="39" spans="1:29">
      <c r="B39" s="849" t="s">
        <v>452</v>
      </c>
      <c r="C39" s="594">
        <f>'Ground-mounted PV'!C39</f>
        <v>0.86</v>
      </c>
      <c r="D39" s="594">
        <f>'Ground-mounted PV'!D39</f>
        <v>0.9</v>
      </c>
      <c r="E39" s="594">
        <f>'Ground-mounted PV'!E39</f>
        <v>0.92</v>
      </c>
      <c r="F39" s="582"/>
      <c r="G39" s="582"/>
      <c r="H39" s="589"/>
      <c r="I39" s="589"/>
      <c r="J39" s="589" t="s">
        <v>385</v>
      </c>
      <c r="K39" s="586" t="s">
        <v>314</v>
      </c>
      <c r="N39" s="113"/>
      <c r="O39" s="113"/>
    </row>
    <row r="40" spans="1:29">
      <c r="B40" s="849" t="s">
        <v>386</v>
      </c>
      <c r="C40" s="596">
        <f>'Ground-mounted PV'!C40</f>
        <v>0.20499999999999999</v>
      </c>
      <c r="D40" s="596">
        <f>'Ground-mounted PV'!D40</f>
        <v>0.23</v>
      </c>
      <c r="E40" s="596">
        <f>'Ground-mounted PV'!E40</f>
        <v>0.26</v>
      </c>
      <c r="F40" s="583"/>
      <c r="G40" s="583"/>
      <c r="H40" s="589"/>
      <c r="I40" s="589"/>
      <c r="J40" s="589" t="s">
        <v>430</v>
      </c>
      <c r="K40" s="586" t="s">
        <v>478</v>
      </c>
      <c r="N40" s="113"/>
      <c r="O40" s="113"/>
    </row>
    <row r="41" spans="1:29">
      <c r="A41" s="130"/>
      <c r="B41" s="850" t="s">
        <v>387</v>
      </c>
      <c r="C41" s="600">
        <f>'Ground-mounted PV'!C41</f>
        <v>12.5</v>
      </c>
      <c r="D41" s="600">
        <f>'Ground-mounted PV'!D41</f>
        <v>15</v>
      </c>
      <c r="E41" s="600">
        <f>'Ground-mounted PV'!E41</f>
        <v>15</v>
      </c>
      <c r="F41" s="602" t="s">
        <v>5</v>
      </c>
      <c r="G41" s="602"/>
      <c r="H41" s="603"/>
      <c r="I41" s="603"/>
      <c r="J41" s="557"/>
      <c r="K41" s="586">
        <v>5</v>
      </c>
    </row>
    <row r="42" spans="1:29">
      <c r="A42" s="130"/>
      <c r="B42" s="851" t="s">
        <v>388</v>
      </c>
      <c r="C42" s="605"/>
      <c r="D42" s="605"/>
      <c r="E42" s="605"/>
      <c r="F42" s="605"/>
      <c r="G42" s="605"/>
      <c r="H42" s="606"/>
      <c r="I42" s="606"/>
      <c r="J42" s="590"/>
      <c r="K42" s="591"/>
    </row>
    <row r="43" spans="1:29">
      <c r="A43" s="130"/>
      <c r="B43" s="852" t="s">
        <v>389</v>
      </c>
      <c r="C43" s="608">
        <f>MROUND(C44*C37,50)</f>
        <v>1800</v>
      </c>
      <c r="D43" s="608">
        <f t="shared" ref="D43:E43" si="3">MROUND(D44*D37,50)</f>
        <v>1850</v>
      </c>
      <c r="E43" s="608">
        <f t="shared" si="3"/>
        <v>1900</v>
      </c>
      <c r="F43" s="609"/>
      <c r="G43" s="609" t="s">
        <v>5</v>
      </c>
      <c r="H43" s="610"/>
      <c r="I43" s="610"/>
      <c r="J43" s="589" t="s">
        <v>454</v>
      </c>
      <c r="K43" s="586"/>
    </row>
    <row r="44" spans="1:29">
      <c r="A44" s="130"/>
      <c r="B44" s="849" t="s">
        <v>391</v>
      </c>
      <c r="C44" s="608">
        <f>MROUND(C36*C38*C39,50)</f>
        <v>1500</v>
      </c>
      <c r="D44" s="608">
        <f t="shared" ref="D44:E44" si="4">MROUND(D36*D38*D39,50)</f>
        <v>1550</v>
      </c>
      <c r="E44" s="608">
        <f t="shared" si="4"/>
        <v>1600</v>
      </c>
      <c r="F44" s="582"/>
      <c r="G44" s="582" t="s">
        <v>5</v>
      </c>
      <c r="H44" s="589"/>
      <c r="I44" s="589"/>
      <c r="J44" s="557" t="s">
        <v>455</v>
      </c>
      <c r="K44" s="557"/>
    </row>
    <row r="45" spans="1:29">
      <c r="A45" s="130"/>
      <c r="B45" s="851" t="s">
        <v>393</v>
      </c>
      <c r="C45" s="605"/>
      <c r="D45" s="605"/>
      <c r="E45" s="605"/>
      <c r="F45" s="605"/>
      <c r="G45" s="605"/>
      <c r="H45" s="606"/>
      <c r="I45" s="606"/>
      <c r="J45" s="590"/>
      <c r="K45" s="591"/>
      <c r="L45" s="393"/>
    </row>
    <row r="46" spans="1:29">
      <c r="A46" s="130"/>
      <c r="B46" s="613" t="s">
        <v>394</v>
      </c>
      <c r="C46" s="612">
        <f>0.85*C49*C30</f>
        <v>0.6120000000000001</v>
      </c>
      <c r="D46" s="612">
        <f t="shared" ref="D46:E46" si="5">0.85*D49*D30</f>
        <v>0.40162500000000001</v>
      </c>
      <c r="E46" s="612">
        <f t="shared" si="5"/>
        <v>0.26774999999999999</v>
      </c>
      <c r="F46" s="612">
        <f>0.85*F49*C30</f>
        <v>0.58479999999999999</v>
      </c>
      <c r="G46" s="612">
        <f>0.85*G49*C30</f>
        <v>0.97920000000000007</v>
      </c>
      <c r="H46" s="612">
        <f>0.85*H49*E30</f>
        <v>0.16064999999999999</v>
      </c>
      <c r="I46" s="612">
        <f>0.85*I49*E30</f>
        <v>0.64259999999999995</v>
      </c>
      <c r="J46" s="589" t="s">
        <v>303</v>
      </c>
      <c r="K46" s="586" t="s">
        <v>450</v>
      </c>
      <c r="L46" s="417"/>
    </row>
    <row r="47" spans="1:29">
      <c r="A47" s="130"/>
      <c r="B47" s="613" t="s">
        <v>395</v>
      </c>
      <c r="C47" s="594">
        <f>0.15*C49*C30</f>
        <v>0.10800000000000001</v>
      </c>
      <c r="D47" s="594">
        <f t="shared" ref="D47:E47" si="6">0.15*D49*D30</f>
        <v>7.0874999999999994E-2</v>
      </c>
      <c r="E47" s="594">
        <f t="shared" si="6"/>
        <v>4.725E-2</v>
      </c>
      <c r="F47" s="594">
        <f>0.15*F49*C30</f>
        <v>0.10320000000000001</v>
      </c>
      <c r="G47" s="594">
        <f>0.15*G49*C30</f>
        <v>0.17280000000000001</v>
      </c>
      <c r="H47" s="594">
        <f>0.15*H49*E30</f>
        <v>2.835E-2</v>
      </c>
      <c r="I47" s="594">
        <f>0.15*I49*E30</f>
        <v>0.1134</v>
      </c>
      <c r="J47" s="589" t="s">
        <v>303</v>
      </c>
      <c r="K47" s="586" t="s">
        <v>450</v>
      </c>
      <c r="L47" s="417"/>
    </row>
    <row r="48" spans="1:29">
      <c r="A48" s="130"/>
      <c r="B48" s="613" t="s">
        <v>396</v>
      </c>
      <c r="C48" s="594">
        <f>C49-C47-C46</f>
        <v>0.17999999999999994</v>
      </c>
      <c r="D48" s="594">
        <f t="shared" ref="D48:I48" si="7">D49-D47-D46</f>
        <v>0.15749999999999997</v>
      </c>
      <c r="E48" s="594">
        <f t="shared" si="7"/>
        <v>0.13500000000000001</v>
      </c>
      <c r="F48" s="594">
        <f t="shared" si="7"/>
        <v>0.17199999999999993</v>
      </c>
      <c r="G48" s="594">
        <f t="shared" si="7"/>
        <v>0.28799999999999981</v>
      </c>
      <c r="H48" s="594">
        <f t="shared" si="7"/>
        <v>8.1000000000000044E-2</v>
      </c>
      <c r="I48" s="594">
        <f t="shared" si="7"/>
        <v>0.32400000000000018</v>
      </c>
      <c r="J48" s="589" t="s">
        <v>474</v>
      </c>
      <c r="K48" s="586" t="s">
        <v>450</v>
      </c>
      <c r="L48" s="417"/>
    </row>
    <row r="49" spans="1:13">
      <c r="A49" s="130"/>
      <c r="B49" s="613" t="s">
        <v>397</v>
      </c>
      <c r="C49" s="594">
        <f>'Rooftop PV'!C49*0.9</f>
        <v>0.9</v>
      </c>
      <c r="D49" s="594">
        <f>'Rooftop PV'!D49*0.9</f>
        <v>0.63</v>
      </c>
      <c r="E49" s="594">
        <f>'Rooftop PV'!E49*0.9</f>
        <v>0.45</v>
      </c>
      <c r="F49" s="581">
        <f>MROUND(C49*0.96,0.01)</f>
        <v>0.86</v>
      </c>
      <c r="G49" s="581">
        <f>MROUND(C49*1.6,0.01)</f>
        <v>1.44</v>
      </c>
      <c r="H49" s="581">
        <f>MROUND(E49*0.6,0.01)</f>
        <v>0.27</v>
      </c>
      <c r="I49" s="581">
        <f>MROUND(F49*1.25,0.01)</f>
        <v>1.08</v>
      </c>
      <c r="J49" s="557" t="s">
        <v>448</v>
      </c>
      <c r="K49" s="582" t="s">
        <v>473</v>
      </c>
      <c r="L49" s="417"/>
    </row>
    <row r="50" spans="1:13">
      <c r="A50" s="130"/>
      <c r="B50" s="849" t="s">
        <v>456</v>
      </c>
      <c r="C50" s="594">
        <f>C49*C37</f>
        <v>1.08</v>
      </c>
      <c r="D50" s="594">
        <f t="shared" ref="D50:E50" si="8">D49*D37</f>
        <v>0.75600000000000001</v>
      </c>
      <c r="E50" s="594">
        <f t="shared" si="8"/>
        <v>0.54</v>
      </c>
      <c r="F50" s="581">
        <f>F49*C37</f>
        <v>1.032</v>
      </c>
      <c r="G50" s="581">
        <f>G49*C37</f>
        <v>1.728</v>
      </c>
      <c r="H50" s="581">
        <f>H49*E37</f>
        <v>0.32400000000000001</v>
      </c>
      <c r="I50" s="581">
        <f>I49*E37</f>
        <v>1.296</v>
      </c>
      <c r="J50" s="589" t="s">
        <v>399</v>
      </c>
      <c r="K50" s="582" t="s">
        <v>473</v>
      </c>
      <c r="L50" s="417"/>
    </row>
    <row r="51" spans="1:13">
      <c r="A51" s="130"/>
      <c r="B51" s="94"/>
      <c r="C51" s="394"/>
      <c r="D51" s="394"/>
      <c r="E51" s="394"/>
      <c r="F51" s="94"/>
      <c r="G51" s="94"/>
      <c r="H51" s="151"/>
      <c r="I51" s="170"/>
      <c r="J51" s="170"/>
      <c r="K51" s="614"/>
    </row>
    <row r="52" spans="1:13" s="93" customFormat="1">
      <c r="A52" s="130" t="s">
        <v>286</v>
      </c>
      <c r="C52" s="150"/>
      <c r="D52" s="150"/>
      <c r="E52" s="150"/>
      <c r="F52" s="150"/>
      <c r="G52" s="150"/>
      <c r="H52" s="151"/>
      <c r="L52" s="94"/>
      <c r="M52" s="94"/>
    </row>
    <row r="53" spans="1:13" ht="14.1" customHeight="1">
      <c r="A53" s="152">
        <v>1</v>
      </c>
      <c r="B53" s="1148" t="s">
        <v>287</v>
      </c>
      <c r="C53" s="1148"/>
      <c r="D53" s="1148"/>
      <c r="E53" s="1148"/>
      <c r="F53" s="1148"/>
      <c r="G53" s="1148"/>
      <c r="H53" s="1148"/>
      <c r="I53" s="1148"/>
      <c r="J53" s="1148"/>
      <c r="K53" s="1148"/>
    </row>
    <row r="54" spans="1:13">
      <c r="A54" s="152">
        <v>2</v>
      </c>
      <c r="B54" s="1148" t="s">
        <v>400</v>
      </c>
      <c r="C54" s="1148"/>
      <c r="D54" s="1148"/>
      <c r="E54" s="1148"/>
      <c r="F54" s="1148"/>
      <c r="G54" s="1148"/>
      <c r="H54" s="1148"/>
      <c r="I54" s="1148"/>
      <c r="J54" s="1148"/>
      <c r="K54" s="1148"/>
    </row>
    <row r="55" spans="1:13">
      <c r="A55" s="152">
        <v>3</v>
      </c>
      <c r="B55" s="1148" t="s">
        <v>402</v>
      </c>
      <c r="C55" s="1148"/>
      <c r="D55" s="1148"/>
      <c r="E55" s="1148"/>
      <c r="F55" s="1148"/>
      <c r="G55" s="1148"/>
      <c r="H55" s="1148"/>
      <c r="I55" s="1148"/>
      <c r="J55" s="1148"/>
      <c r="K55" s="1148"/>
    </row>
    <row r="56" spans="1:13">
      <c r="A56" s="152">
        <v>4</v>
      </c>
      <c r="B56" s="1148" t="s">
        <v>479</v>
      </c>
      <c r="C56" s="1148"/>
      <c r="D56" s="1148"/>
      <c r="E56" s="1148"/>
      <c r="F56" s="1148"/>
      <c r="G56" s="1148"/>
      <c r="H56" s="1148"/>
      <c r="I56" s="1148"/>
      <c r="J56" s="1148"/>
      <c r="K56" s="1148"/>
    </row>
    <row r="57" spans="1:13">
      <c r="A57" s="152">
        <v>5</v>
      </c>
      <c r="B57" s="1148" t="s">
        <v>403</v>
      </c>
      <c r="C57" s="1148"/>
      <c r="D57" s="1148"/>
      <c r="E57" s="1148"/>
      <c r="F57" s="1148"/>
      <c r="G57" s="1148"/>
      <c r="H57" s="1148"/>
      <c r="I57" s="1148"/>
      <c r="J57" s="1148"/>
      <c r="K57" s="1148"/>
    </row>
    <row r="58" spans="1:13">
      <c r="A58" s="152">
        <v>6</v>
      </c>
      <c r="B58" s="1148" t="s">
        <v>457</v>
      </c>
      <c r="C58" s="1148"/>
      <c r="D58" s="1148"/>
      <c r="E58" s="1148"/>
      <c r="F58" s="1148"/>
      <c r="G58" s="1148"/>
      <c r="H58" s="1148"/>
      <c r="I58" s="1148"/>
      <c r="J58" s="1148"/>
      <c r="K58" s="1148"/>
    </row>
    <row r="59" spans="1:13">
      <c r="A59" s="152">
        <v>7</v>
      </c>
      <c r="B59" s="1148" t="s">
        <v>401</v>
      </c>
      <c r="C59" s="1148"/>
      <c r="D59" s="1148"/>
      <c r="E59" s="1148"/>
      <c r="F59" s="1148"/>
      <c r="G59" s="1148"/>
      <c r="H59" s="1148"/>
      <c r="I59" s="1148"/>
      <c r="J59" s="1148"/>
      <c r="K59" s="1148"/>
    </row>
    <row r="60" spans="1:13">
      <c r="A60" s="152">
        <v>8</v>
      </c>
      <c r="B60" s="1148" t="s">
        <v>459</v>
      </c>
      <c r="C60" s="1148"/>
      <c r="D60" s="1148"/>
      <c r="E60" s="1148"/>
      <c r="F60" s="1148"/>
      <c r="G60" s="1148"/>
      <c r="H60" s="1148"/>
      <c r="I60" s="1148"/>
      <c r="J60" s="1148"/>
      <c r="K60" s="1148"/>
    </row>
    <row r="61" spans="1:13">
      <c r="A61" s="152">
        <v>9</v>
      </c>
      <c r="B61" s="1150" t="s">
        <v>407</v>
      </c>
      <c r="C61" s="1150"/>
      <c r="D61" s="1150"/>
      <c r="E61" s="1150"/>
      <c r="F61" s="1150"/>
      <c r="G61" s="1150"/>
      <c r="H61" s="1150"/>
      <c r="I61" s="1150"/>
      <c r="J61" s="1150"/>
      <c r="K61" s="1150"/>
    </row>
    <row r="62" spans="1:13">
      <c r="A62" s="130" t="s">
        <v>298</v>
      </c>
      <c r="H62" s="151"/>
    </row>
    <row r="63" spans="1:13" ht="14.1" customHeight="1">
      <c r="A63" s="152" t="s">
        <v>246</v>
      </c>
      <c r="B63" s="1148" t="s">
        <v>408</v>
      </c>
      <c r="C63" s="1148"/>
      <c r="D63" s="1148"/>
      <c r="E63" s="1148"/>
      <c r="F63" s="1148"/>
      <c r="G63" s="1148"/>
      <c r="H63" s="1148"/>
      <c r="I63" s="1148"/>
      <c r="J63" s="1148"/>
      <c r="K63" s="1148"/>
    </row>
    <row r="64" spans="1:13" ht="13.5" customHeight="1">
      <c r="A64" s="152" t="s">
        <v>300</v>
      </c>
      <c r="B64" s="1148" t="s">
        <v>409</v>
      </c>
      <c r="C64" s="1148"/>
      <c r="D64" s="1148"/>
      <c r="E64" s="1148"/>
      <c r="F64" s="1148"/>
      <c r="G64" s="1148"/>
      <c r="H64" s="1148"/>
      <c r="I64" s="1148"/>
      <c r="J64" s="1148"/>
      <c r="K64" s="1148"/>
    </row>
    <row r="65" spans="1:11" ht="15" customHeight="1">
      <c r="A65" s="152" t="s">
        <v>265</v>
      </c>
      <c r="B65" s="1148" t="s">
        <v>410</v>
      </c>
      <c r="C65" s="1148"/>
      <c r="D65" s="1148"/>
      <c r="E65" s="1148"/>
      <c r="F65" s="1148"/>
      <c r="G65" s="1148"/>
      <c r="H65" s="1148"/>
      <c r="I65" s="1148"/>
      <c r="J65" s="1148"/>
      <c r="K65" s="1148"/>
    </row>
    <row r="66" spans="1:11" ht="25.5" customHeight="1">
      <c r="A66" s="152" t="s">
        <v>303</v>
      </c>
      <c r="B66" s="1148" t="s">
        <v>480</v>
      </c>
      <c r="C66" s="1148"/>
      <c r="D66" s="1148"/>
      <c r="E66" s="1148"/>
      <c r="F66" s="1148"/>
      <c r="G66" s="1148"/>
      <c r="H66" s="1148"/>
      <c r="I66" s="1148"/>
      <c r="J66" s="1148"/>
      <c r="K66" s="1148"/>
    </row>
    <row r="67" spans="1:11" ht="15" customHeight="1">
      <c r="A67" s="152" t="s">
        <v>305</v>
      </c>
      <c r="B67" s="1148" t="s">
        <v>324</v>
      </c>
      <c r="C67" s="1148"/>
      <c r="D67" s="1148"/>
      <c r="E67" s="1148"/>
      <c r="F67" s="1148"/>
      <c r="G67" s="1148"/>
      <c r="H67" s="1148"/>
      <c r="I67" s="1148"/>
      <c r="J67" s="1148"/>
      <c r="K67" s="1148"/>
    </row>
    <row r="68" spans="1:11" ht="26.25" customHeight="1">
      <c r="A68" s="152" t="s">
        <v>307</v>
      </c>
      <c r="B68" s="1148" t="s">
        <v>461</v>
      </c>
      <c r="C68" s="1148"/>
      <c r="D68" s="1148"/>
      <c r="E68" s="1148"/>
      <c r="F68" s="1148"/>
      <c r="G68" s="1148"/>
      <c r="H68" s="1148"/>
      <c r="I68" s="1148"/>
      <c r="J68" s="1148"/>
      <c r="K68" s="1148"/>
    </row>
    <row r="69" spans="1:11" ht="25.5" customHeight="1">
      <c r="A69" s="152" t="s">
        <v>309</v>
      </c>
      <c r="B69" s="1148" t="s">
        <v>462</v>
      </c>
      <c r="C69" s="1148"/>
      <c r="D69" s="1148"/>
      <c r="E69" s="1148"/>
      <c r="F69" s="1148"/>
      <c r="G69" s="1148"/>
      <c r="H69" s="1148"/>
      <c r="I69" s="1148"/>
      <c r="J69" s="1148"/>
      <c r="K69" s="1148"/>
    </row>
    <row r="70" spans="1:11" ht="34.5" customHeight="1">
      <c r="A70" s="152" t="s">
        <v>253</v>
      </c>
      <c r="B70" s="1148" t="s">
        <v>413</v>
      </c>
      <c r="C70" s="1148"/>
      <c r="D70" s="1148"/>
      <c r="E70" s="1148"/>
      <c r="F70" s="1148"/>
      <c r="G70" s="1148"/>
      <c r="H70" s="1148"/>
      <c r="I70" s="1148"/>
      <c r="J70" s="1148"/>
      <c r="K70" s="1148"/>
    </row>
    <row r="71" spans="1:11" ht="72" customHeight="1">
      <c r="A71" s="152" t="s">
        <v>385</v>
      </c>
      <c r="B71" s="1148" t="s">
        <v>463</v>
      </c>
      <c r="C71" s="1148"/>
      <c r="D71" s="1148"/>
      <c r="E71" s="1148"/>
      <c r="F71" s="1148"/>
      <c r="G71" s="1148"/>
      <c r="H71" s="1148"/>
      <c r="I71" s="1148"/>
      <c r="J71" s="1148"/>
      <c r="K71" s="1148"/>
    </row>
    <row r="72" spans="1:11">
      <c r="A72" s="152" t="s">
        <v>415</v>
      </c>
      <c r="B72" s="1149" t="s">
        <v>416</v>
      </c>
      <c r="C72" s="1149"/>
      <c r="D72" s="1149"/>
      <c r="E72" s="1149"/>
      <c r="F72" s="1149"/>
      <c r="G72" s="1149"/>
      <c r="H72" s="1149"/>
      <c r="I72" s="1149"/>
      <c r="J72" s="1149"/>
      <c r="K72" s="1149"/>
    </row>
    <row r="73" spans="1:11" ht="22.5" customHeight="1">
      <c r="A73" s="152" t="s">
        <v>417</v>
      </c>
      <c r="B73" s="1148" t="s">
        <v>418</v>
      </c>
      <c r="C73" s="1148"/>
      <c r="D73" s="1148"/>
      <c r="E73" s="1148"/>
      <c r="F73" s="1148"/>
      <c r="G73" s="1148"/>
      <c r="H73" s="1148"/>
      <c r="I73" s="1148"/>
      <c r="J73" s="1148"/>
      <c r="K73" s="1148"/>
    </row>
    <row r="74" spans="1:11">
      <c r="A74" s="152" t="s">
        <v>419</v>
      </c>
      <c r="B74" s="1150" t="s">
        <v>420</v>
      </c>
      <c r="C74" s="1150"/>
      <c r="D74" s="1150"/>
      <c r="E74" s="1150"/>
      <c r="F74" s="1150"/>
      <c r="G74" s="1150"/>
      <c r="H74" s="1150"/>
      <c r="I74" s="1150"/>
      <c r="J74" s="1150"/>
      <c r="K74" s="1150"/>
    </row>
    <row r="75" spans="1:11" ht="27.75" customHeight="1">
      <c r="A75" s="152" t="s">
        <v>421</v>
      </c>
      <c r="B75" s="1148" t="s">
        <v>422</v>
      </c>
      <c r="C75" s="1148"/>
      <c r="D75" s="1148"/>
      <c r="E75" s="1148"/>
      <c r="F75" s="1148"/>
      <c r="G75" s="1148"/>
      <c r="H75" s="1148"/>
      <c r="I75" s="1148"/>
      <c r="J75" s="1148"/>
      <c r="K75" s="1148"/>
    </row>
    <row r="76" spans="1:11" ht="14.25" customHeight="1">
      <c r="A76" s="152" t="s">
        <v>423</v>
      </c>
      <c r="B76" s="1148" t="s">
        <v>424</v>
      </c>
      <c r="C76" s="1148"/>
      <c r="D76" s="1148"/>
      <c r="E76" s="1148"/>
      <c r="F76" s="1148"/>
      <c r="G76" s="1148"/>
      <c r="H76" s="1148"/>
      <c r="I76" s="1148"/>
      <c r="J76" s="1148"/>
      <c r="K76" s="1148"/>
    </row>
    <row r="77" spans="1:11" ht="39" customHeight="1">
      <c r="A77" s="152" t="s">
        <v>380</v>
      </c>
      <c r="B77" s="1148" t="s">
        <v>464</v>
      </c>
      <c r="C77" s="1148"/>
      <c r="D77" s="1148"/>
      <c r="E77" s="1148"/>
      <c r="F77" s="1148"/>
      <c r="G77" s="1148"/>
      <c r="H77" s="1148"/>
      <c r="I77" s="1148"/>
      <c r="J77" s="1148"/>
      <c r="K77" s="1148"/>
    </row>
    <row r="78" spans="1:11" ht="28.5" customHeight="1">
      <c r="A78" s="152" t="s">
        <v>426</v>
      </c>
      <c r="B78" s="1148" t="s">
        <v>481</v>
      </c>
      <c r="C78" s="1148"/>
      <c r="D78" s="1148"/>
      <c r="E78" s="1148"/>
      <c r="F78" s="1148"/>
      <c r="G78" s="1148"/>
      <c r="H78" s="1148"/>
      <c r="I78" s="1148"/>
      <c r="J78" s="1148"/>
      <c r="K78" s="1148"/>
    </row>
    <row r="79" spans="1:11">
      <c r="A79" s="152" t="s">
        <v>428</v>
      </c>
      <c r="B79" s="1148" t="s">
        <v>482</v>
      </c>
      <c r="C79" s="1148"/>
      <c r="D79" s="1148"/>
      <c r="E79" s="1148"/>
      <c r="F79" s="1148"/>
      <c r="G79" s="1148"/>
      <c r="H79" s="1148"/>
      <c r="I79" s="1148"/>
      <c r="J79" s="1148"/>
      <c r="K79" s="1148"/>
    </row>
    <row r="80" spans="1:11" ht="15" customHeight="1">
      <c r="A80" s="152" t="s">
        <v>430</v>
      </c>
      <c r="B80" s="1148" t="s">
        <v>431</v>
      </c>
      <c r="C80" s="1148" t="s">
        <v>432</v>
      </c>
      <c r="D80" s="1148"/>
      <c r="E80" s="1148"/>
      <c r="F80" s="1148"/>
      <c r="G80" s="1148"/>
      <c r="H80" s="1148"/>
      <c r="I80" s="1148"/>
      <c r="J80" s="1148"/>
      <c r="K80" s="1148"/>
    </row>
    <row r="81" spans="1:11" ht="15" customHeight="1">
      <c r="A81" s="152" t="s">
        <v>435</v>
      </c>
      <c r="B81" s="1148" t="s">
        <v>467</v>
      </c>
      <c r="C81" s="1148"/>
      <c r="D81" s="1148"/>
      <c r="E81" s="1148"/>
      <c r="F81" s="1148"/>
      <c r="G81" s="1148"/>
      <c r="H81" s="1148"/>
      <c r="I81" s="1148"/>
      <c r="J81" s="1148"/>
      <c r="K81" s="1148"/>
    </row>
    <row r="82" spans="1:11" ht="27.75" customHeight="1">
      <c r="A82" s="152" t="s">
        <v>379</v>
      </c>
      <c r="B82" s="1148" t="s">
        <v>437</v>
      </c>
      <c r="C82" s="1148"/>
      <c r="D82" s="1148"/>
      <c r="E82" s="1148"/>
      <c r="F82" s="1148"/>
      <c r="G82" s="1148"/>
      <c r="H82" s="1148"/>
      <c r="I82" s="1148"/>
      <c r="J82" s="1148"/>
      <c r="K82" s="1148"/>
    </row>
    <row r="83" spans="1:11">
      <c r="A83" s="152" t="s">
        <v>438</v>
      </c>
      <c r="B83" s="1148" t="s">
        <v>468</v>
      </c>
      <c r="C83" s="1148"/>
      <c r="D83" s="1148"/>
      <c r="E83" s="1148"/>
      <c r="F83" s="1148"/>
      <c r="G83" s="1148"/>
      <c r="H83" s="1148"/>
      <c r="I83" s="1148"/>
      <c r="J83" s="1148"/>
      <c r="K83" s="1148"/>
    </row>
    <row r="85" spans="1:11">
      <c r="B85" s="94"/>
      <c r="C85" s="94"/>
      <c r="D85" s="94"/>
      <c r="E85" s="94"/>
      <c r="F85" s="94"/>
      <c r="G85" s="94"/>
      <c r="H85" s="94"/>
      <c r="I85" s="94"/>
      <c r="J85" s="94"/>
      <c r="K85" s="94"/>
    </row>
  </sheetData>
  <mergeCells count="37">
    <mergeCell ref="B83:K83"/>
    <mergeCell ref="L27:O27"/>
    <mergeCell ref="B66:K66"/>
    <mergeCell ref="B67:K67"/>
    <mergeCell ref="B77:K77"/>
    <mergeCell ref="B78:K78"/>
    <mergeCell ref="B68:K68"/>
    <mergeCell ref="B69:K69"/>
    <mergeCell ref="B70:K70"/>
    <mergeCell ref="B71:K71"/>
    <mergeCell ref="B53:K53"/>
    <mergeCell ref="B54:K54"/>
    <mergeCell ref="B55:K55"/>
    <mergeCell ref="B56:K56"/>
    <mergeCell ref="B57:K57"/>
    <mergeCell ref="B58:K58"/>
    <mergeCell ref="B59:K59"/>
    <mergeCell ref="L22:O22"/>
    <mergeCell ref="C3:K3"/>
    <mergeCell ref="F4:G4"/>
    <mergeCell ref="H4:I4"/>
    <mergeCell ref="L3:O3"/>
    <mergeCell ref="L5:O5"/>
    <mergeCell ref="B60:K60"/>
    <mergeCell ref="B63:K63"/>
    <mergeCell ref="B64:K64"/>
    <mergeCell ref="B79:K79"/>
    <mergeCell ref="B61:K61"/>
    <mergeCell ref="B73:K73"/>
    <mergeCell ref="B80:K80"/>
    <mergeCell ref="B81:K81"/>
    <mergeCell ref="B82:K82"/>
    <mergeCell ref="B65:K65"/>
    <mergeCell ref="B72:K72"/>
    <mergeCell ref="B74:K74"/>
    <mergeCell ref="B75:K75"/>
    <mergeCell ref="B76:K76"/>
  </mergeCells>
  <pageMargins left="0.70866141732283472" right="0.70866141732283472" top="0.74803149606299213" bottom="0.74803149606299213" header="0.31496062992125984" footer="0.31496062992125984"/>
  <pageSetup paperSize="9" scale="6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51326-27B4-40FE-92E3-C4583EDF09BC}">
  <sheetPr codeName="Sheet16">
    <tabColor rgb="FFFFC000"/>
  </sheetPr>
  <dimension ref="A1:N88"/>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10.42578125" style="93" customWidth="1"/>
    <col min="12" max="12" width="10.140625" style="94" customWidth="1"/>
    <col min="13" max="13" width="7.7109375" style="94" customWidth="1"/>
    <col min="14" max="16384" width="9.140625" style="94"/>
  </cols>
  <sheetData>
    <row r="1" spans="2:14" ht="20.25">
      <c r="B1" s="92" t="s">
        <v>234</v>
      </c>
    </row>
    <row r="3" spans="2:14">
      <c r="B3" s="531" t="s">
        <v>145</v>
      </c>
      <c r="C3" s="1162" t="s">
        <v>483</v>
      </c>
      <c r="D3" s="1162"/>
      <c r="E3" s="1162"/>
      <c r="F3" s="1162"/>
      <c r="G3" s="1162"/>
      <c r="H3" s="1162"/>
      <c r="I3" s="1162"/>
      <c r="J3" s="1162"/>
      <c r="K3" s="1163"/>
      <c r="L3" s="97"/>
      <c r="M3" s="410"/>
    </row>
    <row r="4" spans="2:14" ht="13.9" customHeight="1">
      <c r="B4" s="533"/>
      <c r="C4" s="534">
        <v>2023</v>
      </c>
      <c r="D4" s="534">
        <v>2030</v>
      </c>
      <c r="E4" s="534">
        <v>2050</v>
      </c>
      <c r="F4" s="1161" t="s">
        <v>236</v>
      </c>
      <c r="G4" s="1163"/>
      <c r="H4" s="1161" t="s">
        <v>237</v>
      </c>
      <c r="I4" s="1163"/>
      <c r="J4" s="534" t="s">
        <v>238</v>
      </c>
      <c r="K4" s="534" t="s">
        <v>239</v>
      </c>
      <c r="L4" s="100"/>
      <c r="M4" s="101"/>
    </row>
    <row r="5" spans="2:14">
      <c r="B5" s="535" t="s">
        <v>240</v>
      </c>
      <c r="C5" s="536"/>
      <c r="D5" s="536"/>
      <c r="E5" s="536"/>
      <c r="F5" s="532" t="s">
        <v>241</v>
      </c>
      <c r="G5" s="532" t="s">
        <v>242</v>
      </c>
      <c r="H5" s="532" t="s">
        <v>241</v>
      </c>
      <c r="I5" s="532" t="s">
        <v>242</v>
      </c>
      <c r="J5" s="536"/>
      <c r="K5" s="537"/>
      <c r="L5" s="1146"/>
      <c r="M5" s="1146"/>
    </row>
    <row r="6" spans="2:14">
      <c r="B6" s="538" t="s">
        <v>244</v>
      </c>
      <c r="C6" s="553">
        <v>30</v>
      </c>
      <c r="D6" s="553">
        <v>80</v>
      </c>
      <c r="E6" s="553">
        <v>100</v>
      </c>
      <c r="F6" s="553"/>
      <c r="G6" s="553"/>
      <c r="H6" s="553"/>
      <c r="I6" s="553"/>
      <c r="J6" s="556" t="s">
        <v>246</v>
      </c>
      <c r="K6" s="561">
        <v>1</v>
      </c>
      <c r="L6" s="109"/>
      <c r="M6" s="111"/>
    </row>
    <row r="7" spans="2:14">
      <c r="B7" s="538" t="s">
        <v>245</v>
      </c>
      <c r="C7" s="553" t="s">
        <v>146</v>
      </c>
      <c r="D7" s="553" t="s">
        <v>146</v>
      </c>
      <c r="E7" s="553" t="s">
        <v>146</v>
      </c>
      <c r="F7" s="553"/>
      <c r="G7" s="553"/>
      <c r="H7" s="553"/>
      <c r="I7" s="553"/>
      <c r="J7" s="556" t="s">
        <v>300</v>
      </c>
      <c r="K7" s="558"/>
      <c r="L7" s="109"/>
      <c r="M7" s="113"/>
    </row>
    <row r="8" spans="2:14">
      <c r="B8" s="539" t="s">
        <v>247</v>
      </c>
      <c r="C8" s="553" t="s">
        <v>146</v>
      </c>
      <c r="D8" s="553" t="s">
        <v>146</v>
      </c>
      <c r="E8" s="553" t="s">
        <v>146</v>
      </c>
      <c r="F8" s="553"/>
      <c r="G8" s="553"/>
      <c r="H8" s="553"/>
      <c r="I8" s="553"/>
      <c r="J8" s="559" t="s">
        <v>300</v>
      </c>
      <c r="K8" s="560"/>
      <c r="L8" s="109"/>
      <c r="M8" s="113"/>
    </row>
    <row r="9" spans="2:14">
      <c r="B9" s="538" t="s">
        <v>248</v>
      </c>
      <c r="C9" s="553" t="s">
        <v>146</v>
      </c>
      <c r="D9" s="553" t="s">
        <v>146</v>
      </c>
      <c r="E9" s="553" t="s">
        <v>146</v>
      </c>
      <c r="F9" s="553"/>
      <c r="G9" s="553"/>
      <c r="H9" s="553"/>
      <c r="I9" s="553"/>
      <c r="J9" s="556"/>
      <c r="K9" s="561"/>
      <c r="L9" s="93"/>
      <c r="M9" s="113"/>
    </row>
    <row r="10" spans="2:14">
      <c r="B10" s="533" t="s">
        <v>249</v>
      </c>
      <c r="C10" s="553" t="s">
        <v>146</v>
      </c>
      <c r="D10" s="553" t="s">
        <v>146</v>
      </c>
      <c r="E10" s="553" t="s">
        <v>146</v>
      </c>
      <c r="F10" s="853"/>
      <c r="G10" s="853"/>
      <c r="H10" s="580"/>
      <c r="I10" s="580"/>
      <c r="J10" s="556"/>
      <c r="K10" s="561"/>
      <c r="L10" s="93"/>
      <c r="M10" s="113"/>
    </row>
    <row r="11" spans="2:14">
      <c r="B11" s="533" t="s">
        <v>250</v>
      </c>
      <c r="C11" s="553">
        <v>27</v>
      </c>
      <c r="D11" s="553">
        <v>30</v>
      </c>
      <c r="E11" s="553">
        <v>35</v>
      </c>
      <c r="F11" s="553">
        <v>25</v>
      </c>
      <c r="G11" s="553">
        <v>30</v>
      </c>
      <c r="H11" s="553">
        <v>28</v>
      </c>
      <c r="I11" s="553">
        <v>42</v>
      </c>
      <c r="J11" s="556"/>
      <c r="K11" s="561" t="s">
        <v>364</v>
      </c>
      <c r="L11" s="109"/>
      <c r="M11" s="113"/>
    </row>
    <row r="12" spans="2:14">
      <c r="B12" s="533" t="s">
        <v>252</v>
      </c>
      <c r="C12" s="562">
        <v>0.5</v>
      </c>
      <c r="D12" s="562">
        <v>0.5</v>
      </c>
      <c r="E12" s="562">
        <v>0.5</v>
      </c>
      <c r="F12" s="556">
        <v>0.3</v>
      </c>
      <c r="G12" s="556">
        <v>1</v>
      </c>
      <c r="H12" s="556">
        <v>0.2</v>
      </c>
      <c r="I12" s="553">
        <v>1</v>
      </c>
      <c r="J12" s="556"/>
      <c r="K12" s="561">
        <v>1</v>
      </c>
      <c r="L12" s="109"/>
      <c r="M12" s="113"/>
    </row>
    <row r="13" spans="2:14">
      <c r="B13" s="540" t="s">
        <v>484</v>
      </c>
      <c r="C13" s="562">
        <v>8.3000000000000007</v>
      </c>
      <c r="D13" s="562">
        <f>C13*(1-0.9*(1-C40/D40))</f>
        <v>7.4880434782608702</v>
      </c>
      <c r="E13" s="562">
        <f>D13*(1-0.9*(1-D40/E40))</f>
        <v>6.7104389632107022</v>
      </c>
      <c r="F13" s="553">
        <v>7.2</v>
      </c>
      <c r="G13" s="553">
        <v>10</v>
      </c>
      <c r="H13" s="553">
        <v>5</v>
      </c>
      <c r="I13" s="554">
        <v>9</v>
      </c>
      <c r="J13" s="557" t="s">
        <v>435</v>
      </c>
      <c r="K13" s="556">
        <v>9</v>
      </c>
      <c r="L13" s="109"/>
      <c r="M13" s="113"/>
    </row>
    <row r="14" spans="2:14">
      <c r="B14" s="541" t="s">
        <v>255</v>
      </c>
      <c r="C14" s="564"/>
      <c r="D14" s="564"/>
      <c r="E14" s="564"/>
      <c r="F14" s="564"/>
      <c r="G14" s="564"/>
      <c r="H14" s="564"/>
      <c r="I14" s="566"/>
      <c r="J14" s="566"/>
      <c r="K14" s="567"/>
      <c r="L14" s="109"/>
      <c r="M14" s="113"/>
    </row>
    <row r="15" spans="2:14">
      <c r="B15" s="540" t="s">
        <v>256</v>
      </c>
      <c r="C15" s="568">
        <f>C43/8760*100</f>
        <v>21.118721461187214</v>
      </c>
      <c r="D15" s="568">
        <f t="shared" ref="D15:E15" si="0">D43/8760*100</f>
        <v>21.689497716894977</v>
      </c>
      <c r="E15" s="568">
        <f t="shared" si="0"/>
        <v>22.831050228310502</v>
      </c>
      <c r="F15" s="568">
        <v>14</v>
      </c>
      <c r="G15" s="568">
        <v>22</v>
      </c>
      <c r="H15" s="568">
        <v>16</v>
      </c>
      <c r="I15" s="568">
        <v>23</v>
      </c>
      <c r="J15" s="557" t="s">
        <v>485</v>
      </c>
      <c r="K15" s="558" t="s">
        <v>486</v>
      </c>
      <c r="L15" s="109"/>
      <c r="M15" s="113"/>
    </row>
    <row r="16" spans="2:14">
      <c r="B16" s="540" t="s">
        <v>257</v>
      </c>
      <c r="C16" s="568">
        <f>0.995*C15</f>
        <v>21.013127853881276</v>
      </c>
      <c r="D16" s="568">
        <f>0.995*D15</f>
        <v>21.581050228310502</v>
      </c>
      <c r="E16" s="568">
        <f>0.995*E15</f>
        <v>22.716894977168948</v>
      </c>
      <c r="F16" s="568">
        <v>14</v>
      </c>
      <c r="G16" s="568">
        <v>22</v>
      </c>
      <c r="H16" s="568">
        <v>16</v>
      </c>
      <c r="I16" s="568">
        <v>23</v>
      </c>
      <c r="J16" s="557" t="s">
        <v>487</v>
      </c>
      <c r="K16" s="558" t="s">
        <v>486</v>
      </c>
      <c r="L16" s="1051"/>
      <c r="M16" s="1051"/>
      <c r="N16" s="1051"/>
    </row>
    <row r="17" spans="2:14">
      <c r="B17" s="542" t="s">
        <v>258</v>
      </c>
      <c r="C17" s="569"/>
      <c r="D17" s="569"/>
      <c r="E17" s="569"/>
      <c r="F17" s="569"/>
      <c r="G17" s="569"/>
      <c r="H17" s="569"/>
      <c r="I17" s="571"/>
      <c r="J17" s="571"/>
      <c r="K17" s="572"/>
      <c r="L17" s="109"/>
      <c r="M17" s="113"/>
    </row>
    <row r="18" spans="2:14">
      <c r="B18" s="533" t="s">
        <v>259</v>
      </c>
      <c r="C18" s="553" t="s">
        <v>146</v>
      </c>
      <c r="D18" s="553" t="s">
        <v>146</v>
      </c>
      <c r="E18" s="553" t="s">
        <v>146</v>
      </c>
      <c r="F18" s="553" t="s">
        <v>146</v>
      </c>
      <c r="G18" s="553" t="s">
        <v>146</v>
      </c>
      <c r="H18" s="553" t="s">
        <v>146</v>
      </c>
      <c r="I18" s="558" t="s">
        <v>146</v>
      </c>
      <c r="J18" s="557" t="s">
        <v>265</v>
      </c>
      <c r="K18" s="561"/>
      <c r="L18" s="109"/>
      <c r="M18" s="113"/>
    </row>
    <row r="19" spans="2:14">
      <c r="B19" s="533" t="s">
        <v>260</v>
      </c>
      <c r="C19" s="553" t="s">
        <v>146</v>
      </c>
      <c r="D19" s="553" t="s">
        <v>146</v>
      </c>
      <c r="E19" s="553" t="s">
        <v>146</v>
      </c>
      <c r="F19" s="553" t="s">
        <v>146</v>
      </c>
      <c r="G19" s="553" t="s">
        <v>146</v>
      </c>
      <c r="H19" s="553" t="s">
        <v>146</v>
      </c>
      <c r="I19" s="558" t="s">
        <v>146</v>
      </c>
      <c r="J19" s="557" t="s">
        <v>265</v>
      </c>
      <c r="K19" s="561"/>
      <c r="L19" s="109"/>
      <c r="M19" s="113"/>
    </row>
    <row r="20" spans="2:14">
      <c r="B20" s="533" t="s">
        <v>261</v>
      </c>
      <c r="C20" s="553" t="s">
        <v>146</v>
      </c>
      <c r="D20" s="553" t="s">
        <v>146</v>
      </c>
      <c r="E20" s="553" t="s">
        <v>146</v>
      </c>
      <c r="F20" s="553" t="s">
        <v>146</v>
      </c>
      <c r="G20" s="553" t="s">
        <v>146</v>
      </c>
      <c r="H20" s="553" t="s">
        <v>146</v>
      </c>
      <c r="I20" s="558" t="s">
        <v>146</v>
      </c>
      <c r="J20" s="557" t="s">
        <v>265</v>
      </c>
      <c r="K20" s="561"/>
      <c r="L20" s="109"/>
      <c r="M20" s="113"/>
    </row>
    <row r="21" spans="2:14">
      <c r="B21" s="533" t="s">
        <v>262</v>
      </c>
      <c r="C21" s="553" t="s">
        <v>146</v>
      </c>
      <c r="D21" s="553" t="s">
        <v>146</v>
      </c>
      <c r="E21" s="553" t="s">
        <v>146</v>
      </c>
      <c r="F21" s="553" t="s">
        <v>146</v>
      </c>
      <c r="G21" s="553" t="s">
        <v>146</v>
      </c>
      <c r="H21" s="553" t="s">
        <v>146</v>
      </c>
      <c r="I21" s="558" t="s">
        <v>146</v>
      </c>
      <c r="J21" s="557" t="s">
        <v>265</v>
      </c>
      <c r="K21" s="561"/>
      <c r="L21" s="109"/>
      <c r="M21" s="113"/>
    </row>
    <row r="22" spans="2:14">
      <c r="B22" s="542" t="s">
        <v>263</v>
      </c>
      <c r="C22" s="574"/>
      <c r="D22" s="575"/>
      <c r="E22" s="575"/>
      <c r="F22" s="575"/>
      <c r="G22" s="575"/>
      <c r="H22" s="575"/>
      <c r="I22" s="575"/>
      <c r="J22" s="575"/>
      <c r="K22" s="576"/>
      <c r="L22" s="1146"/>
      <c r="M22" s="1146"/>
    </row>
    <row r="23" spans="2:14">
      <c r="B23" s="533" t="s">
        <v>443</v>
      </c>
      <c r="C23" s="577">
        <v>0</v>
      </c>
      <c r="D23" s="577">
        <v>0</v>
      </c>
      <c r="E23" s="577">
        <v>0</v>
      </c>
      <c r="F23" s="577"/>
      <c r="G23" s="577"/>
      <c r="H23" s="577"/>
      <c r="I23" s="577"/>
      <c r="J23" s="578"/>
      <c r="K23" s="561"/>
      <c r="L23" s="109"/>
      <c r="M23" s="113"/>
    </row>
    <row r="24" spans="2:14">
      <c r="B24" s="533" t="s">
        <v>444</v>
      </c>
      <c r="C24" s="577">
        <v>0</v>
      </c>
      <c r="D24" s="577">
        <v>0</v>
      </c>
      <c r="E24" s="577">
        <v>0</v>
      </c>
      <c r="F24" s="577"/>
      <c r="G24" s="577"/>
      <c r="H24" s="577"/>
      <c r="I24" s="577"/>
      <c r="J24" s="578"/>
      <c r="K24" s="561"/>
      <c r="L24" s="109"/>
      <c r="M24" s="113"/>
    </row>
    <row r="25" spans="2:14">
      <c r="B25" s="533" t="s">
        <v>445</v>
      </c>
      <c r="C25" s="577">
        <v>0</v>
      </c>
      <c r="D25" s="577">
        <v>0</v>
      </c>
      <c r="E25" s="577">
        <v>0</v>
      </c>
      <c r="F25" s="577"/>
      <c r="G25" s="577"/>
      <c r="H25" s="577"/>
      <c r="I25" s="577"/>
      <c r="J25" s="579"/>
      <c r="K25" s="561"/>
      <c r="L25" s="109"/>
      <c r="M25" s="113"/>
    </row>
    <row r="26" spans="2:14">
      <c r="B26" s="533" t="s">
        <v>446</v>
      </c>
      <c r="C26" s="577">
        <v>0</v>
      </c>
      <c r="D26" s="577">
        <v>0</v>
      </c>
      <c r="E26" s="577">
        <v>0</v>
      </c>
      <c r="F26" s="577"/>
      <c r="G26" s="577"/>
      <c r="H26" s="577"/>
      <c r="I26" s="577"/>
      <c r="J26" s="557"/>
      <c r="K26" s="557"/>
      <c r="L26" s="109"/>
      <c r="M26" s="113"/>
    </row>
    <row r="27" spans="2:14">
      <c r="B27" s="533" t="s">
        <v>447</v>
      </c>
      <c r="C27" s="577">
        <v>0</v>
      </c>
      <c r="D27" s="577">
        <v>0</v>
      </c>
      <c r="E27" s="577">
        <v>0</v>
      </c>
      <c r="F27" s="577"/>
      <c r="G27" s="577"/>
      <c r="H27" s="577"/>
      <c r="I27" s="577"/>
      <c r="J27" s="557"/>
      <c r="K27" s="557"/>
      <c r="L27" s="1146"/>
      <c r="M27" s="1146"/>
    </row>
    <row r="28" spans="2:14">
      <c r="B28" s="542" t="s">
        <v>270</v>
      </c>
      <c r="C28" s="575"/>
      <c r="D28" s="575"/>
      <c r="E28" s="575"/>
      <c r="F28" s="575"/>
      <c r="G28" s="575"/>
      <c r="H28" s="575"/>
      <c r="I28" s="575"/>
      <c r="J28" s="575"/>
      <c r="K28" s="576"/>
      <c r="L28" s="109"/>
      <c r="M28" s="113"/>
    </row>
    <row r="29" spans="2:14">
      <c r="B29" s="533" t="s">
        <v>376</v>
      </c>
      <c r="C29" s="580">
        <f>C50</f>
        <v>1.2</v>
      </c>
      <c r="D29" s="580">
        <f t="shared" ref="D29:E29" si="1">D50</f>
        <v>0.73919999999999997</v>
      </c>
      <c r="E29" s="580">
        <f t="shared" si="1"/>
        <v>0.48</v>
      </c>
      <c r="F29" s="581">
        <f>MROUND(C29*0.96,0.05)</f>
        <v>1.1500000000000001</v>
      </c>
      <c r="G29" s="581">
        <f>MROUND(C29*1.6,0.05)</f>
        <v>1.9000000000000001</v>
      </c>
      <c r="H29" s="581">
        <f>MROUND(E29*0.5,0.05)</f>
        <v>0.25</v>
      </c>
      <c r="I29" s="581">
        <f>MROUND(E29*1.25,0.05)</f>
        <v>0.60000000000000009</v>
      </c>
      <c r="J29" s="557" t="s">
        <v>448</v>
      </c>
      <c r="K29" s="582" t="s">
        <v>488</v>
      </c>
      <c r="L29" s="154"/>
      <c r="M29" s="779"/>
      <c r="N29" s="779"/>
    </row>
    <row r="30" spans="2:14">
      <c r="B30" s="533" t="s">
        <v>274</v>
      </c>
      <c r="C30" s="583">
        <f>100%-C31-10%</f>
        <v>0.8</v>
      </c>
      <c r="D30" s="583">
        <f>100%-D31-10%</f>
        <v>0.76</v>
      </c>
      <c r="E30" s="583">
        <f>100%-E31-10%</f>
        <v>0.72</v>
      </c>
      <c r="F30" s="585"/>
      <c r="G30" s="585"/>
      <c r="H30" s="585"/>
      <c r="I30" s="585"/>
      <c r="J30" s="557"/>
      <c r="K30" s="854" t="s">
        <v>489</v>
      </c>
      <c r="L30" s="109"/>
      <c r="M30" s="113"/>
    </row>
    <row r="31" spans="2:14">
      <c r="B31" s="533" t="s">
        <v>275</v>
      </c>
      <c r="C31" s="583">
        <v>0.1</v>
      </c>
      <c r="D31" s="583">
        <v>0.14000000000000001</v>
      </c>
      <c r="E31" s="583">
        <v>0.18000000000000002</v>
      </c>
      <c r="F31" s="585"/>
      <c r="G31" s="585"/>
      <c r="H31" s="585"/>
      <c r="I31" s="585"/>
      <c r="J31" s="557" t="s">
        <v>379</v>
      </c>
      <c r="K31" s="854" t="s">
        <v>489</v>
      </c>
      <c r="M31" s="113"/>
    </row>
    <row r="32" spans="2:14">
      <c r="B32" s="533" t="s">
        <v>276</v>
      </c>
      <c r="C32" s="587">
        <f>ROUND('Ground-mounted PV'!C32*1.2,-2)</f>
        <v>9000</v>
      </c>
      <c r="D32" s="587">
        <f>ROUND('Ground-mounted PV'!D32*1.1,-2)</f>
        <v>7500</v>
      </c>
      <c r="E32" s="587">
        <f>ROUND('Ground-mounted PV'!E32,-2)</f>
        <v>6100</v>
      </c>
      <c r="F32" s="587">
        <f>ROUND(C32*0.5,-2)</f>
        <v>4500</v>
      </c>
      <c r="G32" s="587">
        <f>ROUND(C32*1.5,-2)</f>
        <v>13500</v>
      </c>
      <c r="H32" s="587">
        <f>ROUND(E32*0.5,-2)</f>
        <v>3100</v>
      </c>
      <c r="I32" s="587">
        <f>ROUND(E32*1.5,-2)</f>
        <v>9200</v>
      </c>
      <c r="J32" s="588" t="s">
        <v>380</v>
      </c>
      <c r="K32" s="561">
        <v>3</v>
      </c>
      <c r="M32" s="113"/>
    </row>
    <row r="33" spans="1:13">
      <c r="B33" s="533" t="s">
        <v>279</v>
      </c>
      <c r="C33" s="553">
        <v>0</v>
      </c>
      <c r="D33" s="553">
        <v>0</v>
      </c>
      <c r="E33" s="553">
        <v>0</v>
      </c>
      <c r="F33" s="553"/>
      <c r="G33" s="553"/>
      <c r="H33" s="553"/>
      <c r="I33" s="589"/>
      <c r="J33" s="557"/>
      <c r="K33" s="561"/>
      <c r="M33" s="113"/>
    </row>
    <row r="34" spans="1:13">
      <c r="B34" s="533" t="s">
        <v>282</v>
      </c>
      <c r="C34" s="553">
        <v>0</v>
      </c>
      <c r="D34" s="553">
        <v>0</v>
      </c>
      <c r="E34" s="553">
        <v>0</v>
      </c>
      <c r="F34" s="553"/>
      <c r="G34" s="553"/>
      <c r="H34" s="553"/>
      <c r="I34" s="589"/>
      <c r="J34" s="557"/>
      <c r="K34" s="561"/>
      <c r="L34" s="1146"/>
      <c r="M34" s="1146"/>
    </row>
    <row r="35" spans="1:13">
      <c r="B35" s="535" t="s">
        <v>283</v>
      </c>
      <c r="C35" s="590"/>
      <c r="D35" s="590"/>
      <c r="E35" s="590"/>
      <c r="F35" s="590"/>
      <c r="G35" s="590"/>
      <c r="H35" s="590"/>
      <c r="I35" s="590"/>
      <c r="J35" s="590"/>
      <c r="K35" s="591"/>
      <c r="M35" s="113"/>
    </row>
    <row r="36" spans="1:13" ht="14.25" customHeight="1">
      <c r="B36" s="592" t="s">
        <v>381</v>
      </c>
      <c r="C36" s="593">
        <v>1700</v>
      </c>
      <c r="D36" s="593">
        <v>1700</v>
      </c>
      <c r="E36" s="593">
        <v>1700</v>
      </c>
      <c r="F36" s="589">
        <v>1300</v>
      </c>
      <c r="G36" s="589">
        <v>2200</v>
      </c>
      <c r="H36" s="589">
        <v>1300</v>
      </c>
      <c r="I36" s="589">
        <v>2200</v>
      </c>
      <c r="J36" s="589" t="s">
        <v>476</v>
      </c>
      <c r="K36" s="586" t="s">
        <v>472</v>
      </c>
      <c r="L36" s="418"/>
      <c r="M36" s="113"/>
    </row>
    <row r="37" spans="1:13">
      <c r="B37" s="592" t="s">
        <v>382</v>
      </c>
      <c r="C37" s="594">
        <f>'Ground-mounted PV'!C37</f>
        <v>1.2</v>
      </c>
      <c r="D37" s="594">
        <v>1.2</v>
      </c>
      <c r="E37" s="594">
        <v>1.2</v>
      </c>
      <c r="F37" s="582"/>
      <c r="G37" s="582"/>
      <c r="H37" s="589"/>
      <c r="I37" s="589"/>
      <c r="J37" s="589" t="s">
        <v>309</v>
      </c>
      <c r="K37" s="586" t="s">
        <v>314</v>
      </c>
      <c r="M37" s="113"/>
    </row>
    <row r="38" spans="1:13">
      <c r="B38" s="592" t="s">
        <v>383</v>
      </c>
      <c r="C38" s="594">
        <f>'Ground-mounted PV'!C38</f>
        <v>1.01</v>
      </c>
      <c r="D38" s="594">
        <f>'Ground-mounted PV'!D38</f>
        <v>1.01</v>
      </c>
      <c r="E38" s="594">
        <f>'Ground-mounted PV'!E38</f>
        <v>1.01</v>
      </c>
      <c r="F38" s="582"/>
      <c r="G38" s="582"/>
      <c r="H38" s="589"/>
      <c r="I38" s="589"/>
      <c r="J38" s="589" t="s">
        <v>253</v>
      </c>
      <c r="K38" s="586">
        <v>7</v>
      </c>
      <c r="M38" s="113"/>
    </row>
    <row r="39" spans="1:13">
      <c r="B39" s="592" t="s">
        <v>452</v>
      </c>
      <c r="C39" s="594">
        <f>'Ground-mounted PV'!C39*1.05</f>
        <v>0.90300000000000002</v>
      </c>
      <c r="D39" s="594">
        <f>'Ground-mounted PV'!D39*1.05</f>
        <v>0.94500000000000006</v>
      </c>
      <c r="E39" s="594">
        <f>'Ground-mounted PV'!E39*1.05</f>
        <v>0.96600000000000008</v>
      </c>
      <c r="F39" s="582"/>
      <c r="G39" s="582"/>
      <c r="H39" s="589"/>
      <c r="I39" s="589"/>
      <c r="J39" s="589" t="s">
        <v>385</v>
      </c>
      <c r="K39" s="586" t="s">
        <v>357</v>
      </c>
      <c r="M39" s="113"/>
    </row>
    <row r="40" spans="1:13">
      <c r="B40" s="592" t="s">
        <v>386</v>
      </c>
      <c r="C40" s="596">
        <f>'Ground-mounted PV'!C40</f>
        <v>0.20499999999999999</v>
      </c>
      <c r="D40" s="596">
        <f>'Ground-mounted PV'!D40</f>
        <v>0.23</v>
      </c>
      <c r="E40" s="596">
        <f>'Ground-mounted PV'!E40</f>
        <v>0.26</v>
      </c>
      <c r="F40" s="596"/>
      <c r="G40" s="596"/>
      <c r="H40" s="589"/>
      <c r="I40" s="589"/>
      <c r="J40" s="589" t="s">
        <v>430</v>
      </c>
      <c r="K40" s="586" t="s">
        <v>478</v>
      </c>
      <c r="M40" s="113"/>
    </row>
    <row r="41" spans="1:13">
      <c r="A41" s="130"/>
      <c r="B41" s="599" t="s">
        <v>387</v>
      </c>
      <c r="C41" s="600">
        <f>'Ground-mounted PV'!C41</f>
        <v>12.5</v>
      </c>
      <c r="D41" s="600">
        <f>'Ground-mounted PV'!D41</f>
        <v>15</v>
      </c>
      <c r="E41" s="600">
        <f>'Ground-mounted PV'!E41</f>
        <v>15</v>
      </c>
      <c r="F41" s="602" t="s">
        <v>5</v>
      </c>
      <c r="G41" s="602"/>
      <c r="H41" s="603"/>
      <c r="I41" s="603"/>
      <c r="J41" s="557"/>
      <c r="K41" s="557" t="s">
        <v>314</v>
      </c>
    </row>
    <row r="42" spans="1:13">
      <c r="A42" s="130"/>
      <c r="B42" s="604" t="s">
        <v>388</v>
      </c>
      <c r="C42" s="605"/>
      <c r="D42" s="605"/>
      <c r="E42" s="605"/>
      <c r="F42" s="605"/>
      <c r="G42" s="605"/>
      <c r="H42" s="606"/>
      <c r="I42" s="606"/>
      <c r="J42" s="590"/>
      <c r="K42" s="591"/>
    </row>
    <row r="43" spans="1:13">
      <c r="A43" s="130"/>
      <c r="B43" s="607" t="s">
        <v>389</v>
      </c>
      <c r="C43" s="608">
        <f>MROUND(C44*C37,50)</f>
        <v>1850</v>
      </c>
      <c r="D43" s="608">
        <f t="shared" ref="D43:E43" si="2">MROUND(D44*D37,50)</f>
        <v>1900</v>
      </c>
      <c r="E43" s="608">
        <f t="shared" si="2"/>
        <v>2000</v>
      </c>
      <c r="F43" s="609"/>
      <c r="G43" s="609" t="s">
        <v>5</v>
      </c>
      <c r="H43" s="610"/>
      <c r="I43" s="610"/>
      <c r="J43" s="589" t="s">
        <v>454</v>
      </c>
      <c r="K43" s="586"/>
    </row>
    <row r="44" spans="1:13">
      <c r="A44" s="130"/>
      <c r="B44" s="592" t="s">
        <v>391</v>
      </c>
      <c r="C44" s="608">
        <f>MROUND(C36*C38*C39,50)</f>
        <v>1550</v>
      </c>
      <c r="D44" s="608">
        <f t="shared" ref="D44:E44" si="3">MROUND(D36*D38*D39,50)</f>
        <v>1600</v>
      </c>
      <c r="E44" s="608">
        <f t="shared" si="3"/>
        <v>1650</v>
      </c>
      <c r="F44" s="582"/>
      <c r="G44" s="582" t="s">
        <v>5</v>
      </c>
      <c r="H44" s="589"/>
      <c r="I44" s="589"/>
      <c r="J44" s="557" t="s">
        <v>455</v>
      </c>
      <c r="K44" s="557"/>
    </row>
    <row r="45" spans="1:13">
      <c r="A45" s="130"/>
      <c r="B45" s="604" t="s">
        <v>393</v>
      </c>
      <c r="C45" s="605"/>
      <c r="D45" s="605"/>
      <c r="E45" s="605"/>
      <c r="F45" s="605"/>
      <c r="G45" s="605"/>
      <c r="H45" s="606"/>
      <c r="I45" s="606"/>
      <c r="J45" s="590"/>
      <c r="K45" s="591"/>
    </row>
    <row r="46" spans="1:13">
      <c r="A46" s="130"/>
      <c r="B46" s="611" t="s">
        <v>394</v>
      </c>
      <c r="C46" s="612">
        <f>0.6*C49*C30</f>
        <v>0.48</v>
      </c>
      <c r="D46" s="612">
        <f t="shared" ref="D46:E46" si="4">0.6*D49*D30</f>
        <v>0.28089599999999998</v>
      </c>
      <c r="E46" s="612">
        <f t="shared" si="4"/>
        <v>0.17279999999999998</v>
      </c>
      <c r="F46" s="612">
        <f>0.6*F49*C30</f>
        <v>0.45600000000000007</v>
      </c>
      <c r="G46" s="612">
        <f>0.6*G49*C30</f>
        <v>0.76800000000000002</v>
      </c>
      <c r="H46" s="612">
        <f>0.6*H49*E30</f>
        <v>0.10367999999999999</v>
      </c>
      <c r="I46" s="612">
        <f>0.6*I49*E30</f>
        <v>0.216</v>
      </c>
      <c r="J46" s="589"/>
      <c r="K46" s="854" t="s">
        <v>489</v>
      </c>
    </row>
    <row r="47" spans="1:13">
      <c r="A47" s="130"/>
      <c r="B47" s="611" t="s">
        <v>395</v>
      </c>
      <c r="C47" s="594">
        <f>0.4*C49*C30</f>
        <v>0.32000000000000006</v>
      </c>
      <c r="D47" s="594">
        <f t="shared" ref="D47:E47" si="5">0.4*D49*D30</f>
        <v>0.18726400000000001</v>
      </c>
      <c r="E47" s="594">
        <f t="shared" si="5"/>
        <v>0.11520000000000002</v>
      </c>
      <c r="F47" s="594">
        <f>0.4*F49*C30</f>
        <v>0.30400000000000005</v>
      </c>
      <c r="G47" s="594">
        <f>0.4*G49*C30</f>
        <v>0.51200000000000012</v>
      </c>
      <c r="H47" s="594">
        <f>0.4*H49*E30</f>
        <v>6.9120000000000001E-2</v>
      </c>
      <c r="I47" s="594">
        <f>0.15*I49*E30</f>
        <v>5.3999999999999999E-2</v>
      </c>
      <c r="J47" s="589"/>
      <c r="K47" s="854" t="s">
        <v>489</v>
      </c>
    </row>
    <row r="48" spans="1:13">
      <c r="A48" s="130"/>
      <c r="B48" s="611" t="s">
        <v>490</v>
      </c>
      <c r="C48" s="594">
        <f>C49-C47-C46</f>
        <v>0.19999999999999996</v>
      </c>
      <c r="D48" s="594">
        <f t="shared" ref="D48:I48" si="6">D49-D47-D46</f>
        <v>0.14784000000000003</v>
      </c>
      <c r="E48" s="594">
        <f t="shared" si="6"/>
        <v>0.11200000000000002</v>
      </c>
      <c r="F48" s="594">
        <f t="shared" si="6"/>
        <v>0.18999999999999995</v>
      </c>
      <c r="G48" s="594">
        <f t="shared" si="6"/>
        <v>0.32000000000000006</v>
      </c>
      <c r="H48" s="594">
        <f t="shared" si="6"/>
        <v>6.7199999999999982E-2</v>
      </c>
      <c r="I48" s="594">
        <f t="shared" si="6"/>
        <v>0.23</v>
      </c>
      <c r="J48" s="589"/>
      <c r="K48" s="854" t="s">
        <v>489</v>
      </c>
    </row>
    <row r="49" spans="1:11">
      <c r="A49" s="130"/>
      <c r="B49" s="611" t="s">
        <v>397</v>
      </c>
      <c r="C49" s="594">
        <f>+'Ground-mounted PV'!C49*1.25</f>
        <v>1</v>
      </c>
      <c r="D49" s="594">
        <f>+'Ground-mounted PV'!D49*1.1</f>
        <v>0.61599999999999999</v>
      </c>
      <c r="E49" s="594">
        <f>+'Ground-mounted PV'!E49</f>
        <v>0.4</v>
      </c>
      <c r="F49" s="581">
        <f>MROUND(C49*0.96,0.05)</f>
        <v>0.95000000000000007</v>
      </c>
      <c r="G49" s="581">
        <f>MROUND(C49*1.6,0.01)</f>
        <v>1.6</v>
      </c>
      <c r="H49" s="581">
        <f>MROUND(E49*0.6,0.01)</f>
        <v>0.24</v>
      </c>
      <c r="I49" s="581">
        <f>MROUND(E49*1.25,0.01)</f>
        <v>0.5</v>
      </c>
      <c r="J49" s="589" t="s">
        <v>448</v>
      </c>
      <c r="K49" s="582" t="s">
        <v>488</v>
      </c>
    </row>
    <row r="50" spans="1:11">
      <c r="A50" s="130"/>
      <c r="B50" s="592" t="s">
        <v>398</v>
      </c>
      <c r="C50" s="594">
        <f>C49*C37</f>
        <v>1.2</v>
      </c>
      <c r="D50" s="594">
        <f t="shared" ref="D50" si="7">D49*D37</f>
        <v>0.73919999999999997</v>
      </c>
      <c r="E50" s="594">
        <f>E49*E37</f>
        <v>0.48</v>
      </c>
      <c r="F50" s="594">
        <f>F49*C37</f>
        <v>1.1400000000000001</v>
      </c>
      <c r="G50" s="594">
        <f>G49*C37</f>
        <v>1.92</v>
      </c>
      <c r="H50" s="594">
        <f>H49*E37</f>
        <v>0.28799999999999998</v>
      </c>
      <c r="I50" s="594">
        <f>I49*E37</f>
        <v>0.6</v>
      </c>
      <c r="J50" s="589" t="s">
        <v>399</v>
      </c>
      <c r="K50" s="582" t="s">
        <v>488</v>
      </c>
    </row>
    <row r="51" spans="1:11">
      <c r="A51" s="130"/>
      <c r="B51" s="94"/>
      <c r="C51" s="615"/>
      <c r="D51" s="615"/>
      <c r="E51" s="615"/>
      <c r="F51" s="94"/>
      <c r="G51" s="94"/>
      <c r="H51" s="94"/>
      <c r="I51" s="170"/>
      <c r="J51" s="170"/>
      <c r="K51" s="614"/>
    </row>
    <row r="52" spans="1:11" s="93" customFormat="1">
      <c r="A52" s="130" t="s">
        <v>286</v>
      </c>
      <c r="C52" s="394"/>
      <c r="D52" s="394"/>
      <c r="E52" s="394"/>
      <c r="F52" s="150"/>
      <c r="G52" s="150"/>
    </row>
    <row r="53" spans="1:11" ht="14.1" customHeight="1">
      <c r="A53" s="152">
        <v>1</v>
      </c>
      <c r="B53" s="1148" t="s">
        <v>287</v>
      </c>
      <c r="C53" s="1148"/>
      <c r="D53" s="1148"/>
      <c r="E53" s="1148"/>
      <c r="F53" s="1148"/>
      <c r="G53" s="1148"/>
      <c r="H53" s="1148"/>
      <c r="I53" s="1148"/>
      <c r="J53" s="1148"/>
      <c r="K53" s="1148"/>
    </row>
    <row r="54" spans="1:11" ht="15" customHeight="1">
      <c r="A54" s="152">
        <v>2</v>
      </c>
      <c r="B54" s="1148" t="s">
        <v>400</v>
      </c>
      <c r="C54" s="1148"/>
      <c r="D54" s="1148"/>
      <c r="E54" s="1148"/>
      <c r="F54" s="1148"/>
      <c r="G54" s="1148"/>
      <c r="H54" s="1148"/>
      <c r="I54" s="1148"/>
      <c r="J54" s="1148"/>
      <c r="K54" s="1148"/>
    </row>
    <row r="55" spans="1:11" ht="15" customHeight="1">
      <c r="A55" s="152">
        <v>3</v>
      </c>
      <c r="B55" s="1148" t="s">
        <v>402</v>
      </c>
      <c r="C55" s="1148"/>
      <c r="D55" s="1148"/>
      <c r="E55" s="1148"/>
      <c r="F55" s="1148"/>
      <c r="G55" s="1148"/>
      <c r="H55" s="1148"/>
      <c r="I55" s="1148"/>
      <c r="J55" s="1148"/>
      <c r="K55" s="1148"/>
    </row>
    <row r="56" spans="1:11" ht="27" customHeight="1">
      <c r="A56" s="152">
        <v>4</v>
      </c>
      <c r="B56" s="1148" t="s">
        <v>491</v>
      </c>
      <c r="C56" s="1148"/>
      <c r="D56" s="1148"/>
      <c r="E56" s="1148"/>
      <c r="F56" s="1148"/>
      <c r="G56" s="1148"/>
      <c r="H56" s="1148"/>
      <c r="I56" s="1148"/>
      <c r="J56" s="1148"/>
      <c r="K56" s="1148"/>
    </row>
    <row r="57" spans="1:11" ht="15" customHeight="1">
      <c r="A57" s="152">
        <v>5</v>
      </c>
      <c r="B57" s="1166" t="s">
        <v>492</v>
      </c>
      <c r="C57" s="1148"/>
      <c r="D57" s="1148"/>
      <c r="E57" s="1148"/>
      <c r="F57" s="1148"/>
      <c r="G57" s="1148"/>
      <c r="H57" s="1148"/>
      <c r="I57" s="1148"/>
      <c r="J57" s="1148"/>
      <c r="K57" s="1148"/>
    </row>
    <row r="58" spans="1:11" ht="15" customHeight="1">
      <c r="A58" s="152">
        <v>6</v>
      </c>
      <c r="B58" s="1148" t="s">
        <v>493</v>
      </c>
      <c r="C58" s="1148"/>
      <c r="D58" s="1148"/>
      <c r="E58" s="1148"/>
      <c r="F58" s="1148"/>
      <c r="G58" s="1148"/>
      <c r="H58" s="1148"/>
      <c r="I58" s="1148"/>
      <c r="J58" s="1148"/>
      <c r="K58" s="1148"/>
    </row>
    <row r="59" spans="1:11">
      <c r="A59" s="152">
        <v>7</v>
      </c>
      <c r="B59" s="1148" t="s">
        <v>401</v>
      </c>
      <c r="C59" s="1148"/>
      <c r="D59" s="1148"/>
      <c r="E59" s="1148"/>
      <c r="F59" s="1148"/>
      <c r="G59" s="1148"/>
      <c r="H59" s="1148"/>
      <c r="I59" s="1148"/>
      <c r="J59" s="1148"/>
      <c r="K59" s="1148"/>
    </row>
    <row r="60" spans="1:11">
      <c r="A60" s="152">
        <v>8</v>
      </c>
      <c r="B60" s="1148" t="s">
        <v>459</v>
      </c>
      <c r="C60" s="1148"/>
      <c r="D60" s="1148"/>
      <c r="E60" s="1148"/>
      <c r="F60" s="1148"/>
      <c r="G60" s="1148"/>
      <c r="H60" s="1148"/>
      <c r="I60" s="1148"/>
      <c r="J60" s="1148"/>
      <c r="K60" s="1148"/>
    </row>
    <row r="61" spans="1:11" ht="15" customHeight="1">
      <c r="A61" s="152">
        <v>9</v>
      </c>
      <c r="B61" s="1148" t="s">
        <v>494</v>
      </c>
      <c r="C61" s="1148"/>
      <c r="D61" s="1148"/>
      <c r="E61" s="1148"/>
      <c r="F61" s="1148"/>
      <c r="G61" s="1148"/>
      <c r="H61" s="1148"/>
      <c r="I61" s="1148"/>
      <c r="J61" s="1148"/>
      <c r="K61" s="1148"/>
    </row>
    <row r="62" spans="1:11" ht="15" customHeight="1">
      <c r="A62" s="152">
        <v>10</v>
      </c>
      <c r="B62" s="1148" t="s">
        <v>495</v>
      </c>
      <c r="C62" s="1148"/>
      <c r="D62" s="1148"/>
      <c r="E62" s="1148"/>
      <c r="F62" s="1148"/>
      <c r="G62" s="1148"/>
      <c r="H62" s="1148"/>
      <c r="I62" s="1148"/>
      <c r="J62" s="1148"/>
      <c r="K62" s="1148"/>
    </row>
    <row r="63" spans="1:11" ht="15" customHeight="1">
      <c r="A63" s="152">
        <v>11</v>
      </c>
      <c r="B63" s="1148" t="s">
        <v>496</v>
      </c>
      <c r="C63" s="1148"/>
      <c r="D63" s="1148"/>
      <c r="E63" s="1148"/>
      <c r="F63" s="1148"/>
      <c r="G63" s="1148"/>
      <c r="H63" s="1148"/>
      <c r="I63" s="1148"/>
      <c r="J63" s="1148"/>
      <c r="K63" s="1148"/>
    </row>
    <row r="64" spans="1:11" ht="15" customHeight="1">
      <c r="A64" s="152">
        <v>12</v>
      </c>
      <c r="B64" s="1148" t="s">
        <v>497</v>
      </c>
      <c r="C64" s="1148"/>
      <c r="D64" s="1148"/>
      <c r="E64" s="1148"/>
      <c r="F64" s="1148"/>
      <c r="G64" s="1148"/>
      <c r="H64" s="1148"/>
      <c r="I64" s="1148"/>
      <c r="J64" s="1148"/>
      <c r="K64" s="1148"/>
    </row>
    <row r="65" spans="1:11" ht="15" customHeight="1">
      <c r="A65" s="152">
        <v>13</v>
      </c>
      <c r="B65" s="1148" t="s">
        <v>498</v>
      </c>
      <c r="C65" s="1148"/>
      <c r="D65" s="1148"/>
      <c r="E65" s="1148"/>
      <c r="F65" s="1148"/>
      <c r="G65" s="1148"/>
      <c r="H65" s="1148"/>
      <c r="I65" s="1148"/>
      <c r="J65" s="1148"/>
      <c r="K65" s="1148"/>
    </row>
    <row r="66" spans="1:11" ht="15" customHeight="1">
      <c r="A66" s="152">
        <v>14</v>
      </c>
      <c r="B66" s="1150" t="s">
        <v>407</v>
      </c>
      <c r="C66" s="1150"/>
      <c r="D66" s="1150"/>
      <c r="E66" s="1150"/>
      <c r="F66" s="1150"/>
      <c r="G66" s="1150"/>
      <c r="H66" s="1150"/>
      <c r="I66" s="1150"/>
      <c r="J66" s="1150"/>
      <c r="K66" s="1150"/>
    </row>
    <row r="67" spans="1:11">
      <c r="A67" s="130" t="s">
        <v>298</v>
      </c>
    </row>
    <row r="68" spans="1:11" ht="14.1" customHeight="1">
      <c r="A68" s="152" t="s">
        <v>246</v>
      </c>
      <c r="B68" s="1148" t="s">
        <v>408</v>
      </c>
      <c r="C68" s="1148"/>
      <c r="D68" s="1148"/>
      <c r="E68" s="1148"/>
      <c r="F68" s="1148"/>
      <c r="G68" s="1148"/>
      <c r="H68" s="1148"/>
      <c r="I68" s="1148"/>
      <c r="J68" s="1148"/>
      <c r="K68" s="1148"/>
    </row>
    <row r="69" spans="1:11" ht="13.5" customHeight="1">
      <c r="A69" s="152" t="s">
        <v>300</v>
      </c>
      <c r="B69" s="1148" t="s">
        <v>409</v>
      </c>
      <c r="C69" s="1148"/>
      <c r="D69" s="1148"/>
      <c r="E69" s="1148"/>
      <c r="F69" s="1148"/>
      <c r="G69" s="1148"/>
      <c r="H69" s="1148"/>
      <c r="I69" s="1148"/>
      <c r="J69" s="1148"/>
      <c r="K69" s="1148"/>
    </row>
    <row r="70" spans="1:11" ht="15" customHeight="1">
      <c r="A70" s="152" t="s">
        <v>265</v>
      </c>
      <c r="B70" s="1148" t="s">
        <v>410</v>
      </c>
      <c r="C70" s="1148"/>
      <c r="D70" s="1148"/>
      <c r="E70" s="1148"/>
      <c r="F70" s="1148"/>
      <c r="G70" s="1148"/>
      <c r="H70" s="1148"/>
      <c r="I70" s="1148"/>
      <c r="J70" s="1148"/>
      <c r="K70" s="1148"/>
    </row>
    <row r="71" spans="1:11" ht="15.75" customHeight="1">
      <c r="A71" s="152" t="s">
        <v>305</v>
      </c>
      <c r="B71" s="1148" t="s">
        <v>324</v>
      </c>
      <c r="C71" s="1148"/>
      <c r="D71" s="1148"/>
      <c r="E71" s="1148"/>
      <c r="F71" s="1148"/>
      <c r="G71" s="1148"/>
      <c r="H71" s="1148"/>
      <c r="I71" s="1148"/>
      <c r="J71" s="1148"/>
      <c r="K71" s="1148"/>
    </row>
    <row r="72" spans="1:11" ht="26.25" customHeight="1">
      <c r="A72" s="152" t="s">
        <v>307</v>
      </c>
      <c r="B72" s="1148" t="s">
        <v>461</v>
      </c>
      <c r="C72" s="1148"/>
      <c r="D72" s="1148"/>
      <c r="E72" s="1148"/>
      <c r="F72" s="1148"/>
      <c r="G72" s="1148"/>
      <c r="H72" s="1148"/>
      <c r="I72" s="1148"/>
      <c r="J72" s="1148"/>
      <c r="K72" s="1148"/>
    </row>
    <row r="73" spans="1:11" ht="25.5" customHeight="1">
      <c r="A73" s="152" t="s">
        <v>309</v>
      </c>
      <c r="B73" s="1148" t="s">
        <v>462</v>
      </c>
      <c r="C73" s="1148"/>
      <c r="D73" s="1148"/>
      <c r="E73" s="1148"/>
      <c r="F73" s="1148"/>
      <c r="G73" s="1148"/>
      <c r="H73" s="1148"/>
      <c r="I73" s="1148"/>
      <c r="J73" s="1148"/>
      <c r="K73" s="1148"/>
    </row>
    <row r="74" spans="1:11" ht="39" customHeight="1">
      <c r="A74" s="152" t="s">
        <v>253</v>
      </c>
      <c r="B74" s="1148" t="s">
        <v>413</v>
      </c>
      <c r="C74" s="1148"/>
      <c r="D74" s="1148"/>
      <c r="E74" s="1148"/>
      <c r="F74" s="1148"/>
      <c r="G74" s="1148"/>
      <c r="H74" s="1148"/>
      <c r="I74" s="1148"/>
      <c r="J74" s="1148"/>
      <c r="K74" s="1148"/>
    </row>
    <row r="75" spans="1:11" ht="69.75" customHeight="1">
      <c r="A75" s="152" t="s">
        <v>385</v>
      </c>
      <c r="B75" s="1148" t="s">
        <v>965</v>
      </c>
      <c r="C75" s="1148"/>
      <c r="D75" s="1148"/>
      <c r="E75" s="1148"/>
      <c r="F75" s="1148"/>
      <c r="G75" s="1148"/>
      <c r="H75" s="1148"/>
      <c r="I75" s="1148"/>
      <c r="J75" s="1148"/>
      <c r="K75" s="1148"/>
    </row>
    <row r="76" spans="1:11">
      <c r="A76" s="152" t="s">
        <v>415</v>
      </c>
      <c r="B76" s="1149" t="s">
        <v>416</v>
      </c>
      <c r="C76" s="1149"/>
      <c r="D76" s="1149"/>
      <c r="E76" s="1149"/>
      <c r="F76" s="1149"/>
      <c r="G76" s="1149"/>
      <c r="H76" s="1149"/>
      <c r="I76" s="1149"/>
      <c r="J76" s="1149"/>
      <c r="K76" s="1149"/>
    </row>
    <row r="77" spans="1:11" ht="24.75" customHeight="1">
      <c r="A77" s="152" t="s">
        <v>417</v>
      </c>
      <c r="B77" s="1148" t="s">
        <v>418</v>
      </c>
      <c r="C77" s="1148"/>
      <c r="D77" s="1148"/>
      <c r="E77" s="1148"/>
      <c r="F77" s="1148"/>
      <c r="G77" s="1148"/>
      <c r="H77" s="1148"/>
      <c r="I77" s="1148"/>
      <c r="J77" s="1148"/>
      <c r="K77" s="1148"/>
    </row>
    <row r="78" spans="1:11" ht="16.5" customHeight="1">
      <c r="A78" s="152" t="s">
        <v>419</v>
      </c>
      <c r="B78" s="1148" t="s">
        <v>420</v>
      </c>
      <c r="C78" s="1148"/>
      <c r="D78" s="1148"/>
      <c r="E78" s="1148"/>
      <c r="F78" s="1148"/>
      <c r="G78" s="1148"/>
      <c r="H78" s="1148"/>
      <c r="I78" s="1148"/>
      <c r="J78" s="1148"/>
      <c r="K78" s="1148"/>
    </row>
    <row r="79" spans="1:11" ht="25.5" customHeight="1">
      <c r="A79" s="152" t="s">
        <v>421</v>
      </c>
      <c r="B79" s="1148" t="s">
        <v>422</v>
      </c>
      <c r="C79" s="1148"/>
      <c r="D79" s="1148"/>
      <c r="E79" s="1148"/>
      <c r="F79" s="1148"/>
      <c r="G79" s="1148"/>
      <c r="H79" s="1148"/>
      <c r="I79" s="1148"/>
      <c r="J79" s="1148"/>
      <c r="K79" s="1148"/>
    </row>
    <row r="80" spans="1:11" ht="15" customHeight="1">
      <c r="A80" s="152" t="s">
        <v>423</v>
      </c>
      <c r="B80" s="1148" t="s">
        <v>424</v>
      </c>
      <c r="C80" s="1148"/>
      <c r="D80" s="1148"/>
      <c r="E80" s="1148"/>
      <c r="F80" s="1148"/>
      <c r="G80" s="1148"/>
      <c r="H80" s="1148"/>
      <c r="I80" s="1148"/>
      <c r="J80" s="1148"/>
      <c r="K80" s="1148"/>
    </row>
    <row r="81" spans="1:12" ht="37.5" customHeight="1">
      <c r="A81" s="152" t="s">
        <v>380</v>
      </c>
      <c r="B81" s="1148" t="s">
        <v>464</v>
      </c>
      <c r="C81" s="1148"/>
      <c r="D81" s="1148"/>
      <c r="E81" s="1148"/>
      <c r="F81" s="1148"/>
      <c r="G81" s="1148"/>
      <c r="H81" s="1148"/>
      <c r="I81" s="1148"/>
      <c r="J81" s="1148"/>
      <c r="K81" s="1148"/>
    </row>
    <row r="82" spans="1:12" ht="24.75" customHeight="1">
      <c r="A82" s="152" t="s">
        <v>426</v>
      </c>
      <c r="B82" s="1148" t="s">
        <v>499</v>
      </c>
      <c r="C82" s="1148"/>
      <c r="D82" s="1148"/>
      <c r="E82" s="1148"/>
      <c r="F82" s="1148"/>
      <c r="G82" s="1148"/>
      <c r="H82" s="1148"/>
      <c r="I82" s="1148"/>
      <c r="J82" s="1148"/>
      <c r="K82" s="1148"/>
    </row>
    <row r="83" spans="1:12">
      <c r="A83" s="152" t="s">
        <v>428</v>
      </c>
      <c r="B83" s="1148" t="s">
        <v>466</v>
      </c>
      <c r="C83" s="1148"/>
      <c r="D83" s="1148"/>
      <c r="E83" s="1148"/>
      <c r="F83" s="1148"/>
      <c r="G83" s="1148"/>
      <c r="H83" s="1148"/>
      <c r="I83" s="1148"/>
      <c r="J83" s="1148"/>
      <c r="K83" s="1148"/>
    </row>
    <row r="84" spans="1:12" ht="17.25" customHeight="1">
      <c r="A84" s="152" t="s">
        <v>430</v>
      </c>
      <c r="B84" s="1148" t="s">
        <v>431</v>
      </c>
      <c r="C84" s="1148" t="s">
        <v>432</v>
      </c>
      <c r="D84" s="1148"/>
      <c r="E84" s="1148"/>
      <c r="F84" s="1148"/>
      <c r="G84" s="1148"/>
      <c r="H84" s="1148"/>
      <c r="I84" s="1148"/>
      <c r="J84" s="1148"/>
      <c r="K84" s="1148"/>
      <c r="L84" s="153"/>
    </row>
    <row r="85" spans="1:12" ht="27" customHeight="1">
      <c r="A85" s="152" t="s">
        <v>433</v>
      </c>
      <c r="B85" s="1148" t="s">
        <v>500</v>
      </c>
      <c r="C85" s="1148"/>
      <c r="D85" s="1148"/>
      <c r="E85" s="1148"/>
      <c r="F85" s="1148"/>
      <c r="G85" s="1148"/>
      <c r="H85" s="1148"/>
      <c r="I85" s="1148"/>
      <c r="J85" s="1148"/>
      <c r="K85" s="1148"/>
    </row>
    <row r="86" spans="1:12" ht="27.75" customHeight="1">
      <c r="A86" s="152" t="s">
        <v>435</v>
      </c>
      <c r="B86" s="1148" t="s">
        <v>501</v>
      </c>
      <c r="C86" s="1148"/>
      <c r="D86" s="1148"/>
      <c r="E86" s="1148"/>
      <c r="F86" s="1148"/>
      <c r="G86" s="1148"/>
      <c r="H86" s="1148"/>
      <c r="I86" s="1148"/>
      <c r="J86" s="1148"/>
      <c r="K86" s="1148"/>
    </row>
    <row r="87" spans="1:12" ht="24.75" customHeight="1">
      <c r="A87" s="152" t="s">
        <v>379</v>
      </c>
      <c r="B87" s="1148" t="s">
        <v>502</v>
      </c>
      <c r="C87" s="1148"/>
      <c r="D87" s="1148"/>
      <c r="E87" s="1148"/>
      <c r="F87" s="1148"/>
      <c r="G87" s="1148"/>
      <c r="H87" s="1148"/>
      <c r="I87" s="1148"/>
      <c r="J87" s="1148"/>
      <c r="K87" s="1148"/>
    </row>
    <row r="88" spans="1:12">
      <c r="A88" s="152" t="s">
        <v>438</v>
      </c>
      <c r="B88" s="1148" t="s">
        <v>966</v>
      </c>
      <c r="C88" s="1148"/>
      <c r="D88" s="1148"/>
      <c r="E88" s="1148"/>
      <c r="F88" s="1148"/>
      <c r="G88" s="1148"/>
      <c r="H88" s="1148"/>
      <c r="I88" s="1148"/>
      <c r="J88" s="1148"/>
      <c r="K88" s="1148"/>
    </row>
  </sheetData>
  <mergeCells count="42">
    <mergeCell ref="B88:K88"/>
    <mergeCell ref="B66:K66"/>
    <mergeCell ref="B81:K81"/>
    <mergeCell ref="B82:K82"/>
    <mergeCell ref="B73:K73"/>
    <mergeCell ref="B74:K74"/>
    <mergeCell ref="B76:K76"/>
    <mergeCell ref="B80:K80"/>
    <mergeCell ref="B75:K75"/>
    <mergeCell ref="B77:K77"/>
    <mergeCell ref="B78:K78"/>
    <mergeCell ref="B79:K79"/>
    <mergeCell ref="B70:K70"/>
    <mergeCell ref="B71:K71"/>
    <mergeCell ref="B72:K72"/>
    <mergeCell ref="B68:K68"/>
    <mergeCell ref="L27:M27"/>
    <mergeCell ref="L34:M34"/>
    <mergeCell ref="B69:K69"/>
    <mergeCell ref="B53:K53"/>
    <mergeCell ref="B54:K54"/>
    <mergeCell ref="B55:K55"/>
    <mergeCell ref="B56:K56"/>
    <mergeCell ref="B57:K57"/>
    <mergeCell ref="B58:K58"/>
    <mergeCell ref="B59:K59"/>
    <mergeCell ref="B60:K60"/>
    <mergeCell ref="B61:K61"/>
    <mergeCell ref="B62:K62"/>
    <mergeCell ref="B63:K63"/>
    <mergeCell ref="B64:K64"/>
    <mergeCell ref="B65:K65"/>
    <mergeCell ref="C3:K3"/>
    <mergeCell ref="F4:G4"/>
    <mergeCell ref="H4:I4"/>
    <mergeCell ref="L5:M5"/>
    <mergeCell ref="L22:M22"/>
    <mergeCell ref="B83:K83"/>
    <mergeCell ref="B84:K84"/>
    <mergeCell ref="B85:K85"/>
    <mergeCell ref="B86:K86"/>
    <mergeCell ref="B87:K87"/>
  </mergeCells>
  <hyperlinks>
    <hyperlink ref="B61" r:id="rId1" display="Iselectric brochure. " xr:uid="{BEEA8587-D0F6-4E60-8B50-FA73B740436D}"/>
  </hyperlinks>
  <pageMargins left="0.70866141732283472" right="0.70866141732283472" top="0.74803149606299213" bottom="0.74803149606299213" header="0.31496062992125984" footer="0.31496062992125984"/>
  <pageSetup paperSize="9" scale="65"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B89D7-3E3A-4705-B4CC-FB57D548C14F}">
  <sheetPr codeName="Sheet17">
    <tabColor rgb="FF00B0F0"/>
  </sheetPr>
  <dimension ref="A1:N58"/>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6.5703125" style="93" customWidth="1"/>
    <col min="12" max="16384" width="9.140625" style="94"/>
  </cols>
  <sheetData>
    <row r="1" spans="2:11" ht="20.25">
      <c r="B1" s="92" t="s">
        <v>234</v>
      </c>
    </row>
    <row r="3" spans="2:11">
      <c r="B3" s="95" t="s">
        <v>145</v>
      </c>
      <c r="C3" s="1167" t="s">
        <v>503</v>
      </c>
      <c r="D3" s="1167"/>
      <c r="E3" s="1167"/>
      <c r="F3" s="1167"/>
      <c r="G3" s="1167"/>
      <c r="H3" s="1167"/>
      <c r="I3" s="1167"/>
      <c r="J3" s="1167"/>
      <c r="K3" s="1168"/>
    </row>
    <row r="4" spans="2:11" ht="13.9" customHeight="1">
      <c r="B4" s="98"/>
      <c r="C4" s="99">
        <v>2023</v>
      </c>
      <c r="D4" s="99">
        <v>2030</v>
      </c>
      <c r="E4" s="99">
        <v>2050</v>
      </c>
      <c r="F4" s="1145" t="s">
        <v>236</v>
      </c>
      <c r="G4" s="1142"/>
      <c r="H4" s="1145" t="s">
        <v>237</v>
      </c>
      <c r="I4" s="1142"/>
      <c r="J4" s="99" t="s">
        <v>238</v>
      </c>
      <c r="K4" s="99" t="s">
        <v>239</v>
      </c>
    </row>
    <row r="5" spans="2:11">
      <c r="B5" s="102" t="s">
        <v>240</v>
      </c>
      <c r="C5" s="103"/>
      <c r="D5" s="103"/>
      <c r="E5" s="103"/>
      <c r="F5" s="96" t="s">
        <v>241</v>
      </c>
      <c r="G5" s="96" t="s">
        <v>242</v>
      </c>
      <c r="H5" s="96" t="s">
        <v>241</v>
      </c>
      <c r="I5" s="96" t="s">
        <v>242</v>
      </c>
      <c r="J5" s="103"/>
      <c r="K5" s="104"/>
    </row>
    <row r="6" spans="2:11">
      <c r="B6" s="105" t="s">
        <v>243</v>
      </c>
      <c r="C6" s="118">
        <v>3.5</v>
      </c>
      <c r="D6" s="118">
        <v>4.5</v>
      </c>
      <c r="E6" s="118">
        <v>6</v>
      </c>
      <c r="F6" s="118"/>
      <c r="G6" s="118"/>
      <c r="H6" s="118"/>
      <c r="I6" s="118"/>
      <c r="J6" s="107"/>
      <c r="K6" s="108">
        <v>3</v>
      </c>
    </row>
    <row r="7" spans="2:11" ht="24">
      <c r="B7" s="105" t="s">
        <v>244</v>
      </c>
      <c r="C7" s="106">
        <v>70</v>
      </c>
      <c r="D7" s="106">
        <v>90</v>
      </c>
      <c r="E7" s="106">
        <v>120</v>
      </c>
      <c r="F7" s="106"/>
      <c r="G7" s="106"/>
      <c r="H7" s="106"/>
      <c r="I7" s="106"/>
      <c r="J7" s="107"/>
      <c r="K7" s="108">
        <v>1</v>
      </c>
    </row>
    <row r="8" spans="2:11">
      <c r="B8" s="105" t="s">
        <v>504</v>
      </c>
      <c r="C8" s="106">
        <v>139.19548978470763</v>
      </c>
      <c r="D8" s="106">
        <v>178.41241161527711</v>
      </c>
      <c r="E8" s="106">
        <v>225.67583341910253</v>
      </c>
      <c r="F8" s="106"/>
      <c r="G8" s="106"/>
      <c r="H8" s="106"/>
      <c r="I8" s="106"/>
      <c r="J8" s="107"/>
      <c r="K8" s="108"/>
    </row>
    <row r="9" spans="2:11">
      <c r="B9" s="105" t="s">
        <v>505</v>
      </c>
      <c r="C9" s="106">
        <v>110</v>
      </c>
      <c r="D9" s="106">
        <v>150</v>
      </c>
      <c r="E9" s="106">
        <v>180</v>
      </c>
      <c r="F9" s="106"/>
      <c r="G9" s="106"/>
      <c r="H9" s="106"/>
      <c r="I9" s="106"/>
      <c r="J9" s="107"/>
      <c r="K9" s="108"/>
    </row>
    <row r="10" spans="2:11">
      <c r="B10" s="105" t="s">
        <v>506</v>
      </c>
      <c r="C10" s="106">
        <v>230</v>
      </c>
      <c r="D10" s="106">
        <v>180</v>
      </c>
      <c r="E10" s="106">
        <v>150</v>
      </c>
      <c r="F10" s="106"/>
      <c r="G10" s="106"/>
      <c r="H10" s="106"/>
      <c r="I10" s="106"/>
      <c r="J10" s="107"/>
      <c r="K10" s="108"/>
    </row>
    <row r="11" spans="2:11">
      <c r="B11" s="105" t="s">
        <v>248</v>
      </c>
      <c r="C11" s="395">
        <v>2.5000000000000001E-2</v>
      </c>
      <c r="D11" s="395">
        <v>0.02</v>
      </c>
      <c r="E11" s="395">
        <v>0.02</v>
      </c>
      <c r="F11" s="106"/>
      <c r="G11" s="106"/>
      <c r="H11" s="106"/>
      <c r="I11" s="106"/>
      <c r="J11" s="107"/>
      <c r="K11" s="108">
        <v>3</v>
      </c>
    </row>
    <row r="12" spans="2:11">
      <c r="B12" s="117" t="s">
        <v>249</v>
      </c>
      <c r="C12" s="139">
        <v>0.16</v>
      </c>
      <c r="D12" s="139">
        <v>0.16</v>
      </c>
      <c r="E12" s="139">
        <v>0.16</v>
      </c>
      <c r="F12" s="139">
        <v>0.05</v>
      </c>
      <c r="G12" s="139">
        <v>0.26</v>
      </c>
      <c r="H12" s="139">
        <v>0.05</v>
      </c>
      <c r="I12" s="139">
        <v>0.26</v>
      </c>
      <c r="J12" s="107"/>
      <c r="K12" s="108">
        <v>3</v>
      </c>
    </row>
    <row r="13" spans="2:11">
      <c r="B13" s="117" t="s">
        <v>250</v>
      </c>
      <c r="C13" s="106">
        <v>27</v>
      </c>
      <c r="D13" s="106">
        <v>30</v>
      </c>
      <c r="E13" s="106">
        <v>30</v>
      </c>
      <c r="F13" s="106">
        <v>25</v>
      </c>
      <c r="G13" s="106">
        <v>35</v>
      </c>
      <c r="H13" s="106">
        <v>25</v>
      </c>
      <c r="I13" s="106">
        <v>40</v>
      </c>
      <c r="J13" s="107"/>
      <c r="K13" s="108">
        <v>3</v>
      </c>
    </row>
    <row r="14" spans="2:11">
      <c r="B14" s="117" t="s">
        <v>252</v>
      </c>
      <c r="C14" s="118">
        <v>1.5</v>
      </c>
      <c r="D14" s="118">
        <v>1.5</v>
      </c>
      <c r="E14" s="118">
        <v>1.5</v>
      </c>
      <c r="F14" s="107"/>
      <c r="G14" s="107"/>
      <c r="H14" s="107"/>
      <c r="I14" s="106"/>
      <c r="J14" s="107"/>
      <c r="K14" s="108">
        <v>1</v>
      </c>
    </row>
    <row r="15" spans="2:11">
      <c r="B15" s="119" t="s">
        <v>254</v>
      </c>
      <c r="C15" s="118">
        <v>14</v>
      </c>
      <c r="D15" s="118">
        <v>14</v>
      </c>
      <c r="E15" s="118">
        <v>14</v>
      </c>
      <c r="F15" s="112"/>
      <c r="G15" s="112"/>
      <c r="H15" s="112"/>
      <c r="I15" s="112"/>
      <c r="J15" s="120"/>
      <c r="K15" s="107">
        <v>1</v>
      </c>
    </row>
    <row r="16" spans="2:11">
      <c r="B16" s="121" t="s">
        <v>255</v>
      </c>
      <c r="C16" s="122"/>
      <c r="D16" s="122"/>
      <c r="E16" s="122"/>
      <c r="F16" s="122"/>
      <c r="G16" s="122"/>
      <c r="H16" s="122"/>
      <c r="I16" s="123"/>
      <c r="J16" s="123"/>
      <c r="K16" s="124"/>
    </row>
    <row r="17" spans="2:14">
      <c r="B17" s="119" t="s">
        <v>256</v>
      </c>
      <c r="C17" s="106">
        <v>28</v>
      </c>
      <c r="D17" s="106">
        <v>32</v>
      </c>
      <c r="E17" s="106">
        <v>36</v>
      </c>
      <c r="F17" s="106">
        <v>15</v>
      </c>
      <c r="G17" s="106">
        <v>35</v>
      </c>
      <c r="H17" s="106">
        <v>15</v>
      </c>
      <c r="I17" s="106">
        <v>40</v>
      </c>
      <c r="J17" s="107" t="s">
        <v>507</v>
      </c>
      <c r="K17" s="112" t="s">
        <v>508</v>
      </c>
    </row>
    <row r="18" spans="2:14">
      <c r="B18" s="119" t="s">
        <v>257</v>
      </c>
      <c r="C18" s="106">
        <v>27.216000000000001</v>
      </c>
      <c r="D18" s="106">
        <v>31.263507692307691</v>
      </c>
      <c r="E18" s="106">
        <v>35.171446153846155</v>
      </c>
      <c r="F18" s="106"/>
      <c r="G18" s="106"/>
      <c r="H18" s="106"/>
      <c r="I18" s="112"/>
      <c r="J18" s="120"/>
      <c r="K18" s="112">
        <v>3</v>
      </c>
      <c r="L18" s="219"/>
      <c r="M18" s="219"/>
      <c r="N18" s="219"/>
    </row>
    <row r="19" spans="2:14">
      <c r="B19" s="125" t="s">
        <v>258</v>
      </c>
      <c r="C19" s="126"/>
      <c r="D19" s="126"/>
      <c r="E19" s="126"/>
      <c r="F19" s="126"/>
      <c r="G19" s="126"/>
      <c r="H19" s="126"/>
      <c r="I19" s="127"/>
      <c r="J19" s="127"/>
      <c r="K19" s="128"/>
    </row>
    <row r="20" spans="2:14">
      <c r="B20" s="117" t="s">
        <v>259</v>
      </c>
      <c r="C20" s="106" t="s">
        <v>146</v>
      </c>
      <c r="D20" s="106" t="s">
        <v>146</v>
      </c>
      <c r="E20" s="106" t="s">
        <v>146</v>
      </c>
      <c r="F20" s="106"/>
      <c r="G20" s="106"/>
      <c r="H20" s="106"/>
      <c r="I20" s="112"/>
      <c r="J20" s="120" t="s">
        <v>305</v>
      </c>
      <c r="K20" s="108"/>
    </row>
    <row r="21" spans="2:14">
      <c r="B21" s="117" t="s">
        <v>260</v>
      </c>
      <c r="C21" s="106" t="s">
        <v>146</v>
      </c>
      <c r="D21" s="106" t="s">
        <v>146</v>
      </c>
      <c r="E21" s="106" t="s">
        <v>146</v>
      </c>
      <c r="F21" s="106"/>
      <c r="G21" s="106"/>
      <c r="H21" s="106"/>
      <c r="I21" s="112"/>
      <c r="J21" s="120" t="s">
        <v>305</v>
      </c>
      <c r="K21" s="108"/>
    </row>
    <row r="22" spans="2:14">
      <c r="B22" s="117" t="s">
        <v>261</v>
      </c>
      <c r="C22" s="106" t="s">
        <v>146</v>
      </c>
      <c r="D22" s="106" t="s">
        <v>146</v>
      </c>
      <c r="E22" s="106" t="s">
        <v>146</v>
      </c>
      <c r="F22" s="106"/>
      <c r="G22" s="106"/>
      <c r="H22" s="106"/>
      <c r="I22" s="112"/>
      <c r="J22" s="120"/>
      <c r="K22" s="108"/>
    </row>
    <row r="23" spans="2:14">
      <c r="B23" s="117" t="s">
        <v>262</v>
      </c>
      <c r="C23" s="106" t="s">
        <v>146</v>
      </c>
      <c r="D23" s="106" t="s">
        <v>146</v>
      </c>
      <c r="E23" s="106" t="s">
        <v>146</v>
      </c>
      <c r="F23" s="106"/>
      <c r="G23" s="106"/>
      <c r="H23" s="106"/>
      <c r="I23" s="112"/>
      <c r="J23" s="120"/>
      <c r="K23" s="108"/>
    </row>
    <row r="24" spans="2:14">
      <c r="B24" s="125" t="s">
        <v>263</v>
      </c>
      <c r="C24" s="131"/>
      <c r="D24" s="132"/>
      <c r="E24" s="132"/>
      <c r="F24" s="132"/>
      <c r="G24" s="132"/>
      <c r="H24" s="132"/>
      <c r="I24" s="132"/>
      <c r="J24" s="132"/>
      <c r="K24" s="133"/>
    </row>
    <row r="25" spans="2:14">
      <c r="B25" s="117" t="s">
        <v>264</v>
      </c>
      <c r="C25" s="134">
        <v>0</v>
      </c>
      <c r="D25" s="134">
        <v>0</v>
      </c>
      <c r="E25" s="134">
        <v>0</v>
      </c>
      <c r="F25" s="134"/>
      <c r="G25" s="134"/>
      <c r="H25" s="134"/>
      <c r="I25" s="134"/>
      <c r="J25" s="135"/>
      <c r="K25" s="108"/>
    </row>
    <row r="26" spans="2:14">
      <c r="B26" s="117" t="s">
        <v>266</v>
      </c>
      <c r="C26" s="134">
        <v>0</v>
      </c>
      <c r="D26" s="134">
        <v>0</v>
      </c>
      <c r="E26" s="134">
        <v>0</v>
      </c>
      <c r="F26" s="134"/>
      <c r="G26" s="134"/>
      <c r="H26" s="134"/>
      <c r="I26" s="134"/>
      <c r="J26" s="135"/>
      <c r="K26" s="108"/>
    </row>
    <row r="27" spans="2:14">
      <c r="B27" s="117" t="s">
        <v>267</v>
      </c>
      <c r="C27" s="134">
        <v>0</v>
      </c>
      <c r="D27" s="134">
        <v>0</v>
      </c>
      <c r="E27" s="134">
        <v>0</v>
      </c>
      <c r="F27" s="134"/>
      <c r="G27" s="134"/>
      <c r="H27" s="134"/>
      <c r="I27" s="134"/>
      <c r="J27" s="136"/>
      <c r="K27" s="108"/>
    </row>
    <row r="28" spans="2:14">
      <c r="B28" s="117" t="s">
        <v>268</v>
      </c>
      <c r="C28" s="134">
        <v>0</v>
      </c>
      <c r="D28" s="134">
        <v>0</v>
      </c>
      <c r="E28" s="134">
        <v>0</v>
      </c>
      <c r="F28" s="134"/>
      <c r="G28" s="134"/>
      <c r="H28" s="134"/>
      <c r="I28" s="134"/>
      <c r="J28" s="120"/>
      <c r="K28" s="120"/>
    </row>
    <row r="29" spans="2:14">
      <c r="B29" s="117" t="s">
        <v>269</v>
      </c>
      <c r="C29" s="134">
        <v>0</v>
      </c>
      <c r="D29" s="134">
        <v>0</v>
      </c>
      <c r="E29" s="134">
        <v>0</v>
      </c>
      <c r="F29" s="134"/>
      <c r="G29" s="134"/>
      <c r="H29" s="134"/>
      <c r="I29" s="134"/>
      <c r="J29" s="120"/>
      <c r="K29" s="120"/>
    </row>
    <row r="30" spans="2:14">
      <c r="B30" s="125" t="s">
        <v>270</v>
      </c>
      <c r="C30" s="132"/>
      <c r="D30" s="132"/>
      <c r="E30" s="132"/>
      <c r="F30" s="132"/>
      <c r="G30" s="132"/>
      <c r="H30" s="132"/>
      <c r="I30" s="132"/>
      <c r="J30" s="132"/>
      <c r="K30" s="133"/>
    </row>
    <row r="31" spans="2:14">
      <c r="B31" s="117" t="s">
        <v>271</v>
      </c>
      <c r="C31" s="139">
        <v>1.65</v>
      </c>
      <c r="D31" s="139">
        <v>1.2</v>
      </c>
      <c r="E31" s="139">
        <v>0.95</v>
      </c>
      <c r="F31" s="139">
        <v>1.2</v>
      </c>
      <c r="G31" s="139">
        <v>2.35</v>
      </c>
      <c r="H31" s="139">
        <v>0.6</v>
      </c>
      <c r="I31" s="144">
        <v>1.85</v>
      </c>
      <c r="J31" s="120" t="s">
        <v>509</v>
      </c>
      <c r="K31" s="108" t="s">
        <v>510</v>
      </c>
    </row>
    <row r="32" spans="2:14">
      <c r="B32" s="117" t="s">
        <v>274</v>
      </c>
      <c r="C32" s="142">
        <v>0.65</v>
      </c>
      <c r="D32" s="142">
        <v>0.65</v>
      </c>
      <c r="E32" s="142">
        <v>0.65</v>
      </c>
      <c r="F32" s="172"/>
      <c r="G32" s="172"/>
      <c r="H32" s="172"/>
      <c r="I32" s="172"/>
      <c r="J32" s="120" t="s">
        <v>265</v>
      </c>
      <c r="K32" s="120" t="s">
        <v>451</v>
      </c>
    </row>
    <row r="33" spans="1:11">
      <c r="B33" s="117" t="s">
        <v>275</v>
      </c>
      <c r="C33" s="142">
        <v>0.35</v>
      </c>
      <c r="D33" s="142">
        <v>0.35</v>
      </c>
      <c r="E33" s="142">
        <v>0.35</v>
      </c>
      <c r="F33" s="172"/>
      <c r="G33" s="172"/>
      <c r="H33" s="172"/>
      <c r="I33" s="172"/>
      <c r="J33" s="120" t="s">
        <v>265</v>
      </c>
      <c r="K33" s="120" t="s">
        <v>451</v>
      </c>
    </row>
    <row r="34" spans="1:11">
      <c r="B34" s="117" t="s">
        <v>276</v>
      </c>
      <c r="C34" s="129">
        <v>40000</v>
      </c>
      <c r="D34" s="129">
        <v>36000</v>
      </c>
      <c r="E34" s="129">
        <v>30000</v>
      </c>
      <c r="F34" s="129">
        <v>30000</v>
      </c>
      <c r="G34" s="129">
        <v>70000</v>
      </c>
      <c r="H34" s="145">
        <v>25000</v>
      </c>
      <c r="I34" s="145">
        <v>60000</v>
      </c>
      <c r="J34" s="120" t="s">
        <v>309</v>
      </c>
      <c r="K34" s="108" t="s">
        <v>511</v>
      </c>
    </row>
    <row r="35" spans="1:11">
      <c r="B35" s="117" t="s">
        <v>279</v>
      </c>
      <c r="C35" s="106">
        <v>0</v>
      </c>
      <c r="D35" s="106">
        <v>0</v>
      </c>
      <c r="E35" s="106">
        <v>0</v>
      </c>
      <c r="F35" s="106"/>
      <c r="G35" s="106"/>
      <c r="H35" s="106"/>
      <c r="I35" s="145"/>
      <c r="J35" s="120"/>
      <c r="K35" s="108" t="s">
        <v>475</v>
      </c>
    </row>
    <row r="36" spans="1:11">
      <c r="B36" s="117" t="s">
        <v>282</v>
      </c>
      <c r="C36" s="106">
        <v>0</v>
      </c>
      <c r="D36" s="106">
        <v>0</v>
      </c>
      <c r="E36" s="106">
        <v>0</v>
      </c>
      <c r="F36" s="106"/>
      <c r="G36" s="106"/>
      <c r="H36" s="106"/>
      <c r="I36" s="145"/>
      <c r="J36" s="120"/>
      <c r="K36" s="108"/>
    </row>
    <row r="37" spans="1:11">
      <c r="A37" s="130"/>
    </row>
    <row r="38" spans="1:11" ht="15" customHeight="1">
      <c r="A38" s="130" t="s">
        <v>286</v>
      </c>
      <c r="C38" s="150"/>
      <c r="D38" s="150"/>
      <c r="E38" s="150"/>
      <c r="F38" s="150"/>
      <c r="G38" s="150"/>
    </row>
    <row r="39" spans="1:11" ht="15" customHeight="1">
      <c r="A39" s="218">
        <v>1</v>
      </c>
      <c r="B39" s="1155" t="s">
        <v>512</v>
      </c>
      <c r="C39" s="1155"/>
      <c r="D39" s="1155"/>
      <c r="E39" s="1155"/>
      <c r="F39" s="1155"/>
      <c r="G39" s="1155"/>
      <c r="H39" s="1155"/>
      <c r="I39" s="1155"/>
      <c r="J39" s="1155"/>
      <c r="K39" s="1155"/>
    </row>
    <row r="40" spans="1:11" s="93" customFormat="1" ht="15" customHeight="1">
      <c r="A40" s="218">
        <v>2</v>
      </c>
      <c r="B40" s="1155" t="s">
        <v>402</v>
      </c>
      <c r="C40" s="1155"/>
      <c r="D40" s="1155"/>
      <c r="E40" s="1155"/>
      <c r="F40" s="1155"/>
      <c r="G40" s="1155"/>
      <c r="H40" s="1155"/>
      <c r="I40" s="1155"/>
      <c r="J40" s="1155"/>
      <c r="K40" s="1155"/>
    </row>
    <row r="41" spans="1:11" ht="26.25" customHeight="1">
      <c r="A41" s="218">
        <v>3</v>
      </c>
      <c r="B41" s="1155" t="s">
        <v>513</v>
      </c>
      <c r="C41" s="1155"/>
      <c r="D41" s="1155"/>
      <c r="E41" s="1155"/>
      <c r="F41" s="1155"/>
      <c r="G41" s="1155"/>
      <c r="H41" s="1155"/>
      <c r="I41" s="1155"/>
      <c r="J41" s="1155"/>
      <c r="K41" s="1155"/>
    </row>
    <row r="42" spans="1:11" ht="18.75" customHeight="1">
      <c r="A42" s="218">
        <v>4</v>
      </c>
      <c r="B42" s="1155" t="s">
        <v>514</v>
      </c>
      <c r="C42" s="1155"/>
      <c r="D42" s="1155"/>
      <c r="E42" s="1155"/>
      <c r="F42" s="1155"/>
      <c r="G42" s="1155"/>
      <c r="H42" s="1155"/>
      <c r="I42" s="1155"/>
      <c r="J42" s="1155"/>
      <c r="K42" s="1155"/>
    </row>
    <row r="43" spans="1:11">
      <c r="A43" s="218">
        <v>5</v>
      </c>
      <c r="B43" s="1155" t="s">
        <v>297</v>
      </c>
      <c r="C43" s="1155"/>
      <c r="D43" s="1155"/>
      <c r="E43" s="1155"/>
      <c r="F43" s="1155"/>
      <c r="G43" s="1155"/>
      <c r="H43" s="1155"/>
      <c r="I43" s="1155"/>
      <c r="J43" s="1155"/>
      <c r="K43" s="1155"/>
    </row>
    <row r="44" spans="1:11">
      <c r="A44" s="218">
        <v>6</v>
      </c>
      <c r="B44" s="1155" t="s">
        <v>515</v>
      </c>
      <c r="C44" s="1155"/>
      <c r="D44" s="1155"/>
      <c r="E44" s="1155"/>
      <c r="F44" s="1155"/>
      <c r="G44" s="1155"/>
      <c r="H44" s="1155"/>
      <c r="I44" s="1155"/>
      <c r="J44" s="1155"/>
      <c r="K44" s="1155"/>
    </row>
    <row r="45" spans="1:11">
      <c r="A45" s="218">
        <v>7</v>
      </c>
      <c r="B45" s="1155" t="s">
        <v>516</v>
      </c>
      <c r="C45" s="1155"/>
      <c r="D45" s="1155"/>
      <c r="E45" s="1155"/>
      <c r="F45" s="1155"/>
      <c r="G45" s="1155"/>
      <c r="H45" s="1155"/>
      <c r="I45" s="1155"/>
      <c r="J45" s="1155"/>
      <c r="K45" s="1155"/>
    </row>
    <row r="46" spans="1:11" ht="15" customHeight="1">
      <c r="A46" s="218">
        <v>8</v>
      </c>
      <c r="B46" s="1155" t="s">
        <v>517</v>
      </c>
      <c r="C46" s="1155"/>
      <c r="D46" s="1155"/>
      <c r="E46" s="1155"/>
      <c r="F46" s="1155"/>
      <c r="G46" s="1155"/>
      <c r="H46" s="1155"/>
      <c r="I46" s="1155"/>
      <c r="J46" s="1155"/>
      <c r="K46" s="1155"/>
    </row>
    <row r="47" spans="1:11" ht="24.75" customHeight="1">
      <c r="A47" s="218">
        <v>9</v>
      </c>
      <c r="B47" s="1155" t="s">
        <v>518</v>
      </c>
      <c r="C47" s="1155"/>
      <c r="D47" s="1155"/>
      <c r="E47" s="1155"/>
      <c r="F47" s="1155"/>
      <c r="G47" s="1155"/>
      <c r="H47" s="1155"/>
      <c r="I47" s="1155"/>
      <c r="J47" s="1155"/>
      <c r="K47" s="1155"/>
    </row>
    <row r="48" spans="1:11" ht="1.5" customHeight="1"/>
    <row r="49" spans="1:11">
      <c r="A49" s="130" t="s">
        <v>298</v>
      </c>
    </row>
    <row r="50" spans="1:11">
      <c r="A50" s="218" t="s">
        <v>246</v>
      </c>
      <c r="B50" s="1155" t="s">
        <v>519</v>
      </c>
      <c r="C50" s="1155"/>
      <c r="D50" s="1155"/>
      <c r="E50" s="1155"/>
      <c r="F50" s="1155"/>
      <c r="G50" s="1155"/>
      <c r="H50" s="1155"/>
      <c r="I50" s="1155"/>
      <c r="J50" s="1155"/>
      <c r="K50" s="1155"/>
    </row>
    <row r="51" spans="1:11" ht="43.5" customHeight="1">
      <c r="A51" s="218" t="s">
        <v>300</v>
      </c>
      <c r="B51" s="1155" t="s">
        <v>520</v>
      </c>
      <c r="C51" s="1155"/>
      <c r="D51" s="1155"/>
      <c r="E51" s="1155"/>
      <c r="F51" s="1155"/>
      <c r="G51" s="1155"/>
      <c r="H51" s="1155"/>
      <c r="I51" s="1155"/>
      <c r="J51" s="1155"/>
      <c r="K51" s="1155"/>
    </row>
    <row r="52" spans="1:11" ht="21.75" customHeight="1">
      <c r="A52" s="218" t="s">
        <v>265</v>
      </c>
      <c r="B52" s="1155" t="s">
        <v>521</v>
      </c>
      <c r="C52" s="1155"/>
      <c r="D52" s="1155"/>
      <c r="E52" s="1155"/>
      <c r="F52" s="1155"/>
      <c r="G52" s="1155"/>
      <c r="H52" s="1155"/>
      <c r="I52" s="1155"/>
      <c r="J52" s="1155"/>
      <c r="K52" s="1155"/>
    </row>
    <row r="53" spans="1:11" ht="15" customHeight="1">
      <c r="A53" s="218" t="s">
        <v>303</v>
      </c>
      <c r="B53" s="1155" t="s">
        <v>522</v>
      </c>
      <c r="C53" s="1155"/>
      <c r="D53" s="1155"/>
      <c r="E53" s="1155"/>
      <c r="F53" s="1155"/>
      <c r="G53" s="1155"/>
      <c r="H53" s="1155"/>
      <c r="I53" s="1155"/>
      <c r="J53" s="1155"/>
      <c r="K53" s="1155"/>
    </row>
    <row r="54" spans="1:11" ht="45.75" customHeight="1">
      <c r="A54" s="218" t="s">
        <v>305</v>
      </c>
      <c r="B54" s="1155" t="s">
        <v>523</v>
      </c>
      <c r="C54" s="1155"/>
      <c r="D54" s="1155"/>
      <c r="E54" s="1155"/>
      <c r="F54" s="1155"/>
      <c r="G54" s="1155"/>
      <c r="H54" s="1155"/>
      <c r="I54" s="1155"/>
      <c r="J54" s="1155"/>
      <c r="K54" s="1155"/>
    </row>
    <row r="55" spans="1:11" ht="26.25" customHeight="1">
      <c r="A55" s="218" t="s">
        <v>307</v>
      </c>
      <c r="B55" s="1155" t="s">
        <v>325</v>
      </c>
      <c r="C55" s="1155"/>
      <c r="D55" s="1155"/>
      <c r="E55" s="1155"/>
      <c r="F55" s="1155"/>
      <c r="G55" s="1155"/>
      <c r="H55" s="1155"/>
      <c r="I55" s="1155"/>
      <c r="J55" s="1155"/>
      <c r="K55" s="1155"/>
    </row>
    <row r="56" spans="1:11">
      <c r="A56" s="218" t="s">
        <v>309</v>
      </c>
      <c r="B56" s="1155" t="s">
        <v>524</v>
      </c>
      <c r="C56" s="1155"/>
      <c r="D56" s="1155"/>
      <c r="E56" s="1155"/>
      <c r="F56" s="1155"/>
      <c r="G56" s="1155"/>
      <c r="H56" s="1155"/>
      <c r="I56" s="1155"/>
      <c r="J56" s="1155"/>
      <c r="K56" s="1155"/>
    </row>
    <row r="57" spans="1:11" ht="26.25" customHeight="1">
      <c r="A57" s="218"/>
      <c r="B57" s="1155"/>
      <c r="C57" s="1155"/>
      <c r="D57" s="1155"/>
      <c r="E57" s="1155"/>
      <c r="F57" s="1155"/>
      <c r="G57" s="1155"/>
      <c r="H57" s="1155"/>
      <c r="I57" s="1155"/>
      <c r="J57" s="1155"/>
      <c r="K57" s="1155"/>
    </row>
    <row r="58" spans="1:11" ht="39.75" customHeight="1">
      <c r="A58" s="155"/>
    </row>
  </sheetData>
  <mergeCells count="20">
    <mergeCell ref="B47:K47"/>
    <mergeCell ref="B54:K54"/>
    <mergeCell ref="B57:K57"/>
    <mergeCell ref="B53:K53"/>
    <mergeCell ref="B56:K56"/>
    <mergeCell ref="B50:K50"/>
    <mergeCell ref="B51:K51"/>
    <mergeCell ref="B52:K52"/>
    <mergeCell ref="B55:K55"/>
    <mergeCell ref="C3:K3"/>
    <mergeCell ref="F4:G4"/>
    <mergeCell ref="H4:I4"/>
    <mergeCell ref="B41:K41"/>
    <mergeCell ref="B46:K46"/>
    <mergeCell ref="B39:K39"/>
    <mergeCell ref="B42:K42"/>
    <mergeCell ref="B43:K43"/>
    <mergeCell ref="B44:K44"/>
    <mergeCell ref="B45:K45"/>
    <mergeCell ref="B40:K40"/>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F7B54-21B2-4E43-8FD3-8F20EEB63A2D}">
  <sheetPr codeName="Sheet18">
    <tabColor rgb="FF00B0F0"/>
  </sheetPr>
  <dimension ref="A1:S52"/>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6.5703125" style="93" customWidth="1"/>
    <col min="12" max="12" width="6.7109375" style="93" customWidth="1"/>
    <col min="13" max="13" width="14.425781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699" t="s">
        <v>145</v>
      </c>
      <c r="C3" s="1169" t="s">
        <v>525</v>
      </c>
      <c r="D3" s="1169"/>
      <c r="E3" s="1169"/>
      <c r="F3" s="1169"/>
      <c r="G3" s="1169"/>
      <c r="H3" s="1169"/>
      <c r="I3" s="1169"/>
      <c r="J3" s="1169"/>
      <c r="K3" s="1170"/>
      <c r="M3" s="97"/>
      <c r="N3" s="1143"/>
      <c r="O3" s="1144"/>
      <c r="P3" s="1144"/>
      <c r="Q3" s="1144"/>
      <c r="R3" s="1144"/>
      <c r="S3" s="1144"/>
    </row>
    <row r="4" spans="2:19" ht="16.5" customHeight="1">
      <c r="B4" s="701"/>
      <c r="C4" s="650">
        <v>2023</v>
      </c>
      <c r="D4" s="650">
        <v>2030</v>
      </c>
      <c r="E4" s="650">
        <v>2050</v>
      </c>
      <c r="F4" s="1171" t="s">
        <v>236</v>
      </c>
      <c r="G4" s="1170"/>
      <c r="H4" s="1171" t="s">
        <v>237</v>
      </c>
      <c r="I4" s="1170"/>
      <c r="J4" s="650" t="s">
        <v>238</v>
      </c>
      <c r="K4" s="650" t="s">
        <v>239</v>
      </c>
      <c r="M4" s="100"/>
      <c r="N4" s="101"/>
      <c r="O4" s="101"/>
      <c r="P4" s="101"/>
      <c r="Q4" s="101"/>
      <c r="R4" s="101"/>
      <c r="S4" s="101"/>
    </row>
    <row r="5" spans="2:19" ht="15" customHeight="1">
      <c r="B5" s="702" t="s">
        <v>240</v>
      </c>
      <c r="C5" s="672"/>
      <c r="D5" s="672"/>
      <c r="E5" s="672"/>
      <c r="F5" s="700" t="s">
        <v>241</v>
      </c>
      <c r="G5" s="700" t="s">
        <v>242</v>
      </c>
      <c r="H5" s="700" t="s">
        <v>241</v>
      </c>
      <c r="I5" s="700" t="s">
        <v>242</v>
      </c>
      <c r="J5" s="672"/>
      <c r="K5" s="703"/>
      <c r="M5" s="1146"/>
      <c r="N5" s="1146"/>
      <c r="O5" s="1146"/>
      <c r="P5" s="1146"/>
      <c r="Q5" s="1146"/>
      <c r="R5" s="1146"/>
      <c r="S5" s="1146"/>
    </row>
    <row r="6" spans="2:19" ht="27.75" customHeight="1">
      <c r="B6" s="538" t="s">
        <v>243</v>
      </c>
      <c r="C6" s="679">
        <v>0.85</v>
      </c>
      <c r="D6" s="679">
        <v>0.9</v>
      </c>
      <c r="E6" s="679">
        <v>0.95</v>
      </c>
      <c r="F6" s="706"/>
      <c r="G6" s="706"/>
      <c r="H6" s="706"/>
      <c r="I6" s="706"/>
      <c r="J6" s="674"/>
      <c r="K6" s="675">
        <v>6</v>
      </c>
      <c r="M6" s="109"/>
      <c r="N6" s="1139"/>
      <c r="O6" s="1140"/>
      <c r="P6" s="1140"/>
      <c r="Q6" s="1140"/>
      <c r="R6" s="1140"/>
      <c r="S6" s="1140"/>
    </row>
    <row r="7" spans="2:19" ht="30" customHeight="1">
      <c r="B7" s="538" t="s">
        <v>244</v>
      </c>
      <c r="C7" s="704">
        <f>C6*15</f>
        <v>12.75</v>
      </c>
      <c r="D7" s="704">
        <f>D6*20</f>
        <v>18</v>
      </c>
      <c r="E7" s="704">
        <f>E6*20</f>
        <v>19</v>
      </c>
      <c r="F7" s="704"/>
      <c r="G7" s="704"/>
      <c r="H7" s="704"/>
      <c r="I7" s="704"/>
      <c r="J7" s="674"/>
      <c r="K7" s="675">
        <v>5</v>
      </c>
      <c r="M7" s="109"/>
      <c r="N7" s="110"/>
      <c r="O7" s="111"/>
      <c r="P7" s="111"/>
      <c r="Q7" s="111"/>
      <c r="R7" s="111"/>
      <c r="S7" s="111"/>
    </row>
    <row r="8" spans="2:19">
      <c r="B8" s="538" t="s">
        <v>245</v>
      </c>
      <c r="C8" s="704">
        <v>100</v>
      </c>
      <c r="D8" s="704">
        <v>100</v>
      </c>
      <c r="E8" s="704">
        <v>100</v>
      </c>
      <c r="F8" s="704"/>
      <c r="G8" s="704"/>
      <c r="H8" s="704"/>
      <c r="I8" s="704"/>
      <c r="J8" s="674" t="s">
        <v>246</v>
      </c>
      <c r="K8" s="678"/>
      <c r="M8" s="109"/>
      <c r="N8" s="113"/>
      <c r="O8" s="113"/>
      <c r="P8" s="113"/>
      <c r="Q8" s="113"/>
      <c r="R8" s="113"/>
      <c r="S8" s="113"/>
    </row>
    <row r="9" spans="2:19">
      <c r="B9" s="539" t="s">
        <v>247</v>
      </c>
      <c r="C9" s="704">
        <v>100</v>
      </c>
      <c r="D9" s="704">
        <v>100</v>
      </c>
      <c r="E9" s="704">
        <v>100</v>
      </c>
      <c r="F9" s="704"/>
      <c r="G9" s="704"/>
      <c r="H9" s="704"/>
      <c r="I9" s="704"/>
      <c r="J9" s="676"/>
      <c r="K9" s="855"/>
      <c r="M9" s="109"/>
      <c r="N9" s="113"/>
      <c r="O9" s="113"/>
      <c r="P9" s="113"/>
      <c r="Q9" s="113"/>
      <c r="R9" s="113"/>
      <c r="S9" s="113"/>
    </row>
    <row r="10" spans="2:19">
      <c r="B10" s="538" t="s">
        <v>248</v>
      </c>
      <c r="C10" s="859">
        <v>0.03</v>
      </c>
      <c r="D10" s="859">
        <v>2.5000000000000001E-2</v>
      </c>
      <c r="E10" s="859">
        <v>0.02</v>
      </c>
      <c r="F10" s="704"/>
      <c r="G10" s="704"/>
      <c r="H10" s="704"/>
      <c r="I10" s="704"/>
      <c r="J10" s="674"/>
      <c r="K10" s="675"/>
      <c r="M10" s="93"/>
      <c r="N10" s="116"/>
      <c r="O10" s="116"/>
      <c r="P10" s="116"/>
      <c r="Q10" s="116"/>
      <c r="R10" s="116"/>
      <c r="S10" s="113"/>
    </row>
    <row r="11" spans="2:19">
      <c r="B11" s="533" t="s">
        <v>249</v>
      </c>
      <c r="C11" s="679">
        <v>0.16</v>
      </c>
      <c r="D11" s="679">
        <v>0.16</v>
      </c>
      <c r="E11" s="679">
        <v>0.16</v>
      </c>
      <c r="F11" s="679">
        <v>0.05</v>
      </c>
      <c r="G11" s="679">
        <v>0.26</v>
      </c>
      <c r="H11" s="679">
        <v>0.05</v>
      </c>
      <c r="I11" s="679">
        <v>0.26</v>
      </c>
      <c r="J11" s="674"/>
      <c r="K11" s="675">
        <v>3</v>
      </c>
      <c r="M11" s="93"/>
      <c r="N11" s="116"/>
      <c r="O11" s="116"/>
      <c r="P11" s="116"/>
      <c r="Q11" s="116"/>
      <c r="R11" s="116"/>
      <c r="S11" s="113"/>
    </row>
    <row r="12" spans="2:19">
      <c r="B12" s="533" t="s">
        <v>250</v>
      </c>
      <c r="C12" s="704">
        <v>27</v>
      </c>
      <c r="D12" s="704">
        <v>30</v>
      </c>
      <c r="E12" s="704">
        <v>30</v>
      </c>
      <c r="F12" s="704">
        <v>25</v>
      </c>
      <c r="G12" s="704">
        <v>35</v>
      </c>
      <c r="H12" s="704">
        <v>25</v>
      </c>
      <c r="I12" s="704">
        <v>40</v>
      </c>
      <c r="J12" s="674"/>
      <c r="K12" s="675">
        <v>3</v>
      </c>
      <c r="M12" s="109"/>
      <c r="N12" s="113"/>
      <c r="O12" s="113"/>
      <c r="P12" s="113"/>
      <c r="Q12" s="113"/>
      <c r="R12" s="113"/>
      <c r="S12" s="113"/>
    </row>
    <row r="13" spans="2:19">
      <c r="B13" s="533" t="s">
        <v>252</v>
      </c>
      <c r="C13" s="706">
        <v>1</v>
      </c>
      <c r="D13" s="706">
        <v>1</v>
      </c>
      <c r="E13" s="706">
        <v>1</v>
      </c>
      <c r="F13" s="674"/>
      <c r="G13" s="674"/>
      <c r="H13" s="674"/>
      <c r="I13" s="704"/>
      <c r="J13" s="674"/>
      <c r="K13" s="675" t="s">
        <v>526</v>
      </c>
      <c r="M13" s="109"/>
      <c r="N13" s="113"/>
      <c r="O13" s="113"/>
      <c r="P13" s="113"/>
      <c r="Q13" s="113"/>
      <c r="R13" s="113"/>
      <c r="S13" s="113"/>
    </row>
    <row r="14" spans="2:19">
      <c r="B14" s="540" t="s">
        <v>484</v>
      </c>
      <c r="C14" s="706">
        <v>14</v>
      </c>
      <c r="D14" s="706">
        <v>14</v>
      </c>
      <c r="E14" s="706">
        <v>14</v>
      </c>
      <c r="F14" s="678"/>
      <c r="G14" s="678"/>
      <c r="H14" s="678"/>
      <c r="I14" s="678"/>
      <c r="J14" s="709"/>
      <c r="K14" s="674" t="s">
        <v>527</v>
      </c>
      <c r="M14" s="109"/>
      <c r="N14" s="113"/>
      <c r="O14" s="113"/>
      <c r="P14" s="113"/>
      <c r="Q14" s="113"/>
      <c r="R14" s="113"/>
      <c r="S14" s="113"/>
    </row>
    <row r="15" spans="2:19">
      <c r="B15" s="541" t="s">
        <v>255</v>
      </c>
      <c r="C15" s="711"/>
      <c r="D15" s="711"/>
      <c r="E15" s="711"/>
      <c r="F15" s="711"/>
      <c r="G15" s="711"/>
      <c r="H15" s="711"/>
      <c r="I15" s="856"/>
      <c r="J15" s="712"/>
      <c r="K15" s="751"/>
      <c r="M15" s="109"/>
      <c r="N15" s="113"/>
      <c r="O15" s="113"/>
      <c r="P15" s="113"/>
      <c r="Q15" s="113"/>
      <c r="R15" s="113"/>
      <c r="S15" s="113"/>
    </row>
    <row r="16" spans="2:19">
      <c r="B16" s="540" t="s">
        <v>256</v>
      </c>
      <c r="C16" s="704">
        <v>28</v>
      </c>
      <c r="D16" s="704">
        <v>32</v>
      </c>
      <c r="E16" s="704">
        <v>36</v>
      </c>
      <c r="F16" s="704">
        <v>15</v>
      </c>
      <c r="G16" s="704">
        <v>35</v>
      </c>
      <c r="H16" s="704">
        <v>15</v>
      </c>
      <c r="I16" s="860">
        <v>40</v>
      </c>
      <c r="J16" s="709" t="s">
        <v>300</v>
      </c>
      <c r="K16" s="678">
        <v>2</v>
      </c>
      <c r="M16" s="109"/>
      <c r="N16" s="113"/>
      <c r="O16" s="113"/>
      <c r="P16" s="113"/>
      <c r="Q16" s="113"/>
      <c r="R16" s="113"/>
      <c r="S16" s="113"/>
    </row>
    <row r="17" spans="2:19">
      <c r="B17" s="540" t="s">
        <v>257</v>
      </c>
      <c r="C17" s="704">
        <v>27.216000000000001</v>
      </c>
      <c r="D17" s="704">
        <v>31.263507692307691</v>
      </c>
      <c r="E17" s="704">
        <v>35.171446153846155</v>
      </c>
      <c r="F17" s="704"/>
      <c r="G17" s="704"/>
      <c r="H17" s="704"/>
      <c r="I17" s="855"/>
      <c r="J17" s="709"/>
      <c r="K17" s="678"/>
      <c r="L17" s="219"/>
      <c r="M17" s="219"/>
      <c r="N17" s="219"/>
      <c r="O17" s="113"/>
      <c r="P17" s="113"/>
      <c r="Q17" s="113"/>
      <c r="R17" s="113"/>
      <c r="S17" s="113"/>
    </row>
    <row r="18" spans="2:19">
      <c r="B18" s="542" t="s">
        <v>258</v>
      </c>
      <c r="C18" s="715"/>
      <c r="D18" s="715"/>
      <c r="E18" s="715"/>
      <c r="F18" s="715"/>
      <c r="G18" s="715"/>
      <c r="H18" s="715"/>
      <c r="I18" s="681"/>
      <c r="J18" s="681"/>
      <c r="K18" s="682"/>
      <c r="M18" s="109"/>
      <c r="N18" s="113"/>
      <c r="O18" s="113"/>
      <c r="P18" s="113"/>
      <c r="Q18" s="113"/>
      <c r="R18" s="113"/>
      <c r="S18" s="113"/>
    </row>
    <row r="19" spans="2:19">
      <c r="B19" s="533" t="s">
        <v>259</v>
      </c>
      <c r="C19" s="704" t="s">
        <v>146</v>
      </c>
      <c r="D19" s="704" t="s">
        <v>146</v>
      </c>
      <c r="E19" s="704" t="s">
        <v>146</v>
      </c>
      <c r="F19" s="704"/>
      <c r="G19" s="704"/>
      <c r="H19" s="704"/>
      <c r="I19" s="678"/>
      <c r="J19" s="709" t="s">
        <v>307</v>
      </c>
      <c r="K19" s="675"/>
      <c r="L19" s="130"/>
      <c r="M19" s="109"/>
      <c r="N19" s="113"/>
      <c r="O19" s="113"/>
      <c r="P19" s="113"/>
      <c r="Q19" s="113"/>
      <c r="R19" s="113"/>
      <c r="S19" s="113"/>
    </row>
    <row r="20" spans="2:19">
      <c r="B20" s="533" t="s">
        <v>260</v>
      </c>
      <c r="C20" s="704" t="s">
        <v>146</v>
      </c>
      <c r="D20" s="704" t="s">
        <v>146</v>
      </c>
      <c r="E20" s="704" t="s">
        <v>146</v>
      </c>
      <c r="F20" s="704"/>
      <c r="G20" s="704"/>
      <c r="H20" s="704"/>
      <c r="I20" s="678"/>
      <c r="J20" s="709" t="s">
        <v>307</v>
      </c>
      <c r="K20" s="675"/>
      <c r="M20" s="109"/>
      <c r="N20" s="113"/>
      <c r="O20" s="113"/>
      <c r="P20" s="113"/>
      <c r="Q20" s="113"/>
      <c r="R20" s="113"/>
      <c r="S20" s="113"/>
    </row>
    <row r="21" spans="2:19">
      <c r="B21" s="533" t="s">
        <v>261</v>
      </c>
      <c r="C21" s="704" t="s">
        <v>146</v>
      </c>
      <c r="D21" s="704" t="s">
        <v>146</v>
      </c>
      <c r="E21" s="704" t="s">
        <v>146</v>
      </c>
      <c r="F21" s="704"/>
      <c r="G21" s="704"/>
      <c r="H21" s="704"/>
      <c r="I21" s="678"/>
      <c r="J21" s="709"/>
      <c r="K21" s="675"/>
      <c r="M21" s="109"/>
      <c r="N21" s="113"/>
      <c r="O21" s="113"/>
      <c r="P21" s="113"/>
      <c r="Q21" s="113"/>
      <c r="R21" s="113"/>
      <c r="S21" s="113"/>
    </row>
    <row r="22" spans="2:19">
      <c r="B22" s="533" t="s">
        <v>262</v>
      </c>
      <c r="C22" s="704" t="s">
        <v>146</v>
      </c>
      <c r="D22" s="704" t="s">
        <v>146</v>
      </c>
      <c r="E22" s="704" t="s">
        <v>146</v>
      </c>
      <c r="F22" s="704"/>
      <c r="G22" s="704"/>
      <c r="H22" s="704"/>
      <c r="I22" s="678"/>
      <c r="J22" s="709"/>
      <c r="K22" s="675"/>
      <c r="M22" s="109"/>
      <c r="N22" s="113"/>
      <c r="O22" s="113"/>
      <c r="P22" s="113"/>
      <c r="Q22" s="113"/>
      <c r="R22" s="113"/>
      <c r="S22" s="113"/>
    </row>
    <row r="23" spans="2:19">
      <c r="B23" s="542" t="s">
        <v>263</v>
      </c>
      <c r="C23" s="719"/>
      <c r="D23" s="720"/>
      <c r="E23" s="720"/>
      <c r="F23" s="720"/>
      <c r="G23" s="720"/>
      <c r="H23" s="720"/>
      <c r="I23" s="720"/>
      <c r="J23" s="720"/>
      <c r="K23" s="758"/>
      <c r="M23" s="1146"/>
      <c r="N23" s="1146"/>
      <c r="O23" s="1146"/>
      <c r="P23" s="1146"/>
      <c r="Q23" s="1146"/>
      <c r="R23" s="1146"/>
      <c r="S23" s="1146"/>
    </row>
    <row r="24" spans="2:19">
      <c r="B24" s="533" t="s">
        <v>443</v>
      </c>
      <c r="C24" s="708">
        <v>0</v>
      </c>
      <c r="D24" s="708">
        <v>0</v>
      </c>
      <c r="E24" s="708">
        <v>0</v>
      </c>
      <c r="F24" s="708"/>
      <c r="G24" s="708"/>
      <c r="H24" s="708"/>
      <c r="I24" s="708"/>
      <c r="J24" s="722"/>
      <c r="K24" s="675"/>
      <c r="M24" s="109"/>
      <c r="N24" s="113"/>
      <c r="O24" s="113"/>
      <c r="P24" s="113"/>
      <c r="Q24" s="113"/>
      <c r="R24" s="113"/>
      <c r="S24" s="113"/>
    </row>
    <row r="25" spans="2:19">
      <c r="B25" s="533" t="s">
        <v>444</v>
      </c>
      <c r="C25" s="708">
        <v>0</v>
      </c>
      <c r="D25" s="708">
        <v>0</v>
      </c>
      <c r="E25" s="708">
        <v>0</v>
      </c>
      <c r="F25" s="708"/>
      <c r="G25" s="708"/>
      <c r="H25" s="708"/>
      <c r="I25" s="708"/>
      <c r="J25" s="722"/>
      <c r="K25" s="675"/>
      <c r="M25" s="109"/>
      <c r="N25" s="113"/>
      <c r="O25" s="113"/>
      <c r="P25" s="113"/>
      <c r="Q25" s="113"/>
      <c r="R25" s="113"/>
      <c r="S25" s="113"/>
    </row>
    <row r="26" spans="2:19" ht="15" customHeight="1">
      <c r="B26" s="533" t="s">
        <v>445</v>
      </c>
      <c r="C26" s="708">
        <v>0</v>
      </c>
      <c r="D26" s="708">
        <v>0</v>
      </c>
      <c r="E26" s="708">
        <v>0</v>
      </c>
      <c r="F26" s="708"/>
      <c r="G26" s="708"/>
      <c r="H26" s="708"/>
      <c r="I26" s="708"/>
      <c r="J26" s="723"/>
      <c r="K26" s="675"/>
      <c r="M26" s="109"/>
      <c r="N26" s="113"/>
      <c r="O26" s="113"/>
      <c r="P26" s="113"/>
      <c r="Q26" s="113"/>
      <c r="R26" s="113"/>
      <c r="S26" s="113"/>
    </row>
    <row r="27" spans="2:19">
      <c r="B27" s="533" t="s">
        <v>446</v>
      </c>
      <c r="C27" s="708">
        <v>0</v>
      </c>
      <c r="D27" s="708">
        <v>0</v>
      </c>
      <c r="E27" s="708">
        <v>0</v>
      </c>
      <c r="F27" s="708"/>
      <c r="G27" s="708"/>
      <c r="H27" s="708"/>
      <c r="I27" s="708"/>
      <c r="J27" s="709"/>
      <c r="K27" s="709"/>
      <c r="M27" s="109"/>
      <c r="N27" s="137"/>
      <c r="O27" s="137"/>
      <c r="P27" s="137"/>
      <c r="Q27" s="137"/>
      <c r="R27" s="113"/>
      <c r="S27" s="113"/>
    </row>
    <row r="28" spans="2:19">
      <c r="B28" s="533" t="s">
        <v>447</v>
      </c>
      <c r="C28" s="708">
        <v>0</v>
      </c>
      <c r="D28" s="708">
        <v>0</v>
      </c>
      <c r="E28" s="708">
        <v>0</v>
      </c>
      <c r="F28" s="708"/>
      <c r="G28" s="708"/>
      <c r="H28" s="708"/>
      <c r="I28" s="708"/>
      <c r="J28" s="709"/>
      <c r="K28" s="709"/>
      <c r="L28" s="138"/>
      <c r="M28" s="1146"/>
      <c r="N28" s="1146"/>
      <c r="O28" s="1146"/>
      <c r="P28" s="1146"/>
      <c r="Q28" s="1146"/>
      <c r="R28" s="1146"/>
      <c r="S28" s="1146"/>
    </row>
    <row r="29" spans="2:19">
      <c r="B29" s="542" t="s">
        <v>270</v>
      </c>
      <c r="C29" s="720"/>
      <c r="D29" s="720"/>
      <c r="E29" s="720"/>
      <c r="F29" s="720"/>
      <c r="G29" s="720"/>
      <c r="H29" s="720"/>
      <c r="I29" s="857"/>
      <c r="J29" s="720"/>
      <c r="K29" s="758"/>
      <c r="M29" s="109"/>
      <c r="N29" s="113"/>
      <c r="O29" s="113"/>
      <c r="P29" s="113"/>
      <c r="Q29" s="113"/>
      <c r="R29" s="113"/>
      <c r="S29" s="113"/>
    </row>
    <row r="30" spans="2:19">
      <c r="B30" s="533" t="s">
        <v>271</v>
      </c>
      <c r="C30" s="679">
        <f>4.2</f>
        <v>4.2</v>
      </c>
      <c r="D30" s="861">
        <f>C30*0.85</f>
        <v>3.57</v>
      </c>
      <c r="E30" s="861">
        <f>C30*0.72</f>
        <v>3.024</v>
      </c>
      <c r="F30" s="706">
        <f>ROUND(C30*0.75,1)</f>
        <v>3.2</v>
      </c>
      <c r="G30" s="706">
        <f>ROUND(C30*1.25,1)</f>
        <v>5.3</v>
      </c>
      <c r="H30" s="706">
        <f>ROUND(E30*0.75,1)</f>
        <v>2.2999999999999998</v>
      </c>
      <c r="I30" s="862">
        <f>ROUND(E30*1.25,1)</f>
        <v>3.8</v>
      </c>
      <c r="J30" s="709" t="s">
        <v>528</v>
      </c>
      <c r="K30" s="675" t="s">
        <v>526</v>
      </c>
      <c r="L30" s="154"/>
      <c r="M30" s="779"/>
      <c r="N30" s="779"/>
      <c r="O30" s="141"/>
      <c r="P30" s="141"/>
      <c r="Q30" s="141"/>
      <c r="R30" s="113"/>
      <c r="S30" s="113"/>
    </row>
    <row r="31" spans="2:19">
      <c r="B31" s="533" t="s">
        <v>274</v>
      </c>
      <c r="C31" s="725">
        <v>0.55000000000000004</v>
      </c>
      <c r="D31" s="725">
        <v>0.55000000000000004</v>
      </c>
      <c r="E31" s="725">
        <v>0.55000000000000004</v>
      </c>
      <c r="F31" s="759"/>
      <c r="G31" s="759"/>
      <c r="H31" s="759"/>
      <c r="I31" s="858"/>
      <c r="J31" s="709" t="s">
        <v>265</v>
      </c>
      <c r="K31" s="709"/>
      <c r="M31" s="109"/>
      <c r="N31" s="141"/>
      <c r="O31" s="141"/>
      <c r="P31" s="141"/>
      <c r="Q31" s="141"/>
      <c r="R31" s="113"/>
      <c r="S31" s="113"/>
    </row>
    <row r="32" spans="2:19">
      <c r="B32" s="533" t="s">
        <v>275</v>
      </c>
      <c r="C32" s="725">
        <v>0.45</v>
      </c>
      <c r="D32" s="725">
        <v>0.45</v>
      </c>
      <c r="E32" s="725">
        <v>0.45</v>
      </c>
      <c r="F32" s="759"/>
      <c r="G32" s="759"/>
      <c r="H32" s="759"/>
      <c r="I32" s="759"/>
      <c r="J32" s="709" t="s">
        <v>265</v>
      </c>
      <c r="K32" s="709"/>
      <c r="M32" s="109"/>
      <c r="N32" s="141"/>
      <c r="O32" s="141"/>
      <c r="P32" s="141"/>
      <c r="Q32" s="141"/>
      <c r="R32" s="113"/>
      <c r="S32" s="113"/>
    </row>
    <row r="33" spans="1:19">
      <c r="B33" s="533" t="s">
        <v>276</v>
      </c>
      <c r="C33" s="745">
        <f>73200*1.14</f>
        <v>83448</v>
      </c>
      <c r="D33" s="745">
        <f>MROUND(C33*0.85,100)</f>
        <v>70900</v>
      </c>
      <c r="E33" s="745">
        <f>MROUND(C33*0.72,100)</f>
        <v>60100</v>
      </c>
      <c r="F33" s="745">
        <f>MROUND(C33*0.75,100)</f>
        <v>62600</v>
      </c>
      <c r="G33" s="745">
        <f>MROUND(C33*1.25,100)</f>
        <v>104300</v>
      </c>
      <c r="H33" s="745">
        <f>MROUND(E33*1.25,100)</f>
        <v>75100</v>
      </c>
      <c r="I33" s="745">
        <f>MROUND(E33*0.75,100)</f>
        <v>45100</v>
      </c>
      <c r="J33" s="709" t="s">
        <v>305</v>
      </c>
      <c r="K33" s="675">
        <v>4</v>
      </c>
      <c r="M33" s="109"/>
      <c r="N33" s="141"/>
      <c r="O33" s="141"/>
      <c r="P33" s="141"/>
      <c r="Q33" s="141"/>
      <c r="R33" s="113"/>
      <c r="S33" s="113"/>
    </row>
    <row r="34" spans="1:19">
      <c r="B34" s="533" t="s">
        <v>279</v>
      </c>
      <c r="C34" s="704">
        <v>0</v>
      </c>
      <c r="D34" s="704">
        <v>0</v>
      </c>
      <c r="E34" s="704">
        <v>0</v>
      </c>
      <c r="F34" s="704"/>
      <c r="G34" s="704"/>
      <c r="H34" s="704"/>
      <c r="I34" s="729"/>
      <c r="J34" s="709"/>
      <c r="K34" s="675">
        <v>4</v>
      </c>
      <c r="M34" s="109"/>
      <c r="N34" s="141"/>
      <c r="O34" s="141"/>
      <c r="P34" s="141"/>
      <c r="Q34" s="141"/>
      <c r="R34" s="113"/>
      <c r="S34" s="113"/>
    </row>
    <row r="35" spans="1:19">
      <c r="B35" s="533" t="s">
        <v>282</v>
      </c>
      <c r="C35" s="704">
        <v>0</v>
      </c>
      <c r="D35" s="704">
        <v>0</v>
      </c>
      <c r="E35" s="704">
        <v>0</v>
      </c>
      <c r="F35" s="704"/>
      <c r="G35" s="704"/>
      <c r="H35" s="704"/>
      <c r="I35" s="729"/>
      <c r="J35" s="709"/>
      <c r="K35" s="675"/>
      <c r="M35" s="1146"/>
      <c r="N35" s="1146"/>
      <c r="O35" s="1146"/>
      <c r="P35" s="1146"/>
      <c r="Q35" s="1146"/>
      <c r="R35" s="1146"/>
      <c r="S35" s="1146"/>
    </row>
    <row r="36" spans="1:19">
      <c r="A36" s="130"/>
      <c r="L36" s="94"/>
    </row>
    <row r="37" spans="1:19" s="93" customFormat="1" ht="12">
      <c r="A37" s="130" t="s">
        <v>286</v>
      </c>
      <c r="C37" s="150"/>
      <c r="D37" s="150"/>
      <c r="E37" s="150"/>
      <c r="F37" s="150"/>
      <c r="G37" s="150"/>
    </row>
    <row r="38" spans="1:19" ht="14.1" customHeight="1">
      <c r="A38" s="152">
        <v>1</v>
      </c>
      <c r="B38" s="1148" t="s">
        <v>287</v>
      </c>
      <c r="C38" s="1148"/>
      <c r="D38" s="1148"/>
      <c r="E38" s="1148"/>
      <c r="F38" s="1148"/>
      <c r="G38" s="1148"/>
      <c r="H38" s="1148"/>
      <c r="I38" s="1148"/>
      <c r="J38" s="1148"/>
      <c r="K38" s="1148"/>
    </row>
    <row r="39" spans="1:19">
      <c r="A39" s="152">
        <v>2</v>
      </c>
      <c r="B39" s="1148" t="s">
        <v>529</v>
      </c>
      <c r="C39" s="1148"/>
      <c r="D39" s="1148"/>
      <c r="E39" s="1148"/>
      <c r="F39" s="1148"/>
      <c r="G39" s="1148"/>
      <c r="H39" s="1148"/>
      <c r="I39" s="1148"/>
      <c r="J39" s="1148"/>
      <c r="K39" s="1148"/>
    </row>
    <row r="40" spans="1:19" ht="27.75" customHeight="1">
      <c r="A40" s="152">
        <v>3</v>
      </c>
      <c r="B40" s="1148" t="s">
        <v>513</v>
      </c>
      <c r="C40" s="1148"/>
      <c r="D40" s="1148"/>
      <c r="E40" s="1148"/>
      <c r="F40" s="1148"/>
      <c r="G40" s="1148"/>
      <c r="H40" s="1148"/>
      <c r="I40" s="1148"/>
      <c r="J40" s="1148"/>
      <c r="K40" s="1148"/>
    </row>
    <row r="41" spans="1:19">
      <c r="A41" s="152">
        <v>4</v>
      </c>
      <c r="B41" s="1148" t="s">
        <v>514</v>
      </c>
      <c r="C41" s="1148"/>
      <c r="D41" s="1148"/>
      <c r="E41" s="1148"/>
      <c r="F41" s="1148"/>
      <c r="G41" s="1148"/>
      <c r="H41" s="1148"/>
      <c r="I41" s="1148"/>
      <c r="J41" s="1148"/>
      <c r="K41" s="1148"/>
    </row>
    <row r="42" spans="1:19">
      <c r="A42" s="152">
        <v>5</v>
      </c>
      <c r="B42" s="1148" t="s">
        <v>530</v>
      </c>
      <c r="C42" s="1148"/>
      <c r="D42" s="1148"/>
      <c r="E42" s="1148"/>
      <c r="F42" s="1148"/>
      <c r="G42" s="1148"/>
      <c r="H42" s="1148"/>
      <c r="I42" s="1148"/>
      <c r="J42" s="1148"/>
      <c r="K42" s="1148"/>
    </row>
    <row r="43" spans="1:19">
      <c r="A43" s="152">
        <v>6</v>
      </c>
      <c r="B43" s="1148" t="s">
        <v>531</v>
      </c>
      <c r="C43" s="1148"/>
      <c r="D43" s="1148"/>
      <c r="E43" s="1148"/>
      <c r="F43" s="1148"/>
      <c r="G43" s="1148"/>
      <c r="H43" s="1148"/>
      <c r="I43" s="1148"/>
      <c r="J43" s="1148"/>
      <c r="K43" s="1148"/>
    </row>
    <row r="44" spans="1:19">
      <c r="A44" s="130" t="s">
        <v>298</v>
      </c>
      <c r="B44" s="151"/>
      <c r="C44" s="151"/>
      <c r="D44" s="151"/>
      <c r="E44" s="151"/>
      <c r="F44" s="151"/>
      <c r="G44" s="151"/>
      <c r="H44" s="151"/>
      <c r="I44" s="151"/>
      <c r="J44" s="151"/>
      <c r="K44" s="151"/>
    </row>
    <row r="45" spans="1:19">
      <c r="A45" s="152" t="s">
        <v>246</v>
      </c>
      <c r="B45" s="1148" t="s">
        <v>532</v>
      </c>
      <c r="C45" s="1148"/>
      <c r="D45" s="1148"/>
      <c r="E45" s="1148"/>
      <c r="F45" s="1148"/>
      <c r="G45" s="1148"/>
      <c r="H45" s="1148"/>
      <c r="I45" s="1148"/>
      <c r="J45" s="1148"/>
      <c r="K45" s="1148"/>
    </row>
    <row r="46" spans="1:19" ht="26.25" customHeight="1">
      <c r="A46" s="154" t="s">
        <v>300</v>
      </c>
      <c r="B46" s="1148" t="s">
        <v>533</v>
      </c>
      <c r="C46" s="1148"/>
      <c r="D46" s="1148"/>
      <c r="E46" s="1148"/>
      <c r="F46" s="1148"/>
      <c r="G46" s="1148"/>
      <c r="H46" s="1148"/>
      <c r="I46" s="1148"/>
      <c r="J46" s="1148"/>
      <c r="K46" s="1148"/>
    </row>
    <row r="47" spans="1:19" ht="26.25" customHeight="1">
      <c r="A47" s="154" t="s">
        <v>265</v>
      </c>
      <c r="B47" s="1148" t="s">
        <v>521</v>
      </c>
      <c r="C47" s="1148"/>
      <c r="D47" s="1148"/>
      <c r="E47" s="1148"/>
      <c r="F47" s="1148"/>
      <c r="G47" s="1148"/>
      <c r="H47" s="1148"/>
      <c r="I47" s="1148"/>
      <c r="J47" s="1148"/>
      <c r="K47" s="1148"/>
      <c r="O47" s="518"/>
    </row>
    <row r="48" spans="1:19" ht="27.75" customHeight="1">
      <c r="A48" s="154" t="s">
        <v>303</v>
      </c>
      <c r="B48" s="1148" t="s">
        <v>534</v>
      </c>
      <c r="C48" s="1148"/>
      <c r="D48" s="1148"/>
      <c r="E48" s="1148"/>
      <c r="F48" s="1148"/>
      <c r="G48" s="1148"/>
      <c r="H48" s="1148"/>
      <c r="I48" s="1148"/>
      <c r="J48" s="1148"/>
      <c r="K48" s="1148"/>
    </row>
    <row r="49" spans="1:15">
      <c r="A49" s="154" t="s">
        <v>305</v>
      </c>
      <c r="B49" s="1148" t="s">
        <v>323</v>
      </c>
      <c r="C49" s="1148"/>
      <c r="D49" s="1148"/>
      <c r="E49" s="1148"/>
      <c r="F49" s="1148"/>
      <c r="G49" s="1148"/>
      <c r="H49" s="1148"/>
      <c r="I49" s="1148"/>
      <c r="J49" s="1148"/>
      <c r="K49" s="1148"/>
      <c r="O49" s="519"/>
    </row>
    <row r="50" spans="1:15" ht="39.75" customHeight="1">
      <c r="A50" s="154" t="s">
        <v>307</v>
      </c>
      <c r="B50" s="1148" t="s">
        <v>523</v>
      </c>
      <c r="C50" s="1148"/>
      <c r="D50" s="1148"/>
      <c r="E50" s="1148"/>
      <c r="F50" s="1148"/>
      <c r="G50" s="1148"/>
      <c r="H50" s="1148"/>
      <c r="I50" s="1148"/>
      <c r="J50" s="1148"/>
      <c r="K50" s="1148"/>
    </row>
    <row r="51" spans="1:15">
      <c r="A51" s="155"/>
    </row>
    <row r="52" spans="1:15">
      <c r="A52" s="155"/>
    </row>
  </sheetData>
  <mergeCells count="21">
    <mergeCell ref="B48:K48"/>
    <mergeCell ref="B50:K50"/>
    <mergeCell ref="M23:S23"/>
    <mergeCell ref="M28:S28"/>
    <mergeCell ref="M35:S35"/>
    <mergeCell ref="B40:K40"/>
    <mergeCell ref="B46:K46"/>
    <mergeCell ref="B47:K47"/>
    <mergeCell ref="B38:K38"/>
    <mergeCell ref="B39:K39"/>
    <mergeCell ref="B41:K41"/>
    <mergeCell ref="B42:K42"/>
    <mergeCell ref="B43:K43"/>
    <mergeCell ref="B45:K45"/>
    <mergeCell ref="B49:K49"/>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90C6-0085-40F9-9C03-E97562BB6E6D}">
  <sheetPr codeName="Sheet19">
    <tabColor rgb="FF00B0F0"/>
  </sheetPr>
  <dimension ref="A1:R56"/>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5" width="9" style="93" customWidth="1"/>
    <col min="6" max="7" width="9.5703125" style="93" customWidth="1"/>
    <col min="8" max="9" width="9.42578125" style="93" customWidth="1"/>
    <col min="10" max="10" width="6.5703125" style="93" customWidth="1"/>
    <col min="11" max="11" width="7" style="93" customWidth="1"/>
    <col min="12" max="12" width="6.7109375" style="93" customWidth="1"/>
    <col min="13" max="16384" width="9.140625" style="94"/>
  </cols>
  <sheetData>
    <row r="1" spans="2:11" ht="20.25">
      <c r="B1" s="92" t="s">
        <v>234</v>
      </c>
    </row>
    <row r="3" spans="2:11" ht="15" customHeight="1">
      <c r="B3" s="699" t="s">
        <v>145</v>
      </c>
      <c r="C3" s="1169" t="s">
        <v>535</v>
      </c>
      <c r="D3" s="1169"/>
      <c r="E3" s="1169"/>
      <c r="F3" s="1169"/>
      <c r="G3" s="1169"/>
      <c r="H3" s="1169"/>
      <c r="I3" s="1169"/>
      <c r="J3" s="1169"/>
      <c r="K3" s="1170"/>
    </row>
    <row r="4" spans="2:11" ht="16.5" customHeight="1">
      <c r="B4" s="701"/>
      <c r="C4" s="650">
        <v>2023</v>
      </c>
      <c r="D4" s="650">
        <v>2030</v>
      </c>
      <c r="E4" s="650">
        <v>2050</v>
      </c>
      <c r="F4" s="1171" t="s">
        <v>236</v>
      </c>
      <c r="G4" s="1170"/>
      <c r="H4" s="1171" t="s">
        <v>237</v>
      </c>
      <c r="I4" s="1170"/>
      <c r="J4" s="650" t="s">
        <v>238</v>
      </c>
      <c r="K4" s="650" t="s">
        <v>239</v>
      </c>
    </row>
    <row r="5" spans="2:11" ht="15" customHeight="1">
      <c r="B5" s="702" t="s">
        <v>240</v>
      </c>
      <c r="C5" s="672"/>
      <c r="D5" s="672"/>
      <c r="E5" s="672"/>
      <c r="F5" s="700" t="s">
        <v>241</v>
      </c>
      <c r="G5" s="700" t="s">
        <v>242</v>
      </c>
      <c r="H5" s="700" t="s">
        <v>241</v>
      </c>
      <c r="I5" s="700" t="s">
        <v>242</v>
      </c>
      <c r="J5" s="672"/>
      <c r="K5" s="703"/>
    </row>
    <row r="6" spans="2:11" ht="15" customHeight="1">
      <c r="B6" s="538" t="s">
        <v>243</v>
      </c>
      <c r="C6" s="704">
        <v>8</v>
      </c>
      <c r="D6" s="704">
        <v>16</v>
      </c>
      <c r="E6" s="704">
        <v>20</v>
      </c>
      <c r="F6" s="706"/>
      <c r="G6" s="706"/>
      <c r="H6" s="706"/>
      <c r="I6" s="706"/>
      <c r="J6" s="674"/>
      <c r="K6" s="675">
        <v>3</v>
      </c>
    </row>
    <row r="7" spans="2:11">
      <c r="B7" s="538" t="s">
        <v>244</v>
      </c>
      <c r="C7" s="704">
        <f>C6*30</f>
        <v>240</v>
      </c>
      <c r="D7" s="704">
        <f>D6*30</f>
        <v>480</v>
      </c>
      <c r="E7" s="704">
        <f>E6*30</f>
        <v>600</v>
      </c>
      <c r="F7" s="704"/>
      <c r="G7" s="704"/>
      <c r="H7" s="704"/>
      <c r="I7" s="704"/>
      <c r="J7" s="674"/>
      <c r="K7" s="675"/>
    </row>
    <row r="8" spans="2:11">
      <c r="B8" s="538" t="s">
        <v>504</v>
      </c>
      <c r="C8" s="704">
        <f>SQRT((1/(C10/(C6*1000000)))/PI())*2</f>
        <v>170.59489489833848</v>
      </c>
      <c r="D8" s="704">
        <f t="shared" ref="D8:E8" si="0">SQRT((1/(D10/(D6*1000000)))/PI())*2</f>
        <v>248.46091525912448</v>
      </c>
      <c r="E8" s="704">
        <f t="shared" si="0"/>
        <v>296.32688668907315</v>
      </c>
      <c r="F8" s="704"/>
      <c r="G8" s="704"/>
      <c r="H8" s="704"/>
      <c r="I8" s="704"/>
      <c r="J8" s="674"/>
      <c r="K8" s="675"/>
    </row>
    <row r="9" spans="2:11">
      <c r="B9" s="538" t="s">
        <v>505</v>
      </c>
      <c r="C9" s="704">
        <f>C8/2+22</f>
        <v>107.29744744916924</v>
      </c>
      <c r="D9" s="704">
        <f t="shared" ref="D9:E9" si="1">D8/2+22</f>
        <v>146.23045762956224</v>
      </c>
      <c r="E9" s="704">
        <f t="shared" si="1"/>
        <v>170.16344334453657</v>
      </c>
      <c r="F9" s="704"/>
      <c r="G9" s="704"/>
      <c r="H9" s="704"/>
      <c r="I9" s="704"/>
      <c r="J9" s="674"/>
      <c r="K9" s="675"/>
    </row>
    <row r="10" spans="2:11">
      <c r="B10" s="538" t="s">
        <v>506</v>
      </c>
      <c r="C10" s="704">
        <v>350</v>
      </c>
      <c r="D10" s="704">
        <v>330</v>
      </c>
      <c r="E10" s="704">
        <v>290</v>
      </c>
      <c r="F10" s="704"/>
      <c r="G10" s="704"/>
      <c r="H10" s="704"/>
      <c r="I10" s="704"/>
      <c r="J10" s="674"/>
      <c r="K10" s="675"/>
    </row>
    <row r="11" spans="2:11" ht="15" customHeight="1">
      <c r="B11" s="538" t="s">
        <v>248</v>
      </c>
      <c r="C11" s="735">
        <v>0.04</v>
      </c>
      <c r="D11" s="735">
        <v>0.03</v>
      </c>
      <c r="E11" s="735">
        <v>0.03</v>
      </c>
      <c r="F11" s="704"/>
      <c r="G11" s="704"/>
      <c r="H11" s="704"/>
      <c r="I11" s="704"/>
      <c r="J11" s="674"/>
      <c r="K11" s="675">
        <v>3</v>
      </c>
    </row>
    <row r="12" spans="2:11" ht="24" customHeight="1">
      <c r="B12" s="533" t="s">
        <v>249</v>
      </c>
      <c r="C12" s="679">
        <v>0.16</v>
      </c>
      <c r="D12" s="679">
        <v>0.16</v>
      </c>
      <c r="E12" s="679">
        <v>0.16</v>
      </c>
      <c r="F12" s="704"/>
      <c r="G12" s="704"/>
      <c r="H12" s="704"/>
      <c r="I12" s="704"/>
      <c r="J12" s="674"/>
      <c r="K12" s="675">
        <v>3</v>
      </c>
    </row>
    <row r="13" spans="2:11">
      <c r="B13" s="533" t="s">
        <v>250</v>
      </c>
      <c r="C13" s="704">
        <v>27</v>
      </c>
      <c r="D13" s="704">
        <v>30</v>
      </c>
      <c r="E13" s="704">
        <v>30</v>
      </c>
      <c r="F13" s="704">
        <v>20</v>
      </c>
      <c r="G13" s="704">
        <v>35</v>
      </c>
      <c r="H13" s="704">
        <v>20</v>
      </c>
      <c r="I13" s="704">
        <v>35</v>
      </c>
      <c r="J13" s="674"/>
      <c r="K13" s="675">
        <v>3</v>
      </c>
    </row>
    <row r="14" spans="2:11">
      <c r="B14" s="533" t="s">
        <v>252</v>
      </c>
      <c r="C14" s="706">
        <v>3</v>
      </c>
      <c r="D14" s="706">
        <v>2.5</v>
      </c>
      <c r="E14" s="706">
        <v>2.5</v>
      </c>
      <c r="F14" s="674">
        <v>1.5</v>
      </c>
      <c r="G14" s="674">
        <v>4</v>
      </c>
      <c r="H14" s="674">
        <v>1.5</v>
      </c>
      <c r="I14" s="704">
        <v>4</v>
      </c>
      <c r="J14" s="674"/>
      <c r="K14" s="675">
        <v>3</v>
      </c>
    </row>
    <row r="15" spans="2:11">
      <c r="B15" s="540" t="s">
        <v>967</v>
      </c>
      <c r="C15" s="704">
        <v>185</v>
      </c>
      <c r="D15" s="704">
        <v>185</v>
      </c>
      <c r="E15" s="704">
        <v>185</v>
      </c>
      <c r="F15" s="678">
        <v>168</v>
      </c>
      <c r="G15" s="678">
        <v>204</v>
      </c>
      <c r="H15" s="678">
        <v>168</v>
      </c>
      <c r="I15" s="678">
        <v>204</v>
      </c>
      <c r="J15" s="709"/>
      <c r="K15" s="674">
        <v>3</v>
      </c>
    </row>
    <row r="16" spans="2:11">
      <c r="B16" s="541" t="s">
        <v>255</v>
      </c>
      <c r="C16" s="711"/>
      <c r="D16" s="711"/>
      <c r="E16" s="711"/>
      <c r="F16" s="711"/>
      <c r="G16" s="711"/>
      <c r="H16" s="711"/>
      <c r="I16" s="712"/>
      <c r="J16" s="712"/>
      <c r="K16" s="751"/>
    </row>
    <row r="17" spans="2:18">
      <c r="B17" s="540" t="s">
        <v>256</v>
      </c>
      <c r="C17" s="863">
        <v>0.35</v>
      </c>
      <c r="D17" s="863">
        <v>0.37</v>
      </c>
      <c r="E17" s="863">
        <v>0.41</v>
      </c>
      <c r="F17" s="678"/>
      <c r="G17" s="678"/>
      <c r="H17" s="678"/>
      <c r="I17" s="678"/>
      <c r="J17" s="709" t="s">
        <v>300</v>
      </c>
      <c r="K17" s="678" t="s">
        <v>536</v>
      </c>
    </row>
    <row r="18" spans="2:18">
      <c r="B18" s="540" t="s">
        <v>257</v>
      </c>
      <c r="C18" s="863">
        <v>0.33496615384615402</v>
      </c>
      <c r="D18" s="863">
        <v>0.35779569230769198</v>
      </c>
      <c r="E18" s="863">
        <v>0.39647630769230802</v>
      </c>
      <c r="F18" s="678"/>
      <c r="G18" s="678"/>
      <c r="H18" s="678"/>
      <c r="I18" s="678"/>
      <c r="J18" s="709"/>
      <c r="K18" s="678"/>
      <c r="L18" s="219"/>
      <c r="M18" s="219"/>
      <c r="N18" s="219"/>
    </row>
    <row r="19" spans="2:18">
      <c r="B19" s="542" t="s">
        <v>258</v>
      </c>
      <c r="C19" s="715"/>
      <c r="D19" s="715"/>
      <c r="E19" s="715"/>
      <c r="F19" s="715"/>
      <c r="G19" s="715"/>
      <c r="H19" s="715"/>
      <c r="I19" s="681"/>
      <c r="J19" s="681"/>
      <c r="K19" s="682"/>
    </row>
    <row r="20" spans="2:18">
      <c r="B20" s="533" t="s">
        <v>259</v>
      </c>
      <c r="C20" s="704" t="s">
        <v>146</v>
      </c>
      <c r="D20" s="704" t="s">
        <v>146</v>
      </c>
      <c r="E20" s="704" t="s">
        <v>146</v>
      </c>
      <c r="F20" s="704"/>
      <c r="G20" s="704"/>
      <c r="H20" s="704"/>
      <c r="I20" s="678"/>
      <c r="J20" s="709" t="s">
        <v>307</v>
      </c>
      <c r="K20" s="675"/>
      <c r="L20" s="130"/>
    </row>
    <row r="21" spans="2:18">
      <c r="B21" s="533" t="s">
        <v>260</v>
      </c>
      <c r="C21" s="704" t="s">
        <v>146</v>
      </c>
      <c r="D21" s="704" t="s">
        <v>146</v>
      </c>
      <c r="E21" s="704" t="s">
        <v>146</v>
      </c>
      <c r="F21" s="704"/>
      <c r="G21" s="704"/>
      <c r="H21" s="704"/>
      <c r="I21" s="678"/>
      <c r="J21" s="709" t="s">
        <v>307</v>
      </c>
      <c r="K21" s="675"/>
    </row>
    <row r="22" spans="2:18">
      <c r="B22" s="533" t="s">
        <v>261</v>
      </c>
      <c r="C22" s="704" t="s">
        <v>146</v>
      </c>
      <c r="D22" s="704" t="s">
        <v>146</v>
      </c>
      <c r="E22" s="704" t="s">
        <v>146</v>
      </c>
      <c r="F22" s="704"/>
      <c r="G22" s="704"/>
      <c r="H22" s="704"/>
      <c r="I22" s="678"/>
      <c r="J22" s="709"/>
      <c r="K22" s="675"/>
    </row>
    <row r="23" spans="2:18">
      <c r="B23" s="533" t="s">
        <v>262</v>
      </c>
      <c r="C23" s="704" t="s">
        <v>146</v>
      </c>
      <c r="D23" s="704" t="s">
        <v>146</v>
      </c>
      <c r="E23" s="704" t="s">
        <v>146</v>
      </c>
      <c r="F23" s="704"/>
      <c r="G23" s="704"/>
      <c r="H23" s="704"/>
      <c r="I23" s="678"/>
      <c r="J23" s="709"/>
      <c r="K23" s="675"/>
    </row>
    <row r="24" spans="2:18">
      <c r="B24" s="542" t="s">
        <v>263</v>
      </c>
      <c r="C24" s="719"/>
      <c r="D24" s="720"/>
      <c r="E24" s="720"/>
      <c r="F24" s="720"/>
      <c r="G24" s="720"/>
      <c r="H24" s="720"/>
      <c r="I24" s="720"/>
      <c r="J24" s="720"/>
      <c r="K24" s="758"/>
    </row>
    <row r="25" spans="2:18">
      <c r="B25" s="533" t="s">
        <v>443</v>
      </c>
      <c r="C25" s="708">
        <v>0</v>
      </c>
      <c r="D25" s="708">
        <v>0</v>
      </c>
      <c r="E25" s="708">
        <v>0</v>
      </c>
      <c r="F25" s="708"/>
      <c r="G25" s="708"/>
      <c r="H25" s="708"/>
      <c r="I25" s="708"/>
      <c r="J25" s="722"/>
      <c r="K25" s="675"/>
    </row>
    <row r="26" spans="2:18">
      <c r="B26" s="533" t="s">
        <v>444</v>
      </c>
      <c r="C26" s="708">
        <v>0</v>
      </c>
      <c r="D26" s="708">
        <v>0</v>
      </c>
      <c r="E26" s="708">
        <v>0</v>
      </c>
      <c r="F26" s="708"/>
      <c r="G26" s="708"/>
      <c r="H26" s="708"/>
      <c r="I26" s="708"/>
      <c r="J26" s="722"/>
      <c r="K26" s="675"/>
    </row>
    <row r="27" spans="2:18">
      <c r="B27" s="533" t="s">
        <v>445</v>
      </c>
      <c r="C27" s="708">
        <v>0</v>
      </c>
      <c r="D27" s="708">
        <v>0</v>
      </c>
      <c r="E27" s="708">
        <v>0</v>
      </c>
      <c r="F27" s="708"/>
      <c r="G27" s="708"/>
      <c r="H27" s="708"/>
      <c r="I27" s="708"/>
      <c r="J27" s="723"/>
      <c r="K27" s="675"/>
    </row>
    <row r="28" spans="2:18">
      <c r="B28" s="533" t="s">
        <v>446</v>
      </c>
      <c r="C28" s="708">
        <v>0</v>
      </c>
      <c r="D28" s="708">
        <v>0</v>
      </c>
      <c r="E28" s="708">
        <v>0</v>
      </c>
      <c r="F28" s="708"/>
      <c r="G28" s="708"/>
      <c r="H28" s="708"/>
      <c r="I28" s="708"/>
      <c r="J28" s="709"/>
      <c r="K28" s="709"/>
    </row>
    <row r="29" spans="2:18" ht="15" customHeight="1">
      <c r="B29" s="533" t="s">
        <v>447</v>
      </c>
      <c r="C29" s="708">
        <v>0</v>
      </c>
      <c r="D29" s="708">
        <v>0</v>
      </c>
      <c r="E29" s="708">
        <v>0</v>
      </c>
      <c r="F29" s="708"/>
      <c r="G29" s="708"/>
      <c r="H29" s="708"/>
      <c r="I29" s="708"/>
      <c r="J29" s="709"/>
      <c r="K29" s="709"/>
      <c r="L29" s="138"/>
    </row>
    <row r="30" spans="2:18">
      <c r="B30" s="542" t="s">
        <v>270</v>
      </c>
      <c r="C30" s="720"/>
      <c r="D30" s="720"/>
      <c r="E30" s="720"/>
      <c r="F30" s="720"/>
      <c r="G30" s="720"/>
      <c r="H30" s="720"/>
      <c r="I30" s="720"/>
      <c r="J30" s="720"/>
      <c r="K30" s="758"/>
    </row>
    <row r="31" spans="2:18">
      <c r="B31" s="533" t="s">
        <v>271</v>
      </c>
      <c r="C31" s="679">
        <v>4.0999999999999996</v>
      </c>
      <c r="D31" s="679">
        <f>C31*0.87</f>
        <v>3.5669999999999997</v>
      </c>
      <c r="E31" s="679">
        <f>C31*0.7</f>
        <v>2.8699999999999997</v>
      </c>
      <c r="F31" s="706">
        <v>3.5</v>
      </c>
      <c r="G31" s="706">
        <v>4.5</v>
      </c>
      <c r="H31" s="706">
        <v>1.55</v>
      </c>
      <c r="I31" s="707">
        <v>3.2</v>
      </c>
      <c r="J31" s="709" t="s">
        <v>537</v>
      </c>
      <c r="K31" s="675" t="s">
        <v>557</v>
      </c>
      <c r="L31" s="154"/>
      <c r="M31" s="779"/>
      <c r="N31" s="779"/>
      <c r="P31" s="760"/>
      <c r="Q31" s="760"/>
      <c r="R31" s="760"/>
    </row>
    <row r="32" spans="2:18">
      <c r="B32" s="533" t="s">
        <v>274</v>
      </c>
      <c r="C32" s="725">
        <v>0.45</v>
      </c>
      <c r="D32" s="725">
        <v>0.45</v>
      </c>
      <c r="E32" s="725">
        <v>0.45</v>
      </c>
      <c r="F32" s="759"/>
      <c r="G32" s="759"/>
      <c r="H32" s="759"/>
      <c r="I32" s="759"/>
      <c r="J32" s="709" t="s">
        <v>265</v>
      </c>
      <c r="K32" s="709">
        <v>3</v>
      </c>
    </row>
    <row r="33" spans="1:12">
      <c r="B33" s="533" t="s">
        <v>275</v>
      </c>
      <c r="C33" s="725">
        <v>0.55000000000000004</v>
      </c>
      <c r="D33" s="725">
        <v>0.55000000000000004</v>
      </c>
      <c r="E33" s="725">
        <v>0.55000000000000004</v>
      </c>
      <c r="F33" s="759"/>
      <c r="G33" s="759"/>
      <c r="H33" s="759"/>
      <c r="I33" s="759"/>
      <c r="J33" s="709" t="s">
        <v>265</v>
      </c>
      <c r="K33" s="709">
        <v>3</v>
      </c>
    </row>
    <row r="34" spans="1:12">
      <c r="B34" s="533" t="s">
        <v>276</v>
      </c>
      <c r="C34" s="745">
        <v>118767.88796025376</v>
      </c>
      <c r="D34" s="745">
        <v>99791.047286134431</v>
      </c>
      <c r="E34" s="745">
        <v>81289.92758938091</v>
      </c>
      <c r="F34" s="745">
        <v>109000</v>
      </c>
      <c r="G34" s="745">
        <v>123000</v>
      </c>
      <c r="H34" s="729">
        <v>61000</v>
      </c>
      <c r="I34" s="729">
        <v>95000</v>
      </c>
      <c r="J34" s="709"/>
      <c r="K34" s="675">
        <v>5</v>
      </c>
    </row>
    <row r="35" spans="1:12">
      <c r="B35" s="533" t="s">
        <v>279</v>
      </c>
      <c r="C35" s="864">
        <v>5.5</v>
      </c>
      <c r="D35" s="864">
        <v>4.8</v>
      </c>
      <c r="E35" s="864">
        <v>3.9</v>
      </c>
      <c r="F35" s="864">
        <v>3.4</v>
      </c>
      <c r="G35" s="864">
        <v>5.8</v>
      </c>
      <c r="H35" s="864">
        <v>2.7</v>
      </c>
      <c r="I35" s="759">
        <v>4.3</v>
      </c>
      <c r="J35" s="709"/>
      <c r="K35" s="675">
        <v>4</v>
      </c>
    </row>
    <row r="36" spans="1:12">
      <c r="B36" s="533" t="s">
        <v>282</v>
      </c>
      <c r="C36" s="704">
        <v>0</v>
      </c>
      <c r="D36" s="704">
        <v>0</v>
      </c>
      <c r="E36" s="704">
        <v>0</v>
      </c>
      <c r="F36" s="704"/>
      <c r="G36" s="704"/>
      <c r="H36" s="704"/>
      <c r="I36" s="729"/>
      <c r="J36" s="709"/>
      <c r="K36" s="675"/>
    </row>
    <row r="37" spans="1:12">
      <c r="A37" s="130"/>
    </row>
    <row r="38" spans="1:12" ht="15" customHeight="1">
      <c r="A38" s="865" t="s">
        <v>286</v>
      </c>
      <c r="B38" s="163"/>
      <c r="C38" s="163"/>
      <c r="D38" s="163"/>
      <c r="E38" s="163"/>
      <c r="F38" s="163"/>
      <c r="G38" s="163"/>
      <c r="H38" s="163"/>
      <c r="I38" s="163"/>
      <c r="J38" s="163"/>
      <c r="K38" s="163"/>
    </row>
    <row r="39" spans="1:12" ht="14.1" customHeight="1">
      <c r="A39" s="152">
        <v>1</v>
      </c>
      <c r="B39" s="1148" t="s">
        <v>287</v>
      </c>
      <c r="C39" s="1148"/>
      <c r="D39" s="1148"/>
      <c r="E39" s="1148"/>
      <c r="F39" s="1148"/>
      <c r="G39" s="1148"/>
      <c r="H39" s="1148"/>
      <c r="I39" s="1148"/>
      <c r="J39" s="1148"/>
      <c r="K39" s="1148"/>
      <c r="L39" s="94"/>
    </row>
    <row r="40" spans="1:12" s="93" customFormat="1" ht="24" customHeight="1">
      <c r="A40" s="152">
        <v>2</v>
      </c>
      <c r="B40" s="1148" t="s">
        <v>529</v>
      </c>
      <c r="C40" s="1148"/>
      <c r="D40" s="1148"/>
      <c r="E40" s="1148"/>
      <c r="F40" s="1148"/>
      <c r="G40" s="1148"/>
      <c r="H40" s="1148"/>
      <c r="I40" s="1148"/>
      <c r="J40" s="1148"/>
      <c r="K40" s="1148"/>
    </row>
    <row r="41" spans="1:12" ht="24" customHeight="1">
      <c r="A41" s="152">
        <v>3</v>
      </c>
      <c r="B41" s="1148" t="s">
        <v>513</v>
      </c>
      <c r="C41" s="1148"/>
      <c r="D41" s="1148"/>
      <c r="E41" s="1148"/>
      <c r="F41" s="1148"/>
      <c r="G41" s="1148"/>
      <c r="H41" s="1148"/>
      <c r="I41" s="1148"/>
      <c r="J41" s="1148"/>
      <c r="K41" s="1148"/>
    </row>
    <row r="42" spans="1:12" ht="28.5" customHeight="1">
      <c r="A42" s="152">
        <v>4</v>
      </c>
      <c r="B42" s="1148" t="s">
        <v>514</v>
      </c>
      <c r="C42" s="1148"/>
      <c r="D42" s="1148"/>
      <c r="E42" s="1148"/>
      <c r="F42" s="1148"/>
      <c r="G42" s="1148"/>
      <c r="H42" s="1148"/>
      <c r="I42" s="1148"/>
      <c r="J42" s="1148"/>
      <c r="K42" s="1148"/>
    </row>
    <row r="43" spans="1:12">
      <c r="A43" s="152">
        <v>5</v>
      </c>
      <c r="B43" s="1148" t="s">
        <v>538</v>
      </c>
      <c r="C43" s="1148"/>
      <c r="D43" s="1148"/>
      <c r="E43" s="1148"/>
      <c r="F43" s="1148"/>
      <c r="G43" s="1148"/>
      <c r="H43" s="1148"/>
      <c r="I43" s="1148"/>
      <c r="J43" s="1148"/>
      <c r="K43" s="1148"/>
    </row>
    <row r="44" spans="1:12">
      <c r="A44" s="152">
        <v>6</v>
      </c>
      <c r="B44" s="1148" t="s">
        <v>515</v>
      </c>
      <c r="C44" s="1148"/>
      <c r="D44" s="1148"/>
      <c r="E44" s="1148"/>
      <c r="F44" s="1148"/>
      <c r="G44" s="1148"/>
      <c r="H44" s="1148"/>
      <c r="I44" s="1148"/>
      <c r="J44" s="1148"/>
      <c r="K44" s="1148"/>
    </row>
    <row r="45" spans="1:12">
      <c r="A45" s="152">
        <v>7</v>
      </c>
      <c r="B45" s="1148" t="s">
        <v>516</v>
      </c>
      <c r="C45" s="1148"/>
      <c r="D45" s="1148"/>
      <c r="E45" s="1148"/>
      <c r="F45" s="1148"/>
      <c r="G45" s="1148"/>
      <c r="H45" s="1148"/>
      <c r="I45" s="1148"/>
      <c r="J45" s="1148"/>
      <c r="K45" s="1148"/>
    </row>
    <row r="46" spans="1:12" ht="23.25" customHeight="1">
      <c r="A46" s="865" t="s">
        <v>298</v>
      </c>
      <c r="B46" s="163"/>
      <c r="C46" s="163"/>
      <c r="D46" s="163"/>
      <c r="E46" s="163"/>
      <c r="F46" s="163"/>
      <c r="G46" s="163"/>
      <c r="H46" s="163"/>
      <c r="I46" s="163"/>
      <c r="J46" s="163"/>
      <c r="K46" s="163"/>
    </row>
    <row r="47" spans="1:12">
      <c r="A47" s="152" t="s">
        <v>246</v>
      </c>
      <c r="B47" s="1148" t="s">
        <v>532</v>
      </c>
      <c r="C47" s="1148"/>
      <c r="D47" s="1148"/>
      <c r="E47" s="1148"/>
      <c r="F47" s="1148"/>
      <c r="G47" s="1148"/>
      <c r="H47" s="1148"/>
      <c r="I47" s="1148"/>
      <c r="J47" s="1148"/>
      <c r="K47" s="1148"/>
    </row>
    <row r="48" spans="1:12" ht="15" customHeight="1">
      <c r="A48" s="152" t="s">
        <v>300</v>
      </c>
      <c r="B48" s="1148" t="s">
        <v>968</v>
      </c>
      <c r="C48" s="1148"/>
      <c r="D48" s="1148"/>
      <c r="E48" s="1148"/>
      <c r="F48" s="1148"/>
      <c r="G48" s="1148"/>
      <c r="H48" s="1148"/>
      <c r="I48" s="1148"/>
      <c r="J48" s="1148"/>
      <c r="K48" s="1148"/>
    </row>
    <row r="49" spans="1:11" ht="15" customHeight="1">
      <c r="A49" s="152" t="s">
        <v>265</v>
      </c>
      <c r="B49" s="1148" t="s">
        <v>521</v>
      </c>
      <c r="C49" s="1148"/>
      <c r="D49" s="1148"/>
      <c r="E49" s="1148"/>
      <c r="F49" s="1148"/>
      <c r="G49" s="1148"/>
      <c r="H49" s="1148"/>
      <c r="I49" s="1148"/>
      <c r="J49" s="1148"/>
      <c r="K49" s="1148"/>
    </row>
    <row r="50" spans="1:11" ht="26.25" customHeight="1">
      <c r="A50" s="152" t="s">
        <v>303</v>
      </c>
      <c r="B50" s="1148" t="s">
        <v>969</v>
      </c>
      <c r="C50" s="1148"/>
      <c r="D50" s="1148"/>
      <c r="E50" s="1148"/>
      <c r="F50" s="1148"/>
      <c r="G50" s="1148"/>
      <c r="H50" s="1148"/>
      <c r="I50" s="1148"/>
      <c r="J50" s="1148"/>
      <c r="K50" s="1148"/>
    </row>
    <row r="51" spans="1:11" ht="14.25" customHeight="1">
      <c r="A51" s="152" t="s">
        <v>305</v>
      </c>
      <c r="B51" s="1148" t="s">
        <v>323</v>
      </c>
      <c r="C51" s="1148"/>
      <c r="D51" s="1148"/>
      <c r="E51" s="1148"/>
      <c r="F51" s="1148"/>
      <c r="G51" s="1148"/>
      <c r="H51" s="1148"/>
      <c r="I51" s="1148"/>
      <c r="J51" s="1148"/>
      <c r="K51" s="1148"/>
    </row>
    <row r="52" spans="1:11" ht="38.25" customHeight="1">
      <c r="A52" s="152" t="s">
        <v>307</v>
      </c>
      <c r="B52" s="1148" t="s">
        <v>523</v>
      </c>
      <c r="C52" s="1148"/>
      <c r="D52" s="1148"/>
      <c r="E52" s="1148"/>
      <c r="F52" s="1148"/>
      <c r="G52" s="1148"/>
      <c r="H52" s="1148"/>
      <c r="I52" s="1148"/>
      <c r="J52" s="1148"/>
      <c r="K52" s="1148"/>
    </row>
    <row r="53" spans="1:11" ht="40.5" customHeight="1">
      <c r="A53" s="152" t="s">
        <v>309</v>
      </c>
      <c r="B53" s="1148" t="s">
        <v>970</v>
      </c>
      <c r="C53" s="1148"/>
      <c r="D53" s="1148"/>
      <c r="E53" s="1148"/>
      <c r="F53" s="1148"/>
      <c r="G53" s="1148"/>
      <c r="H53" s="1148"/>
      <c r="I53" s="1148"/>
      <c r="J53" s="1148"/>
      <c r="K53" s="1148"/>
    </row>
    <row r="54" spans="1:11" ht="38.25" customHeight="1">
      <c r="A54" s="155"/>
    </row>
    <row r="55" spans="1:11" ht="54" customHeight="1"/>
    <row r="56" spans="1:11" ht="39.75" customHeight="1"/>
  </sheetData>
  <mergeCells count="17">
    <mergeCell ref="B53:K53"/>
    <mergeCell ref="B50:K50"/>
    <mergeCell ref="B52:K52"/>
    <mergeCell ref="B41:K41"/>
    <mergeCell ref="B45:K45"/>
    <mergeCell ref="B48:K48"/>
    <mergeCell ref="B49:K49"/>
    <mergeCell ref="B42:K42"/>
    <mergeCell ref="B43:K43"/>
    <mergeCell ref="B44:K44"/>
    <mergeCell ref="B47:K47"/>
    <mergeCell ref="B51:K51"/>
    <mergeCell ref="C3:K3"/>
    <mergeCell ref="F4:G4"/>
    <mergeCell ref="H4:I4"/>
    <mergeCell ref="B39:K39"/>
    <mergeCell ref="B40:K40"/>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D8E23-3C00-4D21-8DAC-8D15B5C4AC0C}">
  <sheetPr codeName="Sheet76">
    <tabColor rgb="FF00B0F0"/>
  </sheetPr>
  <dimension ref="A1:S55"/>
  <sheetViews>
    <sheetView zoomScaleNormal="100" workbookViewId="0">
      <selection activeCell="B47" sqref="B47:K47"/>
    </sheetView>
  </sheetViews>
  <sheetFormatPr defaultColWidth="9.42578125" defaultRowHeight="15" customHeight="1"/>
  <cols>
    <col min="1" max="1" width="3" style="93" customWidth="1"/>
    <col min="2" max="2" width="35.42578125" style="93" customWidth="1"/>
    <col min="3" max="5" width="7.42578125" style="93" customWidth="1"/>
    <col min="6" max="6" width="9" style="93" customWidth="1"/>
    <col min="7" max="7" width="10.28515625" style="93" customWidth="1"/>
    <col min="8" max="8" width="7.42578125" style="93" customWidth="1"/>
    <col min="9" max="9" width="9.85546875" style="93" customWidth="1"/>
    <col min="10" max="11" width="7.42578125" style="93" customWidth="1"/>
    <col min="12" max="12" width="6.5703125" style="93" customWidth="1"/>
    <col min="13" max="13" width="10.42578125" style="383" customWidth="1"/>
    <col min="14" max="14" width="9.5703125" style="383" customWidth="1"/>
    <col min="15" max="15" width="10" style="383" customWidth="1"/>
    <col min="16" max="16" width="7.5703125" style="383" customWidth="1"/>
    <col min="17" max="17" width="7.42578125" style="383" customWidth="1"/>
    <col min="18" max="18" width="7.5703125" style="383" customWidth="1"/>
    <col min="19" max="16384" width="9.42578125" style="383"/>
  </cols>
  <sheetData>
    <row r="1" spans="1:19" ht="20.25">
      <c r="B1" s="92" t="s">
        <v>234</v>
      </c>
    </row>
    <row r="3" spans="1:19">
      <c r="B3" s="866" t="s">
        <v>145</v>
      </c>
      <c r="C3" s="1162" t="s">
        <v>539</v>
      </c>
      <c r="D3" s="1162"/>
      <c r="E3" s="1162"/>
      <c r="F3" s="1162"/>
      <c r="G3" s="1162"/>
      <c r="H3" s="1162"/>
      <c r="I3" s="1162"/>
      <c r="J3" s="1162"/>
      <c r="K3" s="1163"/>
      <c r="M3" s="1143"/>
      <c r="N3" s="1172"/>
      <c r="O3" s="1172"/>
      <c r="P3" s="1172"/>
      <c r="Q3" s="1172"/>
      <c r="R3" s="1172"/>
    </row>
    <row r="4" spans="1:19" s="869" customFormat="1" ht="18.75" customHeight="1">
      <c r="A4" s="177"/>
      <c r="B4" s="867"/>
      <c r="C4" s="534">
        <v>2023</v>
      </c>
      <c r="D4" s="534">
        <v>2030</v>
      </c>
      <c r="E4" s="534">
        <v>2050</v>
      </c>
      <c r="F4" s="1161" t="s">
        <v>236</v>
      </c>
      <c r="G4" s="1163"/>
      <c r="H4" s="1161" t="s">
        <v>237</v>
      </c>
      <c r="I4" s="1163"/>
      <c r="J4" s="534" t="s">
        <v>238</v>
      </c>
      <c r="K4" s="534" t="s">
        <v>239</v>
      </c>
      <c r="L4" s="177"/>
      <c r="M4" s="868"/>
      <c r="N4" s="868"/>
      <c r="O4" s="868"/>
      <c r="P4" s="868"/>
      <c r="Q4" s="868"/>
      <c r="R4" s="868"/>
    </row>
    <row r="5" spans="1:19">
      <c r="B5" s="542" t="s">
        <v>240</v>
      </c>
      <c r="C5" s="532"/>
      <c r="D5" s="532"/>
      <c r="E5" s="532"/>
      <c r="F5" s="532" t="s">
        <v>241</v>
      </c>
      <c r="G5" s="532" t="s">
        <v>242</v>
      </c>
      <c r="H5" s="532" t="s">
        <v>241</v>
      </c>
      <c r="I5" s="532" t="s">
        <v>242</v>
      </c>
      <c r="J5" s="532"/>
      <c r="K5" s="671"/>
      <c r="M5" s="1146"/>
      <c r="N5" s="1146"/>
      <c r="O5" s="1146"/>
      <c r="P5" s="1146"/>
      <c r="Q5" s="1146"/>
      <c r="R5" s="1146"/>
    </row>
    <row r="6" spans="1:19">
      <c r="B6" s="874" t="s">
        <v>243</v>
      </c>
      <c r="C6" s="704">
        <v>7</v>
      </c>
      <c r="D6" s="704">
        <v>16</v>
      </c>
      <c r="E6" s="704">
        <v>20</v>
      </c>
      <c r="F6" s="706"/>
      <c r="G6" s="706"/>
      <c r="H6" s="706"/>
      <c r="I6" s="706"/>
      <c r="J6" s="674"/>
      <c r="K6" s="675" t="s">
        <v>835</v>
      </c>
      <c r="M6" s="1139"/>
      <c r="N6" s="1173"/>
      <c r="O6" s="1173"/>
      <c r="P6" s="1173"/>
      <c r="Q6" s="1173"/>
      <c r="R6" s="1173"/>
    </row>
    <row r="7" spans="1:19">
      <c r="B7" s="874" t="s">
        <v>540</v>
      </c>
      <c r="C7" s="704">
        <v>35</v>
      </c>
      <c r="D7" s="704">
        <v>500</v>
      </c>
      <c r="E7" s="704">
        <v>1000</v>
      </c>
      <c r="F7" s="704"/>
      <c r="G7" s="704"/>
      <c r="H7" s="704"/>
      <c r="I7" s="704"/>
      <c r="J7" s="674"/>
      <c r="K7" s="675" t="s">
        <v>314</v>
      </c>
      <c r="M7" s="110"/>
      <c r="N7" s="384"/>
      <c r="O7" s="384"/>
      <c r="P7" s="384"/>
      <c r="Q7" s="384"/>
      <c r="R7" s="384"/>
    </row>
    <row r="8" spans="1:19">
      <c r="B8" s="874" t="s">
        <v>245</v>
      </c>
      <c r="C8" s="704"/>
      <c r="D8" s="704"/>
      <c r="E8" s="704"/>
      <c r="F8" s="704"/>
      <c r="G8" s="704"/>
      <c r="H8" s="704"/>
      <c r="I8" s="704"/>
      <c r="J8" s="674"/>
      <c r="K8" s="678"/>
      <c r="M8" s="113"/>
      <c r="N8" s="113"/>
      <c r="O8" s="113"/>
      <c r="P8" s="113"/>
      <c r="Q8" s="113"/>
      <c r="R8" s="113"/>
    </row>
    <row r="9" spans="1:19">
      <c r="B9" s="877" t="s">
        <v>247</v>
      </c>
      <c r="C9" s="704"/>
      <c r="D9" s="704"/>
      <c r="E9" s="704"/>
      <c r="F9" s="704"/>
      <c r="G9" s="704"/>
      <c r="H9" s="704"/>
      <c r="I9" s="704"/>
      <c r="J9" s="676"/>
      <c r="K9" s="855"/>
      <c r="M9" s="113"/>
      <c r="N9" s="113"/>
      <c r="O9" s="113"/>
      <c r="P9" s="113"/>
      <c r="Q9" s="113"/>
      <c r="R9" s="113"/>
    </row>
    <row r="10" spans="1:19">
      <c r="B10" s="874" t="s">
        <v>248</v>
      </c>
      <c r="C10" s="878">
        <v>6</v>
      </c>
      <c r="D10" s="878">
        <v>4</v>
      </c>
      <c r="E10" s="878">
        <v>4</v>
      </c>
      <c r="F10" s="878"/>
      <c r="G10" s="878"/>
      <c r="H10" s="878"/>
      <c r="I10" s="878"/>
      <c r="J10" s="674"/>
      <c r="K10" s="675">
        <v>3</v>
      </c>
      <c r="M10" s="116"/>
      <c r="N10" s="116"/>
      <c r="O10" s="116"/>
      <c r="P10" s="116"/>
      <c r="Q10" s="116"/>
      <c r="R10" s="113"/>
    </row>
    <row r="11" spans="1:19">
      <c r="B11" s="871" t="s">
        <v>541</v>
      </c>
      <c r="C11" s="706">
        <v>0.6</v>
      </c>
      <c r="D11" s="706">
        <v>0.6</v>
      </c>
      <c r="E11" s="706">
        <v>0.6</v>
      </c>
      <c r="F11" s="870"/>
      <c r="G11" s="870"/>
      <c r="H11" s="870"/>
      <c r="I11" s="870"/>
      <c r="J11" s="674"/>
      <c r="K11" s="675">
        <v>3</v>
      </c>
      <c r="M11" s="116"/>
      <c r="N11" s="116"/>
      <c r="O11" s="116"/>
      <c r="P11" s="116"/>
      <c r="Q11" s="116"/>
      <c r="R11" s="113"/>
    </row>
    <row r="12" spans="1:19">
      <c r="B12" s="871" t="s">
        <v>250</v>
      </c>
      <c r="C12" s="704">
        <v>20</v>
      </c>
      <c r="D12" s="704">
        <v>25</v>
      </c>
      <c r="E12" s="704">
        <v>30</v>
      </c>
      <c r="F12" s="704"/>
      <c r="G12" s="704"/>
      <c r="H12" s="704"/>
      <c r="I12" s="704"/>
      <c r="J12" s="674"/>
      <c r="K12" s="675">
        <v>4</v>
      </c>
      <c r="M12" s="109"/>
      <c r="N12" s="109"/>
      <c r="O12" s="109"/>
      <c r="P12" s="109"/>
      <c r="Q12" s="109"/>
      <c r="R12" s="109"/>
      <c r="S12" s="109"/>
    </row>
    <row r="13" spans="1:19">
      <c r="B13" s="871" t="s">
        <v>252</v>
      </c>
      <c r="C13" s="706">
        <v>3</v>
      </c>
      <c r="D13" s="706">
        <v>2.5</v>
      </c>
      <c r="E13" s="706">
        <v>2.5</v>
      </c>
      <c r="F13" s="674"/>
      <c r="G13" s="674"/>
      <c r="H13" s="674"/>
      <c r="I13" s="704"/>
      <c r="J13" s="674"/>
      <c r="K13" s="675">
        <v>4</v>
      </c>
      <c r="M13" s="109"/>
      <c r="N13" s="109"/>
      <c r="O13" s="109"/>
      <c r="P13" s="109"/>
      <c r="Q13" s="109"/>
      <c r="R13" s="109"/>
      <c r="S13" s="109"/>
    </row>
    <row r="14" spans="1:19">
      <c r="B14" s="728" t="s">
        <v>971</v>
      </c>
      <c r="C14" s="704">
        <v>185</v>
      </c>
      <c r="D14" s="704">
        <v>185</v>
      </c>
      <c r="E14" s="704">
        <v>185</v>
      </c>
      <c r="F14" s="678"/>
      <c r="G14" s="678"/>
      <c r="H14" s="678"/>
      <c r="I14" s="678"/>
      <c r="J14" s="709"/>
      <c r="K14" s="674">
        <v>4</v>
      </c>
      <c r="M14" s="109"/>
      <c r="N14" s="109"/>
      <c r="O14" s="109"/>
      <c r="P14" s="109"/>
      <c r="Q14" s="109"/>
      <c r="R14" s="109"/>
      <c r="S14" s="109"/>
    </row>
    <row r="15" spans="1:19">
      <c r="B15" s="541" t="s">
        <v>255</v>
      </c>
      <c r="C15" s="712"/>
      <c r="D15" s="712"/>
      <c r="E15" s="712"/>
      <c r="F15" s="712"/>
      <c r="G15" s="712"/>
      <c r="H15" s="712"/>
      <c r="I15" s="712"/>
      <c r="J15" s="712"/>
      <c r="K15" s="751"/>
      <c r="M15" s="109"/>
      <c r="N15" s="109"/>
      <c r="O15" s="109"/>
      <c r="P15" s="109"/>
      <c r="Q15" s="109"/>
      <c r="R15" s="109"/>
      <c r="S15" s="109"/>
    </row>
    <row r="16" spans="1:19">
      <c r="B16" s="728" t="s">
        <v>256</v>
      </c>
      <c r="C16" s="879">
        <v>0.36</v>
      </c>
      <c r="D16" s="879">
        <v>0.38</v>
      </c>
      <c r="E16" s="879">
        <v>0.4</v>
      </c>
      <c r="F16" s="678" t="s">
        <v>146</v>
      </c>
      <c r="G16" s="678" t="s">
        <v>146</v>
      </c>
      <c r="H16" s="678" t="s">
        <v>146</v>
      </c>
      <c r="I16" s="678" t="s">
        <v>146</v>
      </c>
      <c r="J16" s="709" t="s">
        <v>303</v>
      </c>
      <c r="K16" s="678"/>
      <c r="M16" s="109"/>
      <c r="N16" s="109"/>
      <c r="O16" s="109"/>
      <c r="P16" s="109"/>
      <c r="Q16" s="109"/>
      <c r="R16" s="109"/>
      <c r="S16" s="109"/>
    </row>
    <row r="17" spans="2:19">
      <c r="B17" s="728" t="s">
        <v>257</v>
      </c>
      <c r="C17" s="863">
        <f>C16*(1-C10%-C11%)</f>
        <v>0.33623999999999998</v>
      </c>
      <c r="D17" s="863">
        <f t="shared" ref="D17:E17" si="0">D16*(1-D10%-D11%)</f>
        <v>0.36252000000000001</v>
      </c>
      <c r="E17" s="863">
        <f t="shared" si="0"/>
        <v>0.38159999999999999</v>
      </c>
      <c r="F17" s="726" t="s">
        <v>146</v>
      </c>
      <c r="G17" s="726" t="s">
        <v>146</v>
      </c>
      <c r="H17" s="726" t="s">
        <v>146</v>
      </c>
      <c r="I17" s="726" t="s">
        <v>146</v>
      </c>
      <c r="J17" s="709"/>
      <c r="K17" s="678"/>
      <c r="L17" s="219"/>
      <c r="M17" s="219"/>
      <c r="N17" s="219"/>
      <c r="O17" s="109"/>
      <c r="P17" s="109"/>
      <c r="Q17" s="109"/>
      <c r="R17" s="109"/>
      <c r="S17" s="109"/>
    </row>
    <row r="18" spans="2:19">
      <c r="B18" s="542" t="s">
        <v>258</v>
      </c>
      <c r="C18" s="681"/>
      <c r="D18" s="681"/>
      <c r="E18" s="681"/>
      <c r="F18" s="681"/>
      <c r="G18" s="681"/>
      <c r="H18" s="681"/>
      <c r="I18" s="681"/>
      <c r="J18" s="681"/>
      <c r="K18" s="682"/>
      <c r="M18" s="109"/>
      <c r="N18" s="109"/>
      <c r="O18" s="109"/>
      <c r="P18" s="109"/>
      <c r="Q18" s="109"/>
      <c r="R18" s="109"/>
      <c r="S18" s="109"/>
    </row>
    <row r="19" spans="2:19">
      <c r="B19" s="871" t="s">
        <v>259</v>
      </c>
      <c r="C19" s="704" t="s">
        <v>146</v>
      </c>
      <c r="D19" s="704" t="s">
        <v>146</v>
      </c>
      <c r="E19" s="704" t="s">
        <v>146</v>
      </c>
      <c r="F19" s="704" t="s">
        <v>146</v>
      </c>
      <c r="G19" s="704" t="s">
        <v>146</v>
      </c>
      <c r="H19" s="704" t="s">
        <v>146</v>
      </c>
      <c r="I19" s="717" t="s">
        <v>146</v>
      </c>
      <c r="J19" s="709" t="s">
        <v>300</v>
      </c>
      <c r="K19" s="675"/>
      <c r="L19" s="130"/>
      <c r="M19" s="109"/>
      <c r="N19" s="109"/>
      <c r="O19" s="109"/>
      <c r="P19" s="109"/>
      <c r="Q19" s="109"/>
      <c r="R19" s="109"/>
      <c r="S19" s="109"/>
    </row>
    <row r="20" spans="2:19">
      <c r="B20" s="871" t="s">
        <v>260</v>
      </c>
      <c r="C20" s="704" t="s">
        <v>146</v>
      </c>
      <c r="D20" s="704" t="s">
        <v>146</v>
      </c>
      <c r="E20" s="704" t="s">
        <v>146</v>
      </c>
      <c r="F20" s="704" t="s">
        <v>146</v>
      </c>
      <c r="G20" s="704" t="s">
        <v>146</v>
      </c>
      <c r="H20" s="704" t="s">
        <v>146</v>
      </c>
      <c r="I20" s="717" t="s">
        <v>146</v>
      </c>
      <c r="J20" s="709" t="s">
        <v>300</v>
      </c>
      <c r="K20" s="675"/>
      <c r="M20" s="109"/>
      <c r="N20" s="109"/>
      <c r="O20" s="109"/>
      <c r="P20" s="109"/>
      <c r="Q20" s="109"/>
      <c r="R20" s="109"/>
      <c r="S20" s="109"/>
    </row>
    <row r="21" spans="2:19">
      <c r="B21" s="871" t="s">
        <v>261</v>
      </c>
      <c r="C21" s="704" t="s">
        <v>146</v>
      </c>
      <c r="D21" s="704" t="s">
        <v>146</v>
      </c>
      <c r="E21" s="704" t="s">
        <v>146</v>
      </c>
      <c r="F21" s="704" t="s">
        <v>146</v>
      </c>
      <c r="G21" s="704" t="s">
        <v>146</v>
      </c>
      <c r="H21" s="704" t="s">
        <v>146</v>
      </c>
      <c r="I21" s="717" t="s">
        <v>146</v>
      </c>
      <c r="J21" s="709"/>
      <c r="K21" s="675"/>
      <c r="M21" s="109"/>
      <c r="N21" s="109"/>
      <c r="O21" s="109"/>
      <c r="P21" s="109"/>
      <c r="Q21" s="109"/>
      <c r="R21" s="109"/>
      <c r="S21" s="109"/>
    </row>
    <row r="22" spans="2:19">
      <c r="B22" s="871" t="s">
        <v>262</v>
      </c>
      <c r="C22" s="704" t="s">
        <v>146</v>
      </c>
      <c r="D22" s="704" t="s">
        <v>146</v>
      </c>
      <c r="E22" s="704" t="s">
        <v>146</v>
      </c>
      <c r="F22" s="704" t="s">
        <v>146</v>
      </c>
      <c r="G22" s="704" t="s">
        <v>146</v>
      </c>
      <c r="H22" s="704" t="s">
        <v>146</v>
      </c>
      <c r="I22" s="717" t="s">
        <v>146</v>
      </c>
      <c r="J22" s="709"/>
      <c r="K22" s="675"/>
      <c r="M22" s="109"/>
      <c r="N22" s="109"/>
      <c r="O22" s="109"/>
      <c r="P22" s="109"/>
      <c r="Q22" s="109"/>
      <c r="R22" s="109"/>
      <c r="S22" s="109"/>
    </row>
    <row r="23" spans="2:19">
      <c r="B23" s="542" t="s">
        <v>263</v>
      </c>
      <c r="C23" s="872"/>
      <c r="D23" s="532"/>
      <c r="E23" s="532"/>
      <c r="F23" s="532"/>
      <c r="G23" s="532"/>
      <c r="H23" s="532"/>
      <c r="I23" s="532"/>
      <c r="J23" s="532"/>
      <c r="K23" s="671"/>
      <c r="M23" s="109"/>
      <c r="N23" s="109"/>
      <c r="O23" s="109"/>
      <c r="P23" s="109"/>
      <c r="Q23" s="109"/>
      <c r="R23" s="109"/>
      <c r="S23" s="109"/>
    </row>
    <row r="24" spans="2:19">
      <c r="B24" s="871" t="s">
        <v>443</v>
      </c>
      <c r="C24" s="708"/>
      <c r="D24" s="708"/>
      <c r="E24" s="708"/>
      <c r="F24" s="708"/>
      <c r="G24" s="708"/>
      <c r="H24" s="708"/>
      <c r="I24" s="708"/>
      <c r="J24" s="722"/>
      <c r="K24" s="675"/>
      <c r="M24" s="109"/>
      <c r="N24" s="109"/>
      <c r="O24" s="109"/>
      <c r="P24" s="109"/>
      <c r="Q24" s="109"/>
      <c r="R24" s="109"/>
      <c r="S24" s="109"/>
    </row>
    <row r="25" spans="2:19">
      <c r="B25" s="871" t="s">
        <v>444</v>
      </c>
      <c r="C25" s="708"/>
      <c r="D25" s="708"/>
      <c r="E25" s="708"/>
      <c r="F25" s="708"/>
      <c r="G25" s="708"/>
      <c r="H25" s="708"/>
      <c r="I25" s="708"/>
      <c r="J25" s="722"/>
      <c r="K25" s="675"/>
      <c r="M25" s="109"/>
      <c r="N25" s="109"/>
      <c r="O25" s="109"/>
      <c r="P25" s="109"/>
      <c r="Q25" s="109"/>
      <c r="R25" s="109"/>
      <c r="S25" s="109"/>
    </row>
    <row r="26" spans="2:19">
      <c r="B26" s="871" t="s">
        <v>445</v>
      </c>
      <c r="C26" s="708"/>
      <c r="D26" s="708"/>
      <c r="E26" s="708"/>
      <c r="F26" s="708"/>
      <c r="G26" s="708"/>
      <c r="H26" s="708"/>
      <c r="I26" s="708"/>
      <c r="J26" s="723"/>
      <c r="K26" s="675"/>
      <c r="M26" s="109"/>
      <c r="N26" s="109"/>
      <c r="O26" s="109"/>
      <c r="P26" s="109"/>
      <c r="Q26" s="109"/>
      <c r="R26" s="109"/>
      <c r="S26" s="109"/>
    </row>
    <row r="27" spans="2:19">
      <c r="B27" s="542" t="s">
        <v>270</v>
      </c>
      <c r="C27" s="532"/>
      <c r="D27" s="532"/>
      <c r="E27" s="532"/>
      <c r="F27" s="532"/>
      <c r="G27" s="532"/>
      <c r="H27" s="532"/>
      <c r="I27" s="532"/>
      <c r="J27" s="532"/>
      <c r="K27" s="671"/>
      <c r="M27" s="109"/>
      <c r="N27" s="109"/>
      <c r="O27" s="109"/>
      <c r="P27" s="109"/>
      <c r="Q27" s="109"/>
      <c r="R27" s="109"/>
      <c r="S27" s="109"/>
    </row>
    <row r="28" spans="2:19">
      <c r="B28" s="871" t="s">
        <v>542</v>
      </c>
      <c r="C28" s="679">
        <v>5.5</v>
      </c>
      <c r="D28" s="861">
        <v>4</v>
      </c>
      <c r="E28" s="861">
        <v>3</v>
      </c>
      <c r="F28" s="706">
        <v>4</v>
      </c>
      <c r="G28" s="706">
        <v>7</v>
      </c>
      <c r="H28" s="706">
        <v>2</v>
      </c>
      <c r="I28" s="707">
        <v>4</v>
      </c>
      <c r="J28" s="709"/>
      <c r="K28" s="675" t="s">
        <v>543</v>
      </c>
      <c r="L28" s="154"/>
      <c r="M28" s="779"/>
      <c r="N28" s="779"/>
      <c r="O28" s="109"/>
      <c r="P28" s="109"/>
      <c r="Q28" s="109"/>
      <c r="R28" s="109"/>
      <c r="S28" s="109"/>
    </row>
    <row r="29" spans="2:19">
      <c r="B29" s="871" t="s">
        <v>544</v>
      </c>
      <c r="C29" s="880">
        <v>80</v>
      </c>
      <c r="D29" s="880">
        <v>65</v>
      </c>
      <c r="E29" s="880">
        <v>60</v>
      </c>
      <c r="F29" s="873"/>
      <c r="G29" s="873"/>
      <c r="H29" s="873"/>
      <c r="I29" s="873"/>
      <c r="J29" s="709" t="s">
        <v>246</v>
      </c>
      <c r="K29" s="709"/>
      <c r="M29" s="109"/>
      <c r="N29" s="109"/>
      <c r="O29" s="109"/>
      <c r="P29" s="109"/>
      <c r="Q29" s="109"/>
      <c r="R29" s="109"/>
      <c r="S29" s="109"/>
    </row>
    <row r="30" spans="2:19">
      <c r="B30" s="871" t="s">
        <v>545</v>
      </c>
      <c r="C30" s="880">
        <v>20</v>
      </c>
      <c r="D30" s="880">
        <v>35</v>
      </c>
      <c r="E30" s="880">
        <v>40</v>
      </c>
      <c r="F30" s="873"/>
      <c r="G30" s="873"/>
      <c r="H30" s="873"/>
      <c r="I30" s="873"/>
      <c r="J30" s="709" t="s">
        <v>246</v>
      </c>
      <c r="K30" s="709"/>
      <c r="M30" s="109"/>
      <c r="N30" s="109"/>
      <c r="O30" s="109"/>
      <c r="P30" s="109"/>
      <c r="Q30" s="109"/>
      <c r="R30" s="109"/>
      <c r="S30" s="109"/>
    </row>
    <row r="31" spans="2:19">
      <c r="B31" s="871" t="s">
        <v>276</v>
      </c>
      <c r="C31" s="745">
        <v>155000</v>
      </c>
      <c r="D31" s="745">
        <v>125000</v>
      </c>
      <c r="E31" s="745">
        <v>65000</v>
      </c>
      <c r="F31" s="745">
        <v>140000</v>
      </c>
      <c r="G31" s="745">
        <v>180000</v>
      </c>
      <c r="H31" s="729">
        <f>ABS(E31*(1-0.2))</f>
        <v>52000</v>
      </c>
      <c r="I31" s="729">
        <f>MROUND(ABS(E31*(1+0.25)),1000)</f>
        <v>81000</v>
      </c>
      <c r="J31" s="709" t="s">
        <v>265</v>
      </c>
      <c r="K31" s="709" t="s">
        <v>972</v>
      </c>
      <c r="M31" s="109"/>
      <c r="N31" s="109"/>
      <c r="O31" s="109"/>
      <c r="P31" s="109"/>
      <c r="Q31" s="109"/>
      <c r="R31" s="109"/>
      <c r="S31" s="109"/>
    </row>
    <row r="32" spans="2:19">
      <c r="B32" s="871" t="s">
        <v>279</v>
      </c>
      <c r="C32" s="881" t="s">
        <v>146</v>
      </c>
      <c r="D32" s="881" t="s">
        <v>146</v>
      </c>
      <c r="E32" s="881" t="s">
        <v>146</v>
      </c>
      <c r="F32" s="864"/>
      <c r="G32" s="864"/>
      <c r="H32" s="864"/>
      <c r="I32" s="759"/>
      <c r="J32" s="709" t="s">
        <v>265</v>
      </c>
      <c r="K32" s="709" t="s">
        <v>972</v>
      </c>
      <c r="M32" s="109"/>
      <c r="N32" s="109"/>
      <c r="O32" s="109"/>
      <c r="P32" s="109"/>
      <c r="Q32" s="109"/>
      <c r="R32" s="109"/>
      <c r="S32" s="109"/>
    </row>
    <row r="33" spans="1:19">
      <c r="B33" s="871" t="s">
        <v>282</v>
      </c>
      <c r="C33" s="704">
        <v>0</v>
      </c>
      <c r="D33" s="704">
        <v>0</v>
      </c>
      <c r="E33" s="704">
        <v>0</v>
      </c>
      <c r="F33" s="704"/>
      <c r="G33" s="704"/>
      <c r="H33" s="704"/>
      <c r="I33" s="729"/>
      <c r="J33" s="709"/>
      <c r="K33" s="675"/>
      <c r="M33" s="109"/>
      <c r="N33" s="109"/>
      <c r="O33" s="109"/>
      <c r="P33" s="109"/>
      <c r="Q33" s="109"/>
      <c r="R33" s="109"/>
      <c r="S33" s="109"/>
    </row>
    <row r="34" spans="1:19">
      <c r="B34" s="542" t="s">
        <v>283</v>
      </c>
      <c r="C34" s="532"/>
      <c r="D34" s="532"/>
      <c r="E34" s="532"/>
      <c r="F34" s="532"/>
      <c r="G34" s="532"/>
      <c r="H34" s="532"/>
      <c r="I34" s="532"/>
      <c r="J34" s="532"/>
      <c r="K34" s="671"/>
      <c r="M34" s="109"/>
      <c r="N34" s="109"/>
      <c r="O34" s="109"/>
      <c r="P34" s="109"/>
      <c r="Q34" s="109"/>
      <c r="R34" s="109"/>
      <c r="S34" s="109"/>
    </row>
    <row r="35" spans="1:19">
      <c r="B35" s="874" t="s">
        <v>546</v>
      </c>
      <c r="C35" s="882">
        <v>150</v>
      </c>
      <c r="D35" s="729">
        <v>200</v>
      </c>
      <c r="E35" s="729">
        <v>250</v>
      </c>
      <c r="F35" s="729"/>
      <c r="G35" s="729"/>
      <c r="H35" s="729"/>
      <c r="I35" s="729"/>
      <c r="J35" s="730"/>
      <c r="K35" s="729">
        <v>1</v>
      </c>
      <c r="M35" s="109"/>
      <c r="N35" s="109"/>
      <c r="O35" s="109"/>
      <c r="P35" s="109"/>
      <c r="Q35" s="109"/>
      <c r="R35" s="109"/>
      <c r="S35" s="109"/>
    </row>
    <row r="36" spans="1:19">
      <c r="B36" s="874" t="s">
        <v>547</v>
      </c>
      <c r="C36" s="882">
        <v>100</v>
      </c>
      <c r="D36" s="729">
        <v>170</v>
      </c>
      <c r="E36" s="729">
        <v>180</v>
      </c>
      <c r="F36" s="729"/>
      <c r="G36" s="729"/>
      <c r="H36" s="729"/>
      <c r="I36" s="729"/>
      <c r="J36" s="730"/>
      <c r="K36" s="729">
        <v>1</v>
      </c>
      <c r="M36" s="109"/>
      <c r="N36" s="109"/>
      <c r="O36" s="109"/>
      <c r="P36" s="109"/>
      <c r="Q36" s="109"/>
      <c r="R36" s="109"/>
      <c r="S36" s="109"/>
    </row>
    <row r="37" spans="1:19">
      <c r="B37" s="874" t="s">
        <v>548</v>
      </c>
      <c r="C37" s="883">
        <f>C6*10^6/(PI()*C35^2/4)</f>
        <v>396.11896947316171</v>
      </c>
      <c r="D37" s="883">
        <f t="shared" ref="D37:E37" si="1">D6*10^6/(PI()*D35^2/4)</f>
        <v>509.29581789406507</v>
      </c>
      <c r="E37" s="883">
        <f t="shared" si="1"/>
        <v>407.4366543152521</v>
      </c>
      <c r="F37" s="729"/>
      <c r="G37" s="729"/>
      <c r="H37" s="729"/>
      <c r="I37" s="729"/>
      <c r="J37" s="730"/>
      <c r="K37" s="729">
        <v>1</v>
      </c>
      <c r="M37" s="109"/>
      <c r="N37" s="109"/>
      <c r="O37" s="109"/>
      <c r="P37" s="109"/>
      <c r="Q37" s="109"/>
      <c r="R37" s="109"/>
      <c r="S37" s="109"/>
    </row>
    <row r="38" spans="1:19">
      <c r="B38" s="874" t="s">
        <v>549</v>
      </c>
      <c r="C38" s="725">
        <f>100%-C10%</f>
        <v>0.94</v>
      </c>
      <c r="D38" s="725">
        <f t="shared" ref="D38:E38" si="2">100%-D10%</f>
        <v>0.96</v>
      </c>
      <c r="E38" s="725">
        <f t="shared" si="2"/>
        <v>0.96</v>
      </c>
      <c r="F38" s="875"/>
      <c r="G38" s="875"/>
      <c r="H38" s="875"/>
      <c r="I38" s="875"/>
      <c r="J38" s="730"/>
      <c r="K38" s="729">
        <v>3</v>
      </c>
      <c r="M38" s="109"/>
      <c r="N38" s="109"/>
      <c r="O38" s="109"/>
      <c r="P38" s="109"/>
      <c r="Q38" s="109"/>
      <c r="R38" s="109"/>
      <c r="S38" s="109"/>
    </row>
    <row r="39" spans="1:19">
      <c r="B39" s="227"/>
      <c r="C39" s="170"/>
      <c r="D39" s="170"/>
      <c r="E39" s="170"/>
      <c r="F39" s="170"/>
      <c r="G39" s="170"/>
      <c r="H39" s="170"/>
      <c r="I39" s="170"/>
      <c r="J39" s="170"/>
      <c r="K39" s="170"/>
      <c r="M39" s="113"/>
      <c r="N39" s="113"/>
      <c r="O39" s="113"/>
      <c r="P39" s="113"/>
      <c r="Q39" s="113"/>
      <c r="R39" s="113"/>
    </row>
    <row r="40" spans="1:19" s="93" customFormat="1" ht="12">
      <c r="A40" s="130" t="s">
        <v>286</v>
      </c>
      <c r="C40" s="150"/>
      <c r="D40" s="150"/>
      <c r="E40" s="150"/>
      <c r="F40" s="150"/>
      <c r="G40" s="150"/>
    </row>
    <row r="41" spans="1:19" s="93" customFormat="1" ht="15" customHeight="1">
      <c r="A41" s="152">
        <v>1</v>
      </c>
      <c r="B41" s="1148" t="s">
        <v>550</v>
      </c>
      <c r="C41" s="1148"/>
      <c r="D41" s="1148"/>
      <c r="E41" s="1148"/>
      <c r="F41" s="1148"/>
      <c r="G41" s="1148"/>
      <c r="H41" s="1148"/>
      <c r="I41" s="1148"/>
      <c r="J41" s="1148"/>
      <c r="K41" s="1148"/>
    </row>
    <row r="42" spans="1:19" s="93" customFormat="1" ht="15" customHeight="1">
      <c r="A42" s="152">
        <v>2</v>
      </c>
      <c r="B42" s="1148" t="s">
        <v>551</v>
      </c>
      <c r="C42" s="1148"/>
      <c r="D42" s="1148"/>
      <c r="E42" s="1148"/>
      <c r="F42" s="1148"/>
      <c r="G42" s="1148"/>
      <c r="H42" s="1148"/>
      <c r="I42" s="1148"/>
      <c r="J42" s="1148"/>
      <c r="K42" s="1148"/>
    </row>
    <row r="43" spans="1:19" s="93" customFormat="1" ht="18" customHeight="1">
      <c r="A43" s="152">
        <v>3</v>
      </c>
      <c r="B43" s="1148" t="s">
        <v>552</v>
      </c>
      <c r="C43" s="1148"/>
      <c r="D43" s="1148"/>
      <c r="E43" s="1148"/>
      <c r="F43" s="1148"/>
      <c r="G43" s="1148"/>
      <c r="H43" s="1148"/>
      <c r="I43" s="1148"/>
      <c r="J43" s="1148"/>
      <c r="K43" s="1148"/>
    </row>
    <row r="44" spans="1:19" ht="15.75" customHeight="1">
      <c r="A44" s="152">
        <v>4</v>
      </c>
      <c r="B44" s="1148" t="s">
        <v>553</v>
      </c>
      <c r="C44" s="1148"/>
      <c r="D44" s="1148"/>
      <c r="E44" s="1148"/>
      <c r="F44" s="1148"/>
      <c r="G44" s="1148"/>
      <c r="H44" s="1148"/>
      <c r="I44" s="1148"/>
      <c r="J44" s="1148"/>
      <c r="K44" s="1148"/>
    </row>
    <row r="45" spans="1:19">
      <c r="A45" s="152">
        <v>5</v>
      </c>
      <c r="B45" s="1148" t="s">
        <v>554</v>
      </c>
      <c r="C45" s="1148"/>
      <c r="D45" s="1148"/>
      <c r="E45" s="1148"/>
      <c r="F45" s="1148"/>
      <c r="G45" s="1148"/>
      <c r="H45" s="1148"/>
      <c r="I45" s="1148"/>
      <c r="J45" s="1148"/>
      <c r="K45" s="1148"/>
    </row>
    <row r="46" spans="1:19">
      <c r="A46" s="152">
        <v>6</v>
      </c>
      <c r="B46" s="1148" t="s">
        <v>555</v>
      </c>
      <c r="C46" s="1148"/>
      <c r="D46" s="1148"/>
      <c r="E46" s="1148"/>
      <c r="F46" s="1148"/>
      <c r="G46" s="1148"/>
      <c r="H46" s="1148"/>
      <c r="I46" s="1148"/>
      <c r="J46" s="1148"/>
      <c r="K46" s="1148"/>
    </row>
    <row r="47" spans="1:19">
      <c r="A47" s="130" t="s">
        <v>298</v>
      </c>
    </row>
    <row r="48" spans="1:19" ht="26.1" customHeight="1">
      <c r="A48" s="152" t="s">
        <v>246</v>
      </c>
      <c r="B48" s="1148" t="s">
        <v>521</v>
      </c>
      <c r="C48" s="1148"/>
      <c r="D48" s="1148"/>
      <c r="E48" s="1148"/>
      <c r="F48" s="1148"/>
      <c r="G48" s="1148"/>
      <c r="H48" s="1148"/>
      <c r="I48" s="1148"/>
      <c r="J48" s="1148"/>
      <c r="K48" s="1148"/>
    </row>
    <row r="49" spans="1:14" ht="36" customHeight="1">
      <c r="A49" s="152" t="s">
        <v>300</v>
      </c>
      <c r="B49" s="1148" t="s">
        <v>523</v>
      </c>
      <c r="C49" s="1148"/>
      <c r="D49" s="1148"/>
      <c r="E49" s="1148"/>
      <c r="F49" s="1148"/>
      <c r="G49" s="1148"/>
      <c r="H49" s="1148"/>
      <c r="I49" s="1148"/>
      <c r="J49" s="1148"/>
      <c r="K49" s="1148"/>
    </row>
    <row r="50" spans="1:14">
      <c r="A50" s="152" t="s">
        <v>265</v>
      </c>
      <c r="B50" s="1148" t="s">
        <v>973</v>
      </c>
      <c r="C50" s="1148"/>
      <c r="D50" s="1148"/>
      <c r="E50" s="1148"/>
      <c r="F50" s="1148"/>
      <c r="G50" s="1148"/>
      <c r="H50" s="1148"/>
      <c r="I50" s="1148"/>
      <c r="J50" s="1148"/>
      <c r="K50" s="1148"/>
      <c r="N50" s="520"/>
    </row>
    <row r="51" spans="1:14" ht="27" customHeight="1">
      <c r="A51" s="152" t="s">
        <v>303</v>
      </c>
      <c r="B51" s="1148" t="s">
        <v>974</v>
      </c>
      <c r="C51" s="1148"/>
      <c r="D51" s="1148"/>
      <c r="E51" s="1148"/>
      <c r="F51" s="1148"/>
      <c r="G51" s="1148"/>
      <c r="H51" s="1148"/>
      <c r="I51" s="1148"/>
      <c r="J51" s="1148"/>
      <c r="K51" s="1148"/>
    </row>
    <row r="52" spans="1:14" ht="26.45" customHeight="1">
      <c r="A52" s="152"/>
      <c r="B52" s="151"/>
      <c r="C52" s="151"/>
      <c r="D52" s="151"/>
      <c r="E52" s="151"/>
      <c r="F52" s="151"/>
      <c r="G52" s="151"/>
      <c r="H52" s="151"/>
      <c r="I52" s="151"/>
      <c r="J52" s="151"/>
      <c r="K52" s="151"/>
      <c r="N52" s="876"/>
    </row>
    <row r="53" spans="1:14" s="93" customFormat="1" ht="14.1" customHeight="1">
      <c r="A53" s="152"/>
      <c r="B53" s="1148"/>
      <c r="C53" s="1148"/>
      <c r="D53" s="1148"/>
      <c r="E53" s="1148"/>
      <c r="F53" s="1148"/>
      <c r="G53" s="1148"/>
      <c r="H53" s="1148"/>
      <c r="I53" s="1148"/>
      <c r="J53" s="1148"/>
      <c r="K53" s="1148"/>
    </row>
    <row r="54" spans="1:14" s="93" customFormat="1" ht="21.2" customHeight="1">
      <c r="A54" s="155"/>
    </row>
    <row r="55" spans="1:14" s="93" customFormat="1" ht="14.1" customHeight="1">
      <c r="A55" s="155"/>
    </row>
  </sheetData>
  <mergeCells count="17">
    <mergeCell ref="M6:R6"/>
    <mergeCell ref="B51:K51"/>
    <mergeCell ref="B44:K44"/>
    <mergeCell ref="B53:K53"/>
    <mergeCell ref="B48:K48"/>
    <mergeCell ref="B49:K49"/>
    <mergeCell ref="B50:K50"/>
    <mergeCell ref="B41:K41"/>
    <mergeCell ref="B42:K42"/>
    <mergeCell ref="B43:K43"/>
    <mergeCell ref="B45:K45"/>
    <mergeCell ref="B46:K46"/>
    <mergeCell ref="C3:K3"/>
    <mergeCell ref="F4:G4"/>
    <mergeCell ref="H4:I4"/>
    <mergeCell ref="M3:R3"/>
    <mergeCell ref="M5:R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10AE-0D83-4932-AFF9-20E340E920A3}">
  <sheetPr codeName="Sheet20">
    <tabColor rgb="FF6C89BC"/>
  </sheetPr>
  <dimension ref="A1:S52"/>
  <sheetViews>
    <sheetView zoomScaleNormal="100" zoomScaleSheetLayoutView="120" workbookViewId="0">
      <selection activeCell="B47" sqref="B47:K47"/>
    </sheetView>
  </sheetViews>
  <sheetFormatPr defaultColWidth="9.140625" defaultRowHeight="15"/>
  <cols>
    <col min="1" max="1" width="3" style="93" customWidth="1"/>
    <col min="2" max="2" width="35.710937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95" t="s">
        <v>145</v>
      </c>
      <c r="C3" s="1141" t="s">
        <v>556</v>
      </c>
      <c r="D3" s="1141"/>
      <c r="E3" s="1141"/>
      <c r="F3" s="1141"/>
      <c r="G3" s="1141"/>
      <c r="H3" s="1141"/>
      <c r="I3" s="1141"/>
      <c r="J3" s="1141"/>
      <c r="K3" s="1142"/>
      <c r="M3" s="97"/>
      <c r="N3" s="1143"/>
      <c r="O3" s="1144"/>
      <c r="P3" s="1144"/>
      <c r="Q3" s="1144"/>
      <c r="R3" s="1144"/>
      <c r="S3" s="1144"/>
    </row>
    <row r="4" spans="2:19" ht="16.5" customHeight="1">
      <c r="B4" s="98"/>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89"/>
      <c r="D5" s="189"/>
      <c r="E5" s="189"/>
      <c r="F5" s="421" t="s">
        <v>241</v>
      </c>
      <c r="G5" s="421" t="s">
        <v>242</v>
      </c>
      <c r="H5" s="421" t="s">
        <v>241</v>
      </c>
      <c r="I5" s="96" t="s">
        <v>242</v>
      </c>
      <c r="J5" s="189"/>
      <c r="K5" s="190"/>
      <c r="M5" s="1146"/>
      <c r="N5" s="1146"/>
      <c r="O5" s="1146"/>
      <c r="P5" s="1146"/>
      <c r="Q5" s="1146"/>
      <c r="R5" s="1146"/>
      <c r="S5" s="1146"/>
    </row>
    <row r="6" spans="2:19" ht="15" customHeight="1">
      <c r="B6" s="181" t="s">
        <v>243</v>
      </c>
      <c r="C6" s="191">
        <v>1</v>
      </c>
      <c r="D6" s="191">
        <v>10</v>
      </c>
      <c r="E6" s="191">
        <v>25</v>
      </c>
      <c r="F6" s="191">
        <v>1</v>
      </c>
      <c r="G6" s="191">
        <v>25</v>
      </c>
      <c r="H6" s="191">
        <v>1</v>
      </c>
      <c r="I6" s="191">
        <v>25</v>
      </c>
      <c r="J6" s="183" t="s">
        <v>246</v>
      </c>
      <c r="K6" s="108">
        <v>3</v>
      </c>
      <c r="M6" s="151"/>
      <c r="N6" s="192"/>
      <c r="O6" s="162"/>
      <c r="P6" s="162"/>
      <c r="Q6" s="162"/>
      <c r="R6" s="162"/>
      <c r="S6" s="162"/>
    </row>
    <row r="7" spans="2:19" ht="15" customHeight="1">
      <c r="B7" s="181" t="s">
        <v>244</v>
      </c>
      <c r="C7" s="191">
        <v>30</v>
      </c>
      <c r="D7" s="191">
        <v>100</v>
      </c>
      <c r="E7" s="191">
        <v>150</v>
      </c>
      <c r="F7" s="169">
        <v>10</v>
      </c>
      <c r="G7" s="169">
        <v>300</v>
      </c>
      <c r="H7" s="169">
        <v>10</v>
      </c>
      <c r="I7" s="169">
        <v>300</v>
      </c>
      <c r="J7" s="183" t="s">
        <v>300</v>
      </c>
      <c r="K7" s="108">
        <v>3</v>
      </c>
      <c r="M7" s="151"/>
      <c r="N7" s="193"/>
      <c r="O7" s="162"/>
      <c r="P7" s="162"/>
      <c r="Q7" s="162"/>
      <c r="R7" s="162"/>
      <c r="S7" s="162"/>
    </row>
    <row r="8" spans="2:19">
      <c r="B8" s="181" t="s">
        <v>245</v>
      </c>
      <c r="C8" s="169">
        <v>90</v>
      </c>
      <c r="D8" s="169">
        <v>90</v>
      </c>
      <c r="E8" s="169">
        <v>90</v>
      </c>
      <c r="F8" s="169">
        <v>85</v>
      </c>
      <c r="G8" s="169">
        <v>95</v>
      </c>
      <c r="H8" s="169">
        <v>85</v>
      </c>
      <c r="I8" s="169">
        <v>95</v>
      </c>
      <c r="J8" s="183" t="s">
        <v>307</v>
      </c>
      <c r="K8" s="112">
        <v>5</v>
      </c>
      <c r="M8" s="151"/>
      <c r="N8" s="194"/>
      <c r="O8" s="194"/>
      <c r="P8" s="194"/>
      <c r="Q8" s="194"/>
      <c r="R8" s="194"/>
      <c r="S8" s="194"/>
    </row>
    <row r="9" spans="2:19">
      <c r="B9" s="184" t="s">
        <v>247</v>
      </c>
      <c r="C9" s="169">
        <v>90</v>
      </c>
      <c r="D9" s="169">
        <v>90</v>
      </c>
      <c r="E9" s="169">
        <v>90</v>
      </c>
      <c r="F9" s="169">
        <v>85</v>
      </c>
      <c r="G9" s="169">
        <v>95</v>
      </c>
      <c r="H9" s="169">
        <v>85</v>
      </c>
      <c r="I9" s="169">
        <v>95</v>
      </c>
      <c r="J9" s="185" t="s">
        <v>307</v>
      </c>
      <c r="K9" s="157">
        <v>5</v>
      </c>
      <c r="M9" s="151"/>
      <c r="N9" s="194"/>
      <c r="O9" s="194"/>
      <c r="P9" s="194"/>
      <c r="Q9" s="194"/>
      <c r="R9" s="194"/>
      <c r="S9" s="194"/>
    </row>
    <row r="10" spans="2:19">
      <c r="B10" s="181" t="s">
        <v>248</v>
      </c>
      <c r="C10" s="195">
        <v>0.04</v>
      </c>
      <c r="D10" s="195">
        <v>0.04</v>
      </c>
      <c r="E10" s="195">
        <v>0.04</v>
      </c>
      <c r="F10" s="196">
        <v>0.02</v>
      </c>
      <c r="G10" s="196">
        <v>0.06</v>
      </c>
      <c r="H10" s="196">
        <v>0.02</v>
      </c>
      <c r="I10" s="196">
        <v>0.06</v>
      </c>
      <c r="J10" s="183"/>
      <c r="K10" s="108"/>
      <c r="M10" s="93"/>
      <c r="N10" s="197"/>
      <c r="O10" s="197"/>
      <c r="P10" s="197"/>
      <c r="Q10" s="197"/>
      <c r="R10" s="197"/>
      <c r="S10" s="194"/>
    </row>
    <row r="11" spans="2:19">
      <c r="B11" s="186" t="s">
        <v>249</v>
      </c>
      <c r="C11" s="164"/>
      <c r="D11" s="164"/>
      <c r="E11" s="164"/>
      <c r="F11" s="164"/>
      <c r="G11" s="164"/>
      <c r="H11" s="164"/>
      <c r="I11" s="164"/>
      <c r="J11" s="183"/>
      <c r="K11" s="108"/>
      <c r="M11" s="93"/>
      <c r="N11" s="197"/>
      <c r="O11" s="197"/>
      <c r="P11" s="197"/>
      <c r="Q11" s="197"/>
      <c r="R11" s="197"/>
      <c r="S11" s="194"/>
    </row>
    <row r="12" spans="2:19">
      <c r="B12" s="186" t="s">
        <v>250</v>
      </c>
      <c r="C12" s="169">
        <v>40</v>
      </c>
      <c r="D12" s="169">
        <v>40</v>
      </c>
      <c r="E12" s="169">
        <v>50</v>
      </c>
      <c r="F12" s="169">
        <v>30</v>
      </c>
      <c r="G12" s="169">
        <v>120</v>
      </c>
      <c r="H12" s="169">
        <v>30</v>
      </c>
      <c r="I12" s="169">
        <v>120</v>
      </c>
      <c r="J12" s="183" t="s">
        <v>265</v>
      </c>
      <c r="K12" s="108">
        <v>2</v>
      </c>
      <c r="M12" s="151"/>
      <c r="N12" s="194"/>
      <c r="O12" s="194"/>
      <c r="P12" s="194"/>
      <c r="Q12" s="194"/>
      <c r="R12" s="194"/>
      <c r="S12" s="194"/>
    </row>
    <row r="13" spans="2:19">
      <c r="B13" s="186" t="s">
        <v>252</v>
      </c>
      <c r="C13" s="169">
        <v>5</v>
      </c>
      <c r="D13" s="169">
        <v>5</v>
      </c>
      <c r="E13" s="169">
        <v>4</v>
      </c>
      <c r="F13" s="183">
        <v>4</v>
      </c>
      <c r="G13" s="183">
        <v>6</v>
      </c>
      <c r="H13" s="183">
        <v>4</v>
      </c>
      <c r="I13" s="169">
        <v>6</v>
      </c>
      <c r="J13" s="183"/>
      <c r="K13" s="108" t="s">
        <v>557</v>
      </c>
      <c r="M13" s="151"/>
      <c r="N13" s="194"/>
      <c r="O13" s="194"/>
      <c r="P13" s="194"/>
      <c r="Q13" s="194"/>
      <c r="R13" s="194"/>
      <c r="S13" s="194"/>
    </row>
    <row r="14" spans="2:19">
      <c r="B14" s="187" t="s">
        <v>254</v>
      </c>
      <c r="C14" s="164">
        <v>0.2</v>
      </c>
      <c r="D14" s="164">
        <v>0.2</v>
      </c>
      <c r="E14" s="164">
        <v>0.2</v>
      </c>
      <c r="F14" s="176">
        <v>0.1</v>
      </c>
      <c r="G14" s="176">
        <v>0.3</v>
      </c>
      <c r="H14" s="176">
        <v>0.1</v>
      </c>
      <c r="I14" s="176">
        <v>0.3</v>
      </c>
      <c r="J14" s="165" t="s">
        <v>303</v>
      </c>
      <c r="K14" s="107"/>
      <c r="M14" s="151"/>
      <c r="N14" s="194"/>
      <c r="O14" s="194"/>
      <c r="P14" s="194"/>
      <c r="Q14" s="194"/>
      <c r="R14" s="194"/>
      <c r="S14" s="194"/>
    </row>
    <row r="15" spans="2:19">
      <c r="B15" s="121" t="s">
        <v>255</v>
      </c>
      <c r="C15" s="198"/>
      <c r="D15" s="198"/>
      <c r="E15" s="198"/>
      <c r="F15" s="198"/>
      <c r="G15" s="198"/>
      <c r="H15" s="198"/>
      <c r="I15" s="199"/>
      <c r="J15" s="199"/>
      <c r="K15" s="200"/>
      <c r="M15" s="151"/>
      <c r="N15" s="194"/>
      <c r="O15" s="194"/>
      <c r="P15" s="194"/>
      <c r="Q15" s="194"/>
      <c r="R15" s="194"/>
      <c r="S15" s="194"/>
    </row>
    <row r="16" spans="2:19">
      <c r="B16" s="119" t="s">
        <v>256</v>
      </c>
      <c r="C16" s="112">
        <v>35</v>
      </c>
      <c r="D16" s="158">
        <v>35</v>
      </c>
      <c r="E16" s="158">
        <v>40</v>
      </c>
      <c r="F16" s="112">
        <v>35</v>
      </c>
      <c r="G16" s="112">
        <v>40</v>
      </c>
      <c r="H16" s="112">
        <v>35</v>
      </c>
      <c r="I16" s="112">
        <v>40</v>
      </c>
      <c r="J16" s="120" t="s">
        <v>305</v>
      </c>
      <c r="K16" s="112"/>
      <c r="M16" s="151"/>
      <c r="N16" s="194"/>
      <c r="O16" s="194"/>
      <c r="P16" s="194"/>
      <c r="Q16" s="194"/>
      <c r="R16" s="194"/>
      <c r="S16" s="194"/>
    </row>
    <row r="17" spans="2:19">
      <c r="B17" s="119" t="s">
        <v>257</v>
      </c>
      <c r="C17" s="158"/>
      <c r="D17" s="158"/>
      <c r="E17" s="158"/>
      <c r="F17" s="112"/>
      <c r="G17" s="112"/>
      <c r="H17" s="112"/>
      <c r="I17" s="112"/>
      <c r="J17" s="120"/>
      <c r="K17" s="112"/>
      <c r="M17" s="151"/>
      <c r="N17" s="194"/>
      <c r="O17" s="194"/>
      <c r="P17" s="194"/>
      <c r="Q17" s="194"/>
      <c r="R17" s="194"/>
      <c r="S17" s="194"/>
    </row>
    <row r="18" spans="2:19">
      <c r="B18" s="125" t="s">
        <v>258</v>
      </c>
      <c r="C18" s="201"/>
      <c r="D18" s="201"/>
      <c r="E18" s="201"/>
      <c r="F18" s="201"/>
      <c r="G18" s="201"/>
      <c r="H18" s="201"/>
      <c r="I18" s="202"/>
      <c r="J18" s="202"/>
      <c r="K18" s="203"/>
      <c r="M18" s="151"/>
      <c r="N18" s="194"/>
      <c r="O18" s="194"/>
      <c r="P18" s="194"/>
      <c r="Q18" s="194"/>
      <c r="R18" s="194"/>
      <c r="S18" s="194"/>
    </row>
    <row r="19" spans="2:19">
      <c r="B19" s="117" t="s">
        <v>259</v>
      </c>
      <c r="C19" s="106">
        <v>50</v>
      </c>
      <c r="D19" s="106">
        <v>50</v>
      </c>
      <c r="E19" s="106">
        <v>50</v>
      </c>
      <c r="F19" s="106">
        <v>30</v>
      </c>
      <c r="G19" s="106">
        <v>100</v>
      </c>
      <c r="H19" s="106">
        <v>30</v>
      </c>
      <c r="I19" s="159">
        <v>100</v>
      </c>
      <c r="J19" s="120" t="s">
        <v>309</v>
      </c>
      <c r="K19" s="108"/>
      <c r="L19" s="130"/>
      <c r="M19" s="151"/>
      <c r="N19" s="194"/>
      <c r="O19" s="194"/>
      <c r="P19" s="194"/>
      <c r="Q19" s="194"/>
      <c r="R19" s="194"/>
      <c r="S19" s="194"/>
    </row>
    <row r="20" spans="2:19">
      <c r="B20" s="117" t="s">
        <v>260</v>
      </c>
      <c r="C20" s="106">
        <v>0</v>
      </c>
      <c r="D20" s="106">
        <v>0</v>
      </c>
      <c r="E20" s="106">
        <v>0</v>
      </c>
      <c r="F20" s="106">
        <v>0</v>
      </c>
      <c r="G20" s="106">
        <v>0</v>
      </c>
      <c r="H20" s="106">
        <v>0</v>
      </c>
      <c r="I20" s="112">
        <v>0</v>
      </c>
      <c r="J20" s="120" t="s">
        <v>309</v>
      </c>
      <c r="K20" s="108"/>
      <c r="M20" s="151"/>
      <c r="N20" s="194"/>
      <c r="O20" s="194"/>
      <c r="P20" s="194"/>
      <c r="Q20" s="194"/>
      <c r="R20" s="194"/>
      <c r="S20" s="194"/>
    </row>
    <row r="21" spans="2:19">
      <c r="B21" s="117" t="s">
        <v>261</v>
      </c>
      <c r="C21" s="118">
        <v>0.1</v>
      </c>
      <c r="D21" s="118">
        <v>0.1</v>
      </c>
      <c r="E21" s="118">
        <v>0.1</v>
      </c>
      <c r="F21" s="118">
        <v>0</v>
      </c>
      <c r="G21" s="118">
        <v>0.3</v>
      </c>
      <c r="H21" s="118">
        <v>0</v>
      </c>
      <c r="I21" s="160">
        <v>0.3</v>
      </c>
      <c r="J21" s="120" t="s">
        <v>309</v>
      </c>
      <c r="K21" s="108"/>
      <c r="M21" s="151"/>
      <c r="N21" s="194"/>
      <c r="O21" s="194"/>
      <c r="P21" s="194"/>
      <c r="Q21" s="194"/>
      <c r="R21" s="194"/>
      <c r="S21" s="194"/>
    </row>
    <row r="22" spans="2:19">
      <c r="B22" s="117" t="s">
        <v>262</v>
      </c>
      <c r="C22" s="118">
        <v>0.1</v>
      </c>
      <c r="D22" s="118">
        <v>0.1</v>
      </c>
      <c r="E22" s="118">
        <v>0.1</v>
      </c>
      <c r="F22" s="118">
        <v>0</v>
      </c>
      <c r="G22" s="118">
        <v>0.3</v>
      </c>
      <c r="H22" s="118">
        <v>0</v>
      </c>
      <c r="I22" s="160">
        <v>0.3</v>
      </c>
      <c r="J22" s="120" t="s">
        <v>309</v>
      </c>
      <c r="K22" s="108"/>
      <c r="M22" s="151"/>
      <c r="N22" s="194"/>
      <c r="O22" s="194"/>
      <c r="P22" s="194"/>
      <c r="Q22" s="194"/>
      <c r="R22" s="194"/>
      <c r="S22" s="194"/>
    </row>
    <row r="23" spans="2:19">
      <c r="B23" s="125" t="s">
        <v>263</v>
      </c>
      <c r="C23" s="204"/>
      <c r="D23" s="205"/>
      <c r="E23" s="205"/>
      <c r="F23" s="205"/>
      <c r="G23" s="205"/>
      <c r="H23" s="205"/>
      <c r="I23" s="205"/>
      <c r="J23" s="205"/>
      <c r="K23" s="206"/>
      <c r="M23" s="207"/>
      <c r="N23" s="207"/>
      <c r="O23" s="207"/>
      <c r="P23" s="207"/>
      <c r="Q23" s="207"/>
      <c r="R23" s="207"/>
      <c r="S23" s="207"/>
    </row>
    <row r="24" spans="2:19">
      <c r="B24" s="117" t="s">
        <v>264</v>
      </c>
      <c r="C24" s="134">
        <v>0</v>
      </c>
      <c r="D24" s="134">
        <v>0</v>
      </c>
      <c r="E24" s="134">
        <v>0</v>
      </c>
      <c r="F24" s="134"/>
      <c r="G24" s="134"/>
      <c r="H24" s="134"/>
      <c r="I24" s="134"/>
      <c r="J24" s="135"/>
      <c r="K24" s="108"/>
      <c r="M24" s="151"/>
      <c r="N24" s="194"/>
      <c r="O24" s="194"/>
      <c r="P24" s="194"/>
      <c r="Q24" s="194"/>
      <c r="R24" s="194"/>
      <c r="S24" s="194"/>
    </row>
    <row r="25" spans="2:19">
      <c r="B25" s="117" t="s">
        <v>266</v>
      </c>
      <c r="C25" s="134">
        <v>0</v>
      </c>
      <c r="D25" s="134">
        <v>0</v>
      </c>
      <c r="E25" s="134">
        <v>0</v>
      </c>
      <c r="F25" s="134"/>
      <c r="G25" s="134"/>
      <c r="H25" s="134"/>
      <c r="I25" s="134"/>
      <c r="J25" s="135"/>
      <c r="K25" s="108"/>
      <c r="M25" s="151"/>
      <c r="N25" s="194"/>
      <c r="O25" s="194"/>
      <c r="P25" s="194"/>
      <c r="Q25" s="194"/>
      <c r="R25" s="194"/>
      <c r="S25" s="194"/>
    </row>
    <row r="26" spans="2:19" ht="15" customHeight="1">
      <c r="B26" s="117" t="s">
        <v>267</v>
      </c>
      <c r="C26" s="134">
        <v>0</v>
      </c>
      <c r="D26" s="134">
        <v>0</v>
      </c>
      <c r="E26" s="134">
        <v>0</v>
      </c>
      <c r="F26" s="134"/>
      <c r="G26" s="134"/>
      <c r="H26" s="134"/>
      <c r="I26" s="134"/>
      <c r="J26" s="136"/>
      <c r="K26" s="108"/>
      <c r="M26" s="151"/>
      <c r="N26" s="194"/>
      <c r="O26" s="194"/>
      <c r="P26" s="194"/>
      <c r="Q26" s="194"/>
      <c r="R26" s="194"/>
      <c r="S26" s="194"/>
    </row>
    <row r="27" spans="2:19">
      <c r="B27" s="117" t="s">
        <v>268</v>
      </c>
      <c r="C27" s="134">
        <v>0</v>
      </c>
      <c r="D27" s="134">
        <v>0</v>
      </c>
      <c r="E27" s="134">
        <v>0</v>
      </c>
      <c r="F27" s="134"/>
      <c r="G27" s="134"/>
      <c r="H27" s="134"/>
      <c r="I27" s="134"/>
      <c r="J27" s="120"/>
      <c r="K27" s="120"/>
      <c r="M27" s="151"/>
      <c r="N27" s="208"/>
      <c r="O27" s="208"/>
      <c r="P27" s="208"/>
      <c r="Q27" s="208"/>
      <c r="R27" s="194"/>
      <c r="S27" s="194"/>
    </row>
    <row r="28" spans="2:19">
      <c r="B28" s="117" t="s">
        <v>269</v>
      </c>
      <c r="C28" s="134">
        <v>0</v>
      </c>
      <c r="D28" s="134">
        <v>0</v>
      </c>
      <c r="E28" s="134">
        <v>0</v>
      </c>
      <c r="F28" s="134"/>
      <c r="G28" s="134"/>
      <c r="H28" s="134"/>
      <c r="I28" s="134"/>
      <c r="J28" s="120"/>
      <c r="K28" s="120"/>
      <c r="L28" s="138"/>
      <c r="M28" s="207"/>
      <c r="N28" s="207"/>
      <c r="O28" s="207"/>
      <c r="P28" s="207"/>
      <c r="Q28" s="207"/>
      <c r="R28" s="207"/>
      <c r="S28" s="207"/>
    </row>
    <row r="29" spans="2:19">
      <c r="B29" s="125" t="s">
        <v>270</v>
      </c>
      <c r="C29" s="205"/>
      <c r="D29" s="205"/>
      <c r="E29" s="205"/>
      <c r="F29" s="205"/>
      <c r="G29" s="205"/>
      <c r="H29" s="205"/>
      <c r="I29" s="205"/>
      <c r="J29" s="205"/>
      <c r="K29" s="206"/>
      <c r="M29" s="151"/>
      <c r="N29" s="194"/>
      <c r="O29" s="194"/>
      <c r="P29" s="194"/>
      <c r="Q29" s="194"/>
      <c r="R29" s="194"/>
      <c r="S29" s="194"/>
    </row>
    <row r="30" spans="2:19">
      <c r="B30" s="186" t="s">
        <v>271</v>
      </c>
      <c r="C30" s="182">
        <v>5.8</v>
      </c>
      <c r="D30" s="209">
        <v>5.4</v>
      </c>
      <c r="E30" s="209">
        <v>5.4</v>
      </c>
      <c r="F30" s="182">
        <v>3.1</v>
      </c>
      <c r="G30" s="182">
        <v>8</v>
      </c>
      <c r="H30" s="182">
        <v>3.1</v>
      </c>
      <c r="I30" s="182">
        <v>8</v>
      </c>
      <c r="J30" s="107" t="s">
        <v>305</v>
      </c>
      <c r="K30" s="107" t="s">
        <v>486</v>
      </c>
      <c r="M30" s="151"/>
      <c r="N30" s="210"/>
      <c r="O30" s="210"/>
      <c r="P30" s="210"/>
      <c r="Q30" s="210"/>
      <c r="R30" s="194"/>
      <c r="S30" s="194"/>
    </row>
    <row r="31" spans="2:19">
      <c r="B31" s="186" t="s">
        <v>274</v>
      </c>
      <c r="C31" s="166"/>
      <c r="D31" s="166"/>
      <c r="E31" s="166"/>
      <c r="F31" s="167"/>
      <c r="G31" s="167"/>
      <c r="H31" s="172"/>
      <c r="I31" s="172"/>
      <c r="J31" s="120"/>
      <c r="K31" s="120"/>
      <c r="M31" s="151"/>
      <c r="N31" s="210"/>
      <c r="O31" s="210"/>
      <c r="P31" s="210"/>
      <c r="Q31" s="210"/>
      <c r="R31" s="194"/>
      <c r="S31" s="194"/>
    </row>
    <row r="32" spans="2:19">
      <c r="B32" s="186" t="s">
        <v>275</v>
      </c>
      <c r="C32" s="166"/>
      <c r="D32" s="166"/>
      <c r="E32" s="166"/>
      <c r="F32" s="167"/>
      <c r="G32" s="167"/>
      <c r="H32" s="172"/>
      <c r="I32" s="172"/>
      <c r="J32" s="120"/>
      <c r="K32" s="120"/>
      <c r="M32" s="151"/>
      <c r="N32" s="210"/>
      <c r="O32" s="210"/>
      <c r="P32" s="210"/>
      <c r="Q32" s="210"/>
      <c r="R32" s="194"/>
      <c r="S32" s="194"/>
    </row>
    <row r="33" spans="1:19">
      <c r="B33" s="186" t="s">
        <v>276</v>
      </c>
      <c r="C33" s="168">
        <v>75048</v>
      </c>
      <c r="D33" s="168">
        <v>66250</v>
      </c>
      <c r="E33" s="168">
        <v>37842</v>
      </c>
      <c r="F33" s="168">
        <v>24804</v>
      </c>
      <c r="G33" s="168">
        <v>76320</v>
      </c>
      <c r="H33" s="168">
        <v>24804</v>
      </c>
      <c r="I33" s="168">
        <v>76320</v>
      </c>
      <c r="J33" s="120" t="s">
        <v>305</v>
      </c>
      <c r="K33" s="107" t="s">
        <v>273</v>
      </c>
      <c r="M33" s="151"/>
      <c r="N33" s="210"/>
      <c r="O33" s="210"/>
      <c r="P33" s="210"/>
      <c r="Q33" s="210"/>
      <c r="R33" s="194"/>
      <c r="S33" s="194"/>
    </row>
    <row r="34" spans="1:19">
      <c r="B34" s="186" t="s">
        <v>279</v>
      </c>
      <c r="C34" s="169"/>
      <c r="D34" s="169"/>
      <c r="E34" s="169"/>
      <c r="F34" s="169"/>
      <c r="G34" s="169"/>
      <c r="H34" s="106"/>
      <c r="I34" s="145"/>
      <c r="J34" s="120"/>
      <c r="K34" s="108"/>
      <c r="M34" s="151"/>
      <c r="N34" s="210"/>
      <c r="O34" s="210"/>
      <c r="P34" s="210"/>
      <c r="Q34" s="210"/>
      <c r="R34" s="194"/>
      <c r="S34" s="194"/>
    </row>
    <row r="35" spans="1:19">
      <c r="B35" s="117" t="s">
        <v>282</v>
      </c>
      <c r="C35" s="106"/>
      <c r="D35" s="106"/>
      <c r="E35" s="106"/>
      <c r="F35" s="106"/>
      <c r="G35" s="106"/>
      <c r="H35" s="106"/>
      <c r="I35" s="145"/>
      <c r="J35" s="120"/>
      <c r="K35" s="108"/>
      <c r="M35" s="207"/>
      <c r="N35" s="207"/>
      <c r="O35" s="207"/>
      <c r="P35" s="207"/>
      <c r="Q35" s="207"/>
      <c r="R35" s="207"/>
      <c r="S35" s="207"/>
    </row>
    <row r="36" spans="1:19">
      <c r="B36" s="146" t="s">
        <v>283</v>
      </c>
      <c r="C36" s="173"/>
      <c r="D36" s="173"/>
      <c r="E36" s="173"/>
      <c r="F36" s="173"/>
      <c r="G36" s="173"/>
      <c r="H36" s="173"/>
      <c r="I36" s="173"/>
      <c r="J36" s="173"/>
      <c r="K36" s="174"/>
      <c r="N36" s="194"/>
      <c r="O36" s="194"/>
      <c r="P36" s="194"/>
      <c r="Q36" s="194"/>
      <c r="R36" s="194"/>
      <c r="S36" s="194"/>
    </row>
    <row r="37" spans="1:19" ht="15" customHeight="1">
      <c r="B37" s="105"/>
      <c r="C37" s="145"/>
      <c r="D37" s="145"/>
      <c r="E37" s="145"/>
      <c r="F37" s="145"/>
      <c r="G37" s="145"/>
      <c r="H37" s="145"/>
      <c r="I37" s="145"/>
      <c r="J37" s="149"/>
      <c r="K37" s="145"/>
      <c r="N37" s="194"/>
      <c r="O37" s="194"/>
      <c r="P37" s="194"/>
      <c r="Q37" s="194"/>
      <c r="R37" s="194"/>
      <c r="S37" s="194"/>
    </row>
    <row r="38" spans="1:19">
      <c r="A38" s="130"/>
      <c r="L38" s="94"/>
    </row>
    <row r="39" spans="1:19" s="93" customFormat="1" ht="12">
      <c r="A39" s="130" t="s">
        <v>286</v>
      </c>
      <c r="C39" s="150"/>
      <c r="D39" s="150"/>
      <c r="E39" s="150"/>
      <c r="F39" s="150"/>
      <c r="G39" s="150"/>
    </row>
    <row r="40" spans="1:19">
      <c r="A40" s="151">
        <v>1</v>
      </c>
      <c r="B40" s="151" t="s">
        <v>558</v>
      </c>
    </row>
    <row r="41" spans="1:19">
      <c r="A41" s="151">
        <v>2</v>
      </c>
      <c r="B41" s="151" t="s">
        <v>559</v>
      </c>
    </row>
    <row r="42" spans="1:19">
      <c r="A42" s="151">
        <v>3</v>
      </c>
      <c r="B42" s="93" t="s">
        <v>560</v>
      </c>
    </row>
    <row r="43" spans="1:19">
      <c r="A43" s="151">
        <v>4</v>
      </c>
      <c r="B43" s="151" t="s">
        <v>561</v>
      </c>
    </row>
    <row r="44" spans="1:19">
      <c r="A44" s="151">
        <v>5</v>
      </c>
      <c r="B44" s="151" t="s">
        <v>562</v>
      </c>
    </row>
    <row r="45" spans="1:19" ht="13.9" customHeight="1">
      <c r="A45" s="130" t="s">
        <v>298</v>
      </c>
    </row>
    <row r="46" spans="1:19" ht="13.9" customHeight="1">
      <c r="A46" s="152" t="s">
        <v>246</v>
      </c>
      <c r="B46" s="1148" t="s">
        <v>563</v>
      </c>
      <c r="C46" s="1148"/>
      <c r="D46" s="1148"/>
      <c r="E46" s="1148"/>
      <c r="F46" s="1148"/>
      <c r="G46" s="1148"/>
      <c r="H46" s="1148"/>
      <c r="I46" s="1148"/>
      <c r="J46" s="1148"/>
      <c r="K46" s="1148"/>
    </row>
    <row r="47" spans="1:19" ht="13.9" customHeight="1">
      <c r="A47" s="152" t="s">
        <v>300</v>
      </c>
      <c r="B47" s="1148" t="s">
        <v>564</v>
      </c>
      <c r="C47" s="1148"/>
      <c r="D47" s="1148"/>
      <c r="E47" s="1148"/>
      <c r="F47" s="1148"/>
      <c r="G47" s="1148"/>
      <c r="H47" s="1148"/>
      <c r="I47" s="1148"/>
      <c r="J47" s="1148"/>
      <c r="K47" s="1148"/>
      <c r="O47" s="179"/>
    </row>
    <row r="48" spans="1:19">
      <c r="A48" s="152" t="s">
        <v>265</v>
      </c>
      <c r="B48" s="1148" t="s">
        <v>565</v>
      </c>
      <c r="C48" s="1148"/>
      <c r="D48" s="1148"/>
      <c r="E48" s="1148"/>
      <c r="F48" s="1148"/>
      <c r="G48" s="1148"/>
      <c r="H48" s="1148"/>
      <c r="I48" s="1148"/>
      <c r="J48" s="1148"/>
      <c r="K48" s="1148"/>
    </row>
    <row r="49" spans="1:15" ht="13.9" customHeight="1">
      <c r="A49" s="152" t="s">
        <v>303</v>
      </c>
      <c r="B49" s="1148" t="s">
        <v>566</v>
      </c>
      <c r="C49" s="1148"/>
      <c r="D49" s="1148"/>
      <c r="E49" s="1148"/>
      <c r="F49" s="1148"/>
      <c r="G49" s="1148"/>
      <c r="H49" s="1148"/>
      <c r="I49" s="1148"/>
      <c r="J49" s="1148"/>
      <c r="K49" s="1148"/>
      <c r="O49" s="180"/>
    </row>
    <row r="50" spans="1:15">
      <c r="A50" s="152" t="s">
        <v>305</v>
      </c>
      <c r="B50" s="1148" t="s">
        <v>567</v>
      </c>
      <c r="C50" s="1148"/>
      <c r="D50" s="1148"/>
      <c r="E50" s="1148"/>
      <c r="F50" s="1148"/>
      <c r="G50" s="1148"/>
      <c r="H50" s="1148"/>
      <c r="I50" s="1148"/>
      <c r="J50" s="1148"/>
      <c r="K50" s="1148"/>
    </row>
    <row r="51" spans="1:15">
      <c r="A51" s="155" t="s">
        <v>307</v>
      </c>
      <c r="B51" s="93" t="s">
        <v>568</v>
      </c>
    </row>
    <row r="52" spans="1:15">
      <c r="A52" s="155" t="s">
        <v>309</v>
      </c>
      <c r="B52" s="93" t="s">
        <v>569</v>
      </c>
    </row>
  </sheetData>
  <mergeCells count="10">
    <mergeCell ref="B47:K47"/>
    <mergeCell ref="B48:K48"/>
    <mergeCell ref="B49:K49"/>
    <mergeCell ref="B50:K50"/>
    <mergeCell ref="C3:K3"/>
    <mergeCell ref="N3:S3"/>
    <mergeCell ref="F4:G4"/>
    <mergeCell ref="H4:I4"/>
    <mergeCell ref="M5:S5"/>
    <mergeCell ref="B46:K46"/>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E7644-F518-4062-9576-746DD0F04820}">
  <sheetPr codeName="Sheet21">
    <tabColor rgb="FF6C89BC"/>
  </sheetPr>
  <dimension ref="A1:S52"/>
  <sheetViews>
    <sheetView zoomScaleNormal="100" zoomScaleSheetLayoutView="120" workbookViewId="0">
      <selection activeCell="B47" sqref="B47:K47"/>
    </sheetView>
  </sheetViews>
  <sheetFormatPr defaultColWidth="9.140625" defaultRowHeight="15"/>
  <cols>
    <col min="1" max="1" width="3" style="93" customWidth="1"/>
    <col min="2" max="2" width="35.710937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95" t="s">
        <v>145</v>
      </c>
      <c r="C3" s="1141" t="s">
        <v>570</v>
      </c>
      <c r="D3" s="1141"/>
      <c r="E3" s="1141"/>
      <c r="F3" s="1141"/>
      <c r="G3" s="1141"/>
      <c r="H3" s="1141"/>
      <c r="I3" s="1141"/>
      <c r="J3" s="1141"/>
      <c r="K3" s="1142"/>
      <c r="M3" s="97"/>
      <c r="N3" s="1143"/>
      <c r="O3" s="1144"/>
      <c r="P3" s="1144"/>
      <c r="Q3" s="1144"/>
      <c r="R3" s="1144"/>
      <c r="S3" s="1144"/>
    </row>
    <row r="4" spans="2:19" ht="16.5" customHeight="1">
      <c r="B4" s="98"/>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89"/>
      <c r="D5" s="189"/>
      <c r="E5" s="189"/>
      <c r="F5" s="96" t="s">
        <v>241</v>
      </c>
      <c r="G5" s="96" t="s">
        <v>242</v>
      </c>
      <c r="H5" s="96" t="s">
        <v>241</v>
      </c>
      <c r="I5" s="96" t="s">
        <v>242</v>
      </c>
      <c r="J5" s="189"/>
      <c r="K5" s="190"/>
      <c r="M5" s="1146"/>
      <c r="N5" s="1146"/>
      <c r="O5" s="1146"/>
      <c r="P5" s="1146"/>
      <c r="Q5" s="1146"/>
      <c r="R5" s="1146"/>
      <c r="S5" s="1146"/>
    </row>
    <row r="6" spans="2:19" ht="15" customHeight="1">
      <c r="B6" s="181" t="s">
        <v>243</v>
      </c>
      <c r="C6" s="191">
        <v>1</v>
      </c>
      <c r="D6" s="191">
        <v>2</v>
      </c>
      <c r="E6" s="191">
        <v>2</v>
      </c>
      <c r="F6" s="182">
        <v>0.1</v>
      </c>
      <c r="G6" s="169">
        <v>6</v>
      </c>
      <c r="H6" s="169">
        <v>1</v>
      </c>
      <c r="I6" s="169">
        <v>6</v>
      </c>
      <c r="J6" s="183" t="s">
        <v>246</v>
      </c>
      <c r="K6" s="108" t="s">
        <v>557</v>
      </c>
      <c r="M6" s="109"/>
      <c r="N6" s="1139"/>
      <c r="O6" s="1140"/>
      <c r="P6" s="1140"/>
      <c r="Q6" s="1140"/>
      <c r="R6" s="1140"/>
      <c r="S6" s="1140"/>
    </row>
    <row r="7" spans="2:19" ht="15" customHeight="1">
      <c r="B7" s="181" t="s">
        <v>244</v>
      </c>
      <c r="C7" s="211">
        <v>10</v>
      </c>
      <c r="D7" s="211">
        <v>150</v>
      </c>
      <c r="E7" s="211">
        <v>150</v>
      </c>
      <c r="F7" s="169">
        <v>1</v>
      </c>
      <c r="G7" s="169">
        <v>400</v>
      </c>
      <c r="H7" s="169">
        <v>1</v>
      </c>
      <c r="I7" s="169">
        <v>400</v>
      </c>
      <c r="J7" s="183" t="s">
        <v>246</v>
      </c>
      <c r="K7" s="108" t="s">
        <v>557</v>
      </c>
      <c r="M7" s="109"/>
      <c r="N7" s="110"/>
      <c r="O7" s="111"/>
      <c r="P7" s="111"/>
      <c r="Q7" s="111"/>
      <c r="R7" s="111"/>
      <c r="S7" s="111"/>
    </row>
    <row r="8" spans="2:19">
      <c r="B8" s="181" t="s">
        <v>245</v>
      </c>
      <c r="C8" s="169">
        <v>90</v>
      </c>
      <c r="D8" s="169">
        <v>92</v>
      </c>
      <c r="E8" s="169">
        <v>95</v>
      </c>
      <c r="F8" s="169">
        <v>87</v>
      </c>
      <c r="G8" s="169">
        <v>97</v>
      </c>
      <c r="H8" s="169">
        <v>87</v>
      </c>
      <c r="I8" s="169">
        <v>97</v>
      </c>
      <c r="J8" s="183" t="s">
        <v>300</v>
      </c>
      <c r="K8" s="112" t="s">
        <v>571</v>
      </c>
      <c r="M8" s="109"/>
      <c r="N8" s="113"/>
      <c r="O8" s="113"/>
      <c r="P8" s="113"/>
      <c r="Q8" s="113"/>
      <c r="R8" s="113"/>
      <c r="S8" s="113"/>
    </row>
    <row r="9" spans="2:19">
      <c r="B9" s="184" t="s">
        <v>247</v>
      </c>
      <c r="C9" s="169">
        <v>90</v>
      </c>
      <c r="D9" s="169">
        <v>92</v>
      </c>
      <c r="E9" s="169">
        <v>95</v>
      </c>
      <c r="F9" s="169">
        <v>87</v>
      </c>
      <c r="G9" s="169">
        <v>97</v>
      </c>
      <c r="H9" s="169">
        <v>87</v>
      </c>
      <c r="I9" s="169">
        <v>97</v>
      </c>
      <c r="J9" s="185" t="s">
        <v>300</v>
      </c>
      <c r="K9" s="157" t="s">
        <v>571</v>
      </c>
      <c r="M9" s="109"/>
      <c r="N9" s="113"/>
      <c r="O9" s="113"/>
      <c r="P9" s="113"/>
      <c r="Q9" s="113"/>
      <c r="R9" s="113"/>
      <c r="S9" s="113"/>
    </row>
    <row r="10" spans="2:19">
      <c r="B10" s="181" t="s">
        <v>248</v>
      </c>
      <c r="C10" s="195">
        <v>0.04</v>
      </c>
      <c r="D10" s="195">
        <v>0.04</v>
      </c>
      <c r="E10" s="195">
        <v>0.04</v>
      </c>
      <c r="F10" s="196">
        <v>0.02</v>
      </c>
      <c r="G10" s="196">
        <v>0.06</v>
      </c>
      <c r="H10" s="196">
        <v>0.02</v>
      </c>
      <c r="I10" s="196">
        <v>0.06</v>
      </c>
      <c r="J10" s="183"/>
      <c r="K10" s="108">
        <v>2</v>
      </c>
      <c r="M10" s="93"/>
      <c r="N10" s="116"/>
      <c r="O10" s="116"/>
      <c r="P10" s="116"/>
      <c r="Q10" s="116"/>
      <c r="R10" s="116"/>
      <c r="S10" s="113"/>
    </row>
    <row r="11" spans="2:19">
      <c r="B11" s="186" t="s">
        <v>249</v>
      </c>
      <c r="C11" s="164"/>
      <c r="D11" s="164"/>
      <c r="E11" s="164"/>
      <c r="F11" s="164"/>
      <c r="G11" s="164"/>
      <c r="H11" s="164"/>
      <c r="I11" s="164"/>
      <c r="J11" s="183"/>
      <c r="K11" s="108"/>
      <c r="M11" s="93"/>
      <c r="N11" s="116"/>
      <c r="O11" s="116"/>
      <c r="P11" s="116"/>
      <c r="Q11" s="116"/>
      <c r="R11" s="116"/>
      <c r="S11" s="113"/>
    </row>
    <row r="12" spans="2:19">
      <c r="B12" s="186" t="s">
        <v>250</v>
      </c>
      <c r="C12" s="169">
        <v>25</v>
      </c>
      <c r="D12" s="169">
        <v>25</v>
      </c>
      <c r="E12" s="169">
        <v>30</v>
      </c>
      <c r="F12" s="169">
        <v>20</v>
      </c>
      <c r="G12" s="169">
        <v>30</v>
      </c>
      <c r="H12" s="169">
        <v>20</v>
      </c>
      <c r="I12" s="169">
        <v>30</v>
      </c>
      <c r="J12" s="183" t="s">
        <v>300</v>
      </c>
      <c r="K12" s="108"/>
      <c r="M12" s="109"/>
      <c r="N12" s="113"/>
      <c r="O12" s="113"/>
      <c r="P12" s="113"/>
      <c r="Q12" s="113"/>
      <c r="R12" s="113"/>
      <c r="S12" s="113"/>
    </row>
    <row r="13" spans="2:19">
      <c r="B13" s="186" t="s">
        <v>252</v>
      </c>
      <c r="C13" s="169">
        <v>3</v>
      </c>
      <c r="D13" s="169">
        <v>2</v>
      </c>
      <c r="E13" s="169">
        <v>2</v>
      </c>
      <c r="F13" s="183"/>
      <c r="G13" s="183"/>
      <c r="H13" s="183"/>
      <c r="I13" s="169"/>
      <c r="J13" s="183" t="s">
        <v>265</v>
      </c>
      <c r="K13" s="108"/>
      <c r="M13" s="109"/>
      <c r="N13" s="113"/>
      <c r="O13" s="113"/>
      <c r="P13" s="113"/>
      <c r="Q13" s="113"/>
      <c r="R13" s="113"/>
      <c r="S13" s="113"/>
    </row>
    <row r="14" spans="2:19">
      <c r="B14" s="187" t="s">
        <v>254</v>
      </c>
      <c r="C14" s="164"/>
      <c r="D14" s="164"/>
      <c r="E14" s="164"/>
      <c r="F14" s="176"/>
      <c r="G14" s="176"/>
      <c r="H14" s="176"/>
      <c r="I14" s="176"/>
      <c r="J14" s="165"/>
      <c r="K14" s="107"/>
      <c r="M14" s="109"/>
      <c r="N14" s="113"/>
      <c r="O14" s="113"/>
      <c r="P14" s="113"/>
      <c r="Q14" s="113"/>
      <c r="R14" s="113"/>
      <c r="S14" s="113"/>
    </row>
    <row r="15" spans="2:19">
      <c r="B15" s="121" t="s">
        <v>255</v>
      </c>
      <c r="C15" s="198"/>
      <c r="D15" s="198"/>
      <c r="E15" s="198"/>
      <c r="F15" s="198"/>
      <c r="G15" s="198"/>
      <c r="H15" s="198"/>
      <c r="I15" s="199"/>
      <c r="J15" s="199"/>
      <c r="K15" s="200"/>
      <c r="M15" s="109"/>
      <c r="N15" s="113"/>
      <c r="O15" s="113"/>
      <c r="P15" s="113"/>
      <c r="Q15" s="113"/>
      <c r="R15" s="113"/>
      <c r="S15" s="113"/>
    </row>
    <row r="16" spans="2:19">
      <c r="B16" s="119" t="s">
        <v>256</v>
      </c>
      <c r="C16" s="169">
        <v>33</v>
      </c>
      <c r="D16" s="169">
        <v>35</v>
      </c>
      <c r="E16" s="169">
        <v>37</v>
      </c>
      <c r="F16" s="169">
        <v>33</v>
      </c>
      <c r="G16" s="169">
        <v>40</v>
      </c>
      <c r="H16" s="169">
        <v>35</v>
      </c>
      <c r="I16" s="169">
        <v>40</v>
      </c>
      <c r="J16" s="107" t="s">
        <v>300</v>
      </c>
      <c r="K16" s="112" t="s">
        <v>486</v>
      </c>
      <c r="M16" s="109"/>
      <c r="N16" s="113"/>
      <c r="O16" s="113"/>
      <c r="P16" s="113"/>
      <c r="Q16" s="113"/>
      <c r="R16" s="113"/>
      <c r="S16" s="113"/>
    </row>
    <row r="17" spans="2:19">
      <c r="B17" s="119" t="s">
        <v>257</v>
      </c>
      <c r="C17" s="169">
        <v>33</v>
      </c>
      <c r="D17" s="169">
        <v>35</v>
      </c>
      <c r="E17" s="169">
        <v>37</v>
      </c>
      <c r="F17" s="169">
        <v>33</v>
      </c>
      <c r="G17" s="169">
        <v>40</v>
      </c>
      <c r="H17" s="169">
        <v>35</v>
      </c>
      <c r="I17" s="169">
        <v>40</v>
      </c>
      <c r="J17" s="107" t="s">
        <v>300</v>
      </c>
      <c r="K17" s="112" t="s">
        <v>486</v>
      </c>
      <c r="M17" s="109"/>
      <c r="N17" s="113"/>
      <c r="O17" s="113"/>
      <c r="P17" s="113"/>
      <c r="Q17" s="113"/>
      <c r="R17" s="113"/>
      <c r="S17" s="113"/>
    </row>
    <row r="18" spans="2:19">
      <c r="B18" s="125" t="s">
        <v>258</v>
      </c>
      <c r="C18" s="201"/>
      <c r="D18" s="201"/>
      <c r="E18" s="201"/>
      <c r="F18" s="201"/>
      <c r="G18" s="201"/>
      <c r="H18" s="201"/>
      <c r="I18" s="202"/>
      <c r="J18" s="202"/>
      <c r="K18" s="203"/>
      <c r="M18" s="109"/>
      <c r="N18" s="113"/>
      <c r="O18" s="113"/>
      <c r="P18" s="113"/>
      <c r="Q18" s="113"/>
      <c r="R18" s="113"/>
      <c r="S18" s="113"/>
    </row>
    <row r="19" spans="2:19">
      <c r="B19" s="117" t="s">
        <v>259</v>
      </c>
      <c r="C19" s="106" t="s">
        <v>146</v>
      </c>
      <c r="D19" s="106" t="s">
        <v>146</v>
      </c>
      <c r="E19" s="106" t="s">
        <v>146</v>
      </c>
      <c r="F19" s="106"/>
      <c r="G19" s="106"/>
      <c r="H19" s="106"/>
      <c r="I19" s="112"/>
      <c r="J19" s="120"/>
      <c r="K19" s="108"/>
      <c r="L19" s="130"/>
      <c r="M19" s="109"/>
      <c r="N19" s="113"/>
      <c r="O19" s="113"/>
      <c r="P19" s="113"/>
      <c r="Q19" s="113"/>
      <c r="R19" s="113"/>
      <c r="S19" s="113"/>
    </row>
    <row r="20" spans="2:19">
      <c r="B20" s="117" t="s">
        <v>260</v>
      </c>
      <c r="C20" s="106" t="s">
        <v>146</v>
      </c>
      <c r="D20" s="106" t="s">
        <v>146</v>
      </c>
      <c r="E20" s="106" t="s">
        <v>146</v>
      </c>
      <c r="F20" s="106"/>
      <c r="G20" s="106"/>
      <c r="H20" s="106"/>
      <c r="I20" s="112"/>
      <c r="J20" s="120"/>
      <c r="K20" s="108"/>
      <c r="M20" s="109"/>
      <c r="N20" s="113"/>
      <c r="O20" s="113"/>
      <c r="P20" s="113"/>
      <c r="Q20" s="113"/>
      <c r="R20" s="113"/>
      <c r="S20" s="113"/>
    </row>
    <row r="21" spans="2:19">
      <c r="B21" s="117" t="s">
        <v>261</v>
      </c>
      <c r="C21" s="106" t="s">
        <v>146</v>
      </c>
      <c r="D21" s="106" t="s">
        <v>146</v>
      </c>
      <c r="E21" s="106" t="s">
        <v>146</v>
      </c>
      <c r="F21" s="106"/>
      <c r="G21" s="106"/>
      <c r="H21" s="106"/>
      <c r="I21" s="112"/>
      <c r="J21" s="120"/>
      <c r="K21" s="108"/>
      <c r="M21" s="109"/>
      <c r="N21" s="113"/>
      <c r="O21" s="113"/>
      <c r="P21" s="113"/>
      <c r="Q21" s="113"/>
      <c r="R21" s="113"/>
      <c r="S21" s="113"/>
    </row>
    <row r="22" spans="2:19">
      <c r="B22" s="117" t="s">
        <v>262</v>
      </c>
      <c r="C22" s="106" t="s">
        <v>146</v>
      </c>
      <c r="D22" s="106" t="s">
        <v>146</v>
      </c>
      <c r="E22" s="106" t="s">
        <v>146</v>
      </c>
      <c r="F22" s="106"/>
      <c r="G22" s="106"/>
      <c r="H22" s="106"/>
      <c r="I22" s="112"/>
      <c r="J22" s="120"/>
      <c r="K22" s="108"/>
      <c r="M22" s="109"/>
      <c r="N22" s="113"/>
      <c r="O22" s="113"/>
      <c r="P22" s="113"/>
      <c r="Q22" s="113"/>
      <c r="R22" s="113"/>
      <c r="S22" s="113"/>
    </row>
    <row r="23" spans="2:19">
      <c r="B23" s="125" t="s">
        <v>263</v>
      </c>
      <c r="C23" s="204"/>
      <c r="D23" s="205"/>
      <c r="E23" s="205"/>
      <c r="F23" s="205"/>
      <c r="G23" s="205"/>
      <c r="H23" s="205"/>
      <c r="I23" s="205"/>
      <c r="J23" s="205"/>
      <c r="K23" s="206"/>
      <c r="M23" s="1146"/>
      <c r="N23" s="1146"/>
      <c r="O23" s="1146"/>
      <c r="P23" s="1146"/>
      <c r="Q23" s="1146"/>
      <c r="R23" s="1146"/>
      <c r="S23" s="1146"/>
    </row>
    <row r="24" spans="2:19">
      <c r="B24" s="117" t="s">
        <v>264</v>
      </c>
      <c r="C24" s="134">
        <v>0</v>
      </c>
      <c r="D24" s="134">
        <v>0</v>
      </c>
      <c r="E24" s="134">
        <v>0</v>
      </c>
      <c r="F24" s="134"/>
      <c r="G24" s="134"/>
      <c r="H24" s="134"/>
      <c r="I24" s="134"/>
      <c r="J24" s="135"/>
      <c r="K24" s="108"/>
      <c r="M24" s="109"/>
      <c r="N24" s="113"/>
      <c r="O24" s="113"/>
      <c r="P24" s="113"/>
      <c r="Q24" s="113"/>
      <c r="R24" s="113"/>
      <c r="S24" s="113"/>
    </row>
    <row r="25" spans="2:19">
      <c r="B25" s="117" t="s">
        <v>266</v>
      </c>
      <c r="C25" s="134">
        <v>0</v>
      </c>
      <c r="D25" s="134">
        <v>0</v>
      </c>
      <c r="E25" s="134">
        <v>0</v>
      </c>
      <c r="F25" s="134"/>
      <c r="G25" s="134"/>
      <c r="H25" s="134"/>
      <c r="I25" s="134"/>
      <c r="J25" s="135"/>
      <c r="K25" s="108"/>
      <c r="M25" s="109"/>
      <c r="N25" s="113"/>
      <c r="O25" s="113"/>
      <c r="P25" s="113"/>
      <c r="Q25" s="113"/>
      <c r="R25" s="113"/>
      <c r="S25" s="113"/>
    </row>
    <row r="26" spans="2:19" ht="15" customHeight="1">
      <c r="B26" s="117" t="s">
        <v>267</v>
      </c>
      <c r="C26" s="134">
        <v>0</v>
      </c>
      <c r="D26" s="134">
        <v>0</v>
      </c>
      <c r="E26" s="134">
        <v>0</v>
      </c>
      <c r="F26" s="134"/>
      <c r="G26" s="134"/>
      <c r="H26" s="134"/>
      <c r="I26" s="134"/>
      <c r="J26" s="136"/>
      <c r="K26" s="108"/>
      <c r="M26" s="109"/>
      <c r="N26" s="113"/>
      <c r="O26" s="113"/>
      <c r="P26" s="113"/>
      <c r="Q26" s="113"/>
      <c r="R26" s="113"/>
      <c r="S26" s="113"/>
    </row>
    <row r="27" spans="2:19">
      <c r="B27" s="117" t="s">
        <v>268</v>
      </c>
      <c r="C27" s="134">
        <v>0</v>
      </c>
      <c r="D27" s="134">
        <v>0</v>
      </c>
      <c r="E27" s="134">
        <v>0</v>
      </c>
      <c r="F27" s="134"/>
      <c r="G27" s="134"/>
      <c r="H27" s="134"/>
      <c r="I27" s="134"/>
      <c r="J27" s="120"/>
      <c r="K27" s="120"/>
      <c r="M27" s="109"/>
      <c r="N27" s="137"/>
      <c r="O27" s="137"/>
      <c r="P27" s="137"/>
      <c r="Q27" s="137"/>
      <c r="R27" s="113"/>
      <c r="S27" s="113"/>
    </row>
    <row r="28" spans="2:19">
      <c r="B28" s="117" t="s">
        <v>269</v>
      </c>
      <c r="C28" s="134">
        <v>0</v>
      </c>
      <c r="D28" s="134">
        <v>0</v>
      </c>
      <c r="E28" s="134">
        <v>0</v>
      </c>
      <c r="F28" s="134"/>
      <c r="G28" s="134"/>
      <c r="H28" s="134"/>
      <c r="I28" s="134"/>
      <c r="J28" s="120"/>
      <c r="K28" s="120"/>
      <c r="L28" s="138"/>
      <c r="M28" s="1146"/>
      <c r="N28" s="1146"/>
      <c r="O28" s="1146"/>
      <c r="P28" s="1146"/>
      <c r="Q28" s="1146"/>
      <c r="R28" s="1146"/>
      <c r="S28" s="1146"/>
    </row>
    <row r="29" spans="2:19">
      <c r="B29" s="125" t="s">
        <v>270</v>
      </c>
      <c r="C29" s="205"/>
      <c r="D29" s="205"/>
      <c r="E29" s="205"/>
      <c r="F29" s="205"/>
      <c r="G29" s="205"/>
      <c r="H29" s="205"/>
      <c r="I29" s="205"/>
      <c r="J29" s="205"/>
      <c r="K29" s="206"/>
      <c r="M29" s="109"/>
      <c r="N29" s="113"/>
      <c r="O29" s="113"/>
      <c r="P29" s="113"/>
      <c r="Q29" s="113"/>
      <c r="R29" s="113"/>
      <c r="S29" s="113"/>
    </row>
    <row r="30" spans="2:19">
      <c r="B30" s="186" t="s">
        <v>271</v>
      </c>
      <c r="C30" s="182">
        <v>5.6</v>
      </c>
      <c r="D30" s="209">
        <v>4.9000000000000004</v>
      </c>
      <c r="E30" s="209">
        <v>3.6</v>
      </c>
      <c r="F30" s="182">
        <v>3.2</v>
      </c>
      <c r="G30" s="182">
        <v>7.5</v>
      </c>
      <c r="H30" s="182">
        <v>2.1</v>
      </c>
      <c r="I30" s="182">
        <v>7.5</v>
      </c>
      <c r="J30" s="107" t="s">
        <v>300</v>
      </c>
      <c r="K30" s="108" t="s">
        <v>369</v>
      </c>
      <c r="M30" s="109"/>
      <c r="N30" s="141"/>
      <c r="O30" s="141"/>
      <c r="P30" s="141"/>
      <c r="Q30" s="141"/>
      <c r="R30" s="113"/>
      <c r="S30" s="113"/>
    </row>
    <row r="31" spans="2:19">
      <c r="B31" s="186" t="s">
        <v>274</v>
      </c>
      <c r="C31" s="166">
        <v>0.87</v>
      </c>
      <c r="D31" s="166">
        <v>0.87</v>
      </c>
      <c r="E31" s="166">
        <v>0.87</v>
      </c>
      <c r="F31" s="175">
        <v>0.83</v>
      </c>
      <c r="G31" s="175">
        <v>0.91</v>
      </c>
      <c r="H31" s="175">
        <v>0.83</v>
      </c>
      <c r="I31" s="175">
        <v>0.91</v>
      </c>
      <c r="J31" s="120"/>
      <c r="K31" s="120" t="s">
        <v>355</v>
      </c>
      <c r="M31" s="109"/>
      <c r="N31" s="141"/>
      <c r="O31" s="141"/>
      <c r="P31" s="141"/>
      <c r="Q31" s="141"/>
      <c r="R31" s="113"/>
      <c r="S31" s="113"/>
    </row>
    <row r="32" spans="2:19">
      <c r="B32" s="186" t="s">
        <v>275</v>
      </c>
      <c r="C32" s="166">
        <v>0.13</v>
      </c>
      <c r="D32" s="166">
        <v>0.13</v>
      </c>
      <c r="E32" s="166">
        <v>0.13</v>
      </c>
      <c r="F32" s="175">
        <v>0.09</v>
      </c>
      <c r="G32" s="175">
        <v>0.17</v>
      </c>
      <c r="H32" s="175">
        <v>0.09</v>
      </c>
      <c r="I32" s="175">
        <v>0.17</v>
      </c>
      <c r="J32" s="120"/>
      <c r="K32" s="120" t="s">
        <v>355</v>
      </c>
      <c r="M32" s="109"/>
      <c r="N32" s="141"/>
      <c r="O32" s="141"/>
      <c r="P32" s="141"/>
      <c r="Q32" s="141"/>
      <c r="R32" s="113"/>
      <c r="S32" s="113"/>
    </row>
    <row r="33" spans="1:19">
      <c r="B33" s="186" t="s">
        <v>276</v>
      </c>
      <c r="C33" s="168">
        <v>299980</v>
      </c>
      <c r="D33" s="168">
        <v>243800</v>
      </c>
      <c r="E33" s="168">
        <v>120840</v>
      </c>
      <c r="F33" s="168">
        <v>98580</v>
      </c>
      <c r="G33" s="168">
        <v>436720</v>
      </c>
      <c r="H33" s="168">
        <v>98580</v>
      </c>
      <c r="I33" s="168">
        <v>436720</v>
      </c>
      <c r="J33" s="120" t="s">
        <v>300</v>
      </c>
      <c r="K33" s="108" t="s">
        <v>355</v>
      </c>
      <c r="M33" s="109"/>
      <c r="N33" s="141"/>
      <c r="O33" s="141"/>
      <c r="P33" s="141"/>
      <c r="Q33" s="141"/>
      <c r="R33" s="113"/>
      <c r="S33" s="113"/>
    </row>
    <row r="34" spans="1:19">
      <c r="B34" s="186" t="s">
        <v>279</v>
      </c>
      <c r="C34" s="169">
        <v>12</v>
      </c>
      <c r="D34" s="169">
        <v>9</v>
      </c>
      <c r="E34" s="169">
        <v>8</v>
      </c>
      <c r="F34" s="169"/>
      <c r="G34" s="169"/>
      <c r="H34" s="106"/>
      <c r="I34" s="145"/>
      <c r="J34" s="120"/>
      <c r="K34" s="108">
        <v>4</v>
      </c>
      <c r="M34" s="109"/>
      <c r="N34" s="141"/>
      <c r="O34" s="141"/>
      <c r="P34" s="141"/>
      <c r="Q34" s="141"/>
      <c r="R34" s="113"/>
      <c r="S34" s="113"/>
    </row>
    <row r="35" spans="1:19">
      <c r="B35" s="117" t="s">
        <v>282</v>
      </c>
      <c r="C35" s="106"/>
      <c r="D35" s="106"/>
      <c r="E35" s="106"/>
      <c r="F35" s="106"/>
      <c r="G35" s="106"/>
      <c r="H35" s="106"/>
      <c r="I35" s="145"/>
      <c r="J35" s="120"/>
      <c r="K35" s="108"/>
      <c r="M35" s="1146"/>
      <c r="N35" s="1146"/>
      <c r="O35" s="1146"/>
      <c r="P35" s="1146"/>
      <c r="Q35" s="1146"/>
      <c r="R35" s="1146"/>
      <c r="S35" s="1146"/>
    </row>
    <row r="36" spans="1:19">
      <c r="B36" s="146" t="s">
        <v>283</v>
      </c>
      <c r="C36" s="173"/>
      <c r="D36" s="173"/>
      <c r="E36" s="173"/>
      <c r="F36" s="173"/>
      <c r="G36" s="173"/>
      <c r="H36" s="173"/>
      <c r="I36" s="173"/>
      <c r="J36" s="173"/>
      <c r="K36" s="174"/>
      <c r="N36" s="113"/>
      <c r="O36" s="113"/>
      <c r="P36" s="113"/>
      <c r="Q36" s="113"/>
      <c r="R36" s="113"/>
      <c r="S36" s="113"/>
    </row>
    <row r="37" spans="1:19" ht="15" customHeight="1">
      <c r="B37" s="105"/>
      <c r="C37" s="145"/>
      <c r="D37" s="145"/>
      <c r="E37" s="145"/>
      <c r="F37" s="145"/>
      <c r="G37" s="145"/>
      <c r="H37" s="145"/>
      <c r="I37" s="145"/>
      <c r="J37" s="149"/>
      <c r="K37" s="145"/>
      <c r="N37" s="113"/>
      <c r="O37" s="113"/>
      <c r="P37" s="113"/>
      <c r="Q37" s="113"/>
      <c r="R37" s="113"/>
      <c r="S37" s="113"/>
    </row>
    <row r="38" spans="1:19">
      <c r="A38" s="130"/>
      <c r="L38" s="94"/>
    </row>
    <row r="39" spans="1:19" s="93" customFormat="1" ht="12">
      <c r="A39" s="130" t="s">
        <v>286</v>
      </c>
      <c r="C39" s="150"/>
      <c r="D39" s="150"/>
      <c r="E39" s="150"/>
      <c r="F39" s="150"/>
      <c r="G39" s="150"/>
    </row>
    <row r="40" spans="1:19">
      <c r="A40" s="151">
        <v>1</v>
      </c>
      <c r="B40" s="151" t="s">
        <v>572</v>
      </c>
    </row>
    <row r="41" spans="1:19">
      <c r="A41" s="151">
        <v>2</v>
      </c>
      <c r="B41" s="151" t="s">
        <v>573</v>
      </c>
    </row>
    <row r="42" spans="1:19">
      <c r="A42" s="151">
        <v>3</v>
      </c>
      <c r="B42" s="151" t="s">
        <v>574</v>
      </c>
      <c r="C42" s="153"/>
      <c r="D42" s="153"/>
      <c r="E42" s="153"/>
      <c r="F42" s="153"/>
      <c r="G42" s="153"/>
      <c r="H42" s="153"/>
      <c r="I42" s="153"/>
      <c r="J42" s="153"/>
      <c r="K42" s="153"/>
    </row>
    <row r="43" spans="1:19">
      <c r="A43" s="151">
        <v>4</v>
      </c>
      <c r="B43" s="151" t="s">
        <v>575</v>
      </c>
    </row>
    <row r="44" spans="1:19">
      <c r="A44" s="151">
        <v>5</v>
      </c>
      <c r="B44" s="151" t="s">
        <v>561</v>
      </c>
    </row>
    <row r="45" spans="1:19">
      <c r="A45" s="130" t="s">
        <v>298</v>
      </c>
    </row>
    <row r="46" spans="1:19">
      <c r="A46" s="152" t="s">
        <v>246</v>
      </c>
      <c r="B46" s="151" t="s">
        <v>576</v>
      </c>
      <c r="C46" s="151"/>
      <c r="D46" s="151"/>
      <c r="E46" s="151"/>
      <c r="F46" s="151"/>
      <c r="G46" s="151"/>
      <c r="H46" s="151"/>
      <c r="I46" s="151"/>
      <c r="J46" s="151"/>
      <c r="K46" s="151"/>
    </row>
    <row r="47" spans="1:19" ht="13.9" customHeight="1">
      <c r="A47" s="152" t="s">
        <v>300</v>
      </c>
      <c r="B47" s="1148" t="s">
        <v>567</v>
      </c>
      <c r="C47" s="1148"/>
      <c r="D47" s="1148"/>
      <c r="E47" s="1148"/>
      <c r="F47" s="1148"/>
      <c r="G47" s="1148"/>
      <c r="H47" s="1148"/>
      <c r="I47" s="1148"/>
      <c r="J47" s="1148"/>
      <c r="K47" s="1148"/>
    </row>
    <row r="48" spans="1:19">
      <c r="A48" s="155" t="s">
        <v>265</v>
      </c>
      <c r="B48" s="93" t="s">
        <v>577</v>
      </c>
    </row>
    <row r="49" spans="1:1">
      <c r="A49" s="155"/>
    </row>
    <row r="50" spans="1:1" ht="27.75" customHeight="1"/>
    <row r="52" spans="1:1" ht="39.75" customHeight="1"/>
  </sheetData>
  <mergeCells count="10">
    <mergeCell ref="M23:S23"/>
    <mergeCell ref="M28:S28"/>
    <mergeCell ref="M35:S35"/>
    <mergeCell ref="B47:K47"/>
    <mergeCell ref="C3:K3"/>
    <mergeCell ref="N3:S3"/>
    <mergeCell ref="F4:G4"/>
    <mergeCell ref="H4:I4"/>
    <mergeCell ref="M5:S5"/>
    <mergeCell ref="N6:S6"/>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79CDE-9973-452F-BE58-ACABB5FB18D3}">
  <sheetPr codeName="Sheet22">
    <tabColor theme="0" tint="-0.499984740745262"/>
  </sheetPr>
  <dimension ref="A1:M53"/>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150" customWidth="1"/>
    <col min="10" max="10" width="8.7109375" style="150" customWidth="1"/>
    <col min="11" max="11" width="6.5703125" style="150" customWidth="1"/>
    <col min="12" max="16384" width="9.140625" style="94"/>
  </cols>
  <sheetData>
    <row r="1" spans="1:13" ht="20.25">
      <c r="A1" s="317" t="s">
        <v>327</v>
      </c>
      <c r="B1" s="318" t="s">
        <v>234</v>
      </c>
      <c r="C1" s="344" t="s">
        <v>327</v>
      </c>
      <c r="D1" s="344" t="s">
        <v>327</v>
      </c>
      <c r="E1" s="344" t="s">
        <v>327</v>
      </c>
      <c r="F1" s="344" t="s">
        <v>327</v>
      </c>
      <c r="G1" s="344" t="s">
        <v>327</v>
      </c>
      <c r="H1" s="344" t="s">
        <v>327</v>
      </c>
      <c r="I1" s="344" t="s">
        <v>327</v>
      </c>
      <c r="J1" s="344" t="s">
        <v>327</v>
      </c>
      <c r="K1" s="344" t="s">
        <v>327</v>
      </c>
    </row>
    <row r="2" spans="1:13">
      <c r="A2" s="317" t="s">
        <v>327</v>
      </c>
      <c r="B2" s="317" t="s">
        <v>327</v>
      </c>
      <c r="C2" s="344" t="s">
        <v>327</v>
      </c>
      <c r="D2" s="344" t="s">
        <v>327</v>
      </c>
      <c r="E2" s="344" t="s">
        <v>327</v>
      </c>
      <c r="F2" s="344" t="s">
        <v>327</v>
      </c>
      <c r="G2" s="344" t="s">
        <v>327</v>
      </c>
      <c r="H2" s="344" t="s">
        <v>327</v>
      </c>
      <c r="I2" s="344" t="s">
        <v>327</v>
      </c>
      <c r="J2" s="344" t="s">
        <v>327</v>
      </c>
      <c r="K2" s="344" t="s">
        <v>327</v>
      </c>
      <c r="M2" s="94" t="s">
        <v>578</v>
      </c>
    </row>
    <row r="3" spans="1:13" ht="14.1" customHeight="1">
      <c r="A3" s="317" t="s">
        <v>327</v>
      </c>
      <c r="B3" s="320" t="s">
        <v>145</v>
      </c>
      <c r="C3" s="1175" t="s">
        <v>579</v>
      </c>
      <c r="D3" s="1175"/>
      <c r="E3" s="1175"/>
      <c r="F3" s="1175"/>
      <c r="G3" s="1175"/>
      <c r="H3" s="1175"/>
      <c r="I3" s="1175"/>
      <c r="J3" s="1175"/>
      <c r="K3" s="1176"/>
    </row>
    <row r="4" spans="1:13" ht="14.1" customHeight="1">
      <c r="A4" s="317" t="s">
        <v>327</v>
      </c>
      <c r="B4" s="323" t="s">
        <v>327</v>
      </c>
      <c r="C4" s="99">
        <v>2023</v>
      </c>
      <c r="D4" s="99">
        <v>2030</v>
      </c>
      <c r="E4" s="99">
        <v>2050</v>
      </c>
      <c r="F4" s="1145" t="s">
        <v>236</v>
      </c>
      <c r="G4" s="1142"/>
      <c r="H4" s="1145" t="s">
        <v>237</v>
      </c>
      <c r="I4" s="1142"/>
      <c r="J4" s="99" t="s">
        <v>238</v>
      </c>
      <c r="K4" s="99" t="s">
        <v>239</v>
      </c>
    </row>
    <row r="5" spans="1:13">
      <c r="A5" s="317" t="s">
        <v>327</v>
      </c>
      <c r="B5" s="325" t="s">
        <v>240</v>
      </c>
      <c r="C5" s="326" t="s">
        <v>327</v>
      </c>
      <c r="D5" s="326" t="s">
        <v>327</v>
      </c>
      <c r="E5" s="326" t="s">
        <v>327</v>
      </c>
      <c r="F5" s="326" t="s">
        <v>241</v>
      </c>
      <c r="G5" s="326" t="s">
        <v>242</v>
      </c>
      <c r="H5" s="326" t="s">
        <v>241</v>
      </c>
      <c r="I5" s="326" t="s">
        <v>242</v>
      </c>
      <c r="J5" s="326" t="s">
        <v>327</v>
      </c>
      <c r="K5" s="324" t="s">
        <v>327</v>
      </c>
    </row>
    <row r="6" spans="1:13">
      <c r="A6" s="317" t="s">
        <v>327</v>
      </c>
      <c r="B6" s="323" t="s">
        <v>243</v>
      </c>
      <c r="C6" s="653">
        <v>150</v>
      </c>
      <c r="D6" s="654">
        <v>150</v>
      </c>
      <c r="E6" s="654">
        <v>150</v>
      </c>
      <c r="F6" s="654">
        <v>7</v>
      </c>
      <c r="G6" s="654">
        <v>660</v>
      </c>
      <c r="H6" s="654">
        <v>100</v>
      </c>
      <c r="I6" s="654">
        <v>660</v>
      </c>
      <c r="J6" s="655" t="s">
        <v>385</v>
      </c>
      <c r="K6" s="656">
        <v>1</v>
      </c>
    </row>
    <row r="7" spans="1:13" ht="15" customHeight="1">
      <c r="A7" s="317" t="s">
        <v>327</v>
      </c>
      <c r="B7" s="323" t="s">
        <v>244</v>
      </c>
      <c r="C7" s="653">
        <v>300</v>
      </c>
      <c r="D7" s="654">
        <v>300</v>
      </c>
      <c r="E7" s="654">
        <v>300</v>
      </c>
      <c r="F7" s="654">
        <v>7</v>
      </c>
      <c r="G7" s="654">
        <v>2640</v>
      </c>
      <c r="H7" s="654">
        <v>100</v>
      </c>
      <c r="I7" s="654">
        <v>2640</v>
      </c>
      <c r="J7" s="655" t="s">
        <v>385</v>
      </c>
      <c r="K7" s="656">
        <v>1</v>
      </c>
    </row>
    <row r="8" spans="1:13">
      <c r="A8" s="317" t="s">
        <v>327</v>
      </c>
      <c r="B8" s="323" t="s">
        <v>245</v>
      </c>
      <c r="C8" s="653">
        <v>35</v>
      </c>
      <c r="D8" s="654">
        <v>36</v>
      </c>
      <c r="E8" s="654">
        <v>37</v>
      </c>
      <c r="F8" s="654">
        <v>30</v>
      </c>
      <c r="G8" s="654">
        <v>38</v>
      </c>
      <c r="H8" s="654">
        <v>33</v>
      </c>
      <c r="I8" s="654">
        <v>39</v>
      </c>
      <c r="J8" s="655" t="s">
        <v>327</v>
      </c>
      <c r="K8" s="656" t="s">
        <v>369</v>
      </c>
    </row>
    <row r="9" spans="1:13">
      <c r="A9" s="317" t="s">
        <v>327</v>
      </c>
      <c r="B9" s="334" t="s">
        <v>247</v>
      </c>
      <c r="C9" s="653">
        <v>34</v>
      </c>
      <c r="D9" s="654">
        <v>35</v>
      </c>
      <c r="E9" s="654">
        <v>36</v>
      </c>
      <c r="F9" s="654">
        <v>29</v>
      </c>
      <c r="G9" s="654">
        <v>37</v>
      </c>
      <c r="H9" s="654">
        <v>32</v>
      </c>
      <c r="I9" s="654">
        <v>38</v>
      </c>
      <c r="J9" s="655" t="s">
        <v>327</v>
      </c>
      <c r="K9" s="656" t="s">
        <v>369</v>
      </c>
    </row>
    <row r="10" spans="1:13">
      <c r="A10" s="317" t="s">
        <v>327</v>
      </c>
      <c r="B10" s="335" t="s">
        <v>248</v>
      </c>
      <c r="C10" s="653">
        <v>7</v>
      </c>
      <c r="D10" s="655">
        <v>5</v>
      </c>
      <c r="E10" s="656">
        <v>3</v>
      </c>
      <c r="F10" s="653">
        <v>5</v>
      </c>
      <c r="G10" s="654">
        <v>20</v>
      </c>
      <c r="H10" s="654">
        <v>2</v>
      </c>
      <c r="I10" s="654">
        <v>7</v>
      </c>
      <c r="J10" s="655" t="s">
        <v>246</v>
      </c>
      <c r="K10" s="656">
        <v>1</v>
      </c>
    </row>
    <row r="11" spans="1:13">
      <c r="A11" s="317" t="s">
        <v>327</v>
      </c>
      <c r="B11" s="323" t="s">
        <v>249</v>
      </c>
      <c r="C11" s="653">
        <v>6</v>
      </c>
      <c r="D11" s="655">
        <v>5</v>
      </c>
      <c r="E11" s="656">
        <v>3</v>
      </c>
      <c r="F11" s="653">
        <v>3</v>
      </c>
      <c r="G11" s="654">
        <v>8</v>
      </c>
      <c r="H11" s="654">
        <v>2</v>
      </c>
      <c r="I11" s="654">
        <v>4</v>
      </c>
      <c r="J11" s="655" t="s">
        <v>246</v>
      </c>
      <c r="K11" s="656">
        <v>1</v>
      </c>
    </row>
    <row r="12" spans="1:13">
      <c r="A12" s="317" t="s">
        <v>327</v>
      </c>
      <c r="B12" s="323" t="s">
        <v>250</v>
      </c>
      <c r="C12" s="653">
        <v>30</v>
      </c>
      <c r="D12" s="654">
        <v>30</v>
      </c>
      <c r="E12" s="654">
        <v>30</v>
      </c>
      <c r="F12" s="654">
        <v>25</v>
      </c>
      <c r="G12" s="654">
        <v>40</v>
      </c>
      <c r="H12" s="654">
        <v>25</v>
      </c>
      <c r="I12" s="654">
        <v>40</v>
      </c>
      <c r="J12" s="655" t="s">
        <v>327</v>
      </c>
      <c r="K12" s="656">
        <v>1</v>
      </c>
    </row>
    <row r="13" spans="1:13">
      <c r="A13" s="317" t="s">
        <v>327</v>
      </c>
      <c r="B13" s="323" t="s">
        <v>252</v>
      </c>
      <c r="C13" s="653">
        <v>3</v>
      </c>
      <c r="D13" s="654">
        <v>3</v>
      </c>
      <c r="E13" s="654">
        <v>3</v>
      </c>
      <c r="F13" s="655">
        <v>2</v>
      </c>
      <c r="G13" s="656">
        <v>4</v>
      </c>
      <c r="H13" s="656">
        <v>2</v>
      </c>
      <c r="I13" s="653">
        <v>4</v>
      </c>
      <c r="J13" s="655" t="s">
        <v>327</v>
      </c>
      <c r="K13" s="656">
        <v>1</v>
      </c>
    </row>
    <row r="14" spans="1:13">
      <c r="A14" s="317" t="s">
        <v>327</v>
      </c>
      <c r="B14" s="336" t="s">
        <v>254</v>
      </c>
      <c r="C14" s="657" t="s">
        <v>146</v>
      </c>
      <c r="D14" s="658" t="s">
        <v>146</v>
      </c>
      <c r="E14" s="658" t="s">
        <v>146</v>
      </c>
      <c r="F14" s="658" t="s">
        <v>146</v>
      </c>
      <c r="G14" s="658" t="s">
        <v>146</v>
      </c>
      <c r="H14" s="658" t="s">
        <v>146</v>
      </c>
      <c r="I14" s="658" t="s">
        <v>146</v>
      </c>
      <c r="J14" s="656" t="s">
        <v>327</v>
      </c>
      <c r="K14" s="656" t="s">
        <v>327</v>
      </c>
    </row>
    <row r="15" spans="1:13">
      <c r="A15" s="317" t="s">
        <v>327</v>
      </c>
      <c r="B15" s="337" t="s">
        <v>255</v>
      </c>
      <c r="C15" s="659" t="s">
        <v>327</v>
      </c>
      <c r="D15" s="659" t="s">
        <v>327</v>
      </c>
      <c r="E15" s="659" t="s">
        <v>327</v>
      </c>
      <c r="F15" s="659" t="s">
        <v>327</v>
      </c>
      <c r="G15" s="659" t="s">
        <v>327</v>
      </c>
      <c r="H15" s="659" t="s">
        <v>327</v>
      </c>
      <c r="I15" s="659" t="s">
        <v>327</v>
      </c>
      <c r="J15" s="659" t="s">
        <v>327</v>
      </c>
      <c r="K15" s="660" t="s">
        <v>327</v>
      </c>
    </row>
    <row r="16" spans="1:13">
      <c r="A16" s="317" t="s">
        <v>327</v>
      </c>
      <c r="B16" s="336" t="s">
        <v>256</v>
      </c>
      <c r="C16" s="657" t="s">
        <v>146</v>
      </c>
      <c r="D16" s="658" t="s">
        <v>146</v>
      </c>
      <c r="E16" s="658" t="s">
        <v>146</v>
      </c>
      <c r="F16" s="658" t="s">
        <v>146</v>
      </c>
      <c r="G16" s="658" t="s">
        <v>146</v>
      </c>
      <c r="H16" s="658" t="s">
        <v>146</v>
      </c>
      <c r="I16" s="658" t="s">
        <v>146</v>
      </c>
      <c r="J16" s="656" t="s">
        <v>327</v>
      </c>
      <c r="K16" s="656" t="s">
        <v>327</v>
      </c>
    </row>
    <row r="17" spans="1:11">
      <c r="A17" s="317" t="s">
        <v>327</v>
      </c>
      <c r="B17" s="336" t="s">
        <v>257</v>
      </c>
      <c r="C17" s="657" t="s">
        <v>146</v>
      </c>
      <c r="D17" s="658" t="s">
        <v>146</v>
      </c>
      <c r="E17" s="658" t="s">
        <v>146</v>
      </c>
      <c r="F17" s="658" t="s">
        <v>146</v>
      </c>
      <c r="G17" s="658" t="s">
        <v>146</v>
      </c>
      <c r="H17" s="658" t="s">
        <v>146</v>
      </c>
      <c r="I17" s="658" t="s">
        <v>146</v>
      </c>
      <c r="J17" s="656" t="s">
        <v>327</v>
      </c>
      <c r="K17" s="656" t="s">
        <v>327</v>
      </c>
    </row>
    <row r="18" spans="1:11">
      <c r="A18" s="317" t="s">
        <v>327</v>
      </c>
      <c r="B18" s="325" t="s">
        <v>258</v>
      </c>
      <c r="C18" s="426" t="s">
        <v>327</v>
      </c>
      <c r="D18" s="426" t="s">
        <v>327</v>
      </c>
      <c r="E18" s="426" t="s">
        <v>327</v>
      </c>
      <c r="F18" s="426" t="s">
        <v>327</v>
      </c>
      <c r="G18" s="426" t="s">
        <v>327</v>
      </c>
      <c r="H18" s="426" t="s">
        <v>327</v>
      </c>
      <c r="I18" s="426" t="s">
        <v>327</v>
      </c>
      <c r="J18" s="426" t="s">
        <v>327</v>
      </c>
      <c r="K18" s="427" t="s">
        <v>327</v>
      </c>
    </row>
    <row r="19" spans="1:11">
      <c r="A19" s="317" t="s">
        <v>327</v>
      </c>
      <c r="B19" s="323" t="s">
        <v>259</v>
      </c>
      <c r="C19" s="653">
        <v>3.5</v>
      </c>
      <c r="D19" s="654">
        <v>3.5</v>
      </c>
      <c r="E19" s="654">
        <v>3.5</v>
      </c>
      <c r="F19" s="655">
        <v>2</v>
      </c>
      <c r="G19" s="656">
        <v>4</v>
      </c>
      <c r="H19" s="656">
        <v>2</v>
      </c>
      <c r="I19" s="656">
        <v>4</v>
      </c>
      <c r="J19" s="656" t="s">
        <v>300</v>
      </c>
      <c r="K19" s="656">
        <v>1</v>
      </c>
    </row>
    <row r="20" spans="1:11">
      <c r="A20" s="317" t="s">
        <v>327</v>
      </c>
      <c r="B20" s="323" t="s">
        <v>260</v>
      </c>
      <c r="C20" s="656">
        <v>40</v>
      </c>
      <c r="D20" s="653">
        <v>40</v>
      </c>
      <c r="E20" s="654">
        <v>40</v>
      </c>
      <c r="F20" s="655">
        <v>25</v>
      </c>
      <c r="G20" s="656">
        <v>50</v>
      </c>
      <c r="H20" s="656">
        <v>20</v>
      </c>
      <c r="I20" s="656">
        <v>40</v>
      </c>
      <c r="J20" s="656" t="s">
        <v>246</v>
      </c>
      <c r="K20" s="656">
        <v>1</v>
      </c>
    </row>
    <row r="21" spans="1:11">
      <c r="A21" s="317" t="s">
        <v>327</v>
      </c>
      <c r="B21" s="323" t="s">
        <v>261</v>
      </c>
      <c r="C21" s="653">
        <v>3</v>
      </c>
      <c r="D21" s="654">
        <v>3</v>
      </c>
      <c r="E21" s="654">
        <v>3</v>
      </c>
      <c r="F21" s="655">
        <v>1</v>
      </c>
      <c r="G21" s="656">
        <v>5</v>
      </c>
      <c r="H21" s="656">
        <v>1</v>
      </c>
      <c r="I21" s="656">
        <v>5</v>
      </c>
      <c r="J21" s="656" t="s">
        <v>300</v>
      </c>
      <c r="K21" s="656">
        <v>1</v>
      </c>
    </row>
    <row r="22" spans="1:11">
      <c r="A22" s="317" t="s">
        <v>327</v>
      </c>
      <c r="B22" s="323" t="s">
        <v>262</v>
      </c>
      <c r="C22" s="653">
        <v>8</v>
      </c>
      <c r="D22" s="654">
        <v>8</v>
      </c>
      <c r="E22" s="654">
        <v>8</v>
      </c>
      <c r="F22" s="655">
        <v>5</v>
      </c>
      <c r="G22" s="656">
        <v>12</v>
      </c>
      <c r="H22" s="656">
        <v>5</v>
      </c>
      <c r="I22" s="656">
        <v>12</v>
      </c>
      <c r="J22" s="656" t="s">
        <v>300</v>
      </c>
      <c r="K22" s="656">
        <v>1</v>
      </c>
    </row>
    <row r="23" spans="1:11">
      <c r="A23" s="317" t="s">
        <v>327</v>
      </c>
      <c r="B23" s="325" t="s">
        <v>263</v>
      </c>
      <c r="C23" s="426" t="s">
        <v>327</v>
      </c>
      <c r="D23" s="426" t="s">
        <v>327</v>
      </c>
      <c r="E23" s="426" t="s">
        <v>327</v>
      </c>
      <c r="F23" s="426" t="s">
        <v>327</v>
      </c>
      <c r="G23" s="426" t="s">
        <v>327</v>
      </c>
      <c r="H23" s="426" t="s">
        <v>327</v>
      </c>
      <c r="I23" s="426" t="s">
        <v>327</v>
      </c>
      <c r="J23" s="426" t="s">
        <v>327</v>
      </c>
      <c r="K23" s="427" t="s">
        <v>327</v>
      </c>
    </row>
    <row r="24" spans="1:11">
      <c r="A24" s="317" t="s">
        <v>327</v>
      </c>
      <c r="B24" s="323" t="s">
        <v>580</v>
      </c>
      <c r="C24" s="656">
        <v>150</v>
      </c>
      <c r="D24" s="656">
        <v>100</v>
      </c>
      <c r="E24" s="656">
        <v>100</v>
      </c>
      <c r="F24" s="656">
        <v>50</v>
      </c>
      <c r="G24" s="656">
        <v>150</v>
      </c>
      <c r="H24" s="656">
        <v>20</v>
      </c>
      <c r="I24" s="656">
        <v>100</v>
      </c>
      <c r="J24" s="656" t="s">
        <v>581</v>
      </c>
      <c r="K24" s="656" t="s">
        <v>582</v>
      </c>
    </row>
    <row r="25" spans="1:11">
      <c r="A25" s="317" t="s">
        <v>327</v>
      </c>
      <c r="B25" s="323" t="s">
        <v>266</v>
      </c>
      <c r="C25" s="656">
        <v>73</v>
      </c>
      <c r="D25" s="656">
        <v>80</v>
      </c>
      <c r="E25" s="656">
        <v>95</v>
      </c>
      <c r="F25" s="656">
        <v>73</v>
      </c>
      <c r="G25" s="656">
        <v>95</v>
      </c>
      <c r="H25" s="656">
        <v>73</v>
      </c>
      <c r="I25" s="656">
        <v>95</v>
      </c>
      <c r="J25" s="656" t="s">
        <v>583</v>
      </c>
      <c r="K25" s="656" t="s">
        <v>582</v>
      </c>
    </row>
    <row r="26" spans="1:11" ht="15" customHeight="1">
      <c r="A26" s="317" t="s">
        <v>327</v>
      </c>
      <c r="B26" s="323" t="s">
        <v>267</v>
      </c>
      <c r="C26" s="656">
        <v>263</v>
      </c>
      <c r="D26" s="656">
        <v>150</v>
      </c>
      <c r="E26" s="656">
        <v>38</v>
      </c>
      <c r="F26" s="656">
        <v>263</v>
      </c>
      <c r="G26" s="656">
        <v>263</v>
      </c>
      <c r="H26" s="656">
        <v>263</v>
      </c>
      <c r="I26" s="656">
        <v>263</v>
      </c>
      <c r="J26" s="656" t="s">
        <v>584</v>
      </c>
      <c r="K26" s="656" t="s">
        <v>582</v>
      </c>
    </row>
    <row r="27" spans="1:11">
      <c r="A27" s="317" t="s">
        <v>327</v>
      </c>
      <c r="B27" s="323" t="s">
        <v>268</v>
      </c>
      <c r="C27" s="656" t="s">
        <v>327</v>
      </c>
      <c r="D27" s="656" t="s">
        <v>327</v>
      </c>
      <c r="E27" s="656" t="s">
        <v>327</v>
      </c>
      <c r="F27" s="656" t="s">
        <v>327</v>
      </c>
      <c r="G27" s="656" t="s">
        <v>327</v>
      </c>
      <c r="H27" s="656" t="s">
        <v>327</v>
      </c>
      <c r="I27" s="656" t="s">
        <v>327</v>
      </c>
      <c r="J27" s="656" t="s">
        <v>327</v>
      </c>
      <c r="K27" s="656" t="s">
        <v>327</v>
      </c>
    </row>
    <row r="28" spans="1:11">
      <c r="A28" s="317" t="s">
        <v>327</v>
      </c>
      <c r="B28" s="323" t="s">
        <v>269</v>
      </c>
      <c r="C28" s="656" t="s">
        <v>327</v>
      </c>
      <c r="D28" s="656" t="s">
        <v>327</v>
      </c>
      <c r="E28" s="656" t="s">
        <v>327</v>
      </c>
      <c r="F28" s="656" t="s">
        <v>327</v>
      </c>
      <c r="G28" s="656" t="s">
        <v>327</v>
      </c>
      <c r="H28" s="656" t="s">
        <v>327</v>
      </c>
      <c r="I28" s="656" t="s">
        <v>327</v>
      </c>
      <c r="J28" s="656" t="s">
        <v>327</v>
      </c>
      <c r="K28" s="656" t="s">
        <v>327</v>
      </c>
    </row>
    <row r="29" spans="1:11">
      <c r="A29" s="317" t="s">
        <v>327</v>
      </c>
      <c r="B29" s="325" t="s">
        <v>270</v>
      </c>
      <c r="C29" s="426" t="s">
        <v>327</v>
      </c>
      <c r="D29" s="426" t="s">
        <v>327</v>
      </c>
      <c r="E29" s="426" t="s">
        <v>327</v>
      </c>
      <c r="F29" s="426" t="s">
        <v>327</v>
      </c>
      <c r="G29" s="426" t="s">
        <v>327</v>
      </c>
      <c r="H29" s="426" t="s">
        <v>327</v>
      </c>
      <c r="I29" s="426" t="s">
        <v>327</v>
      </c>
      <c r="J29" s="426" t="s">
        <v>327</v>
      </c>
      <c r="K29" s="427" t="s">
        <v>327</v>
      </c>
    </row>
    <row r="30" spans="1:11">
      <c r="A30" s="317" t="s">
        <v>327</v>
      </c>
      <c r="B30" s="323" t="s">
        <v>271</v>
      </c>
      <c r="C30" s="661">
        <v>1.88</v>
      </c>
      <c r="D30" s="662">
        <v>1.82</v>
      </c>
      <c r="E30" s="663">
        <v>1.76</v>
      </c>
      <c r="F30" s="661">
        <v>1.1399999999999999</v>
      </c>
      <c r="G30" s="664">
        <v>1.94</v>
      </c>
      <c r="H30" s="664">
        <v>1.1399999999999999</v>
      </c>
      <c r="I30" s="662">
        <v>1.9379999999999999</v>
      </c>
      <c r="J30" s="656" t="s">
        <v>585</v>
      </c>
      <c r="K30" s="656" t="s">
        <v>586</v>
      </c>
    </row>
    <row r="31" spans="1:11">
      <c r="A31" s="317" t="s">
        <v>327</v>
      </c>
      <c r="B31" s="323" t="s">
        <v>274</v>
      </c>
      <c r="C31" s="656" t="s">
        <v>327</v>
      </c>
      <c r="D31" s="656" t="s">
        <v>327</v>
      </c>
      <c r="E31" s="656" t="s">
        <v>327</v>
      </c>
      <c r="F31" s="656" t="s">
        <v>327</v>
      </c>
      <c r="G31" s="656" t="s">
        <v>327</v>
      </c>
      <c r="H31" s="656" t="s">
        <v>327</v>
      </c>
      <c r="I31" s="656" t="s">
        <v>327</v>
      </c>
      <c r="J31" s="656" t="s">
        <v>327</v>
      </c>
      <c r="K31" s="656" t="s">
        <v>327</v>
      </c>
    </row>
    <row r="32" spans="1:11">
      <c r="A32" s="317" t="s">
        <v>327</v>
      </c>
      <c r="B32" s="323" t="s">
        <v>275</v>
      </c>
      <c r="C32" s="656" t="s">
        <v>327</v>
      </c>
      <c r="D32" s="656" t="s">
        <v>327</v>
      </c>
      <c r="E32" s="656" t="s">
        <v>327</v>
      </c>
      <c r="F32" s="656" t="s">
        <v>327</v>
      </c>
      <c r="G32" s="656" t="s">
        <v>327</v>
      </c>
      <c r="H32" s="656" t="s">
        <v>327</v>
      </c>
      <c r="I32" s="656" t="s">
        <v>327</v>
      </c>
      <c r="J32" s="656" t="s">
        <v>327</v>
      </c>
      <c r="K32" s="656" t="s">
        <v>327</v>
      </c>
    </row>
    <row r="33" spans="1:11">
      <c r="A33" s="317" t="s">
        <v>327</v>
      </c>
      <c r="B33" s="323" t="s">
        <v>276</v>
      </c>
      <c r="C33" s="665">
        <v>51600</v>
      </c>
      <c r="D33" s="666">
        <v>50000</v>
      </c>
      <c r="E33" s="667">
        <v>48550</v>
      </c>
      <c r="F33" s="667">
        <v>38750</v>
      </c>
      <c r="G33" s="667">
        <v>64500</v>
      </c>
      <c r="H33" s="667">
        <v>36500</v>
      </c>
      <c r="I33" s="667">
        <v>60800</v>
      </c>
      <c r="J33" s="656" t="s">
        <v>309</v>
      </c>
      <c r="K33" s="656" t="s">
        <v>586</v>
      </c>
    </row>
    <row r="34" spans="1:11">
      <c r="A34" s="317" t="s">
        <v>327</v>
      </c>
      <c r="B34" s="323" t="s">
        <v>279</v>
      </c>
      <c r="C34" s="668">
        <v>1.5</v>
      </c>
      <c r="D34" s="669">
        <v>1.45</v>
      </c>
      <c r="E34" s="670">
        <v>1.4</v>
      </c>
      <c r="F34" s="670">
        <v>1</v>
      </c>
      <c r="G34" s="670">
        <v>1.8</v>
      </c>
      <c r="H34" s="670">
        <v>1</v>
      </c>
      <c r="I34" s="670">
        <v>1.7</v>
      </c>
      <c r="J34" s="656" t="s">
        <v>309</v>
      </c>
      <c r="K34" s="656" t="s">
        <v>586</v>
      </c>
    </row>
    <row r="35" spans="1:11">
      <c r="A35" s="317" t="s">
        <v>327</v>
      </c>
      <c r="B35" s="323" t="s">
        <v>282</v>
      </c>
      <c r="C35" s="653">
        <v>125.4</v>
      </c>
      <c r="D35" s="654">
        <v>125.4</v>
      </c>
      <c r="E35" s="654">
        <v>125.4</v>
      </c>
      <c r="F35" s="655">
        <v>57</v>
      </c>
      <c r="G35" s="656">
        <v>228</v>
      </c>
      <c r="H35" s="656">
        <v>57</v>
      </c>
      <c r="I35" s="656">
        <v>228</v>
      </c>
      <c r="J35" s="656" t="s">
        <v>327</v>
      </c>
      <c r="K35" s="656">
        <v>5</v>
      </c>
    </row>
    <row r="36" spans="1:11">
      <c r="A36" s="340" t="s">
        <v>327</v>
      </c>
      <c r="B36" s="317" t="s">
        <v>327</v>
      </c>
      <c r="C36" s="344" t="s">
        <v>327</v>
      </c>
      <c r="D36" s="344" t="s">
        <v>327</v>
      </c>
      <c r="E36" s="344" t="s">
        <v>327</v>
      </c>
      <c r="F36" s="344" t="s">
        <v>327</v>
      </c>
      <c r="G36" s="344" t="s">
        <v>327</v>
      </c>
      <c r="H36" s="344" t="s">
        <v>327</v>
      </c>
      <c r="I36" s="344" t="s">
        <v>327</v>
      </c>
      <c r="J36" s="344" t="s">
        <v>327</v>
      </c>
      <c r="K36" s="344" t="s">
        <v>327</v>
      </c>
    </row>
    <row r="37" spans="1:11" s="93" customFormat="1" ht="11.45" customHeight="1">
      <c r="A37" s="340" t="s">
        <v>286</v>
      </c>
      <c r="B37" s="340"/>
      <c r="C37" s="344" t="s">
        <v>327</v>
      </c>
      <c r="D37" s="344" t="s">
        <v>327</v>
      </c>
      <c r="E37" s="344" t="s">
        <v>327</v>
      </c>
      <c r="F37" s="344" t="s">
        <v>327</v>
      </c>
      <c r="G37" s="344" t="s">
        <v>327</v>
      </c>
      <c r="H37" s="344" t="s">
        <v>327</v>
      </c>
      <c r="I37" s="344" t="s">
        <v>327</v>
      </c>
      <c r="J37" s="344" t="s">
        <v>327</v>
      </c>
      <c r="K37" s="344" t="s">
        <v>327</v>
      </c>
    </row>
    <row r="38" spans="1:11" ht="14.1" customHeight="1">
      <c r="A38" s="502">
        <v>1</v>
      </c>
      <c r="B38" s="1150" t="s">
        <v>287</v>
      </c>
      <c r="C38" s="1150"/>
      <c r="D38" s="1150"/>
      <c r="E38" s="1150"/>
      <c r="F38" s="1150"/>
      <c r="G38" s="1150"/>
      <c r="H38" s="1150"/>
      <c r="I38" s="1150"/>
      <c r="J38" s="1150"/>
      <c r="K38" s="1150"/>
    </row>
    <row r="39" spans="1:11" ht="14.1" customHeight="1">
      <c r="A39" s="502">
        <v>2</v>
      </c>
      <c r="B39" s="1177" t="s">
        <v>587</v>
      </c>
      <c r="C39" s="1177"/>
      <c r="D39" s="1177"/>
      <c r="E39" s="1177"/>
      <c r="F39" s="1177"/>
      <c r="G39" s="1177"/>
      <c r="H39" s="1177"/>
      <c r="I39" s="1177"/>
      <c r="J39" s="1177"/>
      <c r="K39" s="1177"/>
    </row>
    <row r="40" spans="1:11" ht="14.1" customHeight="1">
      <c r="A40" s="502">
        <v>3</v>
      </c>
      <c r="B40" s="1177" t="s">
        <v>290</v>
      </c>
      <c r="C40" s="1177"/>
      <c r="D40" s="1177"/>
      <c r="E40" s="1177"/>
      <c r="F40" s="1177"/>
      <c r="G40" s="1177"/>
      <c r="H40" s="1177"/>
      <c r="I40" s="1177"/>
      <c r="J40" s="1177"/>
      <c r="K40" s="1177"/>
    </row>
    <row r="41" spans="1:11" ht="14.1" customHeight="1">
      <c r="A41" s="502">
        <v>4</v>
      </c>
      <c r="B41" s="1177" t="s">
        <v>588</v>
      </c>
      <c r="C41" s="1177"/>
      <c r="D41" s="1177"/>
      <c r="E41" s="1177"/>
      <c r="F41" s="1177"/>
      <c r="G41" s="1177"/>
      <c r="H41" s="1177"/>
      <c r="I41" s="1177"/>
      <c r="J41" s="1177"/>
      <c r="K41" s="1177"/>
    </row>
    <row r="42" spans="1:11" ht="14.1" customHeight="1">
      <c r="A42" s="502">
        <v>5</v>
      </c>
      <c r="B42" s="1177" t="s">
        <v>589</v>
      </c>
      <c r="C42" s="1177"/>
      <c r="D42" s="1177"/>
      <c r="E42" s="1177"/>
      <c r="F42" s="1177"/>
      <c r="G42" s="1177"/>
      <c r="H42" s="1177"/>
      <c r="I42" s="1177"/>
      <c r="J42" s="1177"/>
      <c r="K42" s="1177"/>
    </row>
    <row r="43" spans="1:11" ht="14.1" customHeight="1">
      <c r="A43" s="381" t="s">
        <v>298</v>
      </c>
      <c r="B43" s="381"/>
      <c r="C43" s="360" t="s">
        <v>327</v>
      </c>
      <c r="D43" s="360" t="s">
        <v>327</v>
      </c>
      <c r="E43" s="360" t="s">
        <v>327</v>
      </c>
      <c r="F43" s="360" t="s">
        <v>327</v>
      </c>
      <c r="G43" s="360" t="s">
        <v>327</v>
      </c>
      <c r="H43" s="360" t="s">
        <v>327</v>
      </c>
      <c r="I43" s="360" t="s">
        <v>327</v>
      </c>
      <c r="J43" s="360" t="s">
        <v>327</v>
      </c>
      <c r="K43" s="360" t="s">
        <v>327</v>
      </c>
    </row>
    <row r="44" spans="1:11" ht="14.1" customHeight="1">
      <c r="A44" s="502" t="s">
        <v>246</v>
      </c>
      <c r="B44" s="1174" t="s">
        <v>590</v>
      </c>
      <c r="C44" s="1174"/>
      <c r="D44" s="1174"/>
      <c r="E44" s="1174"/>
      <c r="F44" s="1174"/>
      <c r="G44" s="1174"/>
      <c r="H44" s="1174"/>
      <c r="I44" s="1174"/>
      <c r="J44" s="1174"/>
      <c r="K44" s="1174"/>
    </row>
    <row r="45" spans="1:11" ht="13.5" customHeight="1">
      <c r="A45" s="502" t="s">
        <v>300</v>
      </c>
      <c r="B45" s="1174" t="s">
        <v>591</v>
      </c>
      <c r="C45" s="1174"/>
      <c r="D45" s="1174"/>
      <c r="E45" s="1174"/>
      <c r="F45" s="1174"/>
      <c r="G45" s="1174"/>
      <c r="H45" s="1174"/>
      <c r="I45" s="1174"/>
      <c r="J45" s="1174"/>
      <c r="K45" s="1174"/>
    </row>
    <row r="46" spans="1:11" ht="25.5" customHeight="1">
      <c r="A46" s="502" t="s">
        <v>265</v>
      </c>
      <c r="B46" s="1174" t="s">
        <v>592</v>
      </c>
      <c r="C46" s="1174"/>
      <c r="D46" s="1174"/>
      <c r="E46" s="1174"/>
      <c r="F46" s="1174"/>
      <c r="G46" s="1174"/>
      <c r="H46" s="1174"/>
      <c r="I46" s="1174"/>
      <c r="J46" s="1174"/>
      <c r="K46" s="1174"/>
    </row>
    <row r="47" spans="1:11" ht="14.45" customHeight="1">
      <c r="A47" s="502" t="s">
        <v>303</v>
      </c>
      <c r="B47" s="1174" t="s">
        <v>593</v>
      </c>
      <c r="C47" s="1174"/>
      <c r="D47" s="1174"/>
      <c r="E47" s="1174"/>
      <c r="F47" s="1174"/>
      <c r="G47" s="1174"/>
      <c r="H47" s="1174"/>
      <c r="I47" s="1174"/>
      <c r="J47" s="1174"/>
      <c r="K47" s="1174"/>
    </row>
    <row r="48" spans="1:11" ht="14.1" customHeight="1">
      <c r="A48" s="502" t="s">
        <v>305</v>
      </c>
      <c r="B48" s="1174" t="s">
        <v>594</v>
      </c>
      <c r="C48" s="1174"/>
      <c r="D48" s="1174"/>
      <c r="E48" s="1174"/>
      <c r="F48" s="1174"/>
      <c r="G48" s="1174"/>
      <c r="H48" s="1174"/>
      <c r="I48" s="1174"/>
      <c r="J48" s="1174"/>
      <c r="K48" s="1174"/>
    </row>
    <row r="49" spans="1:11" ht="14.1" customHeight="1">
      <c r="A49" s="502" t="s">
        <v>307</v>
      </c>
      <c r="B49" s="1174" t="s">
        <v>595</v>
      </c>
      <c r="C49" s="1174"/>
      <c r="D49" s="1174"/>
      <c r="E49" s="1174"/>
      <c r="F49" s="1174"/>
      <c r="G49" s="1174"/>
      <c r="H49" s="1174"/>
      <c r="I49" s="1174"/>
      <c r="J49" s="1174"/>
      <c r="K49" s="1174"/>
    </row>
    <row r="50" spans="1:11" ht="14.1" customHeight="1">
      <c r="A50" s="502" t="s">
        <v>309</v>
      </c>
      <c r="B50" s="1174" t="s">
        <v>323</v>
      </c>
      <c r="C50" s="1174"/>
      <c r="D50" s="1174"/>
      <c r="E50" s="1174"/>
      <c r="F50" s="1174"/>
      <c r="G50" s="1174"/>
      <c r="H50" s="1174"/>
      <c r="I50" s="1174"/>
      <c r="J50" s="1174"/>
      <c r="K50" s="1174"/>
    </row>
    <row r="51" spans="1:11" ht="14.1" customHeight="1">
      <c r="A51" s="502" t="s">
        <v>253</v>
      </c>
      <c r="B51" s="1174" t="s">
        <v>324</v>
      </c>
      <c r="C51" s="1174"/>
      <c r="D51" s="1174"/>
      <c r="E51" s="1174"/>
      <c r="F51" s="1174"/>
      <c r="G51" s="1174"/>
      <c r="H51" s="1174"/>
      <c r="I51" s="1174"/>
      <c r="J51" s="1174"/>
      <c r="K51" s="1174"/>
    </row>
    <row r="52" spans="1:11" ht="14.1" customHeight="1">
      <c r="A52" s="502" t="s">
        <v>385</v>
      </c>
      <c r="B52" s="1174" t="s">
        <v>344</v>
      </c>
      <c r="C52" s="1174"/>
      <c r="D52" s="1174"/>
      <c r="E52" s="1174"/>
      <c r="F52" s="1174"/>
      <c r="G52" s="1174"/>
      <c r="H52" s="1174"/>
      <c r="I52" s="1174"/>
      <c r="J52" s="1174"/>
      <c r="K52" s="1174"/>
    </row>
    <row r="53" spans="1:11">
      <c r="A53" s="317"/>
      <c r="B53" s="317"/>
      <c r="C53" s="344"/>
      <c r="D53" s="344"/>
      <c r="E53" s="344"/>
      <c r="F53" s="344"/>
      <c r="G53" s="344"/>
      <c r="H53" s="344"/>
      <c r="I53" s="344"/>
      <c r="J53" s="344"/>
      <c r="K53" s="344"/>
    </row>
  </sheetData>
  <mergeCells count="17">
    <mergeCell ref="B48:K48"/>
    <mergeCell ref="B49:K49"/>
    <mergeCell ref="B50:K50"/>
    <mergeCell ref="B51:K51"/>
    <mergeCell ref="B52:K52"/>
    <mergeCell ref="B47:K47"/>
    <mergeCell ref="C3:K3"/>
    <mergeCell ref="F4:G4"/>
    <mergeCell ref="H4:I4"/>
    <mergeCell ref="B38:K38"/>
    <mergeCell ref="B39:K39"/>
    <mergeCell ref="B40:K40"/>
    <mergeCell ref="B41:K41"/>
    <mergeCell ref="B42:K42"/>
    <mergeCell ref="B44:K44"/>
    <mergeCell ref="B45:K45"/>
    <mergeCell ref="B46:K46"/>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4D62-986A-44A2-8388-06D9A062DB8F}">
  <sheetPr codeName="Sheet1">
    <tabColor theme="1"/>
  </sheetPr>
  <dimension ref="A1"/>
  <sheetViews>
    <sheetView showGridLines="0" zoomScale="85" zoomScaleNormal="85" workbookViewId="0">
      <selection activeCell="G40" sqref="G40"/>
    </sheetView>
  </sheetViews>
  <sheetFormatPr defaultColWidth="8.7109375" defaultRowHeight="15"/>
  <cols>
    <col min="1" max="16384" width="8.7109375" style="33"/>
  </cols>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A3D29-3A06-46D2-91A8-9D8AD937E616}">
  <sheetPr codeName="Sheet23">
    <tabColor theme="0" tint="-0.499984740745262"/>
  </sheetPr>
  <dimension ref="A1:M55"/>
  <sheetViews>
    <sheetView zoomScaleNormal="100" zoomScaleSheetLayoutView="120" workbookViewId="0">
      <selection activeCell="F33" sqref="F33:G33"/>
    </sheetView>
  </sheetViews>
  <sheetFormatPr defaultColWidth="9.140625" defaultRowHeight="15"/>
  <cols>
    <col min="1" max="1" width="3" style="93" customWidth="1"/>
    <col min="2" max="2" width="35.140625" style="93" customWidth="1"/>
    <col min="3" max="9" width="9.28515625" style="150" customWidth="1"/>
    <col min="10" max="10" width="8.7109375" style="150" customWidth="1"/>
    <col min="11" max="11" width="6.5703125" style="150" customWidth="1"/>
    <col min="12" max="16384" width="9.140625" style="94"/>
  </cols>
  <sheetData>
    <row r="1" spans="1:13" ht="20.25">
      <c r="A1" s="317" t="s">
        <v>327</v>
      </c>
      <c r="B1" s="318" t="s">
        <v>234</v>
      </c>
      <c r="C1" s="344" t="s">
        <v>327</v>
      </c>
      <c r="D1" s="344" t="s">
        <v>327</v>
      </c>
      <c r="E1" s="344" t="s">
        <v>327</v>
      </c>
      <c r="F1" s="344" t="s">
        <v>327</v>
      </c>
      <c r="G1" s="344" t="s">
        <v>327</v>
      </c>
      <c r="H1" s="344" t="s">
        <v>327</v>
      </c>
      <c r="I1" s="344" t="s">
        <v>327</v>
      </c>
      <c r="J1" s="344" t="s">
        <v>327</v>
      </c>
      <c r="K1" s="344" t="s">
        <v>327</v>
      </c>
    </row>
    <row r="2" spans="1:13">
      <c r="A2" s="317" t="s">
        <v>327</v>
      </c>
      <c r="B2" s="317" t="s">
        <v>327</v>
      </c>
      <c r="C2" s="344" t="s">
        <v>327</v>
      </c>
      <c r="D2" s="344" t="s">
        <v>327</v>
      </c>
      <c r="E2" s="344" t="s">
        <v>327</v>
      </c>
      <c r="F2" s="344" t="s">
        <v>327</v>
      </c>
      <c r="G2" s="344" t="s">
        <v>327</v>
      </c>
      <c r="H2" s="344" t="s">
        <v>327</v>
      </c>
      <c r="I2" s="344" t="s">
        <v>327</v>
      </c>
      <c r="J2" s="344" t="s">
        <v>327</v>
      </c>
      <c r="K2" s="344" t="s">
        <v>327</v>
      </c>
      <c r="M2" s="94" t="s">
        <v>578</v>
      </c>
    </row>
    <row r="3" spans="1:13" ht="15" customHeight="1">
      <c r="A3" s="317" t="s">
        <v>327</v>
      </c>
      <c r="B3" s="320" t="s">
        <v>145</v>
      </c>
      <c r="C3" s="1179" t="s">
        <v>596</v>
      </c>
      <c r="D3" s="1179"/>
      <c r="E3" s="1179"/>
      <c r="F3" s="1179"/>
      <c r="G3" s="1179"/>
      <c r="H3" s="1179"/>
      <c r="I3" s="1179"/>
      <c r="J3" s="1179"/>
      <c r="K3" s="1180"/>
    </row>
    <row r="4" spans="1:13" ht="16.5" customHeight="1">
      <c r="A4" s="317" t="s">
        <v>327</v>
      </c>
      <c r="B4" s="323" t="s">
        <v>327</v>
      </c>
      <c r="C4" s="99">
        <v>2023</v>
      </c>
      <c r="D4" s="99">
        <v>2030</v>
      </c>
      <c r="E4" s="99">
        <v>2050</v>
      </c>
      <c r="F4" s="1145" t="s">
        <v>236</v>
      </c>
      <c r="G4" s="1142"/>
      <c r="H4" s="1145" t="s">
        <v>237</v>
      </c>
      <c r="I4" s="1142"/>
      <c r="J4" s="99" t="s">
        <v>238</v>
      </c>
      <c r="K4" s="99" t="s">
        <v>239</v>
      </c>
    </row>
    <row r="5" spans="1:13" ht="15" customHeight="1">
      <c r="A5" s="317" t="s">
        <v>327</v>
      </c>
      <c r="B5" s="325" t="s">
        <v>240</v>
      </c>
      <c r="C5" s="326" t="s">
        <v>327</v>
      </c>
      <c r="D5" s="326" t="s">
        <v>327</v>
      </c>
      <c r="E5" s="326" t="s">
        <v>327</v>
      </c>
      <c r="F5" s="326" t="s">
        <v>241</v>
      </c>
      <c r="G5" s="326" t="s">
        <v>242</v>
      </c>
      <c r="H5" s="326" t="s">
        <v>241</v>
      </c>
      <c r="I5" s="326" t="s">
        <v>242</v>
      </c>
      <c r="J5" s="326" t="s">
        <v>327</v>
      </c>
      <c r="K5" s="324" t="s">
        <v>327</v>
      </c>
    </row>
    <row r="6" spans="1:13" ht="15" customHeight="1">
      <c r="A6" s="317" t="s">
        <v>327</v>
      </c>
      <c r="B6" s="323" t="s">
        <v>243</v>
      </c>
      <c r="C6" s="327">
        <v>600</v>
      </c>
      <c r="D6" s="328">
        <v>600</v>
      </c>
      <c r="E6" s="328">
        <v>600</v>
      </c>
      <c r="F6" s="328">
        <v>250</v>
      </c>
      <c r="G6" s="328">
        <v>800</v>
      </c>
      <c r="H6" s="328">
        <v>250</v>
      </c>
      <c r="I6" s="328">
        <v>800</v>
      </c>
      <c r="J6" s="329" t="s">
        <v>385</v>
      </c>
      <c r="K6" s="330">
        <v>1</v>
      </c>
    </row>
    <row r="7" spans="1:13" ht="15" customHeight="1">
      <c r="A7" s="317" t="s">
        <v>327</v>
      </c>
      <c r="B7" s="323" t="s">
        <v>244</v>
      </c>
      <c r="C7" s="327">
        <v>600</v>
      </c>
      <c r="D7" s="328">
        <v>600</v>
      </c>
      <c r="E7" s="328">
        <v>600</v>
      </c>
      <c r="F7" s="328">
        <v>250</v>
      </c>
      <c r="G7" s="328">
        <v>800</v>
      </c>
      <c r="H7" s="328">
        <v>250</v>
      </c>
      <c r="I7" s="328">
        <v>800</v>
      </c>
      <c r="J7" s="329" t="s">
        <v>385</v>
      </c>
      <c r="K7" s="330">
        <v>1</v>
      </c>
    </row>
    <row r="8" spans="1:13">
      <c r="A8" s="317" t="s">
        <v>327</v>
      </c>
      <c r="B8" s="323" t="s">
        <v>245</v>
      </c>
      <c r="C8" s="330">
        <v>38</v>
      </c>
      <c r="D8" s="327">
        <v>39</v>
      </c>
      <c r="E8" s="328">
        <v>40</v>
      </c>
      <c r="F8" s="329">
        <v>33</v>
      </c>
      <c r="G8" s="330">
        <v>40</v>
      </c>
      <c r="H8" s="330">
        <v>35</v>
      </c>
      <c r="I8" s="330">
        <v>42</v>
      </c>
      <c r="J8" s="330" t="s">
        <v>327</v>
      </c>
      <c r="K8" s="330">
        <v>1</v>
      </c>
    </row>
    <row r="9" spans="1:13">
      <c r="A9" s="317" t="s">
        <v>327</v>
      </c>
      <c r="B9" s="334" t="s">
        <v>247</v>
      </c>
      <c r="C9" s="330">
        <v>37</v>
      </c>
      <c r="D9" s="327">
        <v>38</v>
      </c>
      <c r="E9" s="328">
        <v>39</v>
      </c>
      <c r="F9" s="329">
        <v>33</v>
      </c>
      <c r="G9" s="330">
        <v>40</v>
      </c>
      <c r="H9" s="330">
        <v>35</v>
      </c>
      <c r="I9" s="330">
        <v>42</v>
      </c>
      <c r="J9" s="330" t="s">
        <v>327</v>
      </c>
      <c r="K9" s="330">
        <v>1</v>
      </c>
    </row>
    <row r="10" spans="1:13">
      <c r="A10" s="317" t="s">
        <v>327</v>
      </c>
      <c r="B10" s="335" t="s">
        <v>248</v>
      </c>
      <c r="C10" s="330">
        <v>7</v>
      </c>
      <c r="D10" s="330">
        <v>6</v>
      </c>
      <c r="E10" s="330">
        <v>3</v>
      </c>
      <c r="F10" s="327">
        <v>5</v>
      </c>
      <c r="G10" s="328">
        <v>15</v>
      </c>
      <c r="H10" s="328">
        <v>2</v>
      </c>
      <c r="I10" s="328">
        <v>7</v>
      </c>
      <c r="J10" s="329" t="s">
        <v>246</v>
      </c>
      <c r="K10" s="330">
        <v>1</v>
      </c>
    </row>
    <row r="11" spans="1:13">
      <c r="A11" s="317" t="s">
        <v>327</v>
      </c>
      <c r="B11" s="323" t="s">
        <v>249</v>
      </c>
      <c r="C11" s="330">
        <v>7</v>
      </c>
      <c r="D11" s="330">
        <v>5</v>
      </c>
      <c r="E11" s="330">
        <v>3</v>
      </c>
      <c r="F11" s="327">
        <v>3</v>
      </c>
      <c r="G11" s="328">
        <v>8</v>
      </c>
      <c r="H11" s="328">
        <v>2</v>
      </c>
      <c r="I11" s="328">
        <v>4</v>
      </c>
      <c r="J11" s="329" t="s">
        <v>246</v>
      </c>
      <c r="K11" s="330">
        <v>1</v>
      </c>
    </row>
    <row r="12" spans="1:13">
      <c r="A12" s="317" t="s">
        <v>327</v>
      </c>
      <c r="B12" s="323" t="s">
        <v>250</v>
      </c>
      <c r="C12" s="330">
        <v>30</v>
      </c>
      <c r="D12" s="330">
        <v>30</v>
      </c>
      <c r="E12" s="330">
        <v>30</v>
      </c>
      <c r="F12" s="327">
        <v>25</v>
      </c>
      <c r="G12" s="328">
        <v>40</v>
      </c>
      <c r="H12" s="328">
        <v>25</v>
      </c>
      <c r="I12" s="328">
        <v>40</v>
      </c>
      <c r="J12" s="329" t="s">
        <v>327</v>
      </c>
      <c r="K12" s="330">
        <v>1</v>
      </c>
    </row>
    <row r="13" spans="1:13">
      <c r="A13" s="317" t="s">
        <v>327</v>
      </c>
      <c r="B13" s="323" t="s">
        <v>252</v>
      </c>
      <c r="C13" s="330">
        <v>4</v>
      </c>
      <c r="D13" s="330">
        <v>3</v>
      </c>
      <c r="E13" s="330">
        <v>3</v>
      </c>
      <c r="F13" s="330">
        <v>3</v>
      </c>
      <c r="G13" s="330">
        <v>5</v>
      </c>
      <c r="H13" s="330">
        <v>2</v>
      </c>
      <c r="I13" s="327">
        <v>4</v>
      </c>
      <c r="J13" s="329" t="s">
        <v>246</v>
      </c>
      <c r="K13" s="330">
        <v>1</v>
      </c>
    </row>
    <row r="14" spans="1:13">
      <c r="A14" s="317" t="s">
        <v>327</v>
      </c>
      <c r="B14" s="336" t="s">
        <v>254</v>
      </c>
      <c r="C14" s="343" t="s">
        <v>597</v>
      </c>
      <c r="D14" s="345" t="s">
        <v>597</v>
      </c>
      <c r="E14" s="345" t="s">
        <v>597</v>
      </c>
      <c r="F14" s="345" t="s">
        <v>597</v>
      </c>
      <c r="G14" s="345" t="s">
        <v>597</v>
      </c>
      <c r="H14" s="345" t="s">
        <v>597</v>
      </c>
      <c r="I14" s="345" t="s">
        <v>597</v>
      </c>
      <c r="J14" s="330" t="s">
        <v>327</v>
      </c>
      <c r="K14" s="330" t="s">
        <v>327</v>
      </c>
    </row>
    <row r="15" spans="1:13">
      <c r="A15" s="317" t="s">
        <v>327</v>
      </c>
      <c r="B15" s="337" t="s">
        <v>255</v>
      </c>
      <c r="C15" s="338" t="s">
        <v>327</v>
      </c>
      <c r="D15" s="338" t="s">
        <v>327</v>
      </c>
      <c r="E15" s="338" t="s">
        <v>327</v>
      </c>
      <c r="F15" s="338" t="s">
        <v>327</v>
      </c>
      <c r="G15" s="338" t="s">
        <v>327</v>
      </c>
      <c r="H15" s="338" t="s">
        <v>327</v>
      </c>
      <c r="I15" s="338" t="s">
        <v>327</v>
      </c>
      <c r="J15" s="338" t="s">
        <v>327</v>
      </c>
      <c r="K15" s="339" t="s">
        <v>327</v>
      </c>
    </row>
    <row r="16" spans="1:13">
      <c r="A16" s="317" t="s">
        <v>327</v>
      </c>
      <c r="B16" s="336" t="s">
        <v>256</v>
      </c>
      <c r="C16" s="343" t="s">
        <v>597</v>
      </c>
      <c r="D16" s="345" t="s">
        <v>597</v>
      </c>
      <c r="E16" s="345" t="s">
        <v>597</v>
      </c>
      <c r="F16" s="345" t="s">
        <v>597</v>
      </c>
      <c r="G16" s="345" t="s">
        <v>597</v>
      </c>
      <c r="H16" s="345" t="s">
        <v>597</v>
      </c>
      <c r="I16" s="345" t="s">
        <v>597</v>
      </c>
      <c r="J16" s="330" t="s">
        <v>327</v>
      </c>
      <c r="K16" s="330" t="s">
        <v>327</v>
      </c>
    </row>
    <row r="17" spans="1:11">
      <c r="A17" s="317" t="s">
        <v>327</v>
      </c>
      <c r="B17" s="336" t="s">
        <v>257</v>
      </c>
      <c r="C17" s="343" t="s">
        <v>597</v>
      </c>
      <c r="D17" s="345" t="s">
        <v>597</v>
      </c>
      <c r="E17" s="345" t="s">
        <v>597</v>
      </c>
      <c r="F17" s="345" t="s">
        <v>597</v>
      </c>
      <c r="G17" s="345" t="s">
        <v>597</v>
      </c>
      <c r="H17" s="345" t="s">
        <v>597</v>
      </c>
      <c r="I17" s="345" t="s">
        <v>597</v>
      </c>
      <c r="J17" s="330" t="s">
        <v>327</v>
      </c>
      <c r="K17" s="330" t="s">
        <v>327</v>
      </c>
    </row>
    <row r="18" spans="1:11">
      <c r="A18" s="317" t="s">
        <v>327</v>
      </c>
      <c r="B18" s="325" t="s">
        <v>258</v>
      </c>
      <c r="C18" s="326" t="s">
        <v>327</v>
      </c>
      <c r="D18" s="326" t="s">
        <v>327</v>
      </c>
      <c r="E18" s="326" t="s">
        <v>327</v>
      </c>
      <c r="F18" s="326" t="s">
        <v>327</v>
      </c>
      <c r="G18" s="326" t="s">
        <v>327</v>
      </c>
      <c r="H18" s="326" t="s">
        <v>327</v>
      </c>
      <c r="I18" s="326" t="s">
        <v>327</v>
      </c>
      <c r="J18" s="326" t="s">
        <v>327</v>
      </c>
      <c r="K18" s="324" t="s">
        <v>327</v>
      </c>
    </row>
    <row r="19" spans="1:11">
      <c r="A19" s="317" t="s">
        <v>327</v>
      </c>
      <c r="B19" s="323" t="s">
        <v>259</v>
      </c>
      <c r="C19" s="330">
        <v>4</v>
      </c>
      <c r="D19" s="330">
        <v>4</v>
      </c>
      <c r="E19" s="330">
        <v>4</v>
      </c>
      <c r="F19" s="330">
        <v>3</v>
      </c>
      <c r="G19" s="330">
        <v>4</v>
      </c>
      <c r="H19" s="330">
        <v>3</v>
      </c>
      <c r="I19" s="330">
        <v>4</v>
      </c>
      <c r="J19" s="330" t="s">
        <v>300</v>
      </c>
      <c r="K19" s="330">
        <v>1</v>
      </c>
    </row>
    <row r="20" spans="1:11">
      <c r="A20" s="317" t="s">
        <v>327</v>
      </c>
      <c r="B20" s="323" t="s">
        <v>260</v>
      </c>
      <c r="C20" s="330">
        <v>40</v>
      </c>
      <c r="D20" s="327">
        <v>40</v>
      </c>
      <c r="E20" s="328">
        <v>40</v>
      </c>
      <c r="F20" s="329">
        <v>25</v>
      </c>
      <c r="G20" s="330">
        <v>50</v>
      </c>
      <c r="H20" s="330">
        <v>20</v>
      </c>
      <c r="I20" s="330">
        <v>40</v>
      </c>
      <c r="J20" s="330" t="s">
        <v>246</v>
      </c>
      <c r="K20" s="330">
        <v>1</v>
      </c>
    </row>
    <row r="21" spans="1:11">
      <c r="A21" s="317" t="s">
        <v>327</v>
      </c>
      <c r="B21" s="323" t="s">
        <v>261</v>
      </c>
      <c r="C21" s="330">
        <v>4</v>
      </c>
      <c r="D21" s="330">
        <v>4</v>
      </c>
      <c r="E21" s="330">
        <v>4</v>
      </c>
      <c r="F21" s="330">
        <v>2</v>
      </c>
      <c r="G21" s="330">
        <v>5</v>
      </c>
      <c r="H21" s="330">
        <v>2</v>
      </c>
      <c r="I21" s="330">
        <v>5</v>
      </c>
      <c r="J21" s="330" t="s">
        <v>300</v>
      </c>
      <c r="K21" s="330">
        <v>1</v>
      </c>
    </row>
    <row r="22" spans="1:11">
      <c r="A22" s="317" t="s">
        <v>327</v>
      </c>
      <c r="B22" s="323" t="s">
        <v>262</v>
      </c>
      <c r="C22" s="330">
        <v>12</v>
      </c>
      <c r="D22" s="330">
        <v>12</v>
      </c>
      <c r="E22" s="330">
        <v>12</v>
      </c>
      <c r="F22" s="330">
        <v>6</v>
      </c>
      <c r="G22" s="330">
        <v>15</v>
      </c>
      <c r="H22" s="330">
        <v>6</v>
      </c>
      <c r="I22" s="330">
        <v>12</v>
      </c>
      <c r="J22" s="330" t="s">
        <v>300</v>
      </c>
      <c r="K22" s="330">
        <v>1</v>
      </c>
    </row>
    <row r="23" spans="1:11">
      <c r="A23" s="317" t="s">
        <v>327</v>
      </c>
      <c r="B23" s="325" t="s">
        <v>263</v>
      </c>
      <c r="C23" s="326" t="s">
        <v>327</v>
      </c>
      <c r="D23" s="326" t="s">
        <v>327</v>
      </c>
      <c r="E23" s="326" t="s">
        <v>327</v>
      </c>
      <c r="F23" s="326" t="s">
        <v>327</v>
      </c>
      <c r="G23" s="326" t="s">
        <v>327</v>
      </c>
      <c r="H23" s="326" t="s">
        <v>327</v>
      </c>
      <c r="I23" s="326" t="s">
        <v>327</v>
      </c>
      <c r="J23" s="326" t="s">
        <v>327</v>
      </c>
      <c r="K23" s="324" t="s">
        <v>327</v>
      </c>
    </row>
    <row r="24" spans="1:11">
      <c r="A24" s="317" t="s">
        <v>327</v>
      </c>
      <c r="B24" s="323" t="s">
        <v>580</v>
      </c>
      <c r="C24" s="330">
        <v>150</v>
      </c>
      <c r="D24" s="330">
        <v>100</v>
      </c>
      <c r="E24" s="330">
        <v>100</v>
      </c>
      <c r="F24" s="330">
        <v>50</v>
      </c>
      <c r="G24" s="330">
        <v>150</v>
      </c>
      <c r="H24" s="330">
        <v>20</v>
      </c>
      <c r="I24" s="330">
        <v>100</v>
      </c>
      <c r="J24" s="330" t="s">
        <v>307</v>
      </c>
      <c r="K24" s="330" t="s">
        <v>582</v>
      </c>
    </row>
    <row r="25" spans="1:11">
      <c r="A25" s="317" t="s">
        <v>327</v>
      </c>
      <c r="B25" s="323" t="s">
        <v>266</v>
      </c>
      <c r="C25" s="330">
        <v>73</v>
      </c>
      <c r="D25" s="330">
        <v>73</v>
      </c>
      <c r="E25" s="330">
        <v>73</v>
      </c>
      <c r="F25" s="330">
        <v>73</v>
      </c>
      <c r="G25" s="330">
        <v>95</v>
      </c>
      <c r="H25" s="330">
        <v>73</v>
      </c>
      <c r="I25" s="330">
        <v>95</v>
      </c>
      <c r="J25" s="330" t="s">
        <v>319</v>
      </c>
      <c r="K25" s="330" t="s">
        <v>582</v>
      </c>
    </row>
    <row r="26" spans="1:11" ht="15" customHeight="1">
      <c r="A26" s="317" t="s">
        <v>327</v>
      </c>
      <c r="B26" s="323" t="s">
        <v>267</v>
      </c>
      <c r="C26" s="330">
        <v>263</v>
      </c>
      <c r="D26" s="330">
        <v>263</v>
      </c>
      <c r="E26" s="330">
        <v>263</v>
      </c>
      <c r="F26" s="330">
        <v>263</v>
      </c>
      <c r="G26" s="330">
        <v>263</v>
      </c>
      <c r="H26" s="330">
        <v>263</v>
      </c>
      <c r="I26" s="330">
        <v>263</v>
      </c>
      <c r="J26" s="330" t="s">
        <v>303</v>
      </c>
      <c r="K26" s="330" t="s">
        <v>582</v>
      </c>
    </row>
    <row r="27" spans="1:11">
      <c r="A27" s="317" t="s">
        <v>327</v>
      </c>
      <c r="B27" s="323" t="s">
        <v>268</v>
      </c>
      <c r="C27" s="345" t="s">
        <v>146</v>
      </c>
      <c r="D27" s="345" t="s">
        <v>146</v>
      </c>
      <c r="E27" s="345" t="s">
        <v>146</v>
      </c>
      <c r="F27" s="345" t="s">
        <v>146</v>
      </c>
      <c r="G27" s="345" t="s">
        <v>146</v>
      </c>
      <c r="H27" s="345" t="s">
        <v>146</v>
      </c>
      <c r="I27" s="345" t="s">
        <v>146</v>
      </c>
      <c r="J27" s="330" t="s">
        <v>327</v>
      </c>
      <c r="K27" s="330" t="s">
        <v>327</v>
      </c>
    </row>
    <row r="28" spans="1:11">
      <c r="A28" s="317" t="s">
        <v>327</v>
      </c>
      <c r="B28" s="323" t="s">
        <v>269</v>
      </c>
      <c r="C28" s="345" t="s">
        <v>146</v>
      </c>
      <c r="D28" s="345" t="s">
        <v>146</v>
      </c>
      <c r="E28" s="345" t="s">
        <v>146</v>
      </c>
      <c r="F28" s="345" t="s">
        <v>146</v>
      </c>
      <c r="G28" s="345" t="s">
        <v>146</v>
      </c>
      <c r="H28" s="345" t="s">
        <v>146</v>
      </c>
      <c r="I28" s="345" t="s">
        <v>146</v>
      </c>
      <c r="J28" s="330" t="s">
        <v>327</v>
      </c>
      <c r="K28" s="330" t="s">
        <v>327</v>
      </c>
    </row>
    <row r="29" spans="1:11">
      <c r="A29" s="317" t="s">
        <v>327</v>
      </c>
      <c r="B29" s="325" t="s">
        <v>270</v>
      </c>
      <c r="C29" s="326" t="s">
        <v>327</v>
      </c>
      <c r="D29" s="326" t="s">
        <v>327</v>
      </c>
      <c r="E29" s="326" t="s">
        <v>327</v>
      </c>
      <c r="F29" s="326" t="s">
        <v>327</v>
      </c>
      <c r="G29" s="326" t="s">
        <v>327</v>
      </c>
      <c r="H29" s="326" t="s">
        <v>327</v>
      </c>
      <c r="I29" s="326" t="s">
        <v>327</v>
      </c>
      <c r="J29" s="326" t="s">
        <v>327</v>
      </c>
      <c r="K29" s="324" t="s">
        <v>327</v>
      </c>
    </row>
    <row r="30" spans="1:11">
      <c r="A30" s="317" t="s">
        <v>327</v>
      </c>
      <c r="B30" s="323" t="s">
        <v>271</v>
      </c>
      <c r="C30" s="423">
        <v>1.6</v>
      </c>
      <c r="D30" s="422">
        <v>1.55</v>
      </c>
      <c r="E30" s="424">
        <v>1.5</v>
      </c>
      <c r="F30" s="329">
        <v>1.2</v>
      </c>
      <c r="G30" s="330">
        <v>2</v>
      </c>
      <c r="H30" s="330">
        <v>1.1299999999999999</v>
      </c>
      <c r="I30" s="330">
        <v>1.88</v>
      </c>
      <c r="J30" s="330" t="s">
        <v>598</v>
      </c>
      <c r="K30" s="330" t="s">
        <v>489</v>
      </c>
    </row>
    <row r="31" spans="1:11">
      <c r="A31" s="317" t="s">
        <v>327</v>
      </c>
      <c r="B31" s="323" t="s">
        <v>274</v>
      </c>
      <c r="C31" s="330" t="s">
        <v>327</v>
      </c>
      <c r="D31" s="330" t="s">
        <v>327</v>
      </c>
      <c r="E31" s="330" t="s">
        <v>327</v>
      </c>
      <c r="F31" s="330" t="s">
        <v>327</v>
      </c>
      <c r="G31" s="330" t="s">
        <v>327</v>
      </c>
      <c r="H31" s="330" t="s">
        <v>327</v>
      </c>
      <c r="I31" s="330" t="s">
        <v>327</v>
      </c>
      <c r="J31" s="330" t="s">
        <v>327</v>
      </c>
      <c r="K31" s="330" t="s">
        <v>327</v>
      </c>
    </row>
    <row r="32" spans="1:11">
      <c r="A32" s="317" t="s">
        <v>327</v>
      </c>
      <c r="B32" s="323" t="s">
        <v>275</v>
      </c>
      <c r="C32" s="330" t="s">
        <v>327</v>
      </c>
      <c r="D32" s="330" t="s">
        <v>327</v>
      </c>
      <c r="E32" s="330" t="s">
        <v>327</v>
      </c>
      <c r="F32" s="330" t="s">
        <v>327</v>
      </c>
      <c r="G32" s="330" t="s">
        <v>327</v>
      </c>
      <c r="H32" s="330" t="s">
        <v>327</v>
      </c>
      <c r="I32" s="330" t="s">
        <v>327</v>
      </c>
      <c r="J32" s="330" t="s">
        <v>327</v>
      </c>
      <c r="K32" s="330" t="s">
        <v>327</v>
      </c>
    </row>
    <row r="33" spans="1:11">
      <c r="A33" s="317" t="s">
        <v>327</v>
      </c>
      <c r="B33" s="323" t="s">
        <v>276</v>
      </c>
      <c r="C33" s="342">
        <v>47000</v>
      </c>
      <c r="D33" s="342">
        <v>45600</v>
      </c>
      <c r="E33" s="342">
        <v>44100</v>
      </c>
      <c r="F33" s="342">
        <v>35200</v>
      </c>
      <c r="G33" s="342">
        <v>58700</v>
      </c>
      <c r="H33" s="342">
        <v>33000</v>
      </c>
      <c r="I33" s="342">
        <v>55200</v>
      </c>
      <c r="J33" s="330" t="s">
        <v>309</v>
      </c>
      <c r="K33" s="330" t="s">
        <v>489</v>
      </c>
    </row>
    <row r="34" spans="1:11">
      <c r="A34" s="317" t="s">
        <v>327</v>
      </c>
      <c r="B34" s="323" t="s">
        <v>279</v>
      </c>
      <c r="C34" s="330">
        <v>1.4</v>
      </c>
      <c r="D34" s="327">
        <v>1.35</v>
      </c>
      <c r="E34" s="328">
        <v>1.3</v>
      </c>
      <c r="F34" s="329">
        <v>1</v>
      </c>
      <c r="G34" s="330">
        <v>1.7</v>
      </c>
      <c r="H34" s="330">
        <v>1</v>
      </c>
      <c r="I34" s="330">
        <v>1.6</v>
      </c>
      <c r="J34" s="330" t="s">
        <v>309</v>
      </c>
      <c r="K34" s="330" t="s">
        <v>586</v>
      </c>
    </row>
    <row r="35" spans="1:11">
      <c r="A35" s="317" t="s">
        <v>327</v>
      </c>
      <c r="B35" s="323" t="s">
        <v>282</v>
      </c>
      <c r="C35" s="330">
        <v>57</v>
      </c>
      <c r="D35" s="330">
        <v>57</v>
      </c>
      <c r="E35" s="330">
        <v>57</v>
      </c>
      <c r="F35" s="330"/>
      <c r="G35" s="330"/>
      <c r="H35" s="330"/>
      <c r="I35" s="330"/>
      <c r="J35" s="330" t="s">
        <v>327</v>
      </c>
      <c r="K35" s="330">
        <v>5</v>
      </c>
    </row>
    <row r="36" spans="1:11">
      <c r="A36" s="340" t="s">
        <v>327</v>
      </c>
      <c r="B36" s="317" t="s">
        <v>327</v>
      </c>
      <c r="C36" s="344" t="s">
        <v>327</v>
      </c>
      <c r="D36" s="344" t="s">
        <v>327</v>
      </c>
      <c r="E36" s="344" t="s">
        <v>327</v>
      </c>
      <c r="F36" s="344" t="s">
        <v>327</v>
      </c>
      <c r="G36" s="344" t="s">
        <v>327</v>
      </c>
      <c r="H36" s="344" t="s">
        <v>327</v>
      </c>
      <c r="I36" s="344" t="s">
        <v>327</v>
      </c>
      <c r="J36" s="344" t="s">
        <v>327</v>
      </c>
      <c r="K36" s="344" t="s">
        <v>327</v>
      </c>
    </row>
    <row r="37" spans="1:11" s="93" customFormat="1" ht="12">
      <c r="A37" s="340" t="s">
        <v>286</v>
      </c>
      <c r="B37" s="340"/>
      <c r="C37" s="344" t="s">
        <v>327</v>
      </c>
      <c r="D37" s="344" t="s">
        <v>327</v>
      </c>
      <c r="E37" s="344" t="s">
        <v>327</v>
      </c>
      <c r="F37" s="344" t="s">
        <v>327</v>
      </c>
      <c r="G37" s="344" t="s">
        <v>327</v>
      </c>
      <c r="H37" s="344" t="s">
        <v>327</v>
      </c>
      <c r="I37" s="344" t="s">
        <v>327</v>
      </c>
      <c r="J37" s="344" t="s">
        <v>327</v>
      </c>
      <c r="K37" s="344" t="s">
        <v>327</v>
      </c>
    </row>
    <row r="38" spans="1:11">
      <c r="A38" s="502">
        <v>1</v>
      </c>
      <c r="B38" s="1150" t="s">
        <v>287</v>
      </c>
      <c r="C38" s="1150"/>
      <c r="D38" s="1150"/>
      <c r="E38" s="1150"/>
      <c r="F38" s="1150"/>
      <c r="G38" s="1150"/>
      <c r="H38" s="1150"/>
      <c r="I38" s="1150"/>
      <c r="J38" s="1150"/>
      <c r="K38" s="1150"/>
    </row>
    <row r="39" spans="1:11" ht="14.1" customHeight="1">
      <c r="A39" s="502">
        <v>2</v>
      </c>
      <c r="B39" s="1178" t="s">
        <v>587</v>
      </c>
      <c r="C39" s="1178"/>
      <c r="D39" s="1178"/>
      <c r="E39" s="1178"/>
      <c r="F39" s="1178"/>
      <c r="G39" s="1178"/>
      <c r="H39" s="1178"/>
      <c r="I39" s="1178"/>
      <c r="J39" s="1178"/>
      <c r="K39" s="1178"/>
    </row>
    <row r="40" spans="1:11">
      <c r="A40" s="502">
        <v>3</v>
      </c>
      <c r="B40" s="1178" t="s">
        <v>290</v>
      </c>
      <c r="C40" s="1178"/>
      <c r="D40" s="1178"/>
      <c r="E40" s="1178"/>
      <c r="F40" s="1178"/>
      <c r="G40" s="1178"/>
      <c r="H40" s="1178"/>
      <c r="I40" s="1178"/>
      <c r="J40" s="1178"/>
      <c r="K40" s="1178"/>
    </row>
    <row r="41" spans="1:11">
      <c r="A41" s="502">
        <v>4</v>
      </c>
      <c r="B41" s="1178" t="s">
        <v>588</v>
      </c>
      <c r="C41" s="1178"/>
      <c r="D41" s="1178"/>
      <c r="E41" s="1178"/>
      <c r="F41" s="1178"/>
      <c r="G41" s="1178"/>
      <c r="H41" s="1178"/>
      <c r="I41" s="1178"/>
      <c r="J41" s="1178"/>
      <c r="K41" s="1178"/>
    </row>
    <row r="42" spans="1:11">
      <c r="A42" s="502">
        <v>5</v>
      </c>
      <c r="B42" s="1178" t="s">
        <v>589</v>
      </c>
      <c r="C42" s="1178"/>
      <c r="D42" s="1178"/>
      <c r="E42" s="1178"/>
      <c r="F42" s="1178"/>
      <c r="G42" s="1178"/>
      <c r="H42" s="1178"/>
      <c r="I42" s="1178"/>
      <c r="J42" s="1178"/>
      <c r="K42" s="1178"/>
    </row>
    <row r="43" spans="1:11">
      <c r="A43" s="502">
        <v>6</v>
      </c>
      <c r="B43" s="1177" t="s">
        <v>288</v>
      </c>
      <c r="C43" s="1177"/>
      <c r="D43" s="1177"/>
      <c r="E43" s="1177"/>
      <c r="F43" s="1177"/>
      <c r="G43" s="1177"/>
      <c r="H43" s="1177"/>
      <c r="I43" s="1177"/>
      <c r="J43" s="1177"/>
      <c r="K43" s="1177"/>
    </row>
    <row r="44" spans="1:11">
      <c r="A44" s="381" t="s">
        <v>298</v>
      </c>
      <c r="B44" s="381"/>
      <c r="C44" s="360" t="s">
        <v>327</v>
      </c>
      <c r="D44" s="360" t="s">
        <v>327</v>
      </c>
      <c r="E44" s="360" t="s">
        <v>327</v>
      </c>
      <c r="F44" s="360" t="s">
        <v>327</v>
      </c>
      <c r="G44" s="360" t="s">
        <v>327</v>
      </c>
      <c r="H44" s="360" t="s">
        <v>327</v>
      </c>
      <c r="I44" s="360" t="s">
        <v>327</v>
      </c>
      <c r="J44" s="360" t="s">
        <v>327</v>
      </c>
      <c r="K44" s="360" t="s">
        <v>327</v>
      </c>
    </row>
    <row r="45" spans="1:11" ht="14.1" customHeight="1">
      <c r="A45" s="502" t="s">
        <v>246</v>
      </c>
      <c r="B45" s="1178" t="s">
        <v>590</v>
      </c>
      <c r="C45" s="1178"/>
      <c r="D45" s="1178"/>
      <c r="E45" s="1178"/>
      <c r="F45" s="1178"/>
      <c r="G45" s="1178"/>
      <c r="H45" s="1178"/>
      <c r="I45" s="1178"/>
      <c r="J45" s="1178"/>
      <c r="K45" s="1178"/>
    </row>
    <row r="46" spans="1:11">
      <c r="A46" s="502" t="s">
        <v>300</v>
      </c>
      <c r="B46" s="1178" t="s">
        <v>591</v>
      </c>
      <c r="C46" s="1178"/>
      <c r="D46" s="1178"/>
      <c r="E46" s="1178"/>
      <c r="F46" s="1178"/>
      <c r="G46" s="1178"/>
      <c r="H46" s="1178"/>
      <c r="I46" s="1178"/>
      <c r="J46" s="1178"/>
      <c r="K46" s="1178"/>
    </row>
    <row r="47" spans="1:11" ht="24" customHeight="1">
      <c r="A47" s="502" t="s">
        <v>265</v>
      </c>
      <c r="B47" s="1181" t="s">
        <v>592</v>
      </c>
      <c r="C47" s="1181"/>
      <c r="D47" s="1181"/>
      <c r="E47" s="1181"/>
      <c r="F47" s="1181"/>
      <c r="G47" s="1181"/>
      <c r="H47" s="1181"/>
      <c r="I47" s="1181"/>
      <c r="J47" s="1181"/>
      <c r="K47" s="1181"/>
    </row>
    <row r="48" spans="1:11" ht="14.1" customHeight="1">
      <c r="A48" s="502" t="s">
        <v>303</v>
      </c>
      <c r="B48" s="1178" t="s">
        <v>593</v>
      </c>
      <c r="C48" s="1178"/>
      <c r="D48" s="1178"/>
      <c r="E48" s="1178"/>
      <c r="F48" s="1178"/>
      <c r="G48" s="1178"/>
      <c r="H48" s="1178"/>
      <c r="I48" s="1178"/>
      <c r="J48" s="1178"/>
      <c r="K48" s="1178"/>
    </row>
    <row r="49" spans="1:11">
      <c r="A49" s="502" t="s">
        <v>305</v>
      </c>
      <c r="B49" s="1178" t="s">
        <v>603</v>
      </c>
      <c r="C49" s="1178"/>
      <c r="D49" s="1178"/>
      <c r="E49" s="1178"/>
      <c r="F49" s="1178"/>
      <c r="G49" s="1178"/>
      <c r="H49" s="1178"/>
      <c r="I49" s="1178"/>
      <c r="J49" s="1178"/>
      <c r="K49" s="1178"/>
    </row>
    <row r="50" spans="1:11">
      <c r="A50" s="502" t="s">
        <v>307</v>
      </c>
      <c r="B50" s="1178" t="s">
        <v>595</v>
      </c>
      <c r="C50" s="1178"/>
      <c r="D50" s="1178"/>
      <c r="E50" s="1178"/>
      <c r="F50" s="1178"/>
      <c r="G50" s="1178"/>
      <c r="H50" s="1178"/>
      <c r="I50" s="1178"/>
      <c r="J50" s="1178"/>
      <c r="K50" s="1178"/>
    </row>
    <row r="51" spans="1:11">
      <c r="A51" s="502" t="s">
        <v>309</v>
      </c>
      <c r="B51" s="1178" t="s">
        <v>323</v>
      </c>
      <c r="C51" s="1178"/>
      <c r="D51" s="1178"/>
      <c r="E51" s="1178"/>
      <c r="F51" s="1178"/>
      <c r="G51" s="1178"/>
      <c r="H51" s="1178"/>
      <c r="I51" s="1178"/>
      <c r="J51" s="1178"/>
      <c r="K51" s="1178"/>
    </row>
    <row r="52" spans="1:11">
      <c r="A52" s="502" t="s">
        <v>253</v>
      </c>
      <c r="B52" s="1178" t="s">
        <v>324</v>
      </c>
      <c r="C52" s="1178"/>
      <c r="D52" s="1178"/>
      <c r="E52" s="1178"/>
      <c r="F52" s="1178"/>
      <c r="G52" s="1178"/>
      <c r="H52" s="1178"/>
      <c r="I52" s="1178"/>
      <c r="J52" s="1178"/>
      <c r="K52" s="1178"/>
    </row>
    <row r="53" spans="1:11">
      <c r="A53" s="502" t="s">
        <v>385</v>
      </c>
      <c r="B53" s="1178" t="s">
        <v>344</v>
      </c>
      <c r="C53" s="1178"/>
      <c r="D53" s="1178"/>
      <c r="E53" s="1178"/>
      <c r="F53" s="1178"/>
      <c r="G53" s="1178"/>
      <c r="H53" s="1178"/>
      <c r="I53" s="1178"/>
      <c r="J53" s="1178"/>
      <c r="K53" s="1178"/>
    </row>
    <row r="54" spans="1:11">
      <c r="A54" s="317"/>
      <c r="B54" s="317"/>
      <c r="C54" s="344"/>
      <c r="D54" s="344"/>
      <c r="E54" s="344"/>
      <c r="F54" s="344"/>
      <c r="G54" s="344"/>
      <c r="H54" s="344"/>
      <c r="I54" s="344"/>
      <c r="J54" s="344"/>
      <c r="K54" s="344"/>
    </row>
    <row r="55" spans="1:11">
      <c r="A55" s="317"/>
      <c r="B55" s="317"/>
      <c r="C55" s="344"/>
      <c r="D55" s="344"/>
      <c r="E55" s="344"/>
      <c r="F55" s="344"/>
      <c r="G55" s="344"/>
      <c r="H55" s="344"/>
      <c r="I55" s="344"/>
      <c r="J55" s="344"/>
      <c r="K55" s="344"/>
    </row>
  </sheetData>
  <mergeCells count="18">
    <mergeCell ref="B46:K46"/>
    <mergeCell ref="B47:K47"/>
    <mergeCell ref="B48:K48"/>
    <mergeCell ref="B40:K40"/>
    <mergeCell ref="B41:K41"/>
    <mergeCell ref="B42:K42"/>
    <mergeCell ref="B43:K43"/>
    <mergeCell ref="B45:K45"/>
    <mergeCell ref="C3:K3"/>
    <mergeCell ref="F4:G4"/>
    <mergeCell ref="H4:I4"/>
    <mergeCell ref="B38:K38"/>
    <mergeCell ref="B39:K39"/>
    <mergeCell ref="B50:K50"/>
    <mergeCell ref="B51:K51"/>
    <mergeCell ref="B52:K52"/>
    <mergeCell ref="B53:K53"/>
    <mergeCell ref="B49:K49"/>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C267C-D22D-4C21-A53E-9E9433F82CCB}">
  <sheetPr codeName="Sheet24">
    <tabColor theme="0" tint="-0.499984740745262"/>
  </sheetPr>
  <dimension ref="A1:O55"/>
  <sheetViews>
    <sheetView zoomScaleNormal="100" zoomScaleSheetLayoutView="120" workbookViewId="0">
      <selection activeCell="B47" sqref="B47:K47"/>
    </sheetView>
  </sheetViews>
  <sheetFormatPr defaultColWidth="9.140625" defaultRowHeight="15"/>
  <cols>
    <col min="1" max="1" width="3" style="93" customWidth="1"/>
    <col min="2" max="2" width="35.5703125" style="93" customWidth="1"/>
    <col min="3" max="9" width="9.28515625" style="150" customWidth="1"/>
    <col min="10" max="10" width="8.7109375" style="150" customWidth="1"/>
    <col min="11" max="11" width="6.5703125" style="150" customWidth="1"/>
    <col min="12" max="16384" width="9.140625" style="94"/>
  </cols>
  <sheetData>
    <row r="1" spans="1:15" ht="20.25">
      <c r="A1" s="317" t="s">
        <v>327</v>
      </c>
      <c r="B1" s="318" t="s">
        <v>234</v>
      </c>
      <c r="C1" s="344" t="s">
        <v>327</v>
      </c>
      <c r="D1" s="344" t="s">
        <v>327</v>
      </c>
      <c r="E1" s="344" t="s">
        <v>327</v>
      </c>
      <c r="F1" s="344" t="s">
        <v>327</v>
      </c>
      <c r="G1" s="344" t="s">
        <v>327</v>
      </c>
      <c r="H1" s="344" t="s">
        <v>327</v>
      </c>
      <c r="J1" s="344" t="s">
        <v>327</v>
      </c>
      <c r="K1" s="344" t="s">
        <v>327</v>
      </c>
      <c r="L1" s="94" t="s">
        <v>327</v>
      </c>
      <c r="N1" s="94" t="s">
        <v>327</v>
      </c>
      <c r="O1" s="94" t="s">
        <v>327</v>
      </c>
    </row>
    <row r="2" spans="1:15">
      <c r="A2" s="317" t="s">
        <v>327</v>
      </c>
      <c r="B2" s="317" t="s">
        <v>327</v>
      </c>
      <c r="C2" s="344" t="s">
        <v>327</v>
      </c>
      <c r="D2" s="344" t="s">
        <v>327</v>
      </c>
      <c r="E2" s="344" t="s">
        <v>327</v>
      </c>
      <c r="F2" s="344" t="s">
        <v>327</v>
      </c>
      <c r="G2" s="344" t="s">
        <v>327</v>
      </c>
      <c r="H2" s="344" t="s">
        <v>327</v>
      </c>
      <c r="I2" s="344" t="s">
        <v>327</v>
      </c>
      <c r="J2" s="344" t="s">
        <v>327</v>
      </c>
      <c r="K2" s="344" t="s">
        <v>327</v>
      </c>
      <c r="L2" s="94" t="s">
        <v>327</v>
      </c>
      <c r="M2" s="94" t="s">
        <v>578</v>
      </c>
    </row>
    <row r="3" spans="1:15" ht="15" customHeight="1">
      <c r="A3" s="317" t="s">
        <v>327</v>
      </c>
      <c r="B3" s="320" t="s">
        <v>145</v>
      </c>
      <c r="C3" s="1175" t="s">
        <v>604</v>
      </c>
      <c r="D3" s="1175"/>
      <c r="E3" s="1175"/>
      <c r="F3" s="1175"/>
      <c r="G3" s="1175"/>
      <c r="H3" s="1175"/>
      <c r="I3" s="1175"/>
      <c r="J3" s="1175"/>
      <c r="K3" s="1176"/>
    </row>
    <row r="4" spans="1:15" ht="16.5" customHeight="1">
      <c r="A4" s="317" t="s">
        <v>327</v>
      </c>
      <c r="B4" s="323" t="s">
        <v>327</v>
      </c>
      <c r="C4" s="425">
        <v>2023</v>
      </c>
      <c r="D4" s="425">
        <v>2030</v>
      </c>
      <c r="E4" s="425">
        <v>2050</v>
      </c>
      <c r="F4" s="1182" t="s">
        <v>236</v>
      </c>
      <c r="G4" s="1168"/>
      <c r="H4" s="1182" t="s">
        <v>237</v>
      </c>
      <c r="I4" s="1168"/>
      <c r="J4" s="425" t="s">
        <v>238</v>
      </c>
      <c r="K4" s="425" t="s">
        <v>239</v>
      </c>
      <c r="L4" s="94" t="s">
        <v>327</v>
      </c>
      <c r="M4" s="94" t="s">
        <v>327</v>
      </c>
      <c r="N4" s="94" t="s">
        <v>327</v>
      </c>
      <c r="O4" s="94" t="s">
        <v>327</v>
      </c>
    </row>
    <row r="5" spans="1:15" ht="15" customHeight="1">
      <c r="A5" s="317" t="s">
        <v>327</v>
      </c>
      <c r="B5" s="325" t="s">
        <v>240</v>
      </c>
      <c r="C5" s="426" t="s">
        <v>327</v>
      </c>
      <c r="D5" s="426" t="s">
        <v>327</v>
      </c>
      <c r="E5" s="426" t="s">
        <v>327</v>
      </c>
      <c r="F5" s="426" t="s">
        <v>241</v>
      </c>
      <c r="G5" s="426" t="s">
        <v>242</v>
      </c>
      <c r="H5" s="426" t="s">
        <v>241</v>
      </c>
      <c r="I5" s="426" t="s">
        <v>242</v>
      </c>
      <c r="J5" s="426" t="s">
        <v>327</v>
      </c>
      <c r="K5" s="427" t="s">
        <v>327</v>
      </c>
    </row>
    <row r="6" spans="1:15" ht="15" customHeight="1">
      <c r="A6" s="317" t="s">
        <v>327</v>
      </c>
      <c r="B6" s="323" t="s">
        <v>243</v>
      </c>
      <c r="C6" s="327">
        <v>1000</v>
      </c>
      <c r="D6" s="328">
        <v>1000</v>
      </c>
      <c r="E6" s="328">
        <v>1000</v>
      </c>
      <c r="F6" s="328">
        <v>700</v>
      </c>
      <c r="G6" s="328">
        <v>1200</v>
      </c>
      <c r="H6" s="328">
        <v>700</v>
      </c>
      <c r="I6" s="328">
        <v>1200</v>
      </c>
      <c r="J6" s="329" t="s">
        <v>385</v>
      </c>
      <c r="K6" s="330">
        <v>1</v>
      </c>
    </row>
    <row r="7" spans="1:15" ht="15" customHeight="1">
      <c r="A7" s="317" t="s">
        <v>327</v>
      </c>
      <c r="B7" s="323" t="s">
        <v>244</v>
      </c>
      <c r="C7" s="327">
        <v>2000</v>
      </c>
      <c r="D7" s="328">
        <v>2000</v>
      </c>
      <c r="E7" s="328">
        <v>2000</v>
      </c>
      <c r="F7" s="328">
        <v>700</v>
      </c>
      <c r="G7" s="328">
        <v>1200</v>
      </c>
      <c r="H7" s="328">
        <v>700</v>
      </c>
      <c r="I7" s="328">
        <v>1200</v>
      </c>
      <c r="J7" s="329" t="s">
        <v>385</v>
      </c>
      <c r="K7" s="330">
        <v>1</v>
      </c>
      <c r="L7" s="94" t="s">
        <v>327</v>
      </c>
      <c r="M7" s="94" t="s">
        <v>327</v>
      </c>
      <c r="N7" s="94" t="s">
        <v>327</v>
      </c>
      <c r="O7" s="94" t="s">
        <v>327</v>
      </c>
    </row>
    <row r="8" spans="1:15">
      <c r="A8" s="317" t="s">
        <v>327</v>
      </c>
      <c r="B8" s="323" t="s">
        <v>245</v>
      </c>
      <c r="C8" s="330">
        <v>42.5</v>
      </c>
      <c r="D8" s="327">
        <v>44</v>
      </c>
      <c r="E8" s="328">
        <v>45</v>
      </c>
      <c r="F8" s="329">
        <v>40</v>
      </c>
      <c r="G8" s="330">
        <v>45</v>
      </c>
      <c r="H8" s="330">
        <v>42</v>
      </c>
      <c r="I8" s="330">
        <v>47</v>
      </c>
      <c r="J8" s="330" t="s">
        <v>327</v>
      </c>
      <c r="K8" s="330" t="s">
        <v>586</v>
      </c>
      <c r="L8" s="94" t="s">
        <v>327</v>
      </c>
      <c r="M8" s="94" t="s">
        <v>327</v>
      </c>
      <c r="N8" s="94" t="s">
        <v>327</v>
      </c>
      <c r="O8" s="94" t="s">
        <v>327</v>
      </c>
    </row>
    <row r="9" spans="1:15">
      <c r="A9" s="317" t="s">
        <v>327</v>
      </c>
      <c r="B9" s="334" t="s">
        <v>247</v>
      </c>
      <c r="C9" s="330">
        <v>42</v>
      </c>
      <c r="D9" s="327">
        <v>43</v>
      </c>
      <c r="E9" s="328">
        <v>44</v>
      </c>
      <c r="F9" s="329">
        <v>40</v>
      </c>
      <c r="G9" s="330">
        <v>45</v>
      </c>
      <c r="H9" s="330">
        <v>42</v>
      </c>
      <c r="I9" s="330">
        <v>47</v>
      </c>
      <c r="J9" s="330" t="s">
        <v>327</v>
      </c>
      <c r="K9" s="330" t="s">
        <v>586</v>
      </c>
      <c r="L9" s="94" t="s">
        <v>327</v>
      </c>
      <c r="M9" s="94" t="s">
        <v>327</v>
      </c>
      <c r="N9" s="94" t="s">
        <v>327</v>
      </c>
      <c r="O9" s="94" t="s">
        <v>327</v>
      </c>
    </row>
    <row r="10" spans="1:15">
      <c r="A10" s="317" t="s">
        <v>327</v>
      </c>
      <c r="B10" s="335" t="s">
        <v>248</v>
      </c>
      <c r="C10" s="330">
        <v>7</v>
      </c>
      <c r="D10" s="330">
        <v>6</v>
      </c>
      <c r="E10" s="330">
        <v>3</v>
      </c>
      <c r="F10" s="327">
        <v>5</v>
      </c>
      <c r="G10" s="328">
        <v>15</v>
      </c>
      <c r="H10" s="328">
        <v>2</v>
      </c>
      <c r="I10" s="328">
        <v>7</v>
      </c>
      <c r="J10" s="329" t="s">
        <v>246</v>
      </c>
      <c r="K10" s="330">
        <v>1</v>
      </c>
      <c r="L10" s="94" t="s">
        <v>327</v>
      </c>
      <c r="M10" s="94" t="s">
        <v>327</v>
      </c>
      <c r="N10" s="94" t="s">
        <v>327</v>
      </c>
      <c r="O10" s="94" t="s">
        <v>327</v>
      </c>
    </row>
    <row r="11" spans="1:15">
      <c r="A11" s="317" t="s">
        <v>327</v>
      </c>
      <c r="B11" s="323" t="s">
        <v>249</v>
      </c>
      <c r="C11" s="330">
        <v>7</v>
      </c>
      <c r="D11" s="330">
        <v>5</v>
      </c>
      <c r="E11" s="330">
        <v>3</v>
      </c>
      <c r="F11" s="327">
        <v>3</v>
      </c>
      <c r="G11" s="328">
        <v>8</v>
      </c>
      <c r="H11" s="328">
        <v>2</v>
      </c>
      <c r="I11" s="328">
        <v>4</v>
      </c>
      <c r="J11" s="329" t="s">
        <v>246</v>
      </c>
      <c r="K11" s="330">
        <v>1</v>
      </c>
      <c r="L11" s="94" t="s">
        <v>327</v>
      </c>
      <c r="M11" s="94" t="s">
        <v>327</v>
      </c>
      <c r="N11" s="94" t="s">
        <v>327</v>
      </c>
      <c r="O11" s="94" t="s">
        <v>327</v>
      </c>
    </row>
    <row r="12" spans="1:15">
      <c r="A12" s="317" t="s">
        <v>327</v>
      </c>
      <c r="B12" s="323" t="s">
        <v>250</v>
      </c>
      <c r="C12" s="330">
        <v>30</v>
      </c>
      <c r="D12" s="330">
        <v>30</v>
      </c>
      <c r="E12" s="330">
        <v>30</v>
      </c>
      <c r="F12" s="327">
        <v>25</v>
      </c>
      <c r="G12" s="328">
        <v>40</v>
      </c>
      <c r="H12" s="328">
        <v>25</v>
      </c>
      <c r="I12" s="328">
        <v>40</v>
      </c>
      <c r="J12" s="329" t="s">
        <v>327</v>
      </c>
      <c r="K12" s="330">
        <v>1</v>
      </c>
      <c r="L12" s="94" t="s">
        <v>327</v>
      </c>
      <c r="M12" s="94" t="s">
        <v>327</v>
      </c>
      <c r="N12" s="94" t="s">
        <v>327</v>
      </c>
      <c r="O12" s="94" t="s">
        <v>327</v>
      </c>
    </row>
    <row r="13" spans="1:15">
      <c r="A13" s="317" t="s">
        <v>327</v>
      </c>
      <c r="B13" s="323" t="s">
        <v>252</v>
      </c>
      <c r="C13" s="330">
        <v>4.3</v>
      </c>
      <c r="D13" s="330">
        <v>3</v>
      </c>
      <c r="E13" s="330">
        <v>3</v>
      </c>
      <c r="F13" s="330">
        <v>3</v>
      </c>
      <c r="G13" s="330">
        <v>5</v>
      </c>
      <c r="H13" s="330">
        <v>2</v>
      </c>
      <c r="I13" s="327">
        <v>4</v>
      </c>
      <c r="J13" s="329" t="s">
        <v>246</v>
      </c>
      <c r="K13" s="330">
        <v>1</v>
      </c>
      <c r="L13" s="94" t="s">
        <v>327</v>
      </c>
      <c r="M13" s="94" t="s">
        <v>327</v>
      </c>
      <c r="N13" s="94" t="s">
        <v>327</v>
      </c>
      <c r="O13" s="94" t="s">
        <v>327</v>
      </c>
    </row>
    <row r="14" spans="1:15">
      <c r="A14" s="317" t="s">
        <v>327</v>
      </c>
      <c r="B14" s="336" t="s">
        <v>254</v>
      </c>
      <c r="C14" s="343" t="s">
        <v>146</v>
      </c>
      <c r="D14" s="345" t="s">
        <v>597</v>
      </c>
      <c r="E14" s="345" t="s">
        <v>597</v>
      </c>
      <c r="F14" s="345" t="s">
        <v>597</v>
      </c>
      <c r="G14" s="345" t="s">
        <v>597</v>
      </c>
      <c r="H14" s="345" t="s">
        <v>597</v>
      </c>
      <c r="I14" s="345" t="s">
        <v>597</v>
      </c>
      <c r="J14" s="330" t="s">
        <v>327</v>
      </c>
      <c r="K14" s="330" t="s">
        <v>327</v>
      </c>
      <c r="L14" s="94" t="s">
        <v>327</v>
      </c>
      <c r="M14" s="94" t="s">
        <v>327</v>
      </c>
      <c r="N14" s="94" t="s">
        <v>327</v>
      </c>
      <c r="O14" s="94" t="s">
        <v>327</v>
      </c>
    </row>
    <row r="15" spans="1:15">
      <c r="A15" s="317" t="s">
        <v>327</v>
      </c>
      <c r="B15" s="337" t="s">
        <v>255</v>
      </c>
      <c r="C15" s="338" t="s">
        <v>327</v>
      </c>
      <c r="D15" s="338" t="s">
        <v>327</v>
      </c>
      <c r="E15" s="338" t="s">
        <v>327</v>
      </c>
      <c r="F15" s="338" t="s">
        <v>327</v>
      </c>
      <c r="G15" s="338" t="s">
        <v>327</v>
      </c>
      <c r="H15" s="338" t="s">
        <v>327</v>
      </c>
      <c r="I15" s="338" t="s">
        <v>327</v>
      </c>
      <c r="J15" s="338" t="s">
        <v>327</v>
      </c>
      <c r="K15" s="339" t="s">
        <v>327</v>
      </c>
      <c r="L15" s="94" t="s">
        <v>327</v>
      </c>
      <c r="M15" s="94" t="s">
        <v>327</v>
      </c>
      <c r="N15" s="94" t="s">
        <v>327</v>
      </c>
      <c r="O15" s="94" t="s">
        <v>327</v>
      </c>
    </row>
    <row r="16" spans="1:15">
      <c r="A16" s="317" t="s">
        <v>327</v>
      </c>
      <c r="B16" s="336" t="s">
        <v>256</v>
      </c>
      <c r="C16" s="343" t="s">
        <v>146</v>
      </c>
      <c r="D16" s="345" t="s">
        <v>146</v>
      </c>
      <c r="E16" s="345" t="s">
        <v>146</v>
      </c>
      <c r="F16" s="345" t="s">
        <v>146</v>
      </c>
      <c r="G16" s="345" t="s">
        <v>146</v>
      </c>
      <c r="H16" s="345" t="s">
        <v>146</v>
      </c>
      <c r="I16" s="345" t="s">
        <v>146</v>
      </c>
      <c r="J16" s="330" t="s">
        <v>327</v>
      </c>
      <c r="K16" s="330" t="s">
        <v>327</v>
      </c>
      <c r="L16" s="94" t="s">
        <v>327</v>
      </c>
      <c r="M16" s="94" t="s">
        <v>327</v>
      </c>
      <c r="N16" s="94" t="s">
        <v>327</v>
      </c>
      <c r="O16" s="94" t="s">
        <v>327</v>
      </c>
    </row>
    <row r="17" spans="1:15">
      <c r="A17" s="317" t="s">
        <v>327</v>
      </c>
      <c r="B17" s="336" t="s">
        <v>257</v>
      </c>
      <c r="C17" s="343" t="s">
        <v>146</v>
      </c>
      <c r="D17" s="345" t="s">
        <v>146</v>
      </c>
      <c r="E17" s="345" t="s">
        <v>146</v>
      </c>
      <c r="F17" s="345" t="s">
        <v>146</v>
      </c>
      <c r="G17" s="345" t="s">
        <v>146</v>
      </c>
      <c r="H17" s="345" t="s">
        <v>146</v>
      </c>
      <c r="I17" s="345" t="s">
        <v>146</v>
      </c>
      <c r="J17" s="330" t="s">
        <v>327</v>
      </c>
      <c r="K17" s="330" t="s">
        <v>327</v>
      </c>
      <c r="L17" s="94" t="s">
        <v>327</v>
      </c>
      <c r="M17" s="94" t="s">
        <v>327</v>
      </c>
      <c r="N17" s="94" t="s">
        <v>327</v>
      </c>
      <c r="O17" s="94" t="s">
        <v>327</v>
      </c>
    </row>
    <row r="18" spans="1:15">
      <c r="A18" s="317" t="s">
        <v>327</v>
      </c>
      <c r="B18" s="325" t="s">
        <v>258</v>
      </c>
      <c r="C18" s="326" t="s">
        <v>327</v>
      </c>
      <c r="D18" s="326" t="s">
        <v>327</v>
      </c>
      <c r="E18" s="326" t="s">
        <v>327</v>
      </c>
      <c r="F18" s="326" t="s">
        <v>327</v>
      </c>
      <c r="G18" s="326" t="s">
        <v>327</v>
      </c>
      <c r="H18" s="326" t="s">
        <v>327</v>
      </c>
      <c r="I18" s="326" t="s">
        <v>327</v>
      </c>
      <c r="J18" s="326" t="s">
        <v>327</v>
      </c>
      <c r="K18" s="324" t="s">
        <v>327</v>
      </c>
      <c r="L18" s="94" t="s">
        <v>327</v>
      </c>
      <c r="N18" s="94" t="s">
        <v>327</v>
      </c>
      <c r="O18" s="94" t="s">
        <v>327</v>
      </c>
    </row>
    <row r="19" spans="1:15">
      <c r="A19" s="317" t="s">
        <v>327</v>
      </c>
      <c r="B19" s="323" t="s">
        <v>259</v>
      </c>
      <c r="C19" s="330">
        <v>5</v>
      </c>
      <c r="D19" s="330">
        <v>5</v>
      </c>
      <c r="E19" s="330">
        <v>5</v>
      </c>
      <c r="F19" s="330">
        <v>4</v>
      </c>
      <c r="G19" s="330">
        <v>5</v>
      </c>
      <c r="H19" s="330">
        <v>4</v>
      </c>
      <c r="I19" s="330">
        <v>5</v>
      </c>
      <c r="J19" s="330" t="s">
        <v>300</v>
      </c>
      <c r="K19" s="330">
        <v>1</v>
      </c>
      <c r="L19" s="94" t="s">
        <v>327</v>
      </c>
      <c r="M19" s="94" t="s">
        <v>327</v>
      </c>
      <c r="N19" s="94" t="s">
        <v>327</v>
      </c>
      <c r="O19" s="94" t="s">
        <v>327</v>
      </c>
    </row>
    <row r="20" spans="1:15">
      <c r="A20" s="317" t="s">
        <v>327</v>
      </c>
      <c r="B20" s="323" t="s">
        <v>260</v>
      </c>
      <c r="C20" s="330">
        <v>40</v>
      </c>
      <c r="D20" s="327">
        <v>40</v>
      </c>
      <c r="E20" s="328">
        <v>40</v>
      </c>
      <c r="F20" s="329">
        <v>25</v>
      </c>
      <c r="G20" s="330">
        <v>50</v>
      </c>
      <c r="H20" s="330">
        <v>20</v>
      </c>
      <c r="I20" s="330">
        <v>40</v>
      </c>
      <c r="J20" s="330" t="s">
        <v>246</v>
      </c>
      <c r="K20" s="330">
        <v>1</v>
      </c>
      <c r="L20" s="94" t="s">
        <v>327</v>
      </c>
      <c r="M20" s="94" t="s">
        <v>327</v>
      </c>
      <c r="N20" s="94" t="s">
        <v>327</v>
      </c>
      <c r="O20" s="94" t="s">
        <v>327</v>
      </c>
    </row>
    <row r="21" spans="1:15">
      <c r="A21" s="317" t="s">
        <v>327</v>
      </c>
      <c r="B21" s="323" t="s">
        <v>261</v>
      </c>
      <c r="C21" s="330">
        <v>4</v>
      </c>
      <c r="D21" s="330">
        <v>4</v>
      </c>
      <c r="E21" s="330">
        <v>4</v>
      </c>
      <c r="F21" s="330">
        <v>2</v>
      </c>
      <c r="G21" s="330">
        <v>5</v>
      </c>
      <c r="H21" s="330">
        <v>2</v>
      </c>
      <c r="I21" s="330">
        <v>5</v>
      </c>
      <c r="J21" s="330" t="s">
        <v>300</v>
      </c>
      <c r="K21" s="330">
        <v>1</v>
      </c>
      <c r="L21" s="94" t="s">
        <v>327</v>
      </c>
      <c r="N21" s="94" t="s">
        <v>327</v>
      </c>
      <c r="O21" s="94" t="s">
        <v>327</v>
      </c>
    </row>
    <row r="22" spans="1:15">
      <c r="A22" s="317" t="s">
        <v>327</v>
      </c>
      <c r="B22" s="323" t="s">
        <v>262</v>
      </c>
      <c r="C22" s="330">
        <v>12</v>
      </c>
      <c r="D22" s="330">
        <v>12</v>
      </c>
      <c r="E22" s="330">
        <v>12</v>
      </c>
      <c r="F22" s="330">
        <v>6</v>
      </c>
      <c r="G22" s="330">
        <v>15</v>
      </c>
      <c r="H22" s="330">
        <v>6</v>
      </c>
      <c r="I22" s="330">
        <v>12</v>
      </c>
      <c r="J22" s="330" t="s">
        <v>300</v>
      </c>
      <c r="K22" s="330">
        <v>1</v>
      </c>
      <c r="L22" s="94" t="s">
        <v>327</v>
      </c>
      <c r="M22" s="94" t="s">
        <v>327</v>
      </c>
      <c r="N22" s="94" t="s">
        <v>327</v>
      </c>
      <c r="O22" s="94" t="s">
        <v>327</v>
      </c>
    </row>
    <row r="23" spans="1:15">
      <c r="A23" s="317" t="s">
        <v>327</v>
      </c>
      <c r="B23" s="325" t="s">
        <v>263</v>
      </c>
      <c r="C23" s="326" t="s">
        <v>327</v>
      </c>
      <c r="D23" s="326" t="s">
        <v>327</v>
      </c>
      <c r="E23" s="326" t="s">
        <v>327</v>
      </c>
      <c r="F23" s="326" t="s">
        <v>327</v>
      </c>
      <c r="G23" s="326" t="s">
        <v>327</v>
      </c>
      <c r="H23" s="326" t="s">
        <v>327</v>
      </c>
      <c r="I23" s="326" t="s">
        <v>327</v>
      </c>
      <c r="J23" s="326" t="s">
        <v>327</v>
      </c>
      <c r="K23" s="324" t="s">
        <v>327</v>
      </c>
    </row>
    <row r="24" spans="1:15">
      <c r="A24" s="317" t="s">
        <v>327</v>
      </c>
      <c r="B24" s="323" t="s">
        <v>580</v>
      </c>
      <c r="C24" s="330">
        <v>150</v>
      </c>
      <c r="D24" s="330">
        <v>100</v>
      </c>
      <c r="E24" s="330">
        <v>100</v>
      </c>
      <c r="F24" s="330">
        <v>50</v>
      </c>
      <c r="G24" s="330">
        <v>150</v>
      </c>
      <c r="H24" s="330">
        <v>20</v>
      </c>
      <c r="I24" s="330">
        <v>100</v>
      </c>
      <c r="J24" s="330" t="s">
        <v>307</v>
      </c>
      <c r="K24" s="330" t="s">
        <v>582</v>
      </c>
      <c r="L24" s="94" t="s">
        <v>327</v>
      </c>
      <c r="M24" s="94" t="s">
        <v>327</v>
      </c>
      <c r="N24" s="94" t="s">
        <v>327</v>
      </c>
      <c r="O24" s="94" t="s">
        <v>327</v>
      </c>
    </row>
    <row r="25" spans="1:15">
      <c r="A25" s="317" t="s">
        <v>327</v>
      </c>
      <c r="B25" s="323" t="s">
        <v>266</v>
      </c>
      <c r="C25" s="330">
        <v>73</v>
      </c>
      <c r="D25" s="330">
        <v>73</v>
      </c>
      <c r="E25" s="330">
        <v>73</v>
      </c>
      <c r="F25" s="330">
        <v>73</v>
      </c>
      <c r="G25" s="330">
        <v>95</v>
      </c>
      <c r="H25" s="330">
        <v>73</v>
      </c>
      <c r="I25" s="330">
        <v>95</v>
      </c>
      <c r="J25" s="330" t="s">
        <v>319</v>
      </c>
      <c r="K25" s="330" t="s">
        <v>582</v>
      </c>
      <c r="L25" s="94" t="s">
        <v>327</v>
      </c>
      <c r="M25" s="94" t="s">
        <v>327</v>
      </c>
      <c r="N25" s="94" t="s">
        <v>327</v>
      </c>
      <c r="O25" s="94" t="s">
        <v>327</v>
      </c>
    </row>
    <row r="26" spans="1:15" ht="15" customHeight="1">
      <c r="A26" s="317" t="s">
        <v>327</v>
      </c>
      <c r="B26" s="323" t="s">
        <v>267</v>
      </c>
      <c r="C26" s="330">
        <v>263</v>
      </c>
      <c r="D26" s="330">
        <v>263</v>
      </c>
      <c r="E26" s="330">
        <v>263</v>
      </c>
      <c r="F26" s="330">
        <v>263</v>
      </c>
      <c r="G26" s="330">
        <v>263</v>
      </c>
      <c r="H26" s="330">
        <v>263</v>
      </c>
      <c r="I26" s="330">
        <v>263</v>
      </c>
      <c r="J26" s="330" t="s">
        <v>303</v>
      </c>
      <c r="K26" s="330" t="s">
        <v>582</v>
      </c>
      <c r="L26" s="94" t="s">
        <v>327</v>
      </c>
      <c r="M26" s="94" t="s">
        <v>327</v>
      </c>
      <c r="N26" s="94" t="s">
        <v>327</v>
      </c>
      <c r="O26" s="94" t="s">
        <v>327</v>
      </c>
    </row>
    <row r="27" spans="1:15">
      <c r="A27" s="317" t="s">
        <v>327</v>
      </c>
      <c r="B27" s="323" t="s">
        <v>268</v>
      </c>
      <c r="C27" s="345" t="s">
        <v>146</v>
      </c>
      <c r="D27" s="345" t="s">
        <v>146</v>
      </c>
      <c r="E27" s="345" t="s">
        <v>146</v>
      </c>
      <c r="F27" s="345" t="s">
        <v>146</v>
      </c>
      <c r="G27" s="345" t="s">
        <v>146</v>
      </c>
      <c r="H27" s="345" t="s">
        <v>146</v>
      </c>
      <c r="I27" s="345" t="s">
        <v>146</v>
      </c>
      <c r="J27" s="330" t="s">
        <v>327</v>
      </c>
      <c r="K27" s="330" t="s">
        <v>327</v>
      </c>
      <c r="L27" s="94" t="s">
        <v>327</v>
      </c>
      <c r="M27" s="94" t="s">
        <v>327</v>
      </c>
      <c r="N27" s="94" t="s">
        <v>327</v>
      </c>
      <c r="O27" s="94" t="s">
        <v>327</v>
      </c>
    </row>
    <row r="28" spans="1:15">
      <c r="A28" s="317" t="s">
        <v>327</v>
      </c>
      <c r="B28" s="323" t="s">
        <v>269</v>
      </c>
      <c r="C28" s="345" t="s">
        <v>146</v>
      </c>
      <c r="D28" s="345" t="s">
        <v>146</v>
      </c>
      <c r="E28" s="345" t="s">
        <v>146</v>
      </c>
      <c r="F28" s="345" t="s">
        <v>146</v>
      </c>
      <c r="G28" s="345" t="s">
        <v>146</v>
      </c>
      <c r="H28" s="345" t="s">
        <v>146</v>
      </c>
      <c r="I28" s="345" t="s">
        <v>146</v>
      </c>
      <c r="J28" s="330" t="s">
        <v>327</v>
      </c>
      <c r="K28" s="330" t="s">
        <v>327</v>
      </c>
    </row>
    <row r="29" spans="1:15">
      <c r="A29" s="317" t="s">
        <v>327</v>
      </c>
      <c r="B29" s="325" t="s">
        <v>270</v>
      </c>
      <c r="C29" s="326" t="s">
        <v>327</v>
      </c>
      <c r="D29" s="326" t="s">
        <v>327</v>
      </c>
      <c r="E29" s="326" t="s">
        <v>327</v>
      </c>
      <c r="F29" s="326" t="s">
        <v>327</v>
      </c>
      <c r="G29" s="326" t="s">
        <v>327</v>
      </c>
      <c r="H29" s="326" t="s">
        <v>327</v>
      </c>
      <c r="I29" s="326" t="s">
        <v>327</v>
      </c>
      <c r="J29" s="326" t="s">
        <v>327</v>
      </c>
      <c r="K29" s="324" t="s">
        <v>327</v>
      </c>
      <c r="L29" s="94" t="s">
        <v>327</v>
      </c>
      <c r="M29" s="94" t="s">
        <v>327</v>
      </c>
      <c r="N29" s="94" t="s">
        <v>327</v>
      </c>
      <c r="O29" s="94" t="s">
        <v>327</v>
      </c>
    </row>
    <row r="30" spans="1:15">
      <c r="A30" s="317" t="s">
        <v>327</v>
      </c>
      <c r="B30" s="323" t="s">
        <v>271</v>
      </c>
      <c r="C30" s="330">
        <v>1.73</v>
      </c>
      <c r="D30" s="327">
        <v>1.68</v>
      </c>
      <c r="E30" s="328">
        <v>1.63</v>
      </c>
      <c r="F30" s="329">
        <v>1.3</v>
      </c>
      <c r="G30" s="330">
        <v>2.17</v>
      </c>
      <c r="H30" s="330">
        <v>1.22</v>
      </c>
      <c r="I30" s="330">
        <v>2.04</v>
      </c>
      <c r="J30" s="330" t="s">
        <v>598</v>
      </c>
      <c r="K30" s="330" t="s">
        <v>489</v>
      </c>
      <c r="L30" s="94" t="s">
        <v>327</v>
      </c>
      <c r="M30" s="94" t="s">
        <v>327</v>
      </c>
      <c r="N30" s="94" t="s">
        <v>327</v>
      </c>
      <c r="O30" s="94" t="s">
        <v>327</v>
      </c>
    </row>
    <row r="31" spans="1:15">
      <c r="A31" s="317" t="s">
        <v>327</v>
      </c>
      <c r="B31" s="323" t="s">
        <v>274</v>
      </c>
      <c r="C31" s="330" t="s">
        <v>327</v>
      </c>
      <c r="D31" s="330" t="s">
        <v>327</v>
      </c>
      <c r="E31" s="330" t="s">
        <v>327</v>
      </c>
      <c r="F31" s="330" t="s">
        <v>327</v>
      </c>
      <c r="G31" s="330" t="s">
        <v>327</v>
      </c>
      <c r="H31" s="330" t="s">
        <v>327</v>
      </c>
      <c r="I31" s="330" t="s">
        <v>327</v>
      </c>
      <c r="J31" s="330" t="s">
        <v>327</v>
      </c>
      <c r="K31" s="330" t="s">
        <v>327</v>
      </c>
      <c r="L31" s="94" t="s">
        <v>327</v>
      </c>
      <c r="M31" s="94" t="s">
        <v>327</v>
      </c>
      <c r="N31" s="94" t="s">
        <v>327</v>
      </c>
      <c r="O31" s="94" t="s">
        <v>327</v>
      </c>
    </row>
    <row r="32" spans="1:15">
      <c r="A32" s="317" t="s">
        <v>327</v>
      </c>
      <c r="B32" s="323" t="s">
        <v>275</v>
      </c>
      <c r="C32" s="330" t="s">
        <v>327</v>
      </c>
      <c r="D32" s="330" t="s">
        <v>327</v>
      </c>
      <c r="E32" s="330" t="s">
        <v>327</v>
      </c>
      <c r="F32" s="330" t="s">
        <v>327</v>
      </c>
      <c r="G32" s="330" t="s">
        <v>327</v>
      </c>
      <c r="H32" s="330" t="s">
        <v>327</v>
      </c>
      <c r="I32" s="330" t="s">
        <v>327</v>
      </c>
      <c r="J32" s="330" t="s">
        <v>327</v>
      </c>
      <c r="K32" s="330" t="s">
        <v>327</v>
      </c>
      <c r="L32" s="94" t="s">
        <v>327</v>
      </c>
      <c r="M32" s="94" t="s">
        <v>327</v>
      </c>
      <c r="N32" s="94" t="s">
        <v>327</v>
      </c>
      <c r="O32" s="94" t="s">
        <v>327</v>
      </c>
    </row>
    <row r="33" spans="1:15">
      <c r="A33" s="317" t="s">
        <v>327</v>
      </c>
      <c r="B33" s="323" t="s">
        <v>276</v>
      </c>
      <c r="C33" s="342">
        <v>64500</v>
      </c>
      <c r="D33" s="342">
        <v>62500</v>
      </c>
      <c r="E33" s="342">
        <v>60600</v>
      </c>
      <c r="F33" s="342">
        <v>48450</v>
      </c>
      <c r="G33" s="342">
        <v>80700</v>
      </c>
      <c r="H33" s="342">
        <v>45500</v>
      </c>
      <c r="I33" s="342">
        <v>75800</v>
      </c>
      <c r="J33" s="330" t="s">
        <v>309</v>
      </c>
      <c r="K33" s="330" t="s">
        <v>489</v>
      </c>
      <c r="L33" s="94" t="s">
        <v>327</v>
      </c>
      <c r="M33" s="94" t="s">
        <v>327</v>
      </c>
      <c r="N33" s="94" t="s">
        <v>327</v>
      </c>
      <c r="O33" s="94" t="s">
        <v>327</v>
      </c>
    </row>
    <row r="34" spans="1:15">
      <c r="A34" s="317" t="s">
        <v>327</v>
      </c>
      <c r="B34" s="323" t="s">
        <v>279</v>
      </c>
      <c r="C34" s="330">
        <v>1.25</v>
      </c>
      <c r="D34" s="327">
        <v>1.2</v>
      </c>
      <c r="E34" s="328">
        <v>1.1499999999999999</v>
      </c>
      <c r="F34" s="329">
        <v>0.9</v>
      </c>
      <c r="G34" s="330">
        <v>1.6</v>
      </c>
      <c r="H34" s="330">
        <v>0.9</v>
      </c>
      <c r="I34" s="330">
        <v>1.5</v>
      </c>
      <c r="J34" s="330" t="s">
        <v>309</v>
      </c>
      <c r="K34" s="330" t="s">
        <v>586</v>
      </c>
      <c r="L34" s="94" t="s">
        <v>327</v>
      </c>
      <c r="M34" s="94" t="s">
        <v>327</v>
      </c>
      <c r="N34" s="94" t="s">
        <v>327</v>
      </c>
      <c r="O34" s="94" t="s">
        <v>327</v>
      </c>
    </row>
    <row r="35" spans="1:15">
      <c r="A35" s="317" t="s">
        <v>327</v>
      </c>
      <c r="B35" s="323" t="s">
        <v>282</v>
      </c>
      <c r="C35" s="330">
        <v>57</v>
      </c>
      <c r="D35" s="330">
        <v>57</v>
      </c>
      <c r="E35" s="330">
        <v>57</v>
      </c>
      <c r="F35" s="330">
        <v>45.6</v>
      </c>
      <c r="G35" s="330">
        <v>114</v>
      </c>
      <c r="H35" s="330">
        <v>45.6</v>
      </c>
      <c r="I35" s="330">
        <v>114</v>
      </c>
      <c r="J35" s="330" t="s">
        <v>327</v>
      </c>
      <c r="K35" s="330">
        <v>5</v>
      </c>
    </row>
    <row r="36" spans="1:15">
      <c r="A36" s="340" t="s">
        <v>327</v>
      </c>
      <c r="B36" s="317" t="s">
        <v>327</v>
      </c>
      <c r="C36" s="344" t="s">
        <v>327</v>
      </c>
      <c r="D36" s="344" t="s">
        <v>327</v>
      </c>
      <c r="E36" s="344" t="s">
        <v>327</v>
      </c>
      <c r="F36" s="344" t="s">
        <v>327</v>
      </c>
      <c r="G36" s="344" t="s">
        <v>327</v>
      </c>
      <c r="H36" s="344" t="s">
        <v>327</v>
      </c>
      <c r="I36" s="344" t="s">
        <v>327</v>
      </c>
      <c r="J36" s="344" t="s">
        <v>327</v>
      </c>
      <c r="K36" s="344" t="s">
        <v>327</v>
      </c>
      <c r="L36" s="94" t="s">
        <v>327</v>
      </c>
      <c r="M36" s="94" t="s">
        <v>327</v>
      </c>
      <c r="N36" s="94" t="s">
        <v>327</v>
      </c>
      <c r="O36" s="94" t="s">
        <v>327</v>
      </c>
    </row>
    <row r="37" spans="1:15" s="93" customFormat="1" ht="11.45" customHeight="1">
      <c r="A37" s="340" t="s">
        <v>286</v>
      </c>
      <c r="B37" s="340"/>
      <c r="C37" s="344" t="s">
        <v>327</v>
      </c>
      <c r="D37" s="344" t="s">
        <v>327</v>
      </c>
      <c r="E37" s="344" t="s">
        <v>327</v>
      </c>
      <c r="F37" s="344" t="s">
        <v>327</v>
      </c>
      <c r="G37" s="344" t="s">
        <v>327</v>
      </c>
      <c r="H37" s="344" t="s">
        <v>327</v>
      </c>
      <c r="I37" s="344" t="s">
        <v>327</v>
      </c>
      <c r="J37" s="344" t="s">
        <v>327</v>
      </c>
      <c r="K37" s="344" t="s">
        <v>327</v>
      </c>
      <c r="L37" s="93" t="s">
        <v>327</v>
      </c>
      <c r="M37" s="93" t="s">
        <v>327</v>
      </c>
      <c r="N37" s="93" t="s">
        <v>327</v>
      </c>
      <c r="O37" s="93" t="s">
        <v>327</v>
      </c>
    </row>
    <row r="38" spans="1:15" ht="14.1" customHeight="1">
      <c r="A38" s="502">
        <v>1</v>
      </c>
      <c r="B38" s="1150" t="s">
        <v>287</v>
      </c>
      <c r="C38" s="1150"/>
      <c r="D38" s="1150"/>
      <c r="E38" s="1150"/>
      <c r="F38" s="1150"/>
      <c r="G38" s="1150"/>
      <c r="H38" s="1150"/>
      <c r="I38" s="1150"/>
      <c r="J38" s="1150"/>
      <c r="K38" s="1150"/>
      <c r="L38" s="94" t="s">
        <v>327</v>
      </c>
      <c r="M38" s="94" t="s">
        <v>327</v>
      </c>
      <c r="N38" s="94" t="s">
        <v>327</v>
      </c>
      <c r="O38" s="94" t="s">
        <v>327</v>
      </c>
    </row>
    <row r="39" spans="1:15" ht="14.1" customHeight="1">
      <c r="A39" s="502">
        <v>2</v>
      </c>
      <c r="B39" s="1178" t="s">
        <v>587</v>
      </c>
      <c r="C39" s="1178"/>
      <c r="D39" s="1178"/>
      <c r="E39" s="1178"/>
      <c r="F39" s="1178"/>
      <c r="G39" s="1178"/>
      <c r="H39" s="1178"/>
      <c r="I39" s="1178"/>
      <c r="J39" s="1178"/>
      <c r="K39" s="1178"/>
      <c r="L39" s="94" t="s">
        <v>327</v>
      </c>
      <c r="M39" s="94" t="s">
        <v>327</v>
      </c>
      <c r="N39" s="94" t="s">
        <v>327</v>
      </c>
      <c r="O39" s="94" t="s">
        <v>327</v>
      </c>
    </row>
    <row r="40" spans="1:15" ht="14.1" customHeight="1">
      <c r="A40" s="502">
        <v>3</v>
      </c>
      <c r="B40" s="1178" t="s">
        <v>290</v>
      </c>
      <c r="C40" s="1178"/>
      <c r="D40" s="1178"/>
      <c r="E40" s="1178"/>
      <c r="F40" s="1178"/>
      <c r="G40" s="1178"/>
      <c r="H40" s="1178"/>
      <c r="I40" s="1178"/>
      <c r="J40" s="1178"/>
      <c r="K40" s="1178"/>
      <c r="L40" s="94" t="s">
        <v>327</v>
      </c>
      <c r="M40" s="94" t="s">
        <v>327</v>
      </c>
      <c r="N40" s="94" t="s">
        <v>327</v>
      </c>
      <c r="O40" s="94" t="s">
        <v>327</v>
      </c>
    </row>
    <row r="41" spans="1:15" ht="14.1" customHeight="1">
      <c r="A41" s="502">
        <v>4</v>
      </c>
      <c r="B41" s="1178" t="s">
        <v>588</v>
      </c>
      <c r="C41" s="1178"/>
      <c r="D41" s="1178"/>
      <c r="E41" s="1178"/>
      <c r="F41" s="1178"/>
      <c r="G41" s="1178"/>
      <c r="H41" s="1178"/>
      <c r="I41" s="1178"/>
      <c r="J41" s="1178"/>
      <c r="K41" s="1178"/>
      <c r="L41" s="94" t="s">
        <v>327</v>
      </c>
      <c r="M41" s="94" t="s">
        <v>327</v>
      </c>
      <c r="N41" s="94" t="s">
        <v>327</v>
      </c>
      <c r="O41" s="94" t="s">
        <v>327</v>
      </c>
    </row>
    <row r="42" spans="1:15" s="93" customFormat="1" ht="14.1" customHeight="1">
      <c r="A42" s="502">
        <v>5</v>
      </c>
      <c r="B42" s="1181" t="s">
        <v>589</v>
      </c>
      <c r="C42" s="1181"/>
      <c r="D42" s="1181"/>
      <c r="E42" s="1181"/>
      <c r="F42" s="1181"/>
      <c r="G42" s="1181"/>
      <c r="H42" s="1181"/>
      <c r="I42" s="1181"/>
      <c r="J42" s="1181"/>
      <c r="K42" s="1181"/>
      <c r="L42" s="93" t="s">
        <v>327</v>
      </c>
      <c r="M42" s="94" t="s">
        <v>327</v>
      </c>
      <c r="N42" s="93" t="s">
        <v>327</v>
      </c>
      <c r="O42" s="93" t="s">
        <v>327</v>
      </c>
    </row>
    <row r="43" spans="1:15" s="93" customFormat="1" ht="14.1" customHeight="1">
      <c r="A43" s="502">
        <v>6</v>
      </c>
      <c r="B43" s="1178" t="s">
        <v>288</v>
      </c>
      <c r="C43" s="1178"/>
      <c r="D43" s="1178"/>
      <c r="E43" s="1178"/>
      <c r="F43" s="1178"/>
      <c r="G43" s="1178"/>
      <c r="H43" s="1178"/>
      <c r="I43" s="1178"/>
      <c r="J43" s="1178"/>
      <c r="K43" s="1178"/>
      <c r="L43" s="93" t="s">
        <v>327</v>
      </c>
      <c r="M43" s="94" t="s">
        <v>327</v>
      </c>
      <c r="N43" s="93" t="s">
        <v>327</v>
      </c>
      <c r="O43" s="93" t="s">
        <v>327</v>
      </c>
    </row>
    <row r="44" spans="1:15" ht="14.1" customHeight="1">
      <c r="A44" s="381" t="s">
        <v>298</v>
      </c>
      <c r="B44" s="381"/>
      <c r="C44" s="360" t="s">
        <v>327</v>
      </c>
      <c r="D44" s="360" t="s">
        <v>327</v>
      </c>
      <c r="E44" s="360" t="s">
        <v>327</v>
      </c>
      <c r="F44" s="360" t="s">
        <v>327</v>
      </c>
      <c r="G44" s="360" t="s">
        <v>327</v>
      </c>
      <c r="H44" s="360" t="s">
        <v>327</v>
      </c>
      <c r="I44" s="360" t="s">
        <v>327</v>
      </c>
      <c r="J44" s="360" t="s">
        <v>327</v>
      </c>
      <c r="K44" s="360" t="s">
        <v>327</v>
      </c>
      <c r="L44" s="94" t="s">
        <v>327</v>
      </c>
      <c r="M44" s="94" t="s">
        <v>327</v>
      </c>
      <c r="N44" s="94" t="s">
        <v>327</v>
      </c>
      <c r="O44" s="94" t="s">
        <v>327</v>
      </c>
    </row>
    <row r="45" spans="1:15" s="93" customFormat="1" ht="14.1" customHeight="1">
      <c r="A45" s="502" t="s">
        <v>246</v>
      </c>
      <c r="B45" s="1178" t="s">
        <v>590</v>
      </c>
      <c r="C45" s="1178"/>
      <c r="D45" s="1178"/>
      <c r="E45" s="1178"/>
      <c r="F45" s="1178"/>
      <c r="G45" s="1178"/>
      <c r="H45" s="1178"/>
      <c r="I45" s="1178"/>
      <c r="J45" s="1178"/>
      <c r="K45" s="1178"/>
      <c r="L45" s="93" t="s">
        <v>327</v>
      </c>
      <c r="M45" s="94" t="s">
        <v>327</v>
      </c>
      <c r="N45" s="93" t="s">
        <v>327</v>
      </c>
      <c r="O45" s="93" t="s">
        <v>327</v>
      </c>
    </row>
    <row r="46" spans="1:15" s="93" customFormat="1" ht="14.1" customHeight="1">
      <c r="A46" s="502" t="s">
        <v>300</v>
      </c>
      <c r="B46" s="1178" t="s">
        <v>591</v>
      </c>
      <c r="C46" s="1178"/>
      <c r="D46" s="1178"/>
      <c r="E46" s="1178"/>
      <c r="F46" s="1178"/>
      <c r="G46" s="1178"/>
      <c r="H46" s="1178"/>
      <c r="I46" s="1178"/>
      <c r="J46" s="1178"/>
      <c r="K46" s="1178"/>
      <c r="L46" s="93" t="s">
        <v>327</v>
      </c>
      <c r="M46" s="94" t="s">
        <v>327</v>
      </c>
      <c r="N46" s="93" t="s">
        <v>327</v>
      </c>
      <c r="O46" s="93" t="s">
        <v>327</v>
      </c>
    </row>
    <row r="47" spans="1:15" s="93" customFormat="1" ht="14.1" customHeight="1">
      <c r="A47" s="502" t="s">
        <v>265</v>
      </c>
      <c r="B47" s="1181" t="s">
        <v>592</v>
      </c>
      <c r="C47" s="1181"/>
      <c r="D47" s="1181"/>
      <c r="E47" s="1181"/>
      <c r="F47" s="1181"/>
      <c r="G47" s="1181"/>
      <c r="H47" s="1181"/>
      <c r="I47" s="1181"/>
      <c r="J47" s="1181"/>
      <c r="K47" s="1181"/>
      <c r="L47" s="93" t="s">
        <v>327</v>
      </c>
      <c r="M47" s="94" t="s">
        <v>327</v>
      </c>
      <c r="N47" s="93" t="s">
        <v>327</v>
      </c>
      <c r="O47" s="93" t="s">
        <v>327</v>
      </c>
    </row>
    <row r="48" spans="1:15" s="93" customFormat="1" ht="14.1" customHeight="1">
      <c r="A48" s="502" t="s">
        <v>303</v>
      </c>
      <c r="B48" s="1178" t="s">
        <v>593</v>
      </c>
      <c r="C48" s="1178"/>
      <c r="D48" s="1178"/>
      <c r="E48" s="1178"/>
      <c r="F48" s="1178"/>
      <c r="G48" s="1178"/>
      <c r="H48" s="1178"/>
      <c r="I48" s="1178"/>
      <c r="J48" s="1178"/>
      <c r="K48" s="1178"/>
      <c r="L48" s="93" t="s">
        <v>327</v>
      </c>
      <c r="M48" s="94" t="s">
        <v>327</v>
      </c>
      <c r="N48" s="93" t="s">
        <v>327</v>
      </c>
      <c r="O48" s="93" t="s">
        <v>327</v>
      </c>
    </row>
    <row r="49" spans="1:15" s="93" customFormat="1" ht="14.1" customHeight="1">
      <c r="A49" s="502" t="s">
        <v>305</v>
      </c>
      <c r="B49" s="1178" t="s">
        <v>603</v>
      </c>
      <c r="C49" s="1178"/>
      <c r="D49" s="1178"/>
      <c r="E49" s="1178"/>
      <c r="F49" s="1178"/>
      <c r="G49" s="1178"/>
      <c r="H49" s="1178"/>
      <c r="I49" s="1178"/>
      <c r="J49" s="1178"/>
      <c r="K49" s="1178"/>
      <c r="L49" s="93" t="s">
        <v>327</v>
      </c>
      <c r="M49" s="94" t="s">
        <v>327</v>
      </c>
      <c r="N49" s="93" t="s">
        <v>327</v>
      </c>
      <c r="O49" s="93" t="s">
        <v>327</v>
      </c>
    </row>
    <row r="50" spans="1:15" s="93" customFormat="1" ht="14.1" customHeight="1">
      <c r="A50" s="502" t="s">
        <v>307</v>
      </c>
      <c r="B50" s="1178" t="s">
        <v>595</v>
      </c>
      <c r="C50" s="1178"/>
      <c r="D50" s="1178"/>
      <c r="E50" s="1178"/>
      <c r="F50" s="1178"/>
      <c r="G50" s="1178"/>
      <c r="H50" s="1178"/>
      <c r="I50" s="1178"/>
      <c r="J50" s="1178"/>
      <c r="K50" s="1178"/>
      <c r="L50" s="93" t="s">
        <v>327</v>
      </c>
      <c r="M50" s="94" t="s">
        <v>327</v>
      </c>
      <c r="N50" s="93" t="s">
        <v>327</v>
      </c>
      <c r="O50" s="93" t="s">
        <v>327</v>
      </c>
    </row>
    <row r="51" spans="1:15" s="93" customFormat="1" ht="14.1" customHeight="1">
      <c r="A51" s="502" t="s">
        <v>309</v>
      </c>
      <c r="B51" s="1178" t="s">
        <v>323</v>
      </c>
      <c r="C51" s="1178"/>
      <c r="D51" s="1178"/>
      <c r="E51" s="1178"/>
      <c r="F51" s="1178"/>
      <c r="G51" s="1178"/>
      <c r="H51" s="1178"/>
      <c r="I51" s="1178"/>
      <c r="J51" s="1178"/>
      <c r="K51" s="1178"/>
      <c r="L51" s="93" t="s">
        <v>327</v>
      </c>
      <c r="M51" s="94" t="s">
        <v>327</v>
      </c>
      <c r="N51" s="93" t="s">
        <v>327</v>
      </c>
      <c r="O51" s="93" t="s">
        <v>327</v>
      </c>
    </row>
    <row r="52" spans="1:15" s="93" customFormat="1" ht="14.1" customHeight="1">
      <c r="A52" s="502" t="s">
        <v>253</v>
      </c>
      <c r="B52" s="1178" t="s">
        <v>324</v>
      </c>
      <c r="C52" s="1178"/>
      <c r="D52" s="1178"/>
      <c r="E52" s="1178"/>
      <c r="F52" s="1178"/>
      <c r="G52" s="1178"/>
      <c r="H52" s="1178"/>
      <c r="I52" s="1178"/>
      <c r="J52" s="1178"/>
      <c r="K52" s="1178"/>
      <c r="L52" s="93" t="s">
        <v>327</v>
      </c>
      <c r="M52" s="94" t="s">
        <v>327</v>
      </c>
      <c r="N52" s="93" t="s">
        <v>327</v>
      </c>
      <c r="O52" s="93" t="s">
        <v>327</v>
      </c>
    </row>
    <row r="53" spans="1:15" ht="14.1" customHeight="1">
      <c r="A53" s="502" t="s">
        <v>385</v>
      </c>
      <c r="B53" s="1178" t="s">
        <v>344</v>
      </c>
      <c r="C53" s="1178"/>
      <c r="D53" s="1178"/>
      <c r="E53" s="1178"/>
      <c r="F53" s="1178"/>
      <c r="G53" s="1178"/>
      <c r="H53" s="1178"/>
      <c r="I53" s="1178"/>
      <c r="J53" s="1178"/>
      <c r="K53" s="1178"/>
      <c r="L53" s="94" t="s">
        <v>327</v>
      </c>
      <c r="M53" s="94" t="s">
        <v>327</v>
      </c>
      <c r="N53" s="94" t="s">
        <v>327</v>
      </c>
      <c r="O53" s="94" t="s">
        <v>327</v>
      </c>
    </row>
    <row r="54" spans="1:15">
      <c r="A54" s="502"/>
      <c r="B54" s="358"/>
      <c r="C54" s="360"/>
      <c r="D54" s="360"/>
      <c r="E54" s="360"/>
      <c r="F54" s="360"/>
      <c r="G54" s="360"/>
      <c r="H54" s="360"/>
      <c r="I54" s="360"/>
      <c r="J54" s="360"/>
      <c r="K54" s="360"/>
    </row>
    <row r="55" spans="1:15">
      <c r="A55" s="428"/>
      <c r="B55" s="317"/>
      <c r="C55" s="344"/>
      <c r="D55" s="344"/>
      <c r="E55" s="344"/>
      <c r="F55" s="344"/>
      <c r="G55" s="344"/>
      <c r="H55" s="344"/>
      <c r="I55" s="344"/>
      <c r="J55" s="344"/>
      <c r="K55" s="344"/>
    </row>
  </sheetData>
  <mergeCells count="18">
    <mergeCell ref="B49:K49"/>
    <mergeCell ref="B50:K50"/>
    <mergeCell ref="B51:K51"/>
    <mergeCell ref="B52:K52"/>
    <mergeCell ref="B53:K53"/>
    <mergeCell ref="B48:K48"/>
    <mergeCell ref="C3:K3"/>
    <mergeCell ref="F4:G4"/>
    <mergeCell ref="H4:I4"/>
    <mergeCell ref="B42:K42"/>
    <mergeCell ref="B38:K38"/>
    <mergeCell ref="B39:K39"/>
    <mergeCell ref="B40:K40"/>
    <mergeCell ref="B41:K41"/>
    <mergeCell ref="B43:K43"/>
    <mergeCell ref="B45:K45"/>
    <mergeCell ref="B46:K46"/>
    <mergeCell ref="B47:K47"/>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F80B-2672-4316-8E48-5DD6149F37F5}">
  <sheetPr codeName="Sheet29">
    <tabColor theme="0" tint="-0.249977111117893"/>
  </sheetPr>
  <dimension ref="A1:U59"/>
  <sheetViews>
    <sheetView zoomScaleNormal="100" workbookViewId="0">
      <selection activeCell="B47" sqref="B47:K47"/>
    </sheetView>
  </sheetViews>
  <sheetFormatPr defaultColWidth="9.140625" defaultRowHeight="15"/>
  <cols>
    <col min="1" max="1" width="3" style="93" customWidth="1"/>
    <col min="2" max="2" width="35.28515625" style="93" customWidth="1"/>
    <col min="3" max="9" width="9.28515625" style="93" customWidth="1"/>
    <col min="10" max="10" width="8.7109375" style="93" customWidth="1"/>
    <col min="11" max="11" width="6.5703125" style="93" customWidth="1"/>
    <col min="12" max="12" width="9.7109375" style="94" customWidth="1"/>
    <col min="13" max="13" width="10.28515625" style="94" customWidth="1"/>
    <col min="14" max="14" width="9.7109375" style="94" customWidth="1"/>
    <col min="15" max="15" width="10" style="94" customWidth="1"/>
    <col min="16" max="16" width="7.85546875" style="94" customWidth="1"/>
    <col min="17" max="17" width="7.140625" style="94" customWidth="1"/>
    <col min="18" max="18" width="7.7109375" style="94" customWidth="1"/>
    <col min="19" max="16384" width="9.140625" style="94"/>
  </cols>
  <sheetData>
    <row r="1" spans="2:18" ht="20.25">
      <c r="B1" s="92" t="s">
        <v>234</v>
      </c>
    </row>
    <row r="2" spans="2:18">
      <c r="M2" s="94" t="s">
        <v>578</v>
      </c>
    </row>
    <row r="3" spans="2:18" ht="15" customHeight="1">
      <c r="B3" s="95" t="s">
        <v>145</v>
      </c>
      <c r="C3" s="1141" t="s">
        <v>25</v>
      </c>
      <c r="D3" s="1141"/>
      <c r="E3" s="1141"/>
      <c r="F3" s="1141"/>
      <c r="G3" s="1141"/>
      <c r="H3" s="1141"/>
      <c r="I3" s="1141"/>
      <c r="J3" s="1141"/>
      <c r="K3" s="1142"/>
      <c r="L3" s="93"/>
      <c r="M3" s="1183"/>
      <c r="N3" s="1144"/>
      <c r="O3" s="1144"/>
      <c r="P3" s="1144"/>
      <c r="Q3" s="1144"/>
      <c r="R3" s="1144"/>
    </row>
    <row r="4" spans="2:18" ht="24" customHeight="1">
      <c r="B4" s="98"/>
      <c r="C4" s="99">
        <v>2023</v>
      </c>
      <c r="D4" s="99">
        <v>2030</v>
      </c>
      <c r="E4" s="99">
        <v>2050</v>
      </c>
      <c r="F4" s="1145" t="s">
        <v>236</v>
      </c>
      <c r="G4" s="1142"/>
      <c r="H4" s="1145" t="s">
        <v>237</v>
      </c>
      <c r="I4" s="1142"/>
      <c r="J4" s="99" t="s">
        <v>238</v>
      </c>
      <c r="K4" s="99" t="s">
        <v>239</v>
      </c>
      <c r="L4" s="101"/>
      <c r="M4" s="101"/>
      <c r="N4" s="101"/>
      <c r="O4" s="101"/>
      <c r="P4" s="101"/>
      <c r="Q4" s="101"/>
      <c r="R4" s="101"/>
    </row>
    <row r="5" spans="2:18" ht="15" customHeight="1">
      <c r="B5" s="102" t="s">
        <v>240</v>
      </c>
      <c r="C5" s="103"/>
      <c r="D5" s="103"/>
      <c r="E5" s="103"/>
      <c r="F5" s="96" t="s">
        <v>241</v>
      </c>
      <c r="G5" s="96" t="s">
        <v>242</v>
      </c>
      <c r="H5" s="96" t="s">
        <v>241</v>
      </c>
      <c r="I5" s="96" t="s">
        <v>242</v>
      </c>
      <c r="J5" s="103"/>
      <c r="K5" s="104"/>
      <c r="L5" s="93"/>
      <c r="M5" s="1146"/>
      <c r="N5" s="1146"/>
      <c r="O5" s="1146"/>
      <c r="P5" s="1146"/>
      <c r="Q5" s="1146"/>
      <c r="R5" s="1146"/>
    </row>
    <row r="6" spans="2:18" ht="15" customHeight="1">
      <c r="B6" s="105" t="s">
        <v>243</v>
      </c>
      <c r="C6" s="704">
        <v>200</v>
      </c>
      <c r="D6" s="704">
        <v>200</v>
      </c>
      <c r="E6" s="704">
        <v>200</v>
      </c>
      <c r="F6" s="704"/>
      <c r="G6" s="704"/>
      <c r="H6" s="704"/>
      <c r="I6" s="704"/>
      <c r="J6" s="674" t="s">
        <v>246</v>
      </c>
      <c r="K6" s="675"/>
      <c r="L6" s="111"/>
      <c r="M6" s="481"/>
      <c r="N6" s="111"/>
      <c r="O6" s="111"/>
      <c r="P6" s="111"/>
      <c r="Q6" s="111"/>
      <c r="R6" s="111"/>
    </row>
    <row r="7" spans="2:18" ht="15" customHeight="1">
      <c r="B7" s="105" t="s">
        <v>244</v>
      </c>
      <c r="C7" s="704">
        <v>600</v>
      </c>
      <c r="D7" s="704">
        <v>600</v>
      </c>
      <c r="E7" s="704">
        <v>600</v>
      </c>
      <c r="F7" s="704"/>
      <c r="G7" s="704"/>
      <c r="H7" s="704"/>
      <c r="I7" s="704"/>
      <c r="J7" s="674" t="s">
        <v>246</v>
      </c>
      <c r="K7" s="675" t="s">
        <v>364</v>
      </c>
      <c r="L7" s="111"/>
      <c r="M7" s="110"/>
      <c r="N7" s="111"/>
      <c r="O7" s="111"/>
      <c r="P7" s="111"/>
      <c r="Q7" s="111"/>
      <c r="R7" s="111"/>
    </row>
    <row r="8" spans="2:18">
      <c r="B8" s="105" t="s">
        <v>245</v>
      </c>
      <c r="C8" s="704">
        <v>42</v>
      </c>
      <c r="D8" s="704">
        <v>43</v>
      </c>
      <c r="E8" s="704">
        <v>45</v>
      </c>
      <c r="F8" s="745"/>
      <c r="G8" s="745"/>
      <c r="H8" s="745"/>
      <c r="I8" s="745"/>
      <c r="J8" s="674" t="s">
        <v>309</v>
      </c>
      <c r="K8" s="678">
        <v>1</v>
      </c>
      <c r="L8" s="113"/>
      <c r="M8" s="113"/>
      <c r="N8" s="113"/>
      <c r="O8" s="113"/>
      <c r="P8" s="113"/>
      <c r="Q8" s="113"/>
      <c r="R8" s="113"/>
    </row>
    <row r="9" spans="2:18">
      <c r="B9" s="114" t="s">
        <v>247</v>
      </c>
      <c r="C9" s="704">
        <v>40</v>
      </c>
      <c r="D9" s="704">
        <v>41</v>
      </c>
      <c r="E9" s="704">
        <v>43</v>
      </c>
      <c r="F9" s="745"/>
      <c r="G9" s="745"/>
      <c r="H9" s="745"/>
      <c r="I9" s="745"/>
      <c r="J9" s="676" t="s">
        <v>309</v>
      </c>
      <c r="K9" s="855"/>
      <c r="L9" s="113"/>
      <c r="M9" s="113"/>
      <c r="N9" s="113"/>
      <c r="O9" s="113"/>
      <c r="P9" s="113"/>
      <c r="Q9" s="113"/>
      <c r="R9" s="113"/>
    </row>
    <row r="10" spans="2:18">
      <c r="B10" s="105" t="s">
        <v>663</v>
      </c>
      <c r="C10" s="704">
        <v>75</v>
      </c>
      <c r="D10" s="704">
        <v>80</v>
      </c>
      <c r="E10" s="704">
        <v>80</v>
      </c>
      <c r="F10" s="747"/>
      <c r="G10" s="747"/>
      <c r="H10" s="747"/>
      <c r="I10" s="747"/>
      <c r="J10" s="676" t="s">
        <v>300</v>
      </c>
      <c r="K10" s="675"/>
      <c r="L10" s="113"/>
      <c r="M10" s="113"/>
      <c r="N10" s="113"/>
      <c r="O10" s="113"/>
      <c r="P10" s="113"/>
      <c r="Q10" s="113"/>
      <c r="R10" s="113"/>
    </row>
    <row r="11" spans="2:18">
      <c r="B11" s="105" t="s">
        <v>248</v>
      </c>
      <c r="C11" s="704">
        <v>5.53</v>
      </c>
      <c r="D11" s="745">
        <v>6</v>
      </c>
      <c r="E11" s="745">
        <v>6</v>
      </c>
      <c r="F11" s="704"/>
      <c r="G11" s="704"/>
      <c r="H11" s="704"/>
      <c r="I11" s="704"/>
      <c r="J11" s="674"/>
      <c r="K11" s="675">
        <v>2</v>
      </c>
      <c r="L11" s="116"/>
      <c r="M11" s="116"/>
      <c r="N11" s="116"/>
      <c r="O11" s="116"/>
      <c r="P11" s="116"/>
      <c r="Q11" s="116"/>
      <c r="R11" s="113"/>
    </row>
    <row r="12" spans="2:18">
      <c r="B12" s="117" t="s">
        <v>249</v>
      </c>
      <c r="C12" s="704">
        <v>6.6</v>
      </c>
      <c r="D12" s="745">
        <v>7</v>
      </c>
      <c r="E12" s="745">
        <v>7</v>
      </c>
      <c r="F12" s="704"/>
      <c r="G12" s="704"/>
      <c r="H12" s="704"/>
      <c r="I12" s="704"/>
      <c r="J12" s="674" t="s">
        <v>265</v>
      </c>
      <c r="K12" s="675">
        <v>3</v>
      </c>
      <c r="L12" s="116"/>
      <c r="M12" s="116"/>
      <c r="N12" s="116"/>
      <c r="O12" s="116"/>
      <c r="P12" s="116"/>
      <c r="Q12" s="116"/>
      <c r="R12" s="113"/>
    </row>
    <row r="13" spans="2:18">
      <c r="B13" s="117" t="s">
        <v>250</v>
      </c>
      <c r="C13" s="704">
        <v>30</v>
      </c>
      <c r="D13" s="745">
        <v>30</v>
      </c>
      <c r="E13" s="745">
        <v>30</v>
      </c>
      <c r="F13" s="704"/>
      <c r="G13" s="704"/>
      <c r="H13" s="704"/>
      <c r="I13" s="704"/>
      <c r="J13" s="674"/>
      <c r="K13" s="675" t="s">
        <v>364</v>
      </c>
      <c r="L13" s="113"/>
      <c r="M13" s="113"/>
      <c r="N13" s="113"/>
      <c r="O13" s="113"/>
      <c r="P13" s="113"/>
      <c r="Q13" s="113"/>
      <c r="R13" s="113"/>
    </row>
    <row r="14" spans="2:18">
      <c r="B14" s="117" t="s">
        <v>252</v>
      </c>
      <c r="C14" s="704">
        <v>4</v>
      </c>
      <c r="D14" s="745">
        <v>4</v>
      </c>
      <c r="E14" s="745">
        <v>4</v>
      </c>
      <c r="F14" s="674"/>
      <c r="G14" s="674"/>
      <c r="H14" s="674"/>
      <c r="I14" s="704"/>
      <c r="J14" s="674"/>
      <c r="K14" s="675">
        <v>4</v>
      </c>
      <c r="L14" s="113"/>
      <c r="M14" s="113"/>
      <c r="N14" s="113"/>
      <c r="O14" s="113"/>
      <c r="P14" s="113"/>
      <c r="Q14" s="113"/>
      <c r="R14" s="113"/>
    </row>
    <row r="15" spans="2:18">
      <c r="B15" s="119" t="s">
        <v>254</v>
      </c>
      <c r="C15" s="678" t="s">
        <v>597</v>
      </c>
      <c r="D15" s="678" t="s">
        <v>597</v>
      </c>
      <c r="E15" s="678" t="s">
        <v>597</v>
      </c>
      <c r="F15" s="678" t="s">
        <v>597</v>
      </c>
      <c r="G15" s="678" t="s">
        <v>597</v>
      </c>
      <c r="H15" s="678" t="s">
        <v>597</v>
      </c>
      <c r="I15" s="678" t="s">
        <v>597</v>
      </c>
      <c r="J15" s="709"/>
      <c r="K15" s="674"/>
      <c r="L15" s="113"/>
      <c r="M15" s="113"/>
      <c r="N15" s="113"/>
      <c r="O15" s="113"/>
      <c r="P15" s="113"/>
      <c r="Q15" s="113"/>
      <c r="R15" s="113"/>
    </row>
    <row r="16" spans="2:18">
      <c r="B16" s="121" t="s">
        <v>255</v>
      </c>
      <c r="C16" s="711"/>
      <c r="D16" s="711"/>
      <c r="E16" s="711"/>
      <c r="F16" s="711"/>
      <c r="G16" s="711"/>
      <c r="H16" s="711"/>
      <c r="I16" s="712"/>
      <c r="J16" s="712"/>
      <c r="K16" s="751"/>
      <c r="L16" s="113"/>
      <c r="M16" s="113"/>
      <c r="N16" s="113"/>
      <c r="O16" s="113"/>
      <c r="P16" s="113"/>
      <c r="Q16" s="113"/>
      <c r="R16" s="113"/>
    </row>
    <row r="17" spans="2:18">
      <c r="B17" s="119" t="s">
        <v>256</v>
      </c>
      <c r="C17" s="678" t="s">
        <v>597</v>
      </c>
      <c r="D17" s="678" t="s">
        <v>146</v>
      </c>
      <c r="E17" s="678" t="s">
        <v>146</v>
      </c>
      <c r="F17" s="678" t="s">
        <v>146</v>
      </c>
      <c r="G17" s="678" t="s">
        <v>146</v>
      </c>
      <c r="H17" s="678" t="s">
        <v>146</v>
      </c>
      <c r="I17" s="678" t="s">
        <v>146</v>
      </c>
      <c r="J17" s="709"/>
      <c r="K17" s="674"/>
      <c r="L17" s="113"/>
      <c r="M17" s="113"/>
      <c r="N17" s="113"/>
      <c r="O17" s="113"/>
      <c r="P17" s="113"/>
      <c r="Q17" s="113"/>
      <c r="R17" s="113"/>
    </row>
    <row r="18" spans="2:18">
      <c r="B18" s="119" t="s">
        <v>257</v>
      </c>
      <c r="C18" s="678" t="s">
        <v>597</v>
      </c>
      <c r="D18" s="678" t="s">
        <v>146</v>
      </c>
      <c r="E18" s="678" t="s">
        <v>146</v>
      </c>
      <c r="F18" s="678" t="s">
        <v>146</v>
      </c>
      <c r="G18" s="678" t="s">
        <v>146</v>
      </c>
      <c r="H18" s="678" t="s">
        <v>146</v>
      </c>
      <c r="I18" s="678" t="s">
        <v>146</v>
      </c>
      <c r="J18" s="709"/>
      <c r="K18" s="674"/>
      <c r="L18" s="113"/>
      <c r="M18" s="113"/>
      <c r="N18" s="113"/>
      <c r="O18" s="113"/>
      <c r="P18" s="113"/>
      <c r="Q18" s="113"/>
      <c r="R18" s="113"/>
    </row>
    <row r="19" spans="2:18">
      <c r="B19" s="125" t="s">
        <v>258</v>
      </c>
      <c r="C19" s="715"/>
      <c r="D19" s="715"/>
      <c r="E19" s="715"/>
      <c r="F19" s="715"/>
      <c r="G19" s="715"/>
      <c r="H19" s="715"/>
      <c r="I19" s="681"/>
      <c r="J19" s="681"/>
      <c r="K19" s="682"/>
      <c r="L19" s="113"/>
      <c r="M19" s="113"/>
      <c r="N19" s="113"/>
      <c r="O19" s="113"/>
      <c r="P19" s="113"/>
      <c r="Q19" s="113"/>
      <c r="R19" s="113"/>
    </row>
    <row r="20" spans="2:18">
      <c r="B20" s="117" t="s">
        <v>259</v>
      </c>
      <c r="C20" s="706">
        <v>3</v>
      </c>
      <c r="D20" s="884">
        <v>3.5</v>
      </c>
      <c r="E20" s="884">
        <v>5</v>
      </c>
      <c r="F20" s="674"/>
      <c r="G20" s="674"/>
      <c r="H20" s="674"/>
      <c r="I20" s="674"/>
      <c r="J20" s="709" t="s">
        <v>303</v>
      </c>
      <c r="K20" s="675">
        <v>5</v>
      </c>
      <c r="L20" s="113"/>
      <c r="M20" s="113"/>
      <c r="N20" s="113"/>
      <c r="O20" s="113"/>
      <c r="P20" s="113"/>
      <c r="Q20" s="113"/>
      <c r="R20" s="113"/>
    </row>
    <row r="21" spans="2:18">
      <c r="B21" s="117" t="s">
        <v>260</v>
      </c>
      <c r="C21" s="704">
        <v>50</v>
      </c>
      <c r="D21" s="745">
        <v>40</v>
      </c>
      <c r="E21" s="745">
        <v>30</v>
      </c>
      <c r="F21" s="674"/>
      <c r="G21" s="674"/>
      <c r="H21" s="674"/>
      <c r="I21" s="674"/>
      <c r="J21" s="709" t="s">
        <v>303</v>
      </c>
      <c r="K21" s="675">
        <v>5</v>
      </c>
      <c r="L21" s="113"/>
      <c r="M21" s="113"/>
      <c r="N21" s="113"/>
      <c r="O21" s="113"/>
      <c r="P21" s="113"/>
      <c r="Q21" s="113"/>
      <c r="R21" s="113"/>
    </row>
    <row r="22" spans="2:18">
      <c r="B22" s="117" t="s">
        <v>261</v>
      </c>
      <c r="C22" s="704">
        <v>6</v>
      </c>
      <c r="D22" s="704">
        <v>6</v>
      </c>
      <c r="E22" s="704">
        <v>6</v>
      </c>
      <c r="F22" s="674"/>
      <c r="G22" s="674"/>
      <c r="H22" s="674"/>
      <c r="I22" s="674"/>
      <c r="J22" s="709"/>
      <c r="K22" s="675" t="s">
        <v>975</v>
      </c>
      <c r="L22" s="113"/>
      <c r="M22" s="113"/>
      <c r="N22" s="113"/>
      <c r="O22" s="113"/>
      <c r="P22" s="113"/>
      <c r="Q22" s="113"/>
      <c r="R22" s="113"/>
    </row>
    <row r="23" spans="2:18">
      <c r="B23" s="117" t="s">
        <v>262</v>
      </c>
      <c r="C23" s="704">
        <v>40</v>
      </c>
      <c r="D23" s="704">
        <v>40</v>
      </c>
      <c r="E23" s="704">
        <v>40</v>
      </c>
      <c r="F23" s="674">
        <v>15</v>
      </c>
      <c r="G23" s="674">
        <v>80</v>
      </c>
      <c r="H23" s="674">
        <v>15</v>
      </c>
      <c r="I23" s="674">
        <v>80</v>
      </c>
      <c r="J23" s="709" t="s">
        <v>307</v>
      </c>
      <c r="K23" s="675" t="s">
        <v>975</v>
      </c>
      <c r="L23" s="113"/>
      <c r="M23" s="113"/>
      <c r="N23" s="113"/>
      <c r="O23" s="113"/>
      <c r="P23" s="113"/>
      <c r="Q23" s="113"/>
      <c r="R23" s="113"/>
    </row>
    <row r="24" spans="2:18">
      <c r="B24" s="125" t="s">
        <v>263</v>
      </c>
      <c r="C24" s="720"/>
      <c r="D24" s="720"/>
      <c r="E24" s="720"/>
      <c r="F24" s="720"/>
      <c r="G24" s="720"/>
      <c r="H24" s="720"/>
      <c r="I24" s="720"/>
      <c r="J24" s="720"/>
      <c r="K24" s="758"/>
      <c r="L24" s="93"/>
      <c r="M24" s="1146"/>
      <c r="N24" s="1146"/>
      <c r="O24" s="1146"/>
      <c r="P24" s="1146"/>
      <c r="Q24" s="1146"/>
      <c r="R24" s="1146"/>
    </row>
    <row r="25" spans="2:18">
      <c r="B25" s="117" t="s">
        <v>664</v>
      </c>
      <c r="C25" s="708">
        <v>115</v>
      </c>
      <c r="D25" s="708">
        <v>100</v>
      </c>
      <c r="E25" s="708">
        <v>100</v>
      </c>
      <c r="F25" s="754"/>
      <c r="G25" s="708"/>
      <c r="H25" s="708"/>
      <c r="I25" s="708"/>
      <c r="J25" s="722"/>
      <c r="K25" s="675" t="s">
        <v>665</v>
      </c>
      <c r="L25" s="113"/>
      <c r="M25" s="113"/>
      <c r="N25" s="113"/>
      <c r="O25" s="113"/>
      <c r="P25" s="113"/>
      <c r="Q25" s="113"/>
      <c r="R25" s="113"/>
    </row>
    <row r="26" spans="2:18">
      <c r="B26" s="117" t="s">
        <v>266</v>
      </c>
      <c r="C26" s="708">
        <v>99</v>
      </c>
      <c r="D26" s="708">
        <v>99</v>
      </c>
      <c r="E26" s="708">
        <v>99</v>
      </c>
      <c r="F26" s="708"/>
      <c r="G26" s="708"/>
      <c r="H26" s="708"/>
      <c r="I26" s="708"/>
      <c r="J26" s="722"/>
      <c r="K26" s="675" t="s">
        <v>666</v>
      </c>
      <c r="L26" s="113"/>
      <c r="M26" s="113"/>
      <c r="N26" s="113"/>
      <c r="O26" s="113"/>
      <c r="P26" s="113"/>
      <c r="Q26" s="113"/>
      <c r="R26" s="113"/>
    </row>
    <row r="27" spans="2:18" ht="15" customHeight="1">
      <c r="B27" s="117" t="s">
        <v>267</v>
      </c>
      <c r="C27" s="708">
        <v>173</v>
      </c>
      <c r="D27" s="708">
        <f>0.08*1000/3.6/D$8%</f>
        <v>51.679586563307495</v>
      </c>
      <c r="E27" s="708">
        <f>0.08*1000/3.6/E$8%</f>
        <v>49.382716049382715</v>
      </c>
      <c r="F27" s="708"/>
      <c r="G27" s="708"/>
      <c r="H27" s="708"/>
      <c r="I27" s="708"/>
      <c r="J27" s="723"/>
      <c r="K27" s="675" t="s">
        <v>665</v>
      </c>
      <c r="L27" s="113"/>
      <c r="M27" s="113"/>
      <c r="N27" s="113"/>
      <c r="O27" s="113"/>
      <c r="P27" s="113"/>
      <c r="Q27" s="113"/>
      <c r="R27" s="113"/>
    </row>
    <row r="28" spans="2:18">
      <c r="B28" s="117" t="s">
        <v>667</v>
      </c>
      <c r="C28" s="708"/>
      <c r="D28" s="708"/>
      <c r="E28" s="708"/>
      <c r="F28" s="708"/>
      <c r="G28" s="708"/>
      <c r="H28" s="708"/>
      <c r="I28" s="708"/>
      <c r="J28" s="709"/>
      <c r="K28" s="709"/>
      <c r="L28" s="141"/>
      <c r="M28" s="137"/>
      <c r="N28" s="141"/>
      <c r="O28" s="137"/>
      <c r="P28" s="137"/>
      <c r="Q28" s="113"/>
      <c r="R28" s="113"/>
    </row>
    <row r="29" spans="2:18">
      <c r="B29" s="125" t="s">
        <v>270</v>
      </c>
      <c r="C29" s="720"/>
      <c r="D29" s="720"/>
      <c r="E29" s="720"/>
      <c r="F29" s="720"/>
      <c r="G29" s="720"/>
      <c r="H29" s="720"/>
      <c r="I29" s="720"/>
      <c r="J29" s="720"/>
      <c r="K29" s="758"/>
      <c r="L29" s="113"/>
      <c r="M29" s="113"/>
      <c r="N29" s="113"/>
      <c r="O29" s="113"/>
      <c r="P29" s="113"/>
      <c r="Q29" s="113"/>
      <c r="R29" s="113"/>
    </row>
    <row r="30" spans="2:18">
      <c r="B30" s="117" t="s">
        <v>271</v>
      </c>
      <c r="C30" s="679">
        <v>2.73</v>
      </c>
      <c r="D30" s="885">
        <f>MROUND(C30*0.92,0.01)</f>
        <v>2.5100000000000002</v>
      </c>
      <c r="E30" s="885">
        <f>MROUND(C30*0.85,0.01)</f>
        <v>2.3199999999999998</v>
      </c>
      <c r="F30" s="861">
        <v>2.46</v>
      </c>
      <c r="G30" s="861">
        <v>3.99</v>
      </c>
      <c r="H30" s="885">
        <v>2</v>
      </c>
      <c r="I30" s="861">
        <v>3.42</v>
      </c>
      <c r="J30" s="709" t="s">
        <v>253</v>
      </c>
      <c r="K30" s="675" t="s">
        <v>668</v>
      </c>
      <c r="L30" s="141"/>
      <c r="M30" s="141"/>
      <c r="N30" s="141"/>
      <c r="O30" s="141"/>
      <c r="P30" s="141"/>
      <c r="Q30" s="113"/>
      <c r="R30" s="113"/>
    </row>
    <row r="31" spans="2:18">
      <c r="B31" s="117" t="s">
        <v>544</v>
      </c>
      <c r="C31" s="729">
        <v>30</v>
      </c>
      <c r="D31" s="729">
        <v>30</v>
      </c>
      <c r="E31" s="729">
        <v>30</v>
      </c>
      <c r="F31" s="729">
        <v>25</v>
      </c>
      <c r="G31" s="729">
        <v>50</v>
      </c>
      <c r="H31" s="729">
        <v>25</v>
      </c>
      <c r="I31" s="729">
        <v>50</v>
      </c>
      <c r="J31" s="709"/>
      <c r="K31" s="709" t="s">
        <v>668</v>
      </c>
      <c r="L31" s="141"/>
      <c r="M31" s="141"/>
      <c r="N31" s="141"/>
      <c r="O31" s="141"/>
      <c r="P31" s="141"/>
      <c r="Q31" s="113"/>
      <c r="R31" s="113"/>
    </row>
    <row r="32" spans="2:18">
      <c r="B32" s="117" t="s">
        <v>545</v>
      </c>
      <c r="C32" s="729">
        <v>70</v>
      </c>
      <c r="D32" s="729">
        <v>70</v>
      </c>
      <c r="E32" s="729">
        <v>70</v>
      </c>
      <c r="F32" s="729">
        <v>50</v>
      </c>
      <c r="G32" s="729">
        <v>75</v>
      </c>
      <c r="H32" s="729">
        <v>50</v>
      </c>
      <c r="I32" s="729">
        <v>75</v>
      </c>
      <c r="J32" s="886"/>
      <c r="K32" s="709">
        <v>6</v>
      </c>
      <c r="L32" s="141"/>
      <c r="M32" s="141"/>
      <c r="N32" s="141"/>
      <c r="O32" s="141"/>
      <c r="P32" s="141"/>
      <c r="Q32" s="113"/>
      <c r="R32" s="113"/>
    </row>
    <row r="33" spans="1:21">
      <c r="B33" s="117" t="s">
        <v>276</v>
      </c>
      <c r="C33" s="887">
        <v>68400</v>
      </c>
      <c r="D33" s="745">
        <f>MROUND(C33*0.9698,100)</f>
        <v>66300</v>
      </c>
      <c r="E33" s="745">
        <f>MROUND(C33*0.9397,100)</f>
        <v>64300</v>
      </c>
      <c r="F33" s="729">
        <v>64000</v>
      </c>
      <c r="G33" s="888">
        <v>78000</v>
      </c>
      <c r="H33" s="729">
        <v>64000</v>
      </c>
      <c r="I33" s="888">
        <v>78000</v>
      </c>
      <c r="J33" s="889"/>
      <c r="K33" s="675">
        <v>6</v>
      </c>
      <c r="L33" s="141"/>
      <c r="M33" s="141"/>
      <c r="N33" s="141"/>
      <c r="O33" s="141"/>
      <c r="P33" s="141"/>
      <c r="Q33" s="113"/>
      <c r="R33" s="113"/>
    </row>
    <row r="34" spans="1:21">
      <c r="B34" s="117" t="s">
        <v>279</v>
      </c>
      <c r="C34" s="706">
        <v>13.7</v>
      </c>
      <c r="D34" s="890">
        <f>MROUND(C34*0.9698,0.1)</f>
        <v>13.3</v>
      </c>
      <c r="E34" s="890">
        <f>MROUND(D34*0.9698,0.1)</f>
        <v>12.9</v>
      </c>
      <c r="F34" s="707">
        <v>18.2</v>
      </c>
      <c r="G34" s="707">
        <v>9</v>
      </c>
      <c r="H34" s="707">
        <v>19</v>
      </c>
      <c r="I34" s="707">
        <v>9</v>
      </c>
      <c r="J34" s="709"/>
      <c r="K34" s="675" t="s">
        <v>668</v>
      </c>
      <c r="L34" s="212"/>
      <c r="M34" s="212"/>
      <c r="N34" s="212"/>
      <c r="O34" s="141"/>
      <c r="P34" s="141"/>
      <c r="Q34" s="113"/>
      <c r="R34" s="113"/>
    </row>
    <row r="35" spans="1:21">
      <c r="B35" s="117" t="s">
        <v>282</v>
      </c>
      <c r="C35" s="704">
        <v>114</v>
      </c>
      <c r="D35" s="729">
        <v>114</v>
      </c>
      <c r="E35" s="729">
        <v>114</v>
      </c>
      <c r="F35" s="729"/>
      <c r="G35" s="729"/>
      <c r="H35" s="729"/>
      <c r="I35" s="729"/>
      <c r="J35" s="709" t="s">
        <v>305</v>
      </c>
      <c r="K35" s="675"/>
      <c r="L35" s="97"/>
      <c r="M35" s="97"/>
      <c r="N35" s="97"/>
      <c r="O35" s="97"/>
      <c r="P35" s="97"/>
      <c r="Q35" s="97"/>
      <c r="R35" s="97"/>
    </row>
    <row r="36" spans="1:21">
      <c r="A36" s="130"/>
    </row>
    <row r="37" spans="1:21" s="93" customFormat="1" ht="12">
      <c r="A37" s="130" t="s">
        <v>286</v>
      </c>
      <c r="C37" s="150"/>
      <c r="D37" s="150"/>
      <c r="E37" s="150"/>
      <c r="F37" s="150"/>
      <c r="G37" s="150"/>
    </row>
    <row r="38" spans="1:21">
      <c r="A38" s="178">
        <v>1</v>
      </c>
      <c r="B38" s="151" t="s">
        <v>669</v>
      </c>
      <c r="L38" s="93"/>
      <c r="M38" s="93"/>
      <c r="N38" s="93"/>
      <c r="O38" s="93"/>
      <c r="P38" s="93"/>
      <c r="Q38" s="93"/>
      <c r="R38" s="93"/>
      <c r="S38" s="93"/>
      <c r="T38" s="93"/>
      <c r="U38" s="93"/>
    </row>
    <row r="39" spans="1:21">
      <c r="A39" s="178">
        <v>2</v>
      </c>
      <c r="B39" s="213" t="s">
        <v>670</v>
      </c>
      <c r="L39" s="93"/>
      <c r="M39" s="93"/>
      <c r="N39" s="93"/>
      <c r="O39" s="93"/>
      <c r="P39" s="93"/>
      <c r="Q39" s="93"/>
      <c r="R39" s="93"/>
      <c r="S39" s="93"/>
      <c r="T39" s="93"/>
      <c r="U39" s="93"/>
    </row>
    <row r="40" spans="1:21">
      <c r="A40" s="178">
        <v>3</v>
      </c>
      <c r="B40" s="213" t="s">
        <v>671</v>
      </c>
      <c r="L40" s="93"/>
      <c r="M40" s="93"/>
      <c r="N40" s="93"/>
      <c r="O40" s="93"/>
      <c r="P40" s="93"/>
      <c r="Q40" s="93"/>
      <c r="R40" s="93"/>
      <c r="S40" s="93"/>
      <c r="T40" s="93"/>
      <c r="U40" s="93"/>
    </row>
    <row r="41" spans="1:21">
      <c r="A41" s="178">
        <v>4</v>
      </c>
      <c r="B41" s="214" t="s">
        <v>672</v>
      </c>
      <c r="L41" s="93"/>
      <c r="M41" s="93"/>
      <c r="N41" s="93"/>
      <c r="O41" s="93"/>
      <c r="P41" s="93"/>
      <c r="Q41" s="93"/>
      <c r="R41" s="93"/>
      <c r="S41" s="93"/>
      <c r="T41" s="93"/>
      <c r="U41" s="93"/>
    </row>
    <row r="42" spans="1:21" s="93" customFormat="1" ht="24.75" customHeight="1">
      <c r="A42" s="178">
        <v>5</v>
      </c>
      <c r="B42" s="1184" t="s">
        <v>673</v>
      </c>
      <c r="C42" s="1184"/>
      <c r="D42" s="1184"/>
      <c r="E42" s="1184"/>
      <c r="F42" s="1184"/>
      <c r="G42" s="1184"/>
      <c r="H42" s="1184"/>
      <c r="I42" s="1184"/>
      <c r="J42" s="1184"/>
      <c r="K42" s="1184"/>
    </row>
    <row r="43" spans="1:21" s="93" customFormat="1" ht="12">
      <c r="A43" s="178">
        <v>6</v>
      </c>
      <c r="B43" s="93" t="s">
        <v>674</v>
      </c>
    </row>
    <row r="44" spans="1:21" ht="26.25" customHeight="1">
      <c r="A44" s="178">
        <v>7</v>
      </c>
      <c r="B44" s="1148" t="s">
        <v>675</v>
      </c>
      <c r="C44" s="1148"/>
      <c r="D44" s="1148"/>
      <c r="E44" s="1148"/>
      <c r="F44" s="1148"/>
      <c r="G44" s="1148"/>
      <c r="H44" s="1148"/>
      <c r="I44" s="1148"/>
      <c r="J44" s="1148"/>
      <c r="K44" s="1148"/>
      <c r="L44" s="93"/>
      <c r="M44" s="93"/>
      <c r="N44" s="93"/>
      <c r="O44" s="93"/>
      <c r="P44" s="93"/>
      <c r="Q44" s="93"/>
      <c r="R44" s="93"/>
      <c r="S44" s="93"/>
      <c r="T44" s="93"/>
      <c r="U44" s="93"/>
    </row>
    <row r="45" spans="1:21" ht="27" customHeight="1">
      <c r="A45" s="178">
        <v>8</v>
      </c>
      <c r="B45" s="1185" t="s">
        <v>589</v>
      </c>
      <c r="C45" s="1185"/>
      <c r="D45" s="1185"/>
      <c r="E45" s="1185"/>
      <c r="F45" s="1185"/>
      <c r="G45" s="1185"/>
      <c r="H45" s="1185"/>
      <c r="I45" s="1185"/>
      <c r="J45" s="1185"/>
      <c r="K45" s="1185"/>
      <c r="L45" s="93"/>
      <c r="M45" s="93"/>
      <c r="N45" s="93"/>
      <c r="O45" s="93"/>
      <c r="P45" s="93"/>
      <c r="Q45" s="93"/>
      <c r="R45" s="93"/>
      <c r="S45" s="93"/>
      <c r="T45" s="93"/>
      <c r="U45" s="93"/>
    </row>
    <row r="46" spans="1:21">
      <c r="A46" s="178">
        <v>9</v>
      </c>
      <c r="B46" s="151" t="s">
        <v>676</v>
      </c>
      <c r="L46" s="93"/>
      <c r="M46" s="93"/>
      <c r="N46" s="93"/>
      <c r="O46" s="93"/>
      <c r="P46" s="93"/>
      <c r="Q46" s="93"/>
      <c r="R46" s="93"/>
      <c r="S46" s="93"/>
      <c r="T46" s="93"/>
      <c r="U46" s="93"/>
    </row>
    <row r="47" spans="1:21">
      <c r="A47" s="178">
        <v>10</v>
      </c>
      <c r="B47" s="151" t="s">
        <v>677</v>
      </c>
      <c r="L47" s="93"/>
      <c r="M47" s="93"/>
      <c r="N47" s="93"/>
      <c r="O47" s="93"/>
      <c r="P47" s="93"/>
      <c r="Q47" s="93"/>
      <c r="R47" s="93"/>
      <c r="S47" s="93"/>
      <c r="T47" s="93"/>
      <c r="U47" s="93"/>
    </row>
    <row r="48" spans="1:21" s="217" customFormat="1" ht="12.75">
      <c r="A48" s="215">
        <v>11</v>
      </c>
      <c r="B48" s="216" t="s">
        <v>678</v>
      </c>
      <c r="C48" s="93"/>
      <c r="D48" s="93"/>
      <c r="E48" s="93"/>
      <c r="F48" s="93"/>
      <c r="G48" s="93"/>
      <c r="H48" s="93"/>
      <c r="I48" s="93"/>
      <c r="J48" s="93"/>
      <c r="K48" s="93"/>
      <c r="L48" s="93"/>
      <c r="M48" s="93"/>
      <c r="N48" s="93"/>
      <c r="O48" s="93"/>
      <c r="P48" s="93"/>
      <c r="Q48" s="93"/>
      <c r="R48" s="93"/>
      <c r="S48" s="93"/>
      <c r="T48" s="93"/>
      <c r="U48" s="93"/>
    </row>
    <row r="49" spans="1:21" s="217" customFormat="1" ht="12.75">
      <c r="A49" s="215">
        <v>12</v>
      </c>
      <c r="B49" s="218" t="s">
        <v>679</v>
      </c>
      <c r="C49" s="93"/>
      <c r="D49" s="93"/>
      <c r="E49" s="93"/>
      <c r="F49" s="93"/>
      <c r="G49" s="93"/>
      <c r="H49" s="93"/>
      <c r="I49" s="93"/>
      <c r="J49" s="93"/>
      <c r="K49" s="93"/>
      <c r="L49" s="93"/>
      <c r="M49" s="93"/>
      <c r="N49" s="93"/>
      <c r="O49" s="93"/>
      <c r="P49" s="93"/>
      <c r="Q49" s="93"/>
      <c r="R49" s="93"/>
      <c r="S49" s="93"/>
      <c r="T49" s="93"/>
      <c r="U49" s="93"/>
    </row>
    <row r="50" spans="1:21">
      <c r="A50" s="93">
        <v>13</v>
      </c>
      <c r="B50" s="93" t="s">
        <v>680</v>
      </c>
      <c r="C50" s="178"/>
      <c r="L50" s="93"/>
      <c r="M50" s="93"/>
      <c r="N50" s="93"/>
      <c r="O50" s="93"/>
      <c r="P50" s="93"/>
      <c r="Q50" s="93"/>
      <c r="R50" s="93"/>
      <c r="S50" s="93"/>
      <c r="T50" s="93"/>
      <c r="U50" s="93"/>
    </row>
    <row r="51" spans="1:21" s="93" customFormat="1" ht="12">
      <c r="A51" s="130" t="s">
        <v>298</v>
      </c>
    </row>
    <row r="52" spans="1:21" s="93" customFormat="1" ht="24.75" customHeight="1">
      <c r="A52" s="152" t="s">
        <v>246</v>
      </c>
      <c r="B52" s="1148" t="s">
        <v>681</v>
      </c>
      <c r="C52" s="1148"/>
      <c r="D52" s="1148"/>
      <c r="E52" s="1148"/>
      <c r="F52" s="1148"/>
      <c r="G52" s="1148"/>
      <c r="H52" s="1148"/>
      <c r="I52" s="1148"/>
      <c r="J52" s="1148"/>
      <c r="K52" s="1148"/>
    </row>
    <row r="53" spans="1:21" s="93" customFormat="1" ht="12">
      <c r="A53" s="152" t="s">
        <v>300</v>
      </c>
      <c r="B53" s="151" t="s">
        <v>682</v>
      </c>
      <c r="C53" s="151"/>
      <c r="D53" s="151"/>
      <c r="E53" s="151"/>
      <c r="F53" s="151"/>
      <c r="G53" s="151"/>
      <c r="H53" s="151"/>
      <c r="I53" s="151"/>
      <c r="J53" s="151"/>
      <c r="K53" s="151"/>
    </row>
    <row r="54" spans="1:21" s="93" customFormat="1" ht="14.1" customHeight="1">
      <c r="A54" s="152" t="s">
        <v>265</v>
      </c>
      <c r="B54" s="1148" t="s">
        <v>683</v>
      </c>
      <c r="C54" s="1148"/>
      <c r="D54" s="1148"/>
      <c r="E54" s="1148"/>
      <c r="F54" s="1148"/>
      <c r="G54" s="1148"/>
      <c r="H54" s="1148"/>
      <c r="I54" s="1148"/>
      <c r="J54" s="1148"/>
      <c r="K54" s="1148"/>
    </row>
    <row r="55" spans="1:21" s="93" customFormat="1" ht="26.25" customHeight="1">
      <c r="A55" s="152" t="s">
        <v>303</v>
      </c>
      <c r="B55" s="1148" t="s">
        <v>684</v>
      </c>
      <c r="C55" s="1148"/>
      <c r="D55" s="1148"/>
      <c r="E55" s="1148"/>
      <c r="F55" s="1148"/>
      <c r="G55" s="1148"/>
      <c r="H55" s="1148"/>
      <c r="I55" s="1148"/>
      <c r="J55" s="1148"/>
      <c r="K55" s="1148"/>
    </row>
    <row r="56" spans="1:21" s="93" customFormat="1" ht="28.5" customHeight="1">
      <c r="A56" s="152" t="s">
        <v>305</v>
      </c>
      <c r="B56" s="1148" t="s">
        <v>685</v>
      </c>
      <c r="C56" s="1148"/>
      <c r="D56" s="1148"/>
      <c r="E56" s="1148"/>
      <c r="F56" s="1148"/>
      <c r="G56" s="1148"/>
      <c r="H56" s="1148"/>
      <c r="I56" s="1148"/>
      <c r="J56" s="1148"/>
      <c r="K56" s="1148"/>
    </row>
    <row r="57" spans="1:21" s="93" customFormat="1" ht="25.5" customHeight="1">
      <c r="A57" s="152" t="s">
        <v>307</v>
      </c>
      <c r="B57" s="1148" t="s">
        <v>686</v>
      </c>
      <c r="C57" s="1148"/>
      <c r="D57" s="1148"/>
      <c r="E57" s="1148"/>
      <c r="F57" s="1148"/>
      <c r="G57" s="1148"/>
      <c r="H57" s="1148"/>
      <c r="I57" s="1148"/>
      <c r="J57" s="1148"/>
      <c r="K57" s="1148"/>
    </row>
    <row r="58" spans="1:21" s="93" customFormat="1" ht="26.25" customHeight="1">
      <c r="A58" s="188" t="s">
        <v>309</v>
      </c>
      <c r="B58" s="1155" t="s">
        <v>687</v>
      </c>
      <c r="C58" s="1155"/>
      <c r="D58" s="1155"/>
      <c r="E58" s="1155"/>
      <c r="F58" s="1155"/>
      <c r="G58" s="1155"/>
      <c r="H58" s="1155"/>
      <c r="I58" s="1155"/>
      <c r="J58" s="1155"/>
      <c r="K58" s="1155"/>
    </row>
    <row r="59" spans="1:21">
      <c r="A59" s="152" t="s">
        <v>253</v>
      </c>
      <c r="B59" s="151" t="s">
        <v>688</v>
      </c>
      <c r="L59" s="93"/>
      <c r="M59" s="93"/>
      <c r="N59" s="93"/>
      <c r="O59" s="93"/>
      <c r="P59" s="93"/>
      <c r="Q59" s="93"/>
      <c r="R59" s="93"/>
      <c r="S59" s="93"/>
      <c r="T59" s="93"/>
      <c r="U59" s="93"/>
    </row>
  </sheetData>
  <mergeCells count="15">
    <mergeCell ref="B54:K54"/>
    <mergeCell ref="B55:K55"/>
    <mergeCell ref="B56:K56"/>
    <mergeCell ref="B57:K57"/>
    <mergeCell ref="B58:K58"/>
    <mergeCell ref="M3:R3"/>
    <mergeCell ref="M5:R5"/>
    <mergeCell ref="M24:R24"/>
    <mergeCell ref="B52:K52"/>
    <mergeCell ref="C3:K3"/>
    <mergeCell ref="F4:G4"/>
    <mergeCell ref="H4:I4"/>
    <mergeCell ref="B42:K42"/>
    <mergeCell ref="B44:K44"/>
    <mergeCell ref="B45:K45"/>
  </mergeCells>
  <hyperlinks>
    <hyperlink ref="B40" r:id="rId1" display="https://netl.doe.gov/sites/default/files/netl-file/22HOLT.pdf" xr:uid="{838C6E34-34B3-41EB-8612-F8240DD2A2CF}"/>
    <hyperlink ref="B41" r:id="rId2" display="https://www.euro-fusion.org/fileadmin/user_upload/Archive/wp-content/uploads/2015/02/Final-report-WP12-SER-ETM-3-01.pdf" xr:uid="{7CDB735A-1A32-4485-B668-09FAD34A1A71}"/>
    <hyperlink ref="B42" r:id="rId3" display="https://www.modernpowersystems.com/features/featureincreasing-flexibility-of-igcc-4893259/" xr:uid="{344EA464-DCE0-40B1-93A4-AB14623EC87F}"/>
  </hyperlinks>
  <pageMargins left="0.7" right="0.7" top="0.75" bottom="0.75" header="0.3" footer="0.3"/>
  <pageSetup paperSize="9"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2BB0-6822-4E05-89F8-156A4244FD0C}">
  <sheetPr codeName="Sheet26">
    <tabColor theme="0" tint="-0.499984740745262"/>
  </sheetPr>
  <dimension ref="A1:X39"/>
  <sheetViews>
    <sheetView showGridLines="0" zoomScaleNormal="100" workbookViewId="0">
      <selection activeCell="B47" sqref="B47:K47"/>
    </sheetView>
  </sheetViews>
  <sheetFormatPr defaultColWidth="9" defaultRowHeight="15"/>
  <cols>
    <col min="1" max="1" width="3" style="16" customWidth="1"/>
    <col min="2" max="2" width="32.140625" style="16" customWidth="1"/>
    <col min="3" max="5" width="6.28515625" style="16" bestFit="1" customWidth="1"/>
    <col min="6" max="9" width="9.28515625" style="17" customWidth="1"/>
    <col min="10" max="10" width="5" style="16" bestFit="1" customWidth="1"/>
    <col min="11" max="11" width="6.28515625" style="16" bestFit="1" customWidth="1"/>
    <col min="12" max="13" width="9" style="16"/>
    <col min="14" max="14" width="3" style="16" customWidth="1"/>
    <col min="15" max="15" width="32.28515625" style="16" customWidth="1"/>
    <col min="16" max="17" width="6" style="16" bestFit="1" customWidth="1"/>
    <col min="18" max="21" width="9.28515625" style="16" customWidth="1"/>
    <col min="22" max="22" width="5" style="16" bestFit="1" customWidth="1"/>
    <col min="23" max="23" width="6.5703125" style="16" customWidth="1"/>
    <col min="24" max="16384" width="9" style="16"/>
  </cols>
  <sheetData>
    <row r="1" spans="1:23" ht="20.25">
      <c r="B1" s="318" t="s">
        <v>234</v>
      </c>
      <c r="F1" s="1187"/>
      <c r="G1" s="1187"/>
      <c r="H1" s="1187"/>
      <c r="I1" s="1187"/>
      <c r="J1" s="1187"/>
      <c r="K1" s="1187"/>
    </row>
    <row r="2" spans="1:23" s="94" customFormat="1">
      <c r="A2" s="317"/>
      <c r="B2" s="317"/>
      <c r="C2" s="344"/>
      <c r="D2" s="344"/>
      <c r="E2" s="344"/>
      <c r="F2" s="344"/>
      <c r="G2" s="344"/>
      <c r="H2" s="344"/>
      <c r="I2" s="344"/>
      <c r="J2" s="344"/>
      <c r="K2" s="344"/>
      <c r="N2" s="317"/>
    </row>
    <row r="3" spans="1:23" ht="23.85" customHeight="1">
      <c r="A3" s="346"/>
      <c r="B3" s="891" t="s">
        <v>145</v>
      </c>
      <c r="C3" s="1190" t="s">
        <v>626</v>
      </c>
      <c r="D3" s="1190"/>
      <c r="E3" s="1190"/>
      <c r="F3" s="1190"/>
      <c r="G3" s="1190"/>
      <c r="H3" s="1190"/>
      <c r="I3" s="1190"/>
      <c r="J3" s="1190"/>
      <c r="K3" s="1190"/>
      <c r="N3" s="346"/>
      <c r="O3" s="891" t="s">
        <v>145</v>
      </c>
      <c r="P3" s="1190" t="s">
        <v>627</v>
      </c>
      <c r="Q3" s="1190"/>
      <c r="R3" s="1190"/>
      <c r="S3" s="1190"/>
      <c r="T3" s="1190"/>
      <c r="U3" s="1190"/>
      <c r="V3" s="1190"/>
      <c r="W3" s="1190"/>
    </row>
    <row r="4" spans="1:23">
      <c r="A4" s="346"/>
      <c r="B4" s="893"/>
      <c r="C4" s="894">
        <v>2023</v>
      </c>
      <c r="D4" s="894">
        <v>2030</v>
      </c>
      <c r="E4" s="894">
        <v>2050</v>
      </c>
      <c r="F4" s="1191" t="s">
        <v>606</v>
      </c>
      <c r="G4" s="1191"/>
      <c r="H4" s="1191" t="s">
        <v>237</v>
      </c>
      <c r="I4" s="1191"/>
      <c r="J4" s="894" t="s">
        <v>238</v>
      </c>
      <c r="K4" s="894" t="s">
        <v>239</v>
      </c>
      <c r="N4" s="346"/>
      <c r="O4" s="895"/>
      <c r="P4" s="892">
        <v>2030</v>
      </c>
      <c r="Q4" s="892">
        <v>2050</v>
      </c>
      <c r="R4" s="1188" t="s">
        <v>606</v>
      </c>
      <c r="S4" s="1189"/>
      <c r="T4" s="1188" t="s">
        <v>237</v>
      </c>
      <c r="U4" s="1189"/>
      <c r="V4" s="892" t="s">
        <v>238</v>
      </c>
      <c r="W4" s="892" t="s">
        <v>239</v>
      </c>
    </row>
    <row r="5" spans="1:23">
      <c r="A5" s="346"/>
      <c r="B5" s="896" t="s">
        <v>240</v>
      </c>
      <c r="C5" s="897"/>
      <c r="D5" s="897"/>
      <c r="E5" s="897"/>
      <c r="F5" s="898" t="s">
        <v>241</v>
      </c>
      <c r="G5" s="898" t="s">
        <v>242</v>
      </c>
      <c r="H5" s="898" t="s">
        <v>241</v>
      </c>
      <c r="I5" s="898" t="s">
        <v>242</v>
      </c>
      <c r="J5" s="897"/>
      <c r="K5" s="899"/>
      <c r="N5" s="346"/>
      <c r="O5" s="896" t="s">
        <v>240</v>
      </c>
      <c r="P5" s="900"/>
      <c r="Q5" s="897"/>
      <c r="R5" s="898" t="s">
        <v>241</v>
      </c>
      <c r="S5" s="898" t="s">
        <v>242</v>
      </c>
      <c r="T5" s="898" t="s">
        <v>241</v>
      </c>
      <c r="U5" s="898" t="s">
        <v>242</v>
      </c>
      <c r="V5" s="897"/>
      <c r="W5" s="899"/>
    </row>
    <row r="6" spans="1:23">
      <c r="A6" s="346"/>
      <c r="B6" s="901" t="s">
        <v>607</v>
      </c>
      <c r="C6" s="902">
        <v>600</v>
      </c>
      <c r="D6" s="902">
        <v>600</v>
      </c>
      <c r="E6" s="902">
        <v>600</v>
      </c>
      <c r="F6" s="902">
        <v>300</v>
      </c>
      <c r="G6" s="902">
        <v>800</v>
      </c>
      <c r="H6" s="902">
        <v>300</v>
      </c>
      <c r="I6" s="902">
        <v>800</v>
      </c>
      <c r="J6" s="902"/>
      <c r="K6" s="902"/>
      <c r="N6" s="346"/>
      <c r="O6" s="903" t="s">
        <v>607</v>
      </c>
      <c r="P6" s="904">
        <v>600</v>
      </c>
      <c r="Q6" s="904">
        <v>600</v>
      </c>
      <c r="R6" s="904">
        <v>300</v>
      </c>
      <c r="S6" s="904">
        <v>800</v>
      </c>
      <c r="T6" s="904">
        <v>300</v>
      </c>
      <c r="U6" s="904">
        <v>800</v>
      </c>
      <c r="V6" s="904"/>
      <c r="W6" s="904"/>
    </row>
    <row r="7" spans="1:23">
      <c r="A7" s="346"/>
      <c r="B7" s="903" t="s">
        <v>628</v>
      </c>
      <c r="C7" s="904">
        <v>-1</v>
      </c>
      <c r="D7" s="904">
        <v>-1</v>
      </c>
      <c r="E7" s="904">
        <v>-1</v>
      </c>
      <c r="F7" s="904">
        <v>0</v>
      </c>
      <c r="G7" s="904">
        <v>-2</v>
      </c>
      <c r="H7" s="904">
        <v>0</v>
      </c>
      <c r="I7" s="904">
        <v>-2</v>
      </c>
      <c r="J7" s="904" t="s">
        <v>507</v>
      </c>
      <c r="K7" s="904">
        <v>1</v>
      </c>
      <c r="N7" s="346"/>
      <c r="O7" s="903" t="s">
        <v>628</v>
      </c>
      <c r="P7" s="904">
        <v>-2</v>
      </c>
      <c r="Q7" s="904">
        <v>-2</v>
      </c>
      <c r="R7" s="904">
        <v>-1</v>
      </c>
      <c r="S7" s="904">
        <v>-3</v>
      </c>
      <c r="T7" s="904">
        <v>-1</v>
      </c>
      <c r="U7" s="904">
        <v>-3</v>
      </c>
      <c r="V7" s="904" t="s">
        <v>507</v>
      </c>
      <c r="W7" s="904">
        <v>1</v>
      </c>
    </row>
    <row r="8" spans="1:23">
      <c r="A8" s="346"/>
      <c r="B8" s="903" t="s">
        <v>610</v>
      </c>
      <c r="C8" s="904">
        <v>-1</v>
      </c>
      <c r="D8" s="904">
        <v>-1</v>
      </c>
      <c r="E8" s="904">
        <v>-1</v>
      </c>
      <c r="F8" s="904">
        <v>0</v>
      </c>
      <c r="G8" s="904">
        <v>-2</v>
      </c>
      <c r="H8" s="904">
        <v>0</v>
      </c>
      <c r="I8" s="904">
        <v>-2</v>
      </c>
      <c r="J8" s="904" t="s">
        <v>507</v>
      </c>
      <c r="K8" s="904">
        <v>1</v>
      </c>
      <c r="N8" s="346"/>
      <c r="O8" s="903" t="s">
        <v>610</v>
      </c>
      <c r="P8" s="904">
        <v>-2</v>
      </c>
      <c r="Q8" s="904">
        <v>-2</v>
      </c>
      <c r="R8" s="904">
        <v>-1</v>
      </c>
      <c r="S8" s="904">
        <v>-3</v>
      </c>
      <c r="T8" s="904">
        <v>-1</v>
      </c>
      <c r="U8" s="904">
        <v>-3</v>
      </c>
      <c r="V8" s="904" t="s">
        <v>507</v>
      </c>
      <c r="W8" s="904">
        <v>1</v>
      </c>
    </row>
    <row r="9" spans="1:23">
      <c r="A9" s="346"/>
      <c r="B9" s="903" t="s">
        <v>248</v>
      </c>
      <c r="C9" s="904">
        <v>0</v>
      </c>
      <c r="D9" s="904">
        <v>0</v>
      </c>
      <c r="E9" s="904">
        <v>0</v>
      </c>
      <c r="F9" s="904">
        <v>0</v>
      </c>
      <c r="G9" s="905" t="s">
        <v>976</v>
      </c>
      <c r="H9" s="904">
        <v>0</v>
      </c>
      <c r="I9" s="905" t="s">
        <v>976</v>
      </c>
      <c r="J9" s="904" t="s">
        <v>246</v>
      </c>
      <c r="K9" s="904"/>
      <c r="N9" s="346"/>
      <c r="O9" s="903" t="s">
        <v>248</v>
      </c>
      <c r="P9" s="904">
        <v>0</v>
      </c>
      <c r="Q9" s="904">
        <v>0</v>
      </c>
      <c r="R9" s="904">
        <v>0</v>
      </c>
      <c r="S9" s="905" t="s">
        <v>976</v>
      </c>
      <c r="T9" s="904">
        <v>0</v>
      </c>
      <c r="U9" s="905" t="s">
        <v>976</v>
      </c>
      <c r="V9" s="904" t="s">
        <v>246</v>
      </c>
      <c r="W9" s="904"/>
    </row>
    <row r="10" spans="1:23">
      <c r="A10" s="346"/>
      <c r="B10" s="903" t="s">
        <v>249</v>
      </c>
      <c r="C10" s="904">
        <v>0</v>
      </c>
      <c r="D10" s="904">
        <v>0</v>
      </c>
      <c r="E10" s="904">
        <v>0</v>
      </c>
      <c r="F10" s="904">
        <v>0</v>
      </c>
      <c r="G10" s="904">
        <v>0</v>
      </c>
      <c r="H10" s="904">
        <v>0</v>
      </c>
      <c r="I10" s="904">
        <v>0</v>
      </c>
      <c r="J10" s="904" t="s">
        <v>246</v>
      </c>
      <c r="K10" s="904"/>
      <c r="N10" s="346"/>
      <c r="O10" s="903" t="s">
        <v>249</v>
      </c>
      <c r="P10" s="904">
        <v>0</v>
      </c>
      <c r="Q10" s="904">
        <v>0</v>
      </c>
      <c r="R10" s="904">
        <v>0</v>
      </c>
      <c r="S10" s="904">
        <v>0</v>
      </c>
      <c r="T10" s="904">
        <v>0</v>
      </c>
      <c r="U10" s="904">
        <v>0</v>
      </c>
      <c r="V10" s="904" t="s">
        <v>246</v>
      </c>
      <c r="W10" s="904"/>
    </row>
    <row r="11" spans="1:23">
      <c r="A11" s="346"/>
      <c r="B11" s="903" t="s">
        <v>250</v>
      </c>
      <c r="C11" s="904"/>
      <c r="D11" s="904"/>
      <c r="E11" s="904"/>
      <c r="F11" s="904"/>
      <c r="G11" s="904"/>
      <c r="H11" s="904"/>
      <c r="I11" s="904"/>
      <c r="J11" s="904"/>
      <c r="K11" s="904"/>
      <c r="N11" s="346"/>
      <c r="O11" s="903" t="s">
        <v>250</v>
      </c>
      <c r="P11" s="904"/>
      <c r="Q11" s="904"/>
      <c r="R11" s="904"/>
      <c r="S11" s="904"/>
      <c r="T11" s="904"/>
      <c r="U11" s="904"/>
      <c r="V11" s="904"/>
      <c r="W11" s="904"/>
    </row>
    <row r="12" spans="1:23">
      <c r="A12" s="346"/>
      <c r="B12" s="903" t="s">
        <v>252</v>
      </c>
      <c r="C12" s="904"/>
      <c r="D12" s="904"/>
      <c r="E12" s="904"/>
      <c r="F12" s="904"/>
      <c r="G12" s="904"/>
      <c r="H12" s="904"/>
      <c r="I12" s="904"/>
      <c r="J12" s="904"/>
      <c r="K12" s="904"/>
      <c r="N12" s="346"/>
      <c r="O12" s="903" t="s">
        <v>252</v>
      </c>
      <c r="P12" s="904"/>
      <c r="Q12" s="904"/>
      <c r="R12" s="904"/>
      <c r="S12" s="904"/>
      <c r="T12" s="904"/>
      <c r="U12" s="904"/>
      <c r="V12" s="904"/>
      <c r="W12" s="904"/>
    </row>
    <row r="13" spans="1:23">
      <c r="A13" s="346"/>
      <c r="B13" s="906" t="s">
        <v>612</v>
      </c>
      <c r="C13" s="907"/>
      <c r="D13" s="907"/>
      <c r="E13" s="907"/>
      <c r="F13" s="907"/>
      <c r="G13" s="907"/>
      <c r="H13" s="907"/>
      <c r="I13" s="907"/>
      <c r="J13" s="907"/>
      <c r="K13" s="907"/>
      <c r="N13" s="346"/>
      <c r="O13" s="903" t="s">
        <v>612</v>
      </c>
      <c r="P13" s="904"/>
      <c r="Q13" s="904"/>
      <c r="R13" s="904"/>
      <c r="S13" s="904"/>
      <c r="T13" s="904"/>
      <c r="U13" s="904"/>
      <c r="V13" s="904"/>
      <c r="W13" s="904"/>
    </row>
    <row r="14" spans="1:23">
      <c r="A14" s="346"/>
      <c r="B14" s="908" t="s">
        <v>258</v>
      </c>
      <c r="C14" s="897"/>
      <c r="D14" s="897"/>
      <c r="E14" s="897"/>
      <c r="F14" s="898"/>
      <c r="G14" s="898"/>
      <c r="H14" s="898"/>
      <c r="I14" s="898"/>
      <c r="J14" s="897"/>
      <c r="K14" s="899"/>
      <c r="N14" s="346"/>
      <c r="O14" s="908" t="s">
        <v>629</v>
      </c>
      <c r="P14" s="897"/>
      <c r="Q14" s="897"/>
      <c r="R14" s="897"/>
      <c r="S14" s="898"/>
      <c r="T14" s="898"/>
      <c r="U14" s="898"/>
      <c r="V14" s="898"/>
      <c r="W14" s="899"/>
    </row>
    <row r="15" spans="1:23">
      <c r="A15" s="346"/>
      <c r="B15" s="901" t="s">
        <v>259</v>
      </c>
      <c r="C15" s="902">
        <v>0</v>
      </c>
      <c r="D15" s="902">
        <v>0</v>
      </c>
      <c r="E15" s="902">
        <v>0</v>
      </c>
      <c r="F15" s="902">
        <v>0</v>
      </c>
      <c r="G15" s="902">
        <v>0</v>
      </c>
      <c r="H15" s="902">
        <v>0</v>
      </c>
      <c r="I15" s="902">
        <v>0</v>
      </c>
      <c r="J15" s="902" t="s">
        <v>246</v>
      </c>
      <c r="K15" s="902"/>
      <c r="N15" s="346"/>
      <c r="O15" s="903" t="s">
        <v>259</v>
      </c>
      <c r="P15" s="904">
        <v>0</v>
      </c>
      <c r="Q15" s="904">
        <v>0</v>
      </c>
      <c r="R15" s="904">
        <v>0</v>
      </c>
      <c r="S15" s="904">
        <v>0</v>
      </c>
      <c r="T15" s="904">
        <v>0</v>
      </c>
      <c r="U15" s="904">
        <v>0</v>
      </c>
      <c r="V15" s="904" t="s">
        <v>246</v>
      </c>
      <c r="W15" s="904"/>
    </row>
    <row r="16" spans="1:23">
      <c r="A16" s="346"/>
      <c r="B16" s="903" t="s">
        <v>260</v>
      </c>
      <c r="C16" s="904">
        <v>0</v>
      </c>
      <c r="D16" s="904">
        <v>0</v>
      </c>
      <c r="E16" s="904">
        <v>0</v>
      </c>
      <c r="F16" s="904">
        <v>0</v>
      </c>
      <c r="G16" s="904">
        <v>0</v>
      </c>
      <c r="H16" s="904">
        <v>0</v>
      </c>
      <c r="I16" s="904">
        <v>0</v>
      </c>
      <c r="J16" s="904" t="s">
        <v>246</v>
      </c>
      <c r="K16" s="904"/>
      <c r="N16" s="346"/>
      <c r="O16" s="903" t="s">
        <v>260</v>
      </c>
      <c r="P16" s="904">
        <v>0</v>
      </c>
      <c r="Q16" s="904">
        <v>0</v>
      </c>
      <c r="R16" s="904">
        <v>0</v>
      </c>
      <c r="S16" s="904">
        <v>0</v>
      </c>
      <c r="T16" s="904">
        <v>0</v>
      </c>
      <c r="U16" s="904">
        <v>0</v>
      </c>
      <c r="V16" s="904" t="s">
        <v>246</v>
      </c>
      <c r="W16" s="904"/>
    </row>
    <row r="17" spans="1:24">
      <c r="A17" s="346"/>
      <c r="B17" s="903" t="s">
        <v>261</v>
      </c>
      <c r="C17" s="904">
        <v>0</v>
      </c>
      <c r="D17" s="904">
        <v>0</v>
      </c>
      <c r="E17" s="904">
        <v>0</v>
      </c>
      <c r="F17" s="904">
        <v>0</v>
      </c>
      <c r="G17" s="904">
        <v>0</v>
      </c>
      <c r="H17" s="904">
        <v>0</v>
      </c>
      <c r="I17" s="904">
        <v>0</v>
      </c>
      <c r="J17" s="904" t="s">
        <v>246</v>
      </c>
      <c r="K17" s="904"/>
      <c r="N17" s="346"/>
      <c r="O17" s="903" t="s">
        <v>261</v>
      </c>
      <c r="P17" s="904">
        <v>0</v>
      </c>
      <c r="Q17" s="904">
        <v>0</v>
      </c>
      <c r="R17" s="904">
        <v>0</v>
      </c>
      <c r="S17" s="904">
        <v>0</v>
      </c>
      <c r="T17" s="904">
        <v>0</v>
      </c>
      <c r="U17" s="904">
        <v>0</v>
      </c>
      <c r="V17" s="904" t="s">
        <v>246</v>
      </c>
      <c r="W17" s="904"/>
    </row>
    <row r="18" spans="1:24">
      <c r="A18" s="346"/>
      <c r="B18" s="906" t="s">
        <v>262</v>
      </c>
      <c r="C18" s="907">
        <v>0</v>
      </c>
      <c r="D18" s="907">
        <v>0</v>
      </c>
      <c r="E18" s="907">
        <v>0</v>
      </c>
      <c r="F18" s="907">
        <v>0</v>
      </c>
      <c r="G18" s="907">
        <v>0</v>
      </c>
      <c r="H18" s="907">
        <v>0</v>
      </c>
      <c r="I18" s="907">
        <v>0</v>
      </c>
      <c r="J18" s="907" t="s">
        <v>246</v>
      </c>
      <c r="K18" s="907"/>
      <c r="N18" s="346"/>
      <c r="O18" s="903" t="s">
        <v>262</v>
      </c>
      <c r="P18" s="904">
        <v>0</v>
      </c>
      <c r="Q18" s="904">
        <v>0</v>
      </c>
      <c r="R18" s="904">
        <v>0</v>
      </c>
      <c r="S18" s="904">
        <v>0</v>
      </c>
      <c r="T18" s="904">
        <v>0</v>
      </c>
      <c r="U18" s="904">
        <v>0</v>
      </c>
      <c r="V18" s="904" t="s">
        <v>246</v>
      </c>
      <c r="W18" s="904"/>
    </row>
    <row r="19" spans="1:24">
      <c r="A19" s="346"/>
      <c r="B19" s="908" t="s">
        <v>263</v>
      </c>
      <c r="C19" s="898"/>
      <c r="D19" s="898"/>
      <c r="E19" s="898"/>
      <c r="F19" s="898"/>
      <c r="G19" s="898"/>
      <c r="H19" s="898"/>
      <c r="I19" s="898"/>
      <c r="J19" s="898"/>
      <c r="K19" s="909"/>
      <c r="N19" s="346"/>
      <c r="O19" s="908" t="s">
        <v>263</v>
      </c>
      <c r="P19" s="898"/>
      <c r="Q19" s="898"/>
      <c r="R19" s="898"/>
      <c r="S19" s="898"/>
      <c r="T19" s="898"/>
      <c r="U19" s="898"/>
      <c r="V19" s="898"/>
      <c r="W19" s="909"/>
    </row>
    <row r="20" spans="1:24">
      <c r="A20" s="346"/>
      <c r="B20" s="901" t="s">
        <v>613</v>
      </c>
      <c r="C20" s="910">
        <v>-0.2</v>
      </c>
      <c r="D20" s="910">
        <v>-0.2</v>
      </c>
      <c r="E20" s="910">
        <v>-0.2</v>
      </c>
      <c r="F20" s="910">
        <v>-0.1</v>
      </c>
      <c r="G20" s="910">
        <v>-0.2</v>
      </c>
      <c r="H20" s="910">
        <v>-0.1</v>
      </c>
      <c r="I20" s="910">
        <v>-0.2</v>
      </c>
      <c r="J20" s="902" t="s">
        <v>246</v>
      </c>
      <c r="K20" s="902">
        <v>1</v>
      </c>
      <c r="N20" s="346"/>
      <c r="O20" s="903" t="s">
        <v>613</v>
      </c>
      <c r="P20" s="911">
        <v>-1</v>
      </c>
      <c r="Q20" s="911">
        <v>-1</v>
      </c>
      <c r="R20" s="911">
        <v>-0.7</v>
      </c>
      <c r="S20" s="911">
        <v>-1</v>
      </c>
      <c r="T20" s="911">
        <v>-0.7</v>
      </c>
      <c r="U20" s="911">
        <v>-1</v>
      </c>
      <c r="V20" s="904" t="s">
        <v>246</v>
      </c>
      <c r="W20" s="904">
        <v>1</v>
      </c>
    </row>
    <row r="21" spans="1:24">
      <c r="A21" s="346"/>
      <c r="B21" s="903" t="s">
        <v>614</v>
      </c>
      <c r="C21" s="911">
        <v>-0.2</v>
      </c>
      <c r="D21" s="911">
        <v>-0.2</v>
      </c>
      <c r="E21" s="911">
        <v>-0.2</v>
      </c>
      <c r="F21" s="911">
        <v>-0.1</v>
      </c>
      <c r="G21" s="911">
        <v>-0.2</v>
      </c>
      <c r="H21" s="911">
        <v>-0.1</v>
      </c>
      <c r="I21" s="911">
        <v>-0.2</v>
      </c>
      <c r="J21" s="904" t="s">
        <v>246</v>
      </c>
      <c r="K21" s="904">
        <v>1</v>
      </c>
      <c r="N21" s="346"/>
      <c r="O21" s="903" t="s">
        <v>614</v>
      </c>
      <c r="P21" s="911">
        <v>-1</v>
      </c>
      <c r="Q21" s="911">
        <v>-1</v>
      </c>
      <c r="R21" s="911">
        <v>-0.7</v>
      </c>
      <c r="S21" s="911">
        <v>-1</v>
      </c>
      <c r="T21" s="911">
        <v>-0.7</v>
      </c>
      <c r="U21" s="911">
        <v>-1</v>
      </c>
      <c r="V21" s="904" t="s">
        <v>246</v>
      </c>
      <c r="W21" s="904">
        <v>1</v>
      </c>
    </row>
    <row r="22" spans="1:24">
      <c r="A22" s="346"/>
      <c r="B22" s="906" t="s">
        <v>977</v>
      </c>
      <c r="C22" s="912" t="s">
        <v>978</v>
      </c>
      <c r="D22" s="912" t="s">
        <v>978</v>
      </c>
      <c r="E22" s="912" t="s">
        <v>978</v>
      </c>
      <c r="F22" s="913">
        <v>0</v>
      </c>
      <c r="G22" s="912" t="s">
        <v>979</v>
      </c>
      <c r="H22" s="913">
        <v>0</v>
      </c>
      <c r="I22" s="912" t="s">
        <v>979</v>
      </c>
      <c r="J22" s="907" t="s">
        <v>246</v>
      </c>
      <c r="K22" s="907" t="s">
        <v>273</v>
      </c>
      <c r="N22" s="346"/>
      <c r="O22" s="906" t="s">
        <v>977</v>
      </c>
      <c r="P22" s="912" t="s">
        <v>980</v>
      </c>
      <c r="Q22" s="912" t="s">
        <v>980</v>
      </c>
      <c r="R22" s="912" t="s">
        <v>981</v>
      </c>
      <c r="S22" s="912" t="s">
        <v>982</v>
      </c>
      <c r="T22" s="912" t="s">
        <v>981</v>
      </c>
      <c r="U22" s="912" t="s">
        <v>982</v>
      </c>
      <c r="V22" s="907" t="s">
        <v>246</v>
      </c>
      <c r="W22" s="907" t="s">
        <v>273</v>
      </c>
    </row>
    <row r="23" spans="1:24">
      <c r="A23" s="346"/>
      <c r="B23" s="908" t="s">
        <v>631</v>
      </c>
      <c r="C23" s="914"/>
      <c r="D23" s="914"/>
      <c r="E23" s="914"/>
      <c r="F23" s="914"/>
      <c r="G23" s="914"/>
      <c r="H23" s="914"/>
      <c r="I23" s="914"/>
      <c r="J23" s="914"/>
      <c r="K23" s="915"/>
      <c r="N23" s="346"/>
      <c r="O23" s="916" t="s">
        <v>631</v>
      </c>
      <c r="P23" s="917"/>
      <c r="Q23" s="917"/>
      <c r="R23" s="917"/>
      <c r="S23" s="917"/>
      <c r="T23" s="917"/>
      <c r="U23" s="917"/>
      <c r="V23" s="917"/>
      <c r="W23" s="918"/>
      <c r="X23" s="461"/>
    </row>
    <row r="24" spans="1:24">
      <c r="A24" s="346"/>
      <c r="B24" s="901" t="s">
        <v>542</v>
      </c>
      <c r="C24" s="919">
        <v>0.15</v>
      </c>
      <c r="D24" s="919">
        <v>0.15</v>
      </c>
      <c r="E24" s="919">
        <v>0.14000000000000001</v>
      </c>
      <c r="F24" s="919">
        <v>0.11</v>
      </c>
      <c r="G24" s="919">
        <v>0.19</v>
      </c>
      <c r="H24" s="919">
        <v>0.11</v>
      </c>
      <c r="I24" s="919">
        <v>0.18</v>
      </c>
      <c r="J24" s="902" t="s">
        <v>583</v>
      </c>
      <c r="K24" s="920">
        <v>2</v>
      </c>
      <c r="N24" s="346"/>
      <c r="O24" s="901" t="s">
        <v>542</v>
      </c>
      <c r="P24" s="919">
        <v>0.34</v>
      </c>
      <c r="Q24" s="919">
        <v>0.33</v>
      </c>
      <c r="R24" s="919">
        <v>0.26</v>
      </c>
      <c r="S24" s="919">
        <v>0.44</v>
      </c>
      <c r="T24" s="919">
        <v>0.25</v>
      </c>
      <c r="U24" s="919">
        <v>0.41</v>
      </c>
      <c r="V24" s="902" t="s">
        <v>583</v>
      </c>
      <c r="W24" s="920">
        <v>2</v>
      </c>
    </row>
    <row r="25" spans="1:24">
      <c r="A25" s="346"/>
      <c r="B25" s="903" t="s">
        <v>274</v>
      </c>
      <c r="C25" s="904" t="s">
        <v>146</v>
      </c>
      <c r="D25" s="904" t="s">
        <v>146</v>
      </c>
      <c r="E25" s="904" t="s">
        <v>146</v>
      </c>
      <c r="F25" s="904" t="s">
        <v>146</v>
      </c>
      <c r="G25" s="904" t="s">
        <v>146</v>
      </c>
      <c r="H25" s="904" t="s">
        <v>146</v>
      </c>
      <c r="I25" s="904" t="s">
        <v>146</v>
      </c>
      <c r="J25" s="921"/>
      <c r="K25" s="921"/>
      <c r="N25" s="346"/>
      <c r="O25" s="903" t="s">
        <v>274</v>
      </c>
      <c r="P25" s="904" t="s">
        <v>146</v>
      </c>
      <c r="Q25" s="904" t="s">
        <v>146</v>
      </c>
      <c r="R25" s="904" t="s">
        <v>146</v>
      </c>
      <c r="S25" s="904" t="s">
        <v>146</v>
      </c>
      <c r="T25" s="904" t="s">
        <v>146</v>
      </c>
      <c r="U25" s="904" t="s">
        <v>146</v>
      </c>
      <c r="V25" s="921"/>
      <c r="W25" s="921"/>
    </row>
    <row r="26" spans="1:24">
      <c r="A26" s="346"/>
      <c r="B26" s="903" t="s">
        <v>275</v>
      </c>
      <c r="C26" s="904" t="s">
        <v>146</v>
      </c>
      <c r="D26" s="904" t="s">
        <v>146</v>
      </c>
      <c r="E26" s="904" t="s">
        <v>146</v>
      </c>
      <c r="F26" s="904" t="s">
        <v>146</v>
      </c>
      <c r="G26" s="904" t="s">
        <v>146</v>
      </c>
      <c r="H26" s="904" t="s">
        <v>146</v>
      </c>
      <c r="I26" s="904" t="s">
        <v>146</v>
      </c>
      <c r="J26" s="921"/>
      <c r="K26" s="921"/>
      <c r="N26" s="346"/>
      <c r="O26" s="903" t="s">
        <v>275</v>
      </c>
      <c r="P26" s="904" t="s">
        <v>146</v>
      </c>
      <c r="Q26" s="904" t="s">
        <v>146</v>
      </c>
      <c r="R26" s="904" t="s">
        <v>146</v>
      </c>
      <c r="S26" s="904" t="s">
        <v>146</v>
      </c>
      <c r="T26" s="904" t="s">
        <v>146</v>
      </c>
      <c r="U26" s="904" t="s">
        <v>146</v>
      </c>
      <c r="V26" s="921"/>
      <c r="W26" s="921"/>
    </row>
    <row r="27" spans="1:24">
      <c r="A27" s="346"/>
      <c r="B27" s="903" t="s">
        <v>632</v>
      </c>
      <c r="C27" s="922" t="s">
        <v>978</v>
      </c>
      <c r="D27" s="922" t="s">
        <v>978</v>
      </c>
      <c r="E27" s="922" t="s">
        <v>978</v>
      </c>
      <c r="F27" s="922" t="s">
        <v>983</v>
      </c>
      <c r="G27" s="922" t="s">
        <v>984</v>
      </c>
      <c r="H27" s="922" t="s">
        <v>983</v>
      </c>
      <c r="I27" s="922" t="s">
        <v>984</v>
      </c>
      <c r="J27" s="904" t="s">
        <v>246</v>
      </c>
      <c r="K27" s="923">
        <v>2</v>
      </c>
      <c r="N27" s="346"/>
      <c r="O27" s="903" t="s">
        <v>632</v>
      </c>
      <c r="P27" s="922" t="s">
        <v>979</v>
      </c>
      <c r="Q27" s="922" t="s">
        <v>979</v>
      </c>
      <c r="R27" s="922" t="s">
        <v>978</v>
      </c>
      <c r="S27" s="922" t="s">
        <v>985</v>
      </c>
      <c r="T27" s="922" t="s">
        <v>978</v>
      </c>
      <c r="U27" s="922" t="s">
        <v>985</v>
      </c>
      <c r="V27" s="904" t="s">
        <v>246</v>
      </c>
      <c r="W27" s="923">
        <v>2</v>
      </c>
    </row>
    <row r="28" spans="1:24">
      <c r="A28" s="346"/>
      <c r="B28" s="903" t="s">
        <v>633</v>
      </c>
      <c r="C28" s="922" t="s">
        <v>978</v>
      </c>
      <c r="D28" s="922" t="s">
        <v>978</v>
      </c>
      <c r="E28" s="922" t="s">
        <v>978</v>
      </c>
      <c r="F28" s="922" t="s">
        <v>983</v>
      </c>
      <c r="G28" s="922" t="s">
        <v>984</v>
      </c>
      <c r="H28" s="922" t="s">
        <v>983</v>
      </c>
      <c r="I28" s="922" t="s">
        <v>984</v>
      </c>
      <c r="J28" s="904" t="s">
        <v>246</v>
      </c>
      <c r="K28" s="923">
        <v>2</v>
      </c>
      <c r="N28" s="346"/>
      <c r="O28" s="903" t="s">
        <v>633</v>
      </c>
      <c r="P28" s="922" t="s">
        <v>979</v>
      </c>
      <c r="Q28" s="922" t="s">
        <v>979</v>
      </c>
      <c r="R28" s="922" t="s">
        <v>978</v>
      </c>
      <c r="S28" s="922" t="s">
        <v>985</v>
      </c>
      <c r="T28" s="922" t="s">
        <v>978</v>
      </c>
      <c r="U28" s="922" t="s">
        <v>985</v>
      </c>
      <c r="V28" s="904" t="s">
        <v>246</v>
      </c>
      <c r="W28" s="923">
        <v>2</v>
      </c>
    </row>
    <row r="29" spans="1:24">
      <c r="A29" s="346"/>
      <c r="B29" s="466"/>
      <c r="C29" s="467"/>
      <c r="D29" s="467"/>
      <c r="E29" s="467"/>
      <c r="F29" s="467"/>
      <c r="G29" s="467"/>
      <c r="H29" s="467"/>
      <c r="I29" s="467"/>
      <c r="J29" s="347"/>
      <c r="K29" s="348"/>
      <c r="N29" s="346"/>
      <c r="O29" s="466"/>
      <c r="P29" s="467"/>
      <c r="Q29" s="467"/>
      <c r="R29" s="467"/>
      <c r="S29" s="467"/>
      <c r="T29" s="467"/>
      <c r="U29" s="467"/>
      <c r="V29" s="347"/>
      <c r="W29" s="348"/>
    </row>
    <row r="30" spans="1:24">
      <c r="A30" s="468" t="s">
        <v>286</v>
      </c>
      <c r="B30" s="466"/>
      <c r="C30" s="467"/>
      <c r="D30" s="467"/>
      <c r="E30" s="467"/>
      <c r="F30" s="467"/>
      <c r="G30" s="467"/>
      <c r="H30" s="467"/>
      <c r="I30" s="467"/>
      <c r="J30" s="347"/>
      <c r="K30" s="348"/>
      <c r="N30" s="468" t="s">
        <v>286</v>
      </c>
      <c r="O30" s="466"/>
      <c r="P30" s="467"/>
      <c r="Q30" s="467"/>
      <c r="R30" s="467"/>
      <c r="S30" s="467"/>
      <c r="T30" s="467"/>
      <c r="U30" s="467"/>
      <c r="V30" s="347"/>
      <c r="W30" s="348"/>
    </row>
    <row r="31" spans="1:24" ht="14.45" customHeight="1">
      <c r="A31" s="502">
        <v>1</v>
      </c>
      <c r="B31" s="1186" t="s">
        <v>634</v>
      </c>
      <c r="C31" s="1186"/>
      <c r="D31" s="1186"/>
      <c r="E31" s="1186"/>
      <c r="F31" s="1186"/>
      <c r="G31" s="1186"/>
      <c r="H31" s="1186"/>
      <c r="I31" s="1186"/>
      <c r="J31" s="1186"/>
      <c r="K31" s="1186"/>
      <c r="N31" s="502">
        <v>1</v>
      </c>
      <c r="O31" s="1186" t="s">
        <v>634</v>
      </c>
      <c r="P31" s="1186"/>
      <c r="Q31" s="1186"/>
      <c r="R31" s="1186"/>
      <c r="S31" s="1186"/>
      <c r="T31" s="1186"/>
      <c r="U31" s="1186"/>
      <c r="V31" s="1186"/>
      <c r="W31" s="1186"/>
      <c r="X31" s="469"/>
    </row>
    <row r="32" spans="1:24">
      <c r="A32" s="502">
        <v>2</v>
      </c>
      <c r="B32" s="1186" t="s">
        <v>635</v>
      </c>
      <c r="C32" s="1186"/>
      <c r="D32" s="1186"/>
      <c r="E32" s="1186"/>
      <c r="F32" s="1186"/>
      <c r="G32" s="1186"/>
      <c r="H32" s="1186"/>
      <c r="I32" s="1186"/>
      <c r="J32" s="1186"/>
      <c r="K32" s="1186"/>
      <c r="N32" s="502">
        <v>2</v>
      </c>
      <c r="O32" s="1186" t="s">
        <v>635</v>
      </c>
      <c r="P32" s="1186"/>
      <c r="Q32" s="1186"/>
      <c r="R32" s="1186"/>
      <c r="S32" s="1186"/>
      <c r="T32" s="1186"/>
      <c r="U32" s="1186"/>
      <c r="V32" s="1186"/>
      <c r="W32" s="1186"/>
      <c r="X32" s="348"/>
    </row>
    <row r="33" spans="1:24" ht="14.45" customHeight="1">
      <c r="A33" s="502">
        <v>3</v>
      </c>
      <c r="B33" s="1186" t="s">
        <v>636</v>
      </c>
      <c r="C33" s="1186"/>
      <c r="D33" s="1186"/>
      <c r="E33" s="1186"/>
      <c r="F33" s="1186"/>
      <c r="G33" s="1186"/>
      <c r="H33" s="1186"/>
      <c r="I33" s="1186"/>
      <c r="J33" s="1186"/>
      <c r="K33" s="1186"/>
      <c r="N33" s="502">
        <v>3</v>
      </c>
      <c r="O33" s="1186" t="s">
        <v>636</v>
      </c>
      <c r="P33" s="1186"/>
      <c r="Q33" s="1186"/>
      <c r="R33" s="1186"/>
      <c r="S33" s="1186"/>
      <c r="T33" s="1186"/>
      <c r="U33" s="1186"/>
      <c r="V33" s="1186"/>
      <c r="W33" s="1186"/>
      <c r="X33" s="469"/>
    </row>
    <row r="34" spans="1:24" ht="14.45" customHeight="1">
      <c r="A34" s="502">
        <v>4</v>
      </c>
      <c r="B34" s="1186" t="s">
        <v>637</v>
      </c>
      <c r="C34" s="1186"/>
      <c r="D34" s="1186"/>
      <c r="E34" s="1186"/>
      <c r="F34" s="1186"/>
      <c r="G34" s="1186"/>
      <c r="H34" s="1186"/>
      <c r="I34" s="1186"/>
      <c r="J34" s="1186"/>
      <c r="K34" s="1186"/>
      <c r="N34" s="502">
        <v>4</v>
      </c>
      <c r="O34" s="1186" t="s">
        <v>637</v>
      </c>
      <c r="P34" s="1186"/>
      <c r="Q34" s="1186"/>
      <c r="R34" s="1186"/>
      <c r="S34" s="1186"/>
      <c r="T34" s="1186"/>
      <c r="U34" s="1186"/>
      <c r="V34" s="1186"/>
      <c r="W34" s="1186"/>
      <c r="X34" s="348"/>
    </row>
    <row r="35" spans="1:24">
      <c r="A35" s="340" t="s">
        <v>638</v>
      </c>
      <c r="B35" s="382"/>
      <c r="C35" s="346"/>
      <c r="D35" s="346"/>
      <c r="E35" s="346"/>
      <c r="F35" s="346"/>
      <c r="G35" s="346"/>
      <c r="H35" s="346"/>
      <c r="I35" s="346"/>
      <c r="J35" s="346"/>
      <c r="K35" s="346"/>
      <c r="N35" s="340" t="s">
        <v>638</v>
      </c>
      <c r="O35" s="382"/>
      <c r="P35" s="347"/>
      <c r="Q35" s="347"/>
      <c r="R35" s="347"/>
      <c r="S35" s="347"/>
      <c r="T35" s="347"/>
      <c r="U35" s="347"/>
      <c r="V35" s="346"/>
      <c r="W35" s="346"/>
    </row>
    <row r="36" spans="1:24" ht="14.45" customHeight="1">
      <c r="A36" s="502" t="s">
        <v>246</v>
      </c>
      <c r="B36" s="1186" t="s">
        <v>621</v>
      </c>
      <c r="C36" s="1186"/>
      <c r="D36" s="1186"/>
      <c r="E36" s="1186"/>
      <c r="F36" s="1186"/>
      <c r="G36" s="1186"/>
      <c r="H36" s="1186"/>
      <c r="I36" s="1186"/>
      <c r="J36" s="1186"/>
      <c r="K36" s="1186"/>
      <c r="N36" s="502" t="s">
        <v>246</v>
      </c>
      <c r="O36" s="1186" t="s">
        <v>621</v>
      </c>
      <c r="P36" s="1186"/>
      <c r="Q36" s="1186"/>
      <c r="R36" s="1186"/>
      <c r="S36" s="1186"/>
      <c r="T36" s="1186"/>
      <c r="U36" s="1186"/>
      <c r="V36" s="1186"/>
      <c r="W36" s="1186"/>
    </row>
    <row r="37" spans="1:24">
      <c r="A37" s="502" t="s">
        <v>300</v>
      </c>
      <c r="B37" s="1186" t="s">
        <v>639</v>
      </c>
      <c r="C37" s="1186"/>
      <c r="D37" s="1186"/>
      <c r="E37" s="1186"/>
      <c r="F37" s="1186"/>
      <c r="G37" s="1186"/>
      <c r="H37" s="1186"/>
      <c r="I37" s="1186"/>
      <c r="J37" s="1186"/>
      <c r="K37" s="1186"/>
      <c r="N37" s="502" t="s">
        <v>300</v>
      </c>
      <c r="O37" s="1186" t="s">
        <v>639</v>
      </c>
      <c r="P37" s="1186"/>
      <c r="Q37" s="1186"/>
      <c r="R37" s="1186"/>
      <c r="S37" s="1186"/>
      <c r="T37" s="1186"/>
      <c r="U37" s="1186"/>
      <c r="V37" s="1186"/>
      <c r="W37" s="1186"/>
    </row>
    <row r="38" spans="1:24">
      <c r="A38" s="502" t="s">
        <v>265</v>
      </c>
      <c r="B38" s="1186" t="s">
        <v>640</v>
      </c>
      <c r="C38" s="1186"/>
      <c r="D38" s="1186"/>
      <c r="E38" s="1186"/>
      <c r="F38" s="1186"/>
      <c r="G38" s="1186"/>
      <c r="H38" s="1186"/>
      <c r="I38" s="1186"/>
      <c r="J38" s="1186"/>
      <c r="K38" s="1186"/>
      <c r="N38" s="502" t="s">
        <v>265</v>
      </c>
      <c r="O38" s="1186" t="s">
        <v>640</v>
      </c>
      <c r="P38" s="1186"/>
      <c r="Q38" s="1186"/>
      <c r="R38" s="1186"/>
      <c r="S38" s="1186"/>
      <c r="T38" s="1186"/>
      <c r="U38" s="1186"/>
      <c r="V38" s="1186"/>
      <c r="W38" s="1186"/>
    </row>
    <row r="39" spans="1:24">
      <c r="A39" s="924" t="s">
        <v>303</v>
      </c>
      <c r="B39" s="1186" t="s">
        <v>986</v>
      </c>
      <c r="C39" s="1186"/>
      <c r="D39" s="1186"/>
      <c r="E39" s="1186"/>
      <c r="F39" s="1186"/>
      <c r="G39" s="1186"/>
      <c r="H39" s="1186"/>
      <c r="I39" s="1186"/>
      <c r="J39" s="1186"/>
      <c r="K39" s="1186"/>
      <c r="N39" s="924" t="s">
        <v>303</v>
      </c>
      <c r="O39" s="1186" t="s">
        <v>986</v>
      </c>
      <c r="P39" s="1186"/>
      <c r="Q39" s="1186"/>
      <c r="R39" s="1186"/>
      <c r="S39" s="1186"/>
      <c r="T39" s="1186"/>
      <c r="U39" s="1186"/>
      <c r="V39" s="1186"/>
      <c r="W39" s="1186"/>
      <c r="X39" s="469"/>
    </row>
  </sheetData>
  <mergeCells count="23">
    <mergeCell ref="F1:K1"/>
    <mergeCell ref="B31:K31"/>
    <mergeCell ref="B33:K33"/>
    <mergeCell ref="O33:W33"/>
    <mergeCell ref="B34:K34"/>
    <mergeCell ref="O34:W34"/>
    <mergeCell ref="O31:W31"/>
    <mergeCell ref="R4:S4"/>
    <mergeCell ref="T4:U4"/>
    <mergeCell ref="C3:K3"/>
    <mergeCell ref="P3:W3"/>
    <mergeCell ref="F4:G4"/>
    <mergeCell ref="H4:I4"/>
    <mergeCell ref="B32:K32"/>
    <mergeCell ref="B39:K39"/>
    <mergeCell ref="O39:W39"/>
    <mergeCell ref="O32:W32"/>
    <mergeCell ref="B37:K37"/>
    <mergeCell ref="O37:W37"/>
    <mergeCell ref="B38:K38"/>
    <mergeCell ref="O38:W38"/>
    <mergeCell ref="B36:K36"/>
    <mergeCell ref="O36:W3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6BE77-8E1E-467B-9F8D-74E12DE264B6}">
  <sheetPr codeName="Sheet27">
    <tabColor theme="0" tint="-0.499984740745262"/>
  </sheetPr>
  <dimension ref="A1:X44"/>
  <sheetViews>
    <sheetView showGridLines="0" zoomScaleNormal="100" workbookViewId="0">
      <selection activeCell="B47" sqref="B47:K47"/>
    </sheetView>
  </sheetViews>
  <sheetFormatPr defaultColWidth="9" defaultRowHeight="15"/>
  <cols>
    <col min="1" max="1" width="3" style="16" customWidth="1"/>
    <col min="2" max="2" width="32.42578125" style="230" customWidth="1"/>
    <col min="3" max="5" width="5.42578125" style="230" bestFit="1" customWidth="1"/>
    <col min="6" max="9" width="9.28515625" style="231" customWidth="1"/>
    <col min="10" max="10" width="5" style="230" bestFit="1" customWidth="1"/>
    <col min="11" max="11" width="6.5703125" style="230" customWidth="1"/>
    <col min="12" max="13" width="9" style="16"/>
    <col min="14" max="14" width="3" style="16" customWidth="1"/>
    <col min="15" max="15" width="32.5703125" style="230" customWidth="1"/>
    <col min="16" max="17" width="5.42578125" style="230" bestFit="1" customWidth="1"/>
    <col min="18" max="18" width="6.140625" style="230" bestFit="1" customWidth="1"/>
    <col min="19" max="21" width="9.28515625" style="230" customWidth="1"/>
    <col min="22" max="22" width="8.7109375" style="230" customWidth="1"/>
    <col min="23" max="23" width="7.5703125" style="230" customWidth="1"/>
    <col min="24" max="16384" width="9" style="230"/>
  </cols>
  <sheetData>
    <row r="1" spans="1:23" ht="20.25">
      <c r="B1" s="318" t="s">
        <v>234</v>
      </c>
      <c r="F1" s="1192"/>
      <c r="G1" s="1192"/>
      <c r="H1" s="1192"/>
      <c r="I1" s="1192"/>
      <c r="J1" s="1192"/>
      <c r="K1" s="1192"/>
    </row>
    <row r="2" spans="1:23" s="94" customFormat="1">
      <c r="A2" s="317"/>
      <c r="B2" s="317"/>
      <c r="C2" s="344"/>
      <c r="D2" s="344"/>
      <c r="E2" s="344"/>
      <c r="F2" s="344"/>
      <c r="G2" s="344"/>
      <c r="H2" s="344"/>
      <c r="I2" s="344"/>
      <c r="J2" s="344"/>
      <c r="K2" s="344"/>
    </row>
    <row r="3" spans="1:23" ht="23.85" customHeight="1">
      <c r="A3" s="346"/>
      <c r="B3" s="445" t="s">
        <v>145</v>
      </c>
      <c r="C3" s="1197" t="s">
        <v>641</v>
      </c>
      <c r="D3" s="1198"/>
      <c r="E3" s="1198"/>
      <c r="F3" s="1198"/>
      <c r="G3" s="1198"/>
      <c r="H3" s="1198"/>
      <c r="I3" s="1198"/>
      <c r="J3" s="1198"/>
      <c r="K3" s="1199"/>
      <c r="N3" s="346"/>
      <c r="O3" s="445" t="s">
        <v>145</v>
      </c>
      <c r="P3" s="1195" t="s">
        <v>642</v>
      </c>
      <c r="Q3" s="1195"/>
      <c r="R3" s="1195"/>
      <c r="S3" s="1195"/>
      <c r="T3" s="1195"/>
      <c r="U3" s="1195"/>
      <c r="V3" s="1195"/>
      <c r="W3" s="1195"/>
    </row>
    <row r="4" spans="1:23" ht="14.45" customHeight="1">
      <c r="A4" s="346"/>
      <c r="B4" s="448"/>
      <c r="C4" s="446">
        <v>2023</v>
      </c>
      <c r="D4" s="446">
        <v>2030</v>
      </c>
      <c r="E4" s="446">
        <v>2050</v>
      </c>
      <c r="F4" s="1196" t="s">
        <v>606</v>
      </c>
      <c r="G4" s="1196"/>
      <c r="H4" s="1196" t="s">
        <v>237</v>
      </c>
      <c r="I4" s="1196"/>
      <c r="J4" s="446" t="s">
        <v>238</v>
      </c>
      <c r="K4" s="446" t="s">
        <v>239</v>
      </c>
      <c r="N4" s="346"/>
      <c r="O4" s="448"/>
      <c r="P4" s="446">
        <v>2030</v>
      </c>
      <c r="Q4" s="446">
        <v>2050</v>
      </c>
      <c r="R4" s="1196" t="s">
        <v>606</v>
      </c>
      <c r="S4" s="1196"/>
      <c r="T4" s="1196" t="s">
        <v>237</v>
      </c>
      <c r="U4" s="1196"/>
      <c r="V4" s="446" t="s">
        <v>238</v>
      </c>
      <c r="W4" s="446" t="s">
        <v>239</v>
      </c>
    </row>
    <row r="5" spans="1:23">
      <c r="A5" s="346"/>
      <c r="B5" s="457" t="s">
        <v>240</v>
      </c>
      <c r="C5" s="471"/>
      <c r="D5" s="471"/>
      <c r="E5" s="471"/>
      <c r="F5" s="450" t="s">
        <v>241</v>
      </c>
      <c r="G5" s="450" t="s">
        <v>242</v>
      </c>
      <c r="H5" s="450" t="s">
        <v>241</v>
      </c>
      <c r="I5" s="450" t="s">
        <v>242</v>
      </c>
      <c r="J5" s="471"/>
      <c r="K5" s="472"/>
      <c r="N5" s="346"/>
      <c r="O5" s="449" t="s">
        <v>240</v>
      </c>
      <c r="P5" s="471"/>
      <c r="Q5" s="471"/>
      <c r="R5" s="450" t="s">
        <v>241</v>
      </c>
      <c r="S5" s="450" t="s">
        <v>242</v>
      </c>
      <c r="T5" s="450" t="s">
        <v>241</v>
      </c>
      <c r="U5" s="450" t="s">
        <v>242</v>
      </c>
      <c r="V5" s="471"/>
      <c r="W5" s="472"/>
    </row>
    <row r="6" spans="1:23">
      <c r="A6" s="346"/>
      <c r="B6" s="451" t="s">
        <v>607</v>
      </c>
      <c r="C6" s="452">
        <v>600</v>
      </c>
      <c r="D6" s="452">
        <v>600</v>
      </c>
      <c r="E6" s="452">
        <v>600</v>
      </c>
      <c r="F6" s="452">
        <v>300</v>
      </c>
      <c r="G6" s="452">
        <v>800</v>
      </c>
      <c r="H6" s="452">
        <v>300</v>
      </c>
      <c r="I6" s="452">
        <v>800</v>
      </c>
      <c r="J6" s="452"/>
      <c r="K6" s="452"/>
      <c r="N6" s="346"/>
      <c r="O6" s="473" t="s">
        <v>607</v>
      </c>
      <c r="P6" s="452">
        <v>600</v>
      </c>
      <c r="Q6" s="452">
        <v>600</v>
      </c>
      <c r="R6" s="452">
        <v>300</v>
      </c>
      <c r="S6" s="452">
        <v>800</v>
      </c>
      <c r="T6" s="452">
        <v>300</v>
      </c>
      <c r="U6" s="452">
        <v>800</v>
      </c>
      <c r="V6" s="452"/>
      <c r="W6" s="452"/>
    </row>
    <row r="7" spans="1:23">
      <c r="A7" s="346"/>
      <c r="B7" s="453" t="s">
        <v>628</v>
      </c>
      <c r="C7" s="454">
        <v>-1</v>
      </c>
      <c r="D7" s="454">
        <v>-1</v>
      </c>
      <c r="E7" s="454">
        <v>-1</v>
      </c>
      <c r="F7" s="454">
        <v>0</v>
      </c>
      <c r="G7" s="454">
        <v>-2</v>
      </c>
      <c r="H7" s="454">
        <v>0</v>
      </c>
      <c r="I7" s="454">
        <v>-2</v>
      </c>
      <c r="J7" s="454" t="s">
        <v>507</v>
      </c>
      <c r="K7" s="454" t="s">
        <v>609</v>
      </c>
      <c r="N7" s="346"/>
      <c r="O7" s="474" t="s">
        <v>628</v>
      </c>
      <c r="P7" s="454">
        <v>-2</v>
      </c>
      <c r="Q7" s="454">
        <v>-2</v>
      </c>
      <c r="R7" s="454">
        <v>-1</v>
      </c>
      <c r="S7" s="454">
        <v>-3</v>
      </c>
      <c r="T7" s="454">
        <v>-1</v>
      </c>
      <c r="U7" s="454">
        <v>-3</v>
      </c>
      <c r="V7" s="454" t="s">
        <v>507</v>
      </c>
      <c r="W7" s="454" t="s">
        <v>609</v>
      </c>
    </row>
    <row r="8" spans="1:23" ht="24">
      <c r="A8" s="346"/>
      <c r="B8" s="453" t="s">
        <v>610</v>
      </c>
      <c r="C8" s="454">
        <v>-1</v>
      </c>
      <c r="D8" s="454">
        <v>-1</v>
      </c>
      <c r="E8" s="454">
        <v>-1</v>
      </c>
      <c r="F8" s="454">
        <v>0</v>
      </c>
      <c r="G8" s="454">
        <v>-2</v>
      </c>
      <c r="H8" s="454">
        <v>0</v>
      </c>
      <c r="I8" s="454">
        <v>-2</v>
      </c>
      <c r="J8" s="454" t="s">
        <v>507</v>
      </c>
      <c r="K8" s="454" t="s">
        <v>609</v>
      </c>
      <c r="N8" s="346"/>
      <c r="O8" s="453" t="s">
        <v>610</v>
      </c>
      <c r="P8" s="454">
        <v>-2</v>
      </c>
      <c r="Q8" s="454">
        <v>-2</v>
      </c>
      <c r="R8" s="454">
        <v>-1</v>
      </c>
      <c r="S8" s="454">
        <v>-3</v>
      </c>
      <c r="T8" s="454">
        <v>-1</v>
      </c>
      <c r="U8" s="454">
        <v>-3</v>
      </c>
      <c r="V8" s="454" t="s">
        <v>507</v>
      </c>
      <c r="W8" s="454" t="s">
        <v>609</v>
      </c>
    </row>
    <row r="9" spans="1:23">
      <c r="A9" s="346"/>
      <c r="B9" s="453" t="s">
        <v>248</v>
      </c>
      <c r="C9" s="454">
        <v>0</v>
      </c>
      <c r="D9" s="454">
        <v>0</v>
      </c>
      <c r="E9" s="454">
        <v>0</v>
      </c>
      <c r="F9" s="454">
        <v>0</v>
      </c>
      <c r="G9" s="454">
        <v>1</v>
      </c>
      <c r="H9" s="454">
        <v>0</v>
      </c>
      <c r="I9" s="454">
        <v>1</v>
      </c>
      <c r="J9" s="454" t="s">
        <v>246</v>
      </c>
      <c r="K9" s="454" t="s">
        <v>609</v>
      </c>
      <c r="N9" s="346"/>
      <c r="O9" s="474" t="s">
        <v>248</v>
      </c>
      <c r="P9" s="454">
        <v>0</v>
      </c>
      <c r="Q9" s="454">
        <v>0</v>
      </c>
      <c r="R9" s="454">
        <v>0</v>
      </c>
      <c r="S9" s="454">
        <v>1</v>
      </c>
      <c r="T9" s="454">
        <v>0</v>
      </c>
      <c r="U9" s="454">
        <v>1</v>
      </c>
      <c r="V9" s="454" t="s">
        <v>246</v>
      </c>
      <c r="W9" s="454" t="s">
        <v>609</v>
      </c>
    </row>
    <row r="10" spans="1:23">
      <c r="A10" s="346"/>
      <c r="B10" s="453" t="s">
        <v>249</v>
      </c>
      <c r="C10" s="454">
        <v>0</v>
      </c>
      <c r="D10" s="454">
        <v>0</v>
      </c>
      <c r="E10" s="454">
        <v>0</v>
      </c>
      <c r="F10" s="454">
        <v>0</v>
      </c>
      <c r="G10" s="454">
        <v>0</v>
      </c>
      <c r="H10" s="454">
        <v>0</v>
      </c>
      <c r="I10" s="454">
        <v>0</v>
      </c>
      <c r="J10" s="454" t="s">
        <v>246</v>
      </c>
      <c r="K10" s="454" t="s">
        <v>609</v>
      </c>
      <c r="N10" s="346"/>
      <c r="O10" s="474" t="s">
        <v>249</v>
      </c>
      <c r="P10" s="454">
        <v>0</v>
      </c>
      <c r="Q10" s="454">
        <v>0</v>
      </c>
      <c r="R10" s="454">
        <v>0</v>
      </c>
      <c r="S10" s="454">
        <v>0</v>
      </c>
      <c r="T10" s="454">
        <v>0</v>
      </c>
      <c r="U10" s="454">
        <v>0</v>
      </c>
      <c r="V10" s="454" t="s">
        <v>246</v>
      </c>
      <c r="W10" s="454" t="s">
        <v>609</v>
      </c>
    </row>
    <row r="11" spans="1:23">
      <c r="A11" s="346"/>
      <c r="B11" s="453" t="s">
        <v>250</v>
      </c>
      <c r="C11" s="454"/>
      <c r="D11" s="454"/>
      <c r="E11" s="454"/>
      <c r="F11" s="454"/>
      <c r="G11" s="454"/>
      <c r="H11" s="454"/>
      <c r="I11" s="454"/>
      <c r="J11" s="454"/>
      <c r="K11" s="454"/>
      <c r="N11" s="346"/>
      <c r="O11" s="474" t="s">
        <v>250</v>
      </c>
      <c r="P11" s="454"/>
      <c r="Q11" s="454"/>
      <c r="R11" s="454"/>
      <c r="S11" s="454"/>
      <c r="T11" s="454"/>
      <c r="U11" s="454"/>
      <c r="V11" s="454"/>
      <c r="W11" s="454"/>
    </row>
    <row r="12" spans="1:23">
      <c r="A12" s="346"/>
      <c r="B12" s="453" t="s">
        <v>252</v>
      </c>
      <c r="C12" s="454"/>
      <c r="D12" s="454"/>
      <c r="E12" s="454"/>
      <c r="F12" s="454"/>
      <c r="G12" s="454"/>
      <c r="H12" s="454"/>
      <c r="I12" s="454"/>
      <c r="J12" s="454"/>
      <c r="K12" s="454"/>
      <c r="N12" s="346"/>
      <c r="O12" s="474" t="s">
        <v>252</v>
      </c>
      <c r="P12" s="454"/>
      <c r="Q12" s="454"/>
      <c r="R12" s="454"/>
      <c r="S12" s="454"/>
      <c r="T12" s="454"/>
      <c r="U12" s="454"/>
      <c r="V12" s="454"/>
      <c r="W12" s="454"/>
    </row>
    <row r="13" spans="1:23">
      <c r="A13" s="346"/>
      <c r="B13" s="455" t="s">
        <v>612</v>
      </c>
      <c r="C13" s="456"/>
      <c r="D13" s="456"/>
      <c r="E13" s="456"/>
      <c r="F13" s="456"/>
      <c r="G13" s="456"/>
      <c r="H13" s="456"/>
      <c r="I13" s="456"/>
      <c r="J13" s="456" t="s">
        <v>643</v>
      </c>
      <c r="K13" s="454" t="s">
        <v>609</v>
      </c>
      <c r="N13" s="346"/>
      <c r="O13" s="447" t="s">
        <v>612</v>
      </c>
      <c r="P13" s="456"/>
      <c r="Q13" s="456"/>
      <c r="R13" s="456"/>
      <c r="S13" s="456"/>
      <c r="T13" s="456"/>
      <c r="U13" s="456"/>
      <c r="V13" s="456" t="s">
        <v>643</v>
      </c>
      <c r="W13" s="454" t="s">
        <v>609</v>
      </c>
    </row>
    <row r="14" spans="1:23">
      <c r="A14" s="346"/>
      <c r="B14" s="457" t="s">
        <v>258</v>
      </c>
      <c r="C14" s="471"/>
      <c r="D14" s="471"/>
      <c r="E14" s="471"/>
      <c r="F14" s="450"/>
      <c r="G14" s="450"/>
      <c r="H14" s="450"/>
      <c r="I14" s="450"/>
      <c r="J14" s="471"/>
      <c r="K14" s="472"/>
      <c r="N14" s="346"/>
      <c r="O14" s="449" t="s">
        <v>258</v>
      </c>
      <c r="P14" s="471"/>
      <c r="Q14" s="471"/>
      <c r="R14" s="450"/>
      <c r="S14" s="450"/>
      <c r="T14" s="450"/>
      <c r="U14" s="450"/>
      <c r="V14" s="471"/>
      <c r="W14" s="472"/>
    </row>
    <row r="15" spans="1:23">
      <c r="A15" s="346"/>
      <c r="B15" s="451" t="s">
        <v>259</v>
      </c>
      <c r="C15" s="452">
        <v>0</v>
      </c>
      <c r="D15" s="452">
        <v>0</v>
      </c>
      <c r="E15" s="452">
        <v>0</v>
      </c>
      <c r="F15" s="452">
        <v>0</v>
      </c>
      <c r="G15" s="452">
        <v>0</v>
      </c>
      <c r="H15" s="452">
        <v>0</v>
      </c>
      <c r="I15" s="452">
        <v>0</v>
      </c>
      <c r="J15" s="452" t="s">
        <v>246</v>
      </c>
      <c r="K15" s="454" t="s">
        <v>609</v>
      </c>
      <c r="N15" s="346"/>
      <c r="O15" s="473" t="s">
        <v>259</v>
      </c>
      <c r="P15" s="452">
        <v>0</v>
      </c>
      <c r="Q15" s="452">
        <v>0</v>
      </c>
      <c r="R15" s="452">
        <v>0</v>
      </c>
      <c r="S15" s="452">
        <v>0</v>
      </c>
      <c r="T15" s="452">
        <v>0</v>
      </c>
      <c r="U15" s="452">
        <v>0</v>
      </c>
      <c r="V15" s="452" t="s">
        <v>246</v>
      </c>
      <c r="W15" s="454" t="s">
        <v>609</v>
      </c>
    </row>
    <row r="16" spans="1:23">
      <c r="A16" s="346"/>
      <c r="B16" s="453" t="s">
        <v>260</v>
      </c>
      <c r="C16" s="454">
        <v>0</v>
      </c>
      <c r="D16" s="454">
        <v>0</v>
      </c>
      <c r="E16" s="454">
        <v>0</v>
      </c>
      <c r="F16" s="454">
        <v>0</v>
      </c>
      <c r="G16" s="454">
        <v>0</v>
      </c>
      <c r="H16" s="454">
        <v>0</v>
      </c>
      <c r="I16" s="454">
        <v>0</v>
      </c>
      <c r="J16" s="454" t="s">
        <v>246</v>
      </c>
      <c r="K16" s="454" t="s">
        <v>609</v>
      </c>
      <c r="N16" s="346"/>
      <c r="O16" s="474" t="s">
        <v>260</v>
      </c>
      <c r="P16" s="454">
        <v>0</v>
      </c>
      <c r="Q16" s="454">
        <v>0</v>
      </c>
      <c r="R16" s="454">
        <v>0</v>
      </c>
      <c r="S16" s="454">
        <v>0</v>
      </c>
      <c r="T16" s="454">
        <v>0</v>
      </c>
      <c r="U16" s="454">
        <v>0</v>
      </c>
      <c r="V16" s="454" t="s">
        <v>246</v>
      </c>
      <c r="W16" s="454" t="s">
        <v>609</v>
      </c>
    </row>
    <row r="17" spans="1:24">
      <c r="A17" s="346"/>
      <c r="B17" s="453" t="s">
        <v>261</v>
      </c>
      <c r="C17" s="454">
        <v>0</v>
      </c>
      <c r="D17" s="454">
        <v>0</v>
      </c>
      <c r="E17" s="454">
        <v>0</v>
      </c>
      <c r="F17" s="454">
        <v>0</v>
      </c>
      <c r="G17" s="454">
        <v>0</v>
      </c>
      <c r="H17" s="454">
        <v>0</v>
      </c>
      <c r="I17" s="454">
        <v>0</v>
      </c>
      <c r="J17" s="454" t="s">
        <v>246</v>
      </c>
      <c r="K17" s="454" t="s">
        <v>609</v>
      </c>
      <c r="N17" s="346"/>
      <c r="O17" s="474" t="s">
        <v>261</v>
      </c>
      <c r="P17" s="454">
        <v>0</v>
      </c>
      <c r="Q17" s="454">
        <v>0</v>
      </c>
      <c r="R17" s="454">
        <v>0</v>
      </c>
      <c r="S17" s="454">
        <v>0</v>
      </c>
      <c r="T17" s="454">
        <v>0</v>
      </c>
      <c r="U17" s="454">
        <v>0</v>
      </c>
      <c r="V17" s="454" t="s">
        <v>246</v>
      </c>
      <c r="W17" s="454" t="s">
        <v>609</v>
      </c>
    </row>
    <row r="18" spans="1:24">
      <c r="A18" s="346"/>
      <c r="B18" s="455" t="s">
        <v>262</v>
      </c>
      <c r="C18" s="456">
        <v>0</v>
      </c>
      <c r="D18" s="456">
        <v>0</v>
      </c>
      <c r="E18" s="456">
        <v>0</v>
      </c>
      <c r="F18" s="456">
        <v>0</v>
      </c>
      <c r="G18" s="456">
        <v>0</v>
      </c>
      <c r="H18" s="456">
        <v>0</v>
      </c>
      <c r="I18" s="456">
        <v>0</v>
      </c>
      <c r="J18" s="456" t="s">
        <v>246</v>
      </c>
      <c r="K18" s="454" t="s">
        <v>609</v>
      </c>
      <c r="N18" s="346"/>
      <c r="O18" s="447" t="s">
        <v>262</v>
      </c>
      <c r="P18" s="456">
        <v>0</v>
      </c>
      <c r="Q18" s="456">
        <v>0</v>
      </c>
      <c r="R18" s="456">
        <v>0</v>
      </c>
      <c r="S18" s="456">
        <v>0</v>
      </c>
      <c r="T18" s="456">
        <v>0</v>
      </c>
      <c r="U18" s="456">
        <v>0</v>
      </c>
      <c r="V18" s="456" t="s">
        <v>246</v>
      </c>
      <c r="W18" s="454" t="s">
        <v>609</v>
      </c>
    </row>
    <row r="19" spans="1:24">
      <c r="A19" s="346"/>
      <c r="B19" s="457" t="s">
        <v>263</v>
      </c>
      <c r="C19" s="450"/>
      <c r="D19" s="450"/>
      <c r="E19" s="450"/>
      <c r="F19" s="450"/>
      <c r="G19" s="450"/>
      <c r="H19" s="450"/>
      <c r="I19" s="450"/>
      <c r="J19" s="450"/>
      <c r="K19" s="475"/>
      <c r="N19" s="346"/>
      <c r="O19" s="449" t="s">
        <v>263</v>
      </c>
      <c r="P19" s="450"/>
      <c r="Q19" s="450"/>
      <c r="R19" s="450"/>
      <c r="S19" s="450"/>
      <c r="T19" s="450"/>
      <c r="U19" s="450"/>
      <c r="V19" s="450"/>
      <c r="W19" s="475"/>
    </row>
    <row r="20" spans="1:24">
      <c r="A20" s="346"/>
      <c r="B20" s="451" t="s">
        <v>613</v>
      </c>
      <c r="C20" s="458">
        <v>-0.1</v>
      </c>
      <c r="D20" s="458">
        <v>-0.1</v>
      </c>
      <c r="E20" s="458">
        <v>-0.1</v>
      </c>
      <c r="F20" s="458">
        <v>-0.05</v>
      </c>
      <c r="G20" s="458">
        <v>-0.2</v>
      </c>
      <c r="H20" s="458">
        <v>-0.05</v>
      </c>
      <c r="I20" s="458">
        <v>-0.2</v>
      </c>
      <c r="J20" s="452" t="s">
        <v>246</v>
      </c>
      <c r="K20" s="452" t="s">
        <v>273</v>
      </c>
      <c r="N20" s="346"/>
      <c r="O20" s="473" t="s">
        <v>613</v>
      </c>
      <c r="P20" s="458">
        <v>-0.7</v>
      </c>
      <c r="Q20" s="458">
        <v>-0.7</v>
      </c>
      <c r="R20" s="458">
        <v>-0.5</v>
      </c>
      <c r="S20" s="458">
        <v>-0.9</v>
      </c>
      <c r="T20" s="458">
        <v>-0.5</v>
      </c>
      <c r="U20" s="458">
        <v>-0.9</v>
      </c>
      <c r="V20" s="452" t="s">
        <v>246</v>
      </c>
      <c r="W20" s="452" t="s">
        <v>273</v>
      </c>
    </row>
    <row r="21" spans="1:24">
      <c r="A21" s="346"/>
      <c r="B21" s="453" t="s">
        <v>614</v>
      </c>
      <c r="C21" s="459">
        <v>-0.1</v>
      </c>
      <c r="D21" s="459">
        <v>-0.1</v>
      </c>
      <c r="E21" s="459">
        <v>-0.1</v>
      </c>
      <c r="F21" s="459">
        <v>-0.05</v>
      </c>
      <c r="G21" s="459">
        <v>-0.2</v>
      </c>
      <c r="H21" s="459">
        <v>-0.05</v>
      </c>
      <c r="I21" s="459">
        <v>-0.2</v>
      </c>
      <c r="J21" s="454" t="s">
        <v>246</v>
      </c>
      <c r="K21" s="452" t="s">
        <v>273</v>
      </c>
      <c r="N21" s="346"/>
      <c r="O21" s="474" t="s">
        <v>614</v>
      </c>
      <c r="P21" s="459">
        <v>-0.7</v>
      </c>
      <c r="Q21" s="459">
        <v>-0.7</v>
      </c>
      <c r="R21" s="459">
        <v>-0.5</v>
      </c>
      <c r="S21" s="459">
        <v>-0.9</v>
      </c>
      <c r="T21" s="459">
        <v>-0.5</v>
      </c>
      <c r="U21" s="459">
        <v>-0.9</v>
      </c>
      <c r="V21" s="454" t="s">
        <v>246</v>
      </c>
      <c r="W21" s="452" t="s">
        <v>273</v>
      </c>
    </row>
    <row r="22" spans="1:24">
      <c r="A22" s="346"/>
      <c r="B22" s="455" t="s">
        <v>630</v>
      </c>
      <c r="C22" s="460">
        <v>-0.05</v>
      </c>
      <c r="D22" s="460">
        <v>-0.05</v>
      </c>
      <c r="E22" s="460">
        <v>-0.05</v>
      </c>
      <c r="F22" s="460">
        <v>0</v>
      </c>
      <c r="G22" s="460">
        <v>-0.1</v>
      </c>
      <c r="H22" s="460">
        <v>0</v>
      </c>
      <c r="I22" s="460">
        <v>-0.1</v>
      </c>
      <c r="J22" s="456" t="s">
        <v>246</v>
      </c>
      <c r="K22" s="452" t="s">
        <v>273</v>
      </c>
      <c r="N22" s="346"/>
      <c r="O22" s="447" t="s">
        <v>630</v>
      </c>
      <c r="P22" s="460">
        <v>-0.3</v>
      </c>
      <c r="Q22" s="460">
        <v>-0.3</v>
      </c>
      <c r="R22" s="460">
        <v>-0.05</v>
      </c>
      <c r="S22" s="460">
        <v>-0.4</v>
      </c>
      <c r="T22" s="460">
        <v>-0.05</v>
      </c>
      <c r="U22" s="460">
        <v>-0.4</v>
      </c>
      <c r="V22" s="456" t="s">
        <v>246</v>
      </c>
      <c r="W22" s="452" t="s">
        <v>273</v>
      </c>
    </row>
    <row r="23" spans="1:24">
      <c r="A23" s="346"/>
      <c r="B23" s="457" t="s">
        <v>393</v>
      </c>
      <c r="C23" s="476"/>
      <c r="D23" s="476"/>
      <c r="E23" s="476"/>
      <c r="F23" s="476"/>
      <c r="G23" s="476"/>
      <c r="H23" s="476"/>
      <c r="I23" s="476"/>
      <c r="J23" s="476"/>
      <c r="K23" s="477"/>
      <c r="N23" s="346"/>
      <c r="O23" s="449" t="s">
        <v>393</v>
      </c>
      <c r="P23" s="476"/>
      <c r="Q23" s="476"/>
      <c r="R23" s="476"/>
      <c r="S23" s="476"/>
      <c r="T23" s="476"/>
      <c r="U23" s="476"/>
      <c r="V23" s="476"/>
      <c r="W23" s="477"/>
    </row>
    <row r="24" spans="1:24">
      <c r="A24" s="346"/>
      <c r="B24" s="451" t="s">
        <v>542</v>
      </c>
      <c r="C24" s="478" t="s">
        <v>644</v>
      </c>
      <c r="D24" s="478" t="s">
        <v>644</v>
      </c>
      <c r="E24" s="478" t="s">
        <v>645</v>
      </c>
      <c r="F24" s="478" t="s">
        <v>646</v>
      </c>
      <c r="G24" s="478" t="s">
        <v>647</v>
      </c>
      <c r="H24" s="452" t="s">
        <v>648</v>
      </c>
      <c r="I24" s="478" t="s">
        <v>649</v>
      </c>
      <c r="J24" s="452" t="s">
        <v>584</v>
      </c>
      <c r="K24" s="454" t="s">
        <v>609</v>
      </c>
      <c r="N24" s="346"/>
      <c r="O24" s="473" t="s">
        <v>542</v>
      </c>
      <c r="P24" s="478" t="s">
        <v>650</v>
      </c>
      <c r="Q24" s="478" t="s">
        <v>650</v>
      </c>
      <c r="R24" s="478" t="s">
        <v>651</v>
      </c>
      <c r="S24" s="478" t="s">
        <v>652</v>
      </c>
      <c r="T24" s="478" t="s">
        <v>653</v>
      </c>
      <c r="U24" s="478" t="s">
        <v>654</v>
      </c>
      <c r="V24" s="452" t="s">
        <v>584</v>
      </c>
      <c r="W24" s="454" t="s">
        <v>609</v>
      </c>
    </row>
    <row r="25" spans="1:24">
      <c r="A25" s="346"/>
      <c r="B25" s="453" t="s">
        <v>274</v>
      </c>
      <c r="C25" s="454" t="s">
        <v>146</v>
      </c>
      <c r="D25" s="454" t="s">
        <v>146</v>
      </c>
      <c r="E25" s="454" t="s">
        <v>146</v>
      </c>
      <c r="F25" s="454" t="s">
        <v>146</v>
      </c>
      <c r="G25" s="454" t="s">
        <v>146</v>
      </c>
      <c r="H25" s="454" t="s">
        <v>146</v>
      </c>
      <c r="I25" s="454" t="s">
        <v>146</v>
      </c>
      <c r="J25" s="464"/>
      <c r="K25" s="464"/>
      <c r="N25" s="346"/>
      <c r="O25" s="474" t="s">
        <v>274</v>
      </c>
      <c r="P25" s="454" t="s">
        <v>146</v>
      </c>
      <c r="Q25" s="454" t="s">
        <v>146</v>
      </c>
      <c r="R25" s="454" t="s">
        <v>146</v>
      </c>
      <c r="S25" s="454" t="s">
        <v>146</v>
      </c>
      <c r="T25" s="454" t="s">
        <v>146</v>
      </c>
      <c r="U25" s="454" t="s">
        <v>146</v>
      </c>
      <c r="V25" s="464"/>
      <c r="W25" s="464"/>
    </row>
    <row r="26" spans="1:24">
      <c r="A26" s="346"/>
      <c r="B26" s="453" t="s">
        <v>275</v>
      </c>
      <c r="C26" s="454" t="s">
        <v>146</v>
      </c>
      <c r="D26" s="454" t="s">
        <v>146</v>
      </c>
      <c r="E26" s="454" t="s">
        <v>146</v>
      </c>
      <c r="F26" s="454" t="s">
        <v>146</v>
      </c>
      <c r="G26" s="454" t="s">
        <v>146</v>
      </c>
      <c r="H26" s="454" t="s">
        <v>146</v>
      </c>
      <c r="I26" s="454" t="s">
        <v>146</v>
      </c>
      <c r="J26" s="464"/>
      <c r="K26" s="464"/>
      <c r="N26" s="346"/>
      <c r="O26" s="474" t="s">
        <v>275</v>
      </c>
      <c r="P26" s="454" t="s">
        <v>146</v>
      </c>
      <c r="Q26" s="454" t="s">
        <v>146</v>
      </c>
      <c r="R26" s="454" t="s">
        <v>146</v>
      </c>
      <c r="S26" s="454" t="s">
        <v>146</v>
      </c>
      <c r="T26" s="454" t="s">
        <v>146</v>
      </c>
      <c r="U26" s="454" t="s">
        <v>146</v>
      </c>
      <c r="V26" s="464"/>
      <c r="W26" s="464"/>
    </row>
    <row r="27" spans="1:24">
      <c r="A27" s="346"/>
      <c r="B27" s="453" t="s">
        <v>632</v>
      </c>
      <c r="C27" s="459">
        <v>0.03</v>
      </c>
      <c r="D27" s="459">
        <v>0.03</v>
      </c>
      <c r="E27" s="459">
        <v>0.03</v>
      </c>
      <c r="F27" s="459">
        <v>0.01</v>
      </c>
      <c r="G27" s="459">
        <v>0.05</v>
      </c>
      <c r="H27" s="459">
        <v>0.01</v>
      </c>
      <c r="I27" s="459">
        <v>0.05</v>
      </c>
      <c r="J27" s="454" t="s">
        <v>246</v>
      </c>
      <c r="K27" s="454" t="s">
        <v>609</v>
      </c>
      <c r="N27" s="346"/>
      <c r="O27" s="474" t="s">
        <v>632</v>
      </c>
      <c r="P27" s="459">
        <v>0.05</v>
      </c>
      <c r="Q27" s="459">
        <v>0.05</v>
      </c>
      <c r="R27" s="459">
        <v>0.03</v>
      </c>
      <c r="S27" s="459">
        <v>0.1</v>
      </c>
      <c r="T27" s="459">
        <v>0.03</v>
      </c>
      <c r="U27" s="459">
        <v>0.1</v>
      </c>
      <c r="V27" s="454" t="s">
        <v>246</v>
      </c>
      <c r="W27" s="454" t="s">
        <v>609</v>
      </c>
    </row>
    <row r="28" spans="1:24">
      <c r="A28" s="346"/>
      <c r="B28" s="453" t="s">
        <v>633</v>
      </c>
      <c r="C28" s="459">
        <v>0.03</v>
      </c>
      <c r="D28" s="459">
        <v>0.03</v>
      </c>
      <c r="E28" s="459">
        <v>0.03</v>
      </c>
      <c r="F28" s="459">
        <v>0.01</v>
      </c>
      <c r="G28" s="459">
        <v>0.05</v>
      </c>
      <c r="H28" s="459">
        <v>0.01</v>
      </c>
      <c r="I28" s="459">
        <v>0.05</v>
      </c>
      <c r="J28" s="454" t="s">
        <v>246</v>
      </c>
      <c r="K28" s="454" t="s">
        <v>609</v>
      </c>
      <c r="N28" s="346"/>
      <c r="O28" s="474" t="s">
        <v>633</v>
      </c>
      <c r="P28" s="459">
        <v>0.05</v>
      </c>
      <c r="Q28" s="459">
        <v>0.05</v>
      </c>
      <c r="R28" s="459">
        <v>0.03</v>
      </c>
      <c r="S28" s="459">
        <v>0.1</v>
      </c>
      <c r="T28" s="459">
        <v>0.03</v>
      </c>
      <c r="U28" s="459">
        <v>0.1</v>
      </c>
      <c r="V28" s="454" t="s">
        <v>246</v>
      </c>
      <c r="W28" s="454" t="s">
        <v>609</v>
      </c>
    </row>
    <row r="29" spans="1:24">
      <c r="A29" s="346"/>
      <c r="B29" s="466"/>
      <c r="C29" s="467"/>
      <c r="D29" s="467"/>
      <c r="E29" s="467"/>
      <c r="F29" s="467"/>
      <c r="G29" s="467"/>
      <c r="H29" s="467"/>
      <c r="I29" s="467"/>
      <c r="J29" s="347"/>
      <c r="K29" s="347"/>
      <c r="N29" s="346"/>
      <c r="O29" s="466"/>
      <c r="P29" s="467"/>
      <c r="Q29" s="467"/>
      <c r="R29" s="467"/>
      <c r="S29" s="467"/>
      <c r="T29" s="467"/>
      <c r="U29" s="467"/>
      <c r="V29" s="347"/>
      <c r="W29" s="347"/>
    </row>
    <row r="30" spans="1:24">
      <c r="A30" s="468" t="s">
        <v>286</v>
      </c>
      <c r="B30" s="466"/>
      <c r="C30" s="467"/>
      <c r="D30" s="467"/>
      <c r="E30" s="467"/>
      <c r="F30" s="467"/>
      <c r="G30" s="467"/>
      <c r="H30" s="467"/>
      <c r="I30" s="467"/>
      <c r="J30" s="347"/>
      <c r="K30" s="347"/>
      <c r="N30" s="468" t="s">
        <v>286</v>
      </c>
      <c r="O30" s="466"/>
      <c r="P30" s="467"/>
      <c r="Q30" s="467"/>
      <c r="R30" s="467"/>
      <c r="S30" s="467"/>
      <c r="T30" s="467"/>
      <c r="U30" s="467"/>
      <c r="V30" s="347"/>
      <c r="W30" s="347"/>
    </row>
    <row r="31" spans="1:24">
      <c r="A31" s="444">
        <v>1</v>
      </c>
      <c r="B31" s="1193" t="s">
        <v>655</v>
      </c>
      <c r="C31" s="1193"/>
      <c r="D31" s="1193"/>
      <c r="E31" s="1193"/>
      <c r="F31" s="1193"/>
      <c r="G31" s="1193"/>
      <c r="H31" s="1193"/>
      <c r="I31" s="1193"/>
      <c r="J31" s="1193"/>
      <c r="K31" s="1193"/>
      <c r="N31" s="444">
        <v>1</v>
      </c>
      <c r="O31" s="1193" t="s">
        <v>655</v>
      </c>
      <c r="P31" s="1193"/>
      <c r="Q31" s="1193"/>
      <c r="R31" s="1193"/>
      <c r="S31" s="1193"/>
      <c r="T31" s="1193"/>
      <c r="U31" s="1193"/>
      <c r="V31" s="1193"/>
      <c r="W31" s="1193"/>
      <c r="X31" s="469"/>
    </row>
    <row r="32" spans="1:24">
      <c r="A32" s="444">
        <v>2</v>
      </c>
      <c r="B32" s="1193" t="s">
        <v>656</v>
      </c>
      <c r="C32" s="1193"/>
      <c r="D32" s="1193"/>
      <c r="E32" s="1193"/>
      <c r="F32" s="1193"/>
      <c r="G32" s="1193"/>
      <c r="H32" s="1193"/>
      <c r="I32" s="1193"/>
      <c r="J32" s="1193"/>
      <c r="K32" s="1193"/>
      <c r="N32" s="444">
        <v>2</v>
      </c>
      <c r="O32" s="1193" t="s">
        <v>656</v>
      </c>
      <c r="P32" s="1193"/>
      <c r="Q32" s="1193"/>
      <c r="R32" s="1193"/>
      <c r="S32" s="1193"/>
      <c r="T32" s="1193"/>
      <c r="U32" s="1193"/>
      <c r="V32" s="1193"/>
      <c r="W32" s="1193"/>
      <c r="X32" s="469"/>
    </row>
    <row r="33" spans="1:24">
      <c r="A33" s="444">
        <v>3</v>
      </c>
      <c r="B33" s="470" t="s">
        <v>657</v>
      </c>
      <c r="C33" s="467"/>
      <c r="D33" s="467"/>
      <c r="E33" s="467"/>
      <c r="F33" s="467"/>
      <c r="G33" s="467"/>
      <c r="H33" s="467"/>
      <c r="I33" s="467"/>
      <c r="J33" s="347"/>
      <c r="K33" s="347"/>
      <c r="N33" s="444">
        <v>3</v>
      </c>
      <c r="O33" s="470" t="s">
        <v>657</v>
      </c>
      <c r="P33" s="467"/>
      <c r="Q33" s="467"/>
      <c r="R33" s="467"/>
      <c r="S33" s="467"/>
      <c r="T33" s="467"/>
      <c r="U33" s="467"/>
      <c r="V33" s="467"/>
      <c r="W33" s="347"/>
      <c r="X33" s="347"/>
    </row>
    <row r="34" spans="1:24">
      <c r="A34" s="444">
        <v>4</v>
      </c>
      <c r="B34" s="470" t="s">
        <v>658</v>
      </c>
      <c r="C34" s="467"/>
      <c r="D34" s="467"/>
      <c r="E34" s="467"/>
      <c r="F34" s="467"/>
      <c r="G34" s="467"/>
      <c r="H34" s="467"/>
      <c r="I34" s="467"/>
      <c r="J34" s="347"/>
      <c r="K34" s="347"/>
      <c r="N34" s="444">
        <v>4</v>
      </c>
      <c r="O34" s="470" t="s">
        <v>658</v>
      </c>
      <c r="P34" s="467"/>
      <c r="Q34" s="467"/>
      <c r="R34" s="467"/>
      <c r="S34" s="467"/>
      <c r="T34" s="467"/>
      <c r="U34" s="467"/>
      <c r="V34" s="467"/>
      <c r="W34" s="347"/>
      <c r="X34" s="347"/>
    </row>
    <row r="35" spans="1:24">
      <c r="A35" s="479" t="s">
        <v>638</v>
      </c>
      <c r="B35" s="480"/>
      <c r="C35" s="346"/>
      <c r="D35" s="346"/>
      <c r="E35" s="346"/>
      <c r="F35" s="346"/>
      <c r="G35" s="346"/>
      <c r="H35" s="346"/>
      <c r="I35" s="346"/>
      <c r="J35" s="346"/>
      <c r="K35" s="346"/>
      <c r="N35" s="479" t="s">
        <v>638</v>
      </c>
      <c r="O35" s="480"/>
      <c r="P35" s="346"/>
      <c r="Q35" s="346"/>
      <c r="R35" s="346"/>
      <c r="S35" s="346"/>
      <c r="T35" s="346"/>
      <c r="U35" s="346"/>
      <c r="V35" s="346"/>
      <c r="W35" s="346"/>
      <c r="X35" s="346"/>
    </row>
    <row r="36" spans="1:24">
      <c r="A36" s="444" t="s">
        <v>246</v>
      </c>
      <c r="B36" s="1194" t="s">
        <v>659</v>
      </c>
      <c r="C36" s="1194"/>
      <c r="D36" s="1194"/>
      <c r="E36" s="1194"/>
      <c r="F36" s="1194"/>
      <c r="G36" s="1194"/>
      <c r="H36" s="1194"/>
      <c r="I36" s="1194"/>
      <c r="J36" s="1194"/>
      <c r="K36" s="1194"/>
      <c r="L36" s="317"/>
      <c r="M36" s="317"/>
      <c r="N36" s="444" t="s">
        <v>246</v>
      </c>
      <c r="O36" s="1194" t="s">
        <v>659</v>
      </c>
      <c r="P36" s="1194"/>
      <c r="Q36" s="1194"/>
      <c r="R36" s="1194"/>
      <c r="S36" s="1194"/>
      <c r="T36" s="1194"/>
      <c r="U36" s="1194"/>
      <c r="V36" s="1194"/>
      <c r="W36" s="1194"/>
      <c r="X36" s="317"/>
    </row>
    <row r="37" spans="1:24">
      <c r="A37" s="444" t="s">
        <v>300</v>
      </c>
      <c r="B37" s="443" t="s">
        <v>660</v>
      </c>
      <c r="C37" s="317"/>
      <c r="D37" s="317"/>
      <c r="E37" s="317"/>
      <c r="F37" s="317"/>
      <c r="G37" s="317"/>
      <c r="H37" s="317"/>
      <c r="I37" s="317"/>
      <c r="J37" s="317"/>
      <c r="K37" s="317"/>
      <c r="L37" s="317"/>
      <c r="M37" s="317"/>
      <c r="N37" s="444" t="s">
        <v>300</v>
      </c>
      <c r="O37" s="443" t="s">
        <v>660</v>
      </c>
      <c r="P37" s="317"/>
      <c r="Q37" s="317"/>
      <c r="R37" s="317"/>
      <c r="S37" s="317"/>
      <c r="T37" s="317"/>
      <c r="U37" s="317"/>
      <c r="V37" s="317"/>
      <c r="W37" s="317"/>
      <c r="X37" s="317"/>
    </row>
    <row r="38" spans="1:24">
      <c r="A38" s="444" t="s">
        <v>265</v>
      </c>
      <c r="B38" s="1194" t="s">
        <v>661</v>
      </c>
      <c r="C38" s="1194"/>
      <c r="D38" s="1194"/>
      <c r="E38" s="1194"/>
      <c r="F38" s="1194"/>
      <c r="G38" s="1194"/>
      <c r="H38" s="1194"/>
      <c r="I38" s="1194"/>
      <c r="J38" s="1194"/>
      <c r="K38" s="1194"/>
      <c r="L38" s="317"/>
      <c r="M38" s="317"/>
      <c r="N38" s="444" t="s">
        <v>265</v>
      </c>
      <c r="O38" s="1194" t="s">
        <v>661</v>
      </c>
      <c r="P38" s="1194"/>
      <c r="Q38" s="1194"/>
      <c r="R38" s="1194"/>
      <c r="S38" s="1194"/>
      <c r="T38" s="1194"/>
      <c r="U38" s="1194"/>
      <c r="V38" s="1194"/>
      <c r="W38" s="1194"/>
      <c r="X38" s="317"/>
    </row>
    <row r="39" spans="1:24">
      <c r="A39" s="444" t="s">
        <v>303</v>
      </c>
      <c r="B39" s="443" t="s">
        <v>662</v>
      </c>
      <c r="C39" s="317"/>
      <c r="D39" s="317"/>
      <c r="E39" s="317"/>
      <c r="F39" s="317"/>
      <c r="G39" s="317"/>
      <c r="H39" s="317"/>
      <c r="I39" s="317"/>
      <c r="J39" s="317"/>
      <c r="K39" s="317"/>
      <c r="L39" s="317"/>
      <c r="M39" s="317"/>
      <c r="N39" s="444" t="s">
        <v>303</v>
      </c>
      <c r="O39" s="443" t="s">
        <v>662</v>
      </c>
      <c r="P39" s="317"/>
      <c r="Q39" s="317"/>
      <c r="R39" s="317"/>
      <c r="S39" s="317"/>
      <c r="T39" s="317"/>
      <c r="U39" s="317"/>
      <c r="V39" s="317"/>
      <c r="W39" s="317"/>
      <c r="X39" s="317"/>
    </row>
    <row r="40" spans="1:24">
      <c r="A40" s="317"/>
      <c r="N40" s="317"/>
      <c r="O40"/>
      <c r="P40"/>
      <c r="Q40"/>
      <c r="R40"/>
      <c r="S40"/>
      <c r="T40"/>
      <c r="U40"/>
      <c r="V40"/>
      <c r="W40"/>
    </row>
    <row r="41" spans="1:24">
      <c r="A41" s="340"/>
      <c r="N41" s="340"/>
      <c r="O41"/>
      <c r="P41"/>
      <c r="Q41"/>
      <c r="R41"/>
      <c r="S41"/>
      <c r="T41"/>
      <c r="U41"/>
      <c r="V41"/>
      <c r="W41"/>
    </row>
    <row r="42" spans="1:24">
      <c r="A42" s="428"/>
      <c r="N42" s="428"/>
    </row>
    <row r="43" spans="1:24">
      <c r="A43" s="428"/>
      <c r="N43" s="428"/>
    </row>
    <row r="44" spans="1:24">
      <c r="A44" s="428"/>
      <c r="N44" s="428"/>
    </row>
  </sheetData>
  <mergeCells count="15">
    <mergeCell ref="F1:K1"/>
    <mergeCell ref="B31:K31"/>
    <mergeCell ref="B36:K36"/>
    <mergeCell ref="O36:W36"/>
    <mergeCell ref="B38:K38"/>
    <mergeCell ref="O38:W38"/>
    <mergeCell ref="B32:K32"/>
    <mergeCell ref="O32:W32"/>
    <mergeCell ref="O31:W31"/>
    <mergeCell ref="P3:W3"/>
    <mergeCell ref="R4:S4"/>
    <mergeCell ref="T4:U4"/>
    <mergeCell ref="C3:K3"/>
    <mergeCell ref="F4:G4"/>
    <mergeCell ref="H4:I4"/>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4BFA-2555-4395-91D1-24537FFA2BEC}">
  <sheetPr codeName="Sheet25">
    <tabColor theme="0" tint="-0.499984740745262"/>
  </sheetPr>
  <dimension ref="A1:L52"/>
  <sheetViews>
    <sheetView showGridLines="0" zoomScaleNormal="100" workbookViewId="0">
      <selection activeCell="B47" sqref="B47:K47"/>
    </sheetView>
  </sheetViews>
  <sheetFormatPr defaultRowHeight="15"/>
  <cols>
    <col min="1" max="1" width="3" style="93" customWidth="1"/>
    <col min="2" max="2" width="33.85546875" style="93" customWidth="1"/>
    <col min="3" max="5" width="5.42578125" style="150" bestFit="1" customWidth="1"/>
    <col min="6" max="9" width="9.28515625" style="150" customWidth="1"/>
    <col min="10" max="10" width="5" style="150" bestFit="1" customWidth="1"/>
    <col min="11" max="11" width="6.5703125" style="150" customWidth="1"/>
    <col min="12" max="12" width="8.7109375" style="94"/>
  </cols>
  <sheetData>
    <row r="1" spans="1:12" ht="20.25">
      <c r="A1" s="317" t="s">
        <v>327</v>
      </c>
      <c r="B1" s="318" t="s">
        <v>234</v>
      </c>
      <c r="C1" s="344" t="s">
        <v>327</v>
      </c>
      <c r="D1" s="344" t="s">
        <v>327</v>
      </c>
      <c r="E1" s="344" t="s">
        <v>327</v>
      </c>
      <c r="F1" s="1192"/>
      <c r="G1" s="1192"/>
      <c r="H1" s="1192"/>
      <c r="I1" s="1192"/>
      <c r="J1" s="1192"/>
      <c r="K1" s="1192"/>
      <c r="L1" s="94" t="s">
        <v>327</v>
      </c>
    </row>
    <row r="2" spans="1:12" s="94" customFormat="1">
      <c r="A2" s="317" t="s">
        <v>327</v>
      </c>
      <c r="B2" s="317" t="s">
        <v>327</v>
      </c>
      <c r="C2" s="344" t="s">
        <v>327</v>
      </c>
      <c r="D2" s="344" t="s">
        <v>327</v>
      </c>
      <c r="E2" s="344" t="s">
        <v>327</v>
      </c>
      <c r="F2" s="344" t="s">
        <v>327</v>
      </c>
      <c r="G2" s="344" t="s">
        <v>327</v>
      </c>
      <c r="H2" s="344" t="s">
        <v>327</v>
      </c>
      <c r="I2" s="344" t="s">
        <v>327</v>
      </c>
      <c r="J2" s="344" t="s">
        <v>327</v>
      </c>
      <c r="K2" s="344" t="s">
        <v>327</v>
      </c>
      <c r="L2" s="94" t="s">
        <v>327</v>
      </c>
    </row>
    <row r="3" spans="1:12">
      <c r="A3" s="317" t="s">
        <v>327</v>
      </c>
      <c r="B3" s="320" t="s">
        <v>145</v>
      </c>
      <c r="C3" s="1179" t="s">
        <v>605</v>
      </c>
      <c r="D3" s="1179"/>
      <c r="E3" s="1179"/>
      <c r="F3" s="1179"/>
      <c r="G3" s="1179"/>
      <c r="H3" s="1179"/>
      <c r="I3" s="1179"/>
      <c r="J3" s="1179"/>
      <c r="K3" s="1180"/>
    </row>
    <row r="4" spans="1:12">
      <c r="A4" s="317" t="s">
        <v>327</v>
      </c>
      <c r="B4" s="323" t="s">
        <v>327</v>
      </c>
      <c r="C4" s="425">
        <v>2023</v>
      </c>
      <c r="D4" s="425">
        <v>2030</v>
      </c>
      <c r="E4" s="425">
        <v>2050</v>
      </c>
      <c r="F4" s="1182" t="s">
        <v>606</v>
      </c>
      <c r="G4" s="1168"/>
      <c r="H4" s="1182" t="s">
        <v>237</v>
      </c>
      <c r="I4" s="1168"/>
      <c r="J4" s="425" t="s">
        <v>238</v>
      </c>
      <c r="K4" s="425" t="s">
        <v>239</v>
      </c>
      <c r="L4" s="94" t="s">
        <v>327</v>
      </c>
    </row>
    <row r="5" spans="1:12">
      <c r="A5" s="317" t="s">
        <v>327</v>
      </c>
      <c r="B5" s="325" t="s">
        <v>240</v>
      </c>
      <c r="C5" s="326" t="s">
        <v>327</v>
      </c>
      <c r="D5" s="326" t="s">
        <v>327</v>
      </c>
      <c r="E5" s="326" t="s">
        <v>327</v>
      </c>
      <c r="F5" s="326" t="s">
        <v>241</v>
      </c>
      <c r="G5" s="326" t="s">
        <v>242</v>
      </c>
      <c r="H5" s="326" t="s">
        <v>241</v>
      </c>
      <c r="I5" s="326" t="s">
        <v>242</v>
      </c>
      <c r="J5" s="326" t="s">
        <v>327</v>
      </c>
      <c r="K5" s="324" t="s">
        <v>327</v>
      </c>
    </row>
    <row r="6" spans="1:12">
      <c r="A6" s="317" t="s">
        <v>327</v>
      </c>
      <c r="B6" s="323" t="s">
        <v>607</v>
      </c>
      <c r="C6" s="327">
        <v>600</v>
      </c>
      <c r="D6" s="328">
        <v>600</v>
      </c>
      <c r="E6" s="328">
        <v>600</v>
      </c>
      <c r="F6" s="328">
        <v>300</v>
      </c>
      <c r="G6" s="328">
        <v>800</v>
      </c>
      <c r="H6" s="328">
        <v>300</v>
      </c>
      <c r="I6" s="328">
        <v>800</v>
      </c>
      <c r="J6" s="329"/>
      <c r="K6" s="330"/>
    </row>
    <row r="7" spans="1:12" ht="14.25" customHeight="1">
      <c r="A7" s="317" t="s">
        <v>327</v>
      </c>
      <c r="B7" s="323" t="s">
        <v>608</v>
      </c>
      <c r="C7" s="327">
        <v>-1</v>
      </c>
      <c r="D7" s="328">
        <v>-1</v>
      </c>
      <c r="E7" s="328">
        <v>-1</v>
      </c>
      <c r="F7" s="328">
        <v>0</v>
      </c>
      <c r="G7" s="328">
        <v>-3</v>
      </c>
      <c r="H7" s="328">
        <v>0</v>
      </c>
      <c r="I7" s="328">
        <v>-3</v>
      </c>
      <c r="J7" s="329" t="s">
        <v>246</v>
      </c>
      <c r="K7" s="429" t="s">
        <v>609</v>
      </c>
      <c r="L7" s="94" t="s">
        <v>327</v>
      </c>
    </row>
    <row r="8" spans="1:12">
      <c r="A8" s="317" t="s">
        <v>327</v>
      </c>
      <c r="B8" s="323" t="s">
        <v>610</v>
      </c>
      <c r="C8" s="330">
        <v>-1</v>
      </c>
      <c r="D8" s="327">
        <v>-1</v>
      </c>
      <c r="E8" s="328">
        <v>-1</v>
      </c>
      <c r="F8" s="329">
        <v>0</v>
      </c>
      <c r="G8" s="330">
        <v>-3</v>
      </c>
      <c r="H8" s="330">
        <v>0</v>
      </c>
      <c r="I8" s="330">
        <v>-3</v>
      </c>
      <c r="J8" s="330" t="s">
        <v>246</v>
      </c>
      <c r="K8" s="429" t="s">
        <v>609</v>
      </c>
      <c r="L8" s="94" t="s">
        <v>327</v>
      </c>
    </row>
    <row r="9" spans="1:12">
      <c r="A9" s="317" t="s">
        <v>327</v>
      </c>
      <c r="B9" s="334" t="s">
        <v>611</v>
      </c>
      <c r="C9" s="330">
        <v>0</v>
      </c>
      <c r="D9" s="327">
        <v>0</v>
      </c>
      <c r="E9" s="328">
        <v>0</v>
      </c>
      <c r="F9" s="329">
        <v>0</v>
      </c>
      <c r="G9" s="330">
        <v>1</v>
      </c>
      <c r="H9" s="330">
        <v>0</v>
      </c>
      <c r="I9" s="330">
        <v>1</v>
      </c>
      <c r="J9" s="330" t="s">
        <v>246</v>
      </c>
      <c r="K9" s="429">
        <v>3</v>
      </c>
      <c r="L9" s="94" t="s">
        <v>327</v>
      </c>
    </row>
    <row r="10" spans="1:12">
      <c r="A10" s="317" t="s">
        <v>327</v>
      </c>
      <c r="B10" s="335" t="s">
        <v>249</v>
      </c>
      <c r="C10" s="330">
        <v>0</v>
      </c>
      <c r="D10" s="330">
        <v>0</v>
      </c>
      <c r="E10" s="330">
        <v>0</v>
      </c>
      <c r="F10" s="327">
        <v>0</v>
      </c>
      <c r="G10" s="328">
        <v>1</v>
      </c>
      <c r="H10" s="328">
        <v>0</v>
      </c>
      <c r="I10" s="328">
        <v>1</v>
      </c>
      <c r="J10" s="329" t="s">
        <v>246</v>
      </c>
      <c r="K10" s="429">
        <v>3</v>
      </c>
      <c r="L10" s="94" t="s">
        <v>327</v>
      </c>
    </row>
    <row r="11" spans="1:12">
      <c r="A11" s="317" t="s">
        <v>327</v>
      </c>
      <c r="B11" s="323" t="s">
        <v>250</v>
      </c>
      <c r="C11" s="330">
        <v>20</v>
      </c>
      <c r="D11" s="330">
        <v>20</v>
      </c>
      <c r="E11" s="330">
        <v>20</v>
      </c>
      <c r="F11" s="327">
        <v>10</v>
      </c>
      <c r="G11" s="328">
        <v>20</v>
      </c>
      <c r="H11" s="328">
        <v>10</v>
      </c>
      <c r="I11" s="328">
        <v>20</v>
      </c>
      <c r="J11" s="329"/>
      <c r="K11" s="429"/>
      <c r="L11" s="94" t="s">
        <v>327</v>
      </c>
    </row>
    <row r="12" spans="1:12">
      <c r="A12" s="317" t="s">
        <v>327</v>
      </c>
      <c r="B12" s="335" t="s">
        <v>252</v>
      </c>
      <c r="C12" s="430"/>
      <c r="D12" s="430"/>
      <c r="E12" s="430"/>
      <c r="F12" s="431"/>
      <c r="G12" s="431"/>
      <c r="H12" s="431"/>
      <c r="I12" s="431"/>
      <c r="J12" s="430"/>
      <c r="K12" s="432"/>
      <c r="L12" s="94" t="s">
        <v>327</v>
      </c>
    </row>
    <row r="13" spans="1:12" ht="14.25" customHeight="1">
      <c r="A13" s="317" t="s">
        <v>327</v>
      </c>
      <c r="B13" s="335" t="s">
        <v>612</v>
      </c>
      <c r="C13" s="430"/>
      <c r="D13" s="430"/>
      <c r="E13" s="430"/>
      <c r="F13" s="430"/>
      <c r="G13" s="430"/>
      <c r="H13" s="430"/>
      <c r="I13" s="431"/>
      <c r="J13" s="430"/>
      <c r="K13" s="432"/>
      <c r="L13" s="94" t="s">
        <v>327</v>
      </c>
    </row>
    <row r="14" spans="1:12">
      <c r="A14" s="317" t="s">
        <v>327</v>
      </c>
      <c r="B14" s="325" t="s">
        <v>258</v>
      </c>
      <c r="C14" s="433"/>
      <c r="D14" s="433"/>
      <c r="E14" s="433"/>
      <c r="F14" s="433"/>
      <c r="G14" s="433"/>
      <c r="H14" s="433"/>
      <c r="I14" s="433"/>
      <c r="J14" s="434"/>
      <c r="K14" s="429"/>
      <c r="L14" s="94" t="s">
        <v>327</v>
      </c>
    </row>
    <row r="15" spans="1:12">
      <c r="A15" s="317" t="s">
        <v>327</v>
      </c>
      <c r="B15" s="335" t="s">
        <v>259</v>
      </c>
      <c r="C15" s="435">
        <v>0</v>
      </c>
      <c r="D15" s="435">
        <v>0</v>
      </c>
      <c r="E15" s="435">
        <v>0</v>
      </c>
      <c r="F15" s="435">
        <v>0</v>
      </c>
      <c r="G15" s="435">
        <v>0</v>
      </c>
      <c r="H15" s="435">
        <v>0</v>
      </c>
      <c r="I15" s="435">
        <v>0</v>
      </c>
      <c r="J15" s="435" t="s">
        <v>246</v>
      </c>
      <c r="K15" s="436">
        <v>2</v>
      </c>
      <c r="L15" s="94" t="s">
        <v>327</v>
      </c>
    </row>
    <row r="16" spans="1:12">
      <c r="A16" s="317" t="s">
        <v>327</v>
      </c>
      <c r="B16" s="336" t="s">
        <v>260</v>
      </c>
      <c r="C16" s="343">
        <v>0</v>
      </c>
      <c r="D16" s="345">
        <v>0</v>
      </c>
      <c r="E16" s="345">
        <v>0</v>
      </c>
      <c r="F16" s="345">
        <v>0</v>
      </c>
      <c r="G16" s="345">
        <v>0</v>
      </c>
      <c r="H16" s="345">
        <v>0</v>
      </c>
      <c r="I16" s="345">
        <v>0</v>
      </c>
      <c r="J16" s="330" t="s">
        <v>246</v>
      </c>
      <c r="K16" s="429">
        <v>2</v>
      </c>
      <c r="L16" s="94" t="s">
        <v>327</v>
      </c>
    </row>
    <row r="17" spans="1:12">
      <c r="A17" s="317" t="s">
        <v>327</v>
      </c>
      <c r="B17" s="336" t="s">
        <v>261</v>
      </c>
      <c r="C17" s="343">
        <v>0</v>
      </c>
      <c r="D17" s="345">
        <v>0</v>
      </c>
      <c r="E17" s="345">
        <v>0</v>
      </c>
      <c r="F17" s="345">
        <v>0</v>
      </c>
      <c r="G17" s="345">
        <v>0</v>
      </c>
      <c r="H17" s="345">
        <v>0</v>
      </c>
      <c r="I17" s="345">
        <v>0</v>
      </c>
      <c r="J17" s="330" t="s">
        <v>246</v>
      </c>
      <c r="K17" s="429">
        <v>2</v>
      </c>
      <c r="L17" s="94" t="s">
        <v>327</v>
      </c>
    </row>
    <row r="18" spans="1:12" ht="14.25" customHeight="1">
      <c r="A18" s="317" t="s">
        <v>327</v>
      </c>
      <c r="B18" s="335" t="s">
        <v>262</v>
      </c>
      <c r="C18" s="435">
        <v>0</v>
      </c>
      <c r="D18" s="435">
        <v>0</v>
      </c>
      <c r="E18" s="435">
        <v>0</v>
      </c>
      <c r="F18" s="435">
        <v>0</v>
      </c>
      <c r="G18" s="435">
        <v>0</v>
      </c>
      <c r="H18" s="435">
        <v>0</v>
      </c>
      <c r="I18" s="435">
        <v>0</v>
      </c>
      <c r="J18" s="435" t="s">
        <v>246</v>
      </c>
      <c r="K18" s="436">
        <v>2</v>
      </c>
      <c r="L18" s="94" t="s">
        <v>327</v>
      </c>
    </row>
    <row r="19" spans="1:12">
      <c r="A19" s="317" t="s">
        <v>327</v>
      </c>
      <c r="B19" s="325" t="s">
        <v>263</v>
      </c>
      <c r="C19" s="437"/>
      <c r="D19" s="437"/>
      <c r="E19" s="437"/>
      <c r="F19" s="437"/>
      <c r="G19" s="437"/>
      <c r="H19" s="437"/>
      <c r="I19" s="437"/>
      <c r="J19" s="437"/>
      <c r="K19" s="438"/>
    </row>
    <row r="20" spans="1:12" ht="14.25" customHeight="1">
      <c r="A20" s="317" t="s">
        <v>327</v>
      </c>
      <c r="B20" s="323" t="s">
        <v>613</v>
      </c>
      <c r="C20" s="330">
        <v>0</v>
      </c>
      <c r="D20" s="330">
        <v>0</v>
      </c>
      <c r="E20" s="330">
        <v>0</v>
      </c>
      <c r="F20" s="330">
        <v>0</v>
      </c>
      <c r="G20" s="330">
        <v>0</v>
      </c>
      <c r="H20" s="330">
        <v>0</v>
      </c>
      <c r="I20" s="330">
        <v>0</v>
      </c>
      <c r="J20" s="330" t="s">
        <v>246</v>
      </c>
      <c r="K20" s="429">
        <v>3</v>
      </c>
      <c r="L20" s="94" t="s">
        <v>327</v>
      </c>
    </row>
    <row r="21" spans="1:12">
      <c r="A21" s="317" t="s">
        <v>327</v>
      </c>
      <c r="B21" s="323" t="s">
        <v>614</v>
      </c>
      <c r="C21" s="330">
        <v>0</v>
      </c>
      <c r="D21" s="330">
        <v>0</v>
      </c>
      <c r="E21" s="330">
        <v>0</v>
      </c>
      <c r="F21" s="330">
        <v>0</v>
      </c>
      <c r="G21" s="330">
        <v>0</v>
      </c>
      <c r="H21" s="330">
        <v>0</v>
      </c>
      <c r="I21" s="330">
        <v>0</v>
      </c>
      <c r="J21" s="330" t="s">
        <v>246</v>
      </c>
      <c r="K21" s="429">
        <v>3</v>
      </c>
      <c r="L21" s="94" t="s">
        <v>327</v>
      </c>
    </row>
    <row r="22" spans="1:12">
      <c r="A22" s="317" t="s">
        <v>327</v>
      </c>
      <c r="B22" s="323" t="s">
        <v>615</v>
      </c>
      <c r="C22" s="330">
        <v>0</v>
      </c>
      <c r="D22" s="330">
        <v>0</v>
      </c>
      <c r="E22" s="330">
        <v>0</v>
      </c>
      <c r="F22" s="330">
        <v>0</v>
      </c>
      <c r="G22" s="330">
        <v>0</v>
      </c>
      <c r="H22" s="330">
        <v>0</v>
      </c>
      <c r="I22" s="330">
        <v>0</v>
      </c>
      <c r="J22" s="330" t="s">
        <v>246</v>
      </c>
      <c r="K22" s="429">
        <v>3</v>
      </c>
      <c r="L22" s="94" t="s">
        <v>327</v>
      </c>
    </row>
    <row r="23" spans="1:12">
      <c r="A23" s="317" t="s">
        <v>327</v>
      </c>
      <c r="B23" s="325" t="s">
        <v>270</v>
      </c>
      <c r="C23" s="437"/>
      <c r="D23" s="437"/>
      <c r="E23" s="437"/>
      <c r="F23" s="437"/>
      <c r="G23" s="437"/>
      <c r="H23" s="437"/>
      <c r="I23" s="437"/>
      <c r="J23" s="437"/>
      <c r="K23" s="438"/>
      <c r="L23" s="94" t="s">
        <v>327</v>
      </c>
    </row>
    <row r="24" spans="1:12">
      <c r="A24" s="317" t="s">
        <v>327</v>
      </c>
      <c r="B24" s="323" t="s">
        <v>271</v>
      </c>
      <c r="C24" s="439">
        <v>0.28000000000000003</v>
      </c>
      <c r="D24" s="439">
        <v>0.28000000000000003</v>
      </c>
      <c r="E24" s="439">
        <v>0.28000000000000003</v>
      </c>
      <c r="F24" s="439">
        <v>0.11</v>
      </c>
      <c r="G24" s="439">
        <v>0.32</v>
      </c>
      <c r="H24" s="439">
        <v>0.11</v>
      </c>
      <c r="I24" s="439">
        <v>0.32</v>
      </c>
      <c r="J24" s="330" t="s">
        <v>616</v>
      </c>
      <c r="K24" s="429" t="s">
        <v>273</v>
      </c>
      <c r="L24" s="94" t="s">
        <v>327</v>
      </c>
    </row>
    <row r="25" spans="1:12">
      <c r="A25" s="317" t="s">
        <v>327</v>
      </c>
      <c r="B25" s="323" t="s">
        <v>274</v>
      </c>
      <c r="C25" s="330" t="s">
        <v>146</v>
      </c>
      <c r="D25" s="330" t="s">
        <v>146</v>
      </c>
      <c r="E25" s="330" t="s">
        <v>146</v>
      </c>
      <c r="F25" s="330" t="s">
        <v>146</v>
      </c>
      <c r="G25" s="330" t="s">
        <v>146</v>
      </c>
      <c r="H25" s="330" t="s">
        <v>146</v>
      </c>
      <c r="I25" s="330" t="s">
        <v>146</v>
      </c>
      <c r="J25" s="330"/>
      <c r="K25" s="429"/>
      <c r="L25" s="94" t="s">
        <v>327</v>
      </c>
    </row>
    <row r="26" spans="1:12">
      <c r="A26" s="317" t="s">
        <v>327</v>
      </c>
      <c r="B26" s="323" t="s">
        <v>275</v>
      </c>
      <c r="C26" s="330" t="s">
        <v>146</v>
      </c>
      <c r="D26" s="330" t="s">
        <v>146</v>
      </c>
      <c r="E26" s="330" t="s">
        <v>146</v>
      </c>
      <c r="F26" s="330" t="s">
        <v>146</v>
      </c>
      <c r="G26" s="330" t="s">
        <v>146</v>
      </c>
      <c r="H26" s="330" t="s">
        <v>146</v>
      </c>
      <c r="I26" s="330" t="s">
        <v>146</v>
      </c>
      <c r="J26" s="330"/>
      <c r="K26" s="429"/>
      <c r="L26" s="94" t="s">
        <v>327</v>
      </c>
    </row>
    <row r="27" spans="1:12">
      <c r="A27" s="317" t="s">
        <v>327</v>
      </c>
      <c r="B27" s="323" t="s">
        <v>276</v>
      </c>
      <c r="C27" s="341">
        <v>0.03</v>
      </c>
      <c r="D27" s="341">
        <v>0.03</v>
      </c>
      <c r="E27" s="341">
        <v>0.03</v>
      </c>
      <c r="F27" s="341">
        <v>0.01</v>
      </c>
      <c r="G27" s="341">
        <v>0.05</v>
      </c>
      <c r="H27" s="341">
        <v>0.01</v>
      </c>
      <c r="I27" s="341">
        <v>0.05</v>
      </c>
      <c r="J27" s="330" t="s">
        <v>246</v>
      </c>
      <c r="K27" s="429" t="s">
        <v>609</v>
      </c>
      <c r="L27" s="94" t="s">
        <v>327</v>
      </c>
    </row>
    <row r="28" spans="1:12">
      <c r="A28" s="317" t="s">
        <v>327</v>
      </c>
      <c r="B28" s="323" t="s">
        <v>279</v>
      </c>
      <c r="C28" s="341">
        <v>0</v>
      </c>
      <c r="D28" s="440">
        <v>0</v>
      </c>
      <c r="E28" s="441">
        <v>0</v>
      </c>
      <c r="F28" s="442">
        <v>0</v>
      </c>
      <c r="G28" s="341">
        <v>0.03</v>
      </c>
      <c r="H28" s="341">
        <v>0</v>
      </c>
      <c r="I28" s="341">
        <v>0.03</v>
      </c>
      <c r="J28" s="330" t="s">
        <v>246</v>
      </c>
      <c r="K28" s="429" t="s">
        <v>609</v>
      </c>
      <c r="L28" s="94" t="s">
        <v>327</v>
      </c>
    </row>
    <row r="29" spans="1:12">
      <c r="A29" s="317" t="s">
        <v>327</v>
      </c>
      <c r="B29" s="317" t="s">
        <v>327</v>
      </c>
      <c r="C29" s="344" t="s">
        <v>327</v>
      </c>
      <c r="D29" s="344" t="s">
        <v>327</v>
      </c>
      <c r="E29" s="344" t="s">
        <v>327</v>
      </c>
      <c r="F29" s="344" t="s">
        <v>327</v>
      </c>
      <c r="G29" s="344" t="s">
        <v>327</v>
      </c>
      <c r="H29" s="344" t="s">
        <v>327</v>
      </c>
      <c r="I29" s="344" t="s">
        <v>327</v>
      </c>
      <c r="J29" s="344" t="s">
        <v>327</v>
      </c>
      <c r="K29" s="344" t="s">
        <v>327</v>
      </c>
      <c r="L29" s="94" t="s">
        <v>327</v>
      </c>
    </row>
    <row r="30" spans="1:12">
      <c r="A30" s="340" t="s">
        <v>286</v>
      </c>
      <c r="B30" s="340"/>
      <c r="C30" s="344" t="s">
        <v>327</v>
      </c>
      <c r="D30" s="344" t="s">
        <v>327</v>
      </c>
      <c r="E30" s="344" t="s">
        <v>327</v>
      </c>
      <c r="F30" s="344" t="s">
        <v>327</v>
      </c>
      <c r="G30" s="344" t="s">
        <v>327</v>
      </c>
      <c r="H30" s="344" t="s">
        <v>327</v>
      </c>
      <c r="I30" s="344" t="s">
        <v>327</v>
      </c>
      <c r="J30" s="344" t="s">
        <v>327</v>
      </c>
      <c r="K30" s="344" t="s">
        <v>327</v>
      </c>
      <c r="L30" s="93" t="s">
        <v>327</v>
      </c>
    </row>
    <row r="31" spans="1:12">
      <c r="A31" s="317">
        <v>1</v>
      </c>
      <c r="B31" s="317" t="s">
        <v>617</v>
      </c>
      <c r="C31" s="317"/>
      <c r="D31" s="317"/>
      <c r="E31" s="317"/>
      <c r="F31" s="317"/>
      <c r="G31" s="317"/>
      <c r="H31" s="317"/>
      <c r="I31" s="317"/>
      <c r="J31" s="317"/>
      <c r="K31" s="317"/>
      <c r="L31" s="94" t="s">
        <v>327</v>
      </c>
    </row>
    <row r="32" spans="1:12">
      <c r="A32" s="443">
        <v>2</v>
      </c>
      <c r="B32" s="1194" t="s">
        <v>618</v>
      </c>
      <c r="C32" s="1194"/>
      <c r="D32" s="1194"/>
      <c r="E32" s="1194"/>
      <c r="F32" s="1194"/>
      <c r="G32" s="1194"/>
      <c r="H32" s="1194"/>
      <c r="I32" s="1194"/>
      <c r="J32" s="1194"/>
      <c r="K32" s="1194"/>
      <c r="L32" s="94" t="s">
        <v>327</v>
      </c>
    </row>
    <row r="33" spans="1:12">
      <c r="A33" s="443">
        <v>3</v>
      </c>
      <c r="B33" s="1201" t="s">
        <v>619</v>
      </c>
      <c r="C33" s="1201"/>
      <c r="D33" s="1201"/>
      <c r="E33" s="1201"/>
      <c r="F33" s="1201"/>
      <c r="G33" s="1201"/>
      <c r="H33" s="1201"/>
      <c r="I33" s="1201"/>
      <c r="J33" s="1201"/>
      <c r="K33" s="1201"/>
      <c r="L33" s="94" t="s">
        <v>327</v>
      </c>
    </row>
    <row r="34" spans="1:12">
      <c r="A34" s="317">
        <v>4</v>
      </c>
      <c r="B34" s="317" t="s">
        <v>620</v>
      </c>
      <c r="C34" s="317"/>
      <c r="D34" s="317"/>
      <c r="E34" s="317"/>
      <c r="F34" s="317"/>
      <c r="G34" s="317"/>
      <c r="H34" s="317"/>
      <c r="I34" s="317"/>
      <c r="J34" s="317"/>
      <c r="K34" s="317"/>
      <c r="L34" s="94" t="s">
        <v>327</v>
      </c>
    </row>
    <row r="35" spans="1:12">
      <c r="A35" s="340" t="s">
        <v>298</v>
      </c>
      <c r="B35" s="340"/>
      <c r="C35" s="344" t="s">
        <v>327</v>
      </c>
      <c r="D35" s="344" t="s">
        <v>327</v>
      </c>
      <c r="E35" s="344" t="s">
        <v>327</v>
      </c>
      <c r="F35" s="344" t="s">
        <v>327</v>
      </c>
      <c r="G35" s="344" t="s">
        <v>327</v>
      </c>
      <c r="H35" s="344" t="s">
        <v>327</v>
      </c>
      <c r="I35" s="344" t="s">
        <v>327</v>
      </c>
      <c r="J35" s="344" t="s">
        <v>327</v>
      </c>
      <c r="K35" s="344" t="s">
        <v>327</v>
      </c>
      <c r="L35" s="93" t="s">
        <v>327</v>
      </c>
    </row>
    <row r="36" spans="1:12">
      <c r="A36" s="444" t="s">
        <v>246</v>
      </c>
      <c r="B36" s="1194" t="s">
        <v>621</v>
      </c>
      <c r="C36" s="1194"/>
      <c r="D36" s="1194"/>
      <c r="E36" s="1194"/>
      <c r="F36" s="1194"/>
      <c r="G36" s="1194"/>
      <c r="H36" s="1194"/>
      <c r="I36" s="1194"/>
      <c r="J36" s="1194"/>
      <c r="K36" s="1194"/>
      <c r="L36" s="93" t="s">
        <v>327</v>
      </c>
    </row>
    <row r="37" spans="1:12" ht="23.25" customHeight="1">
      <c r="A37" s="444" t="s">
        <v>300</v>
      </c>
      <c r="B37" s="1194" t="s">
        <v>622</v>
      </c>
      <c r="C37" s="1194"/>
      <c r="D37" s="1194"/>
      <c r="E37" s="1194"/>
      <c r="F37" s="1194"/>
      <c r="G37" s="1194"/>
      <c r="H37" s="1194"/>
      <c r="I37" s="1194"/>
      <c r="J37" s="1194"/>
      <c r="K37" s="1194"/>
      <c r="L37" s="93" t="s">
        <v>327</v>
      </c>
    </row>
    <row r="38" spans="1:12" ht="14.45" customHeight="1">
      <c r="A38" s="444" t="s">
        <v>265</v>
      </c>
      <c r="B38" s="317" t="s">
        <v>623</v>
      </c>
      <c r="C38" s="331"/>
      <c r="D38" s="331"/>
      <c r="E38" s="331"/>
      <c r="F38" s="331"/>
      <c r="G38" s="331"/>
      <c r="H38" s="331"/>
      <c r="I38" s="331"/>
      <c r="J38" s="331"/>
      <c r="K38" s="331"/>
      <c r="L38" s="93" t="s">
        <v>327</v>
      </c>
    </row>
    <row r="39" spans="1:12" ht="27.75" customHeight="1">
      <c r="A39" s="444" t="s">
        <v>303</v>
      </c>
      <c r="B39" s="1194" t="s">
        <v>624</v>
      </c>
      <c r="C39" s="1194"/>
      <c r="D39" s="1194"/>
      <c r="E39" s="1194"/>
      <c r="F39" s="1194"/>
      <c r="G39" s="1194"/>
      <c r="H39" s="1194"/>
      <c r="I39" s="1194"/>
      <c r="J39" s="1194"/>
      <c r="K39" s="1194"/>
      <c r="L39" s="93" t="s">
        <v>327</v>
      </c>
    </row>
    <row r="40" spans="1:12">
      <c r="A40" s="444" t="s">
        <v>305</v>
      </c>
      <c r="B40" s="1200" t="s">
        <v>625</v>
      </c>
      <c r="C40" s="1200"/>
      <c r="D40" s="1200"/>
      <c r="E40" s="1200"/>
      <c r="F40" s="1200"/>
      <c r="G40" s="1200"/>
      <c r="H40" s="1200"/>
      <c r="I40" s="1200"/>
      <c r="J40" s="1200"/>
      <c r="K40" s="1200"/>
      <c r="L40" s="93" t="s">
        <v>327</v>
      </c>
    </row>
    <row r="41" spans="1:12">
      <c r="A41" s="317"/>
    </row>
    <row r="42" spans="1:12">
      <c r="A42" s="317"/>
    </row>
    <row r="43" spans="1:12">
      <c r="A43" s="340"/>
    </row>
    <row r="44" spans="1:12">
      <c r="A44" s="428"/>
    </row>
    <row r="45" spans="1:12">
      <c r="A45" s="428"/>
    </row>
    <row r="46" spans="1:12">
      <c r="A46" s="428"/>
    </row>
    <row r="47" spans="1:12">
      <c r="A47" s="428"/>
    </row>
    <row r="48" spans="1:12">
      <c r="A48" s="428"/>
    </row>
    <row r="49" spans="1:1">
      <c r="A49" s="428"/>
    </row>
    <row r="50" spans="1:1">
      <c r="A50" s="428"/>
    </row>
    <row r="51" spans="1:1">
      <c r="A51" s="428"/>
    </row>
    <row r="52" spans="1:1">
      <c r="A52" s="428"/>
    </row>
  </sheetData>
  <mergeCells count="10">
    <mergeCell ref="B40:K40"/>
    <mergeCell ref="F1:K1"/>
    <mergeCell ref="B32:K32"/>
    <mergeCell ref="B36:K36"/>
    <mergeCell ref="B37:K37"/>
    <mergeCell ref="B39:K39"/>
    <mergeCell ref="B33:K33"/>
    <mergeCell ref="C3:K3"/>
    <mergeCell ref="F4:G4"/>
    <mergeCell ref="H4:I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A7C9A-520C-4351-B1FC-4DAA536D1DE1}">
  <sheetPr codeName="Sheet32">
    <tabColor theme="6" tint="0.79998168889431442"/>
  </sheetPr>
  <dimension ref="A1:M56"/>
  <sheetViews>
    <sheetView zoomScaleNormal="100" zoomScaleSheetLayoutView="120" workbookViewId="0">
      <selection activeCell="B47" sqref="B47:K47"/>
    </sheetView>
  </sheetViews>
  <sheetFormatPr defaultColWidth="9.140625" defaultRowHeight="15"/>
  <cols>
    <col min="1" max="1" width="3" style="93" customWidth="1"/>
    <col min="2" max="2" width="35.28515625" style="93" customWidth="1"/>
    <col min="3" max="9" width="9.28515625" style="150" customWidth="1"/>
    <col min="10" max="10" width="8.7109375" style="150" customWidth="1"/>
    <col min="11" max="11" width="6.5703125" style="150" customWidth="1"/>
    <col min="12" max="16384" width="9.140625" style="94"/>
  </cols>
  <sheetData>
    <row r="1" spans="1:13" ht="20.25">
      <c r="A1" s="317" t="s">
        <v>327</v>
      </c>
      <c r="B1" s="318" t="s">
        <v>234</v>
      </c>
      <c r="C1" s="344" t="s">
        <v>327</v>
      </c>
      <c r="D1" s="344" t="s">
        <v>327</v>
      </c>
      <c r="E1" s="344" t="s">
        <v>327</v>
      </c>
      <c r="F1" s="344" t="s">
        <v>327</v>
      </c>
      <c r="G1" s="344" t="s">
        <v>327</v>
      </c>
      <c r="H1" s="344" t="s">
        <v>327</v>
      </c>
      <c r="I1" s="344" t="s">
        <v>327</v>
      </c>
      <c r="J1" s="344" t="s">
        <v>327</v>
      </c>
      <c r="K1" s="344" t="s">
        <v>327</v>
      </c>
      <c r="L1" s="94" t="s">
        <v>327</v>
      </c>
    </row>
    <row r="2" spans="1:13">
      <c r="A2" s="317" t="s">
        <v>327</v>
      </c>
      <c r="B2" s="317" t="s">
        <v>327</v>
      </c>
      <c r="C2" s="344" t="s">
        <v>327</v>
      </c>
      <c r="D2" s="344" t="s">
        <v>327</v>
      </c>
      <c r="E2" s="344" t="s">
        <v>327</v>
      </c>
      <c r="F2" s="344" t="s">
        <v>327</v>
      </c>
      <c r="G2" s="344" t="s">
        <v>327</v>
      </c>
      <c r="H2" s="344" t="s">
        <v>327</v>
      </c>
      <c r="I2" s="344" t="s">
        <v>327</v>
      </c>
      <c r="J2" s="344" t="s">
        <v>327</v>
      </c>
      <c r="K2" s="344" t="s">
        <v>327</v>
      </c>
      <c r="L2" s="94" t="s">
        <v>327</v>
      </c>
      <c r="M2" s="94" t="s">
        <v>578</v>
      </c>
    </row>
    <row r="3" spans="1:13" ht="14.1" customHeight="1">
      <c r="A3" s="317" t="s">
        <v>327</v>
      </c>
      <c r="B3" s="616" t="s">
        <v>145</v>
      </c>
      <c r="C3" s="1204" t="s">
        <v>689</v>
      </c>
      <c r="D3" s="1204"/>
      <c r="E3" s="1204"/>
      <c r="F3" s="1204"/>
      <c r="G3" s="1204"/>
      <c r="H3" s="1204"/>
      <c r="I3" s="1204"/>
      <c r="J3" s="1204"/>
      <c r="K3" s="1205"/>
      <c r="L3" s="94" t="s">
        <v>327</v>
      </c>
    </row>
    <row r="4" spans="1:13" ht="14.1" customHeight="1">
      <c r="A4" s="317" t="s">
        <v>327</v>
      </c>
      <c r="B4" s="617" t="s">
        <v>327</v>
      </c>
      <c r="C4" s="534">
        <v>2023</v>
      </c>
      <c r="D4" s="534">
        <v>2030</v>
      </c>
      <c r="E4" s="534">
        <v>2050</v>
      </c>
      <c r="F4" s="1161" t="s">
        <v>236</v>
      </c>
      <c r="G4" s="1163"/>
      <c r="H4" s="1161" t="s">
        <v>237</v>
      </c>
      <c r="I4" s="1163"/>
      <c r="J4" s="618" t="s">
        <v>238</v>
      </c>
      <c r="K4" s="618" t="s">
        <v>239</v>
      </c>
      <c r="L4" s="94" t="s">
        <v>327</v>
      </c>
    </row>
    <row r="5" spans="1:13" ht="15" customHeight="1">
      <c r="A5" s="317" t="s">
        <v>327</v>
      </c>
      <c r="B5" s="619" t="s">
        <v>240</v>
      </c>
      <c r="C5" s="620" t="s">
        <v>327</v>
      </c>
      <c r="D5" s="620" t="s">
        <v>327</v>
      </c>
      <c r="E5" s="620" t="s">
        <v>327</v>
      </c>
      <c r="F5" s="620" t="s">
        <v>241</v>
      </c>
      <c r="G5" s="620" t="s">
        <v>242</v>
      </c>
      <c r="H5" s="620" t="s">
        <v>241</v>
      </c>
      <c r="I5" s="620" t="s">
        <v>242</v>
      </c>
      <c r="J5" s="620" t="s">
        <v>327</v>
      </c>
      <c r="K5" s="618" t="s">
        <v>327</v>
      </c>
      <c r="L5" s="94" t="s">
        <v>327</v>
      </c>
    </row>
    <row r="6" spans="1:13" ht="15" customHeight="1">
      <c r="A6" s="317" t="s">
        <v>327</v>
      </c>
      <c r="B6" s="617" t="s">
        <v>243</v>
      </c>
      <c r="C6" s="925">
        <v>40</v>
      </c>
      <c r="D6" s="926">
        <v>40</v>
      </c>
      <c r="E6" s="926">
        <v>40</v>
      </c>
      <c r="F6" s="927">
        <v>15</v>
      </c>
      <c r="G6" s="928">
        <v>150</v>
      </c>
      <c r="H6" s="928">
        <v>15</v>
      </c>
      <c r="I6" s="928">
        <v>150</v>
      </c>
      <c r="J6" s="928" t="s">
        <v>385</v>
      </c>
      <c r="K6" s="928" t="s">
        <v>690</v>
      </c>
      <c r="L6" s="94" t="s">
        <v>327</v>
      </c>
    </row>
    <row r="7" spans="1:13" ht="22.5" customHeight="1">
      <c r="A7" s="317" t="s">
        <v>327</v>
      </c>
      <c r="B7" s="617" t="s">
        <v>244</v>
      </c>
      <c r="C7" s="621">
        <v>200</v>
      </c>
      <c r="D7" s="622">
        <v>200</v>
      </c>
      <c r="E7" s="622">
        <v>200</v>
      </c>
      <c r="F7" s="623">
        <v>45</v>
      </c>
      <c r="G7" s="624">
        <v>400</v>
      </c>
      <c r="H7" s="624">
        <v>45</v>
      </c>
      <c r="I7" s="624">
        <v>400</v>
      </c>
      <c r="J7" s="928" t="s">
        <v>385</v>
      </c>
      <c r="K7" s="928" t="s">
        <v>690</v>
      </c>
      <c r="L7" s="94" t="s">
        <v>327</v>
      </c>
    </row>
    <row r="8" spans="1:13">
      <c r="A8" s="317" t="s">
        <v>327</v>
      </c>
      <c r="B8" s="617" t="s">
        <v>245</v>
      </c>
      <c r="C8" s="925">
        <v>34</v>
      </c>
      <c r="D8" s="926">
        <v>36</v>
      </c>
      <c r="E8" s="926">
        <v>40</v>
      </c>
      <c r="F8" s="926" t="s">
        <v>327</v>
      </c>
      <c r="G8" s="926" t="s">
        <v>327</v>
      </c>
      <c r="H8" s="926" t="s">
        <v>327</v>
      </c>
      <c r="I8" s="926" t="s">
        <v>327</v>
      </c>
      <c r="J8" s="927" t="s">
        <v>327</v>
      </c>
      <c r="K8" s="928" t="s">
        <v>355</v>
      </c>
      <c r="L8" s="94" t="s">
        <v>327</v>
      </c>
    </row>
    <row r="9" spans="1:13">
      <c r="A9" s="317" t="s">
        <v>327</v>
      </c>
      <c r="B9" s="625" t="s">
        <v>247</v>
      </c>
      <c r="C9" s="925">
        <v>33</v>
      </c>
      <c r="D9" s="926">
        <v>35</v>
      </c>
      <c r="E9" s="926">
        <v>39</v>
      </c>
      <c r="F9" s="926" t="s">
        <v>327</v>
      </c>
      <c r="G9" s="926" t="s">
        <v>327</v>
      </c>
      <c r="H9" s="926" t="s">
        <v>327</v>
      </c>
      <c r="I9" s="926" t="s">
        <v>327</v>
      </c>
      <c r="J9" s="927" t="s">
        <v>327</v>
      </c>
      <c r="K9" s="928" t="s">
        <v>355</v>
      </c>
      <c r="L9" s="94" t="s">
        <v>327</v>
      </c>
    </row>
    <row r="10" spans="1:13">
      <c r="A10" s="317" t="s">
        <v>327</v>
      </c>
      <c r="B10" s="626" t="s">
        <v>248</v>
      </c>
      <c r="C10" s="925">
        <v>2</v>
      </c>
      <c r="D10" s="926">
        <v>2</v>
      </c>
      <c r="E10" s="926">
        <v>2</v>
      </c>
      <c r="F10" s="926" t="s">
        <v>327</v>
      </c>
      <c r="G10" s="926" t="s">
        <v>327</v>
      </c>
      <c r="H10" s="926" t="s">
        <v>327</v>
      </c>
      <c r="I10" s="926" t="s">
        <v>327</v>
      </c>
      <c r="J10" s="927" t="s">
        <v>327</v>
      </c>
      <c r="K10" s="928" t="s">
        <v>327</v>
      </c>
      <c r="L10" s="94" t="s">
        <v>327</v>
      </c>
    </row>
    <row r="11" spans="1:13">
      <c r="A11" s="317" t="s">
        <v>327</v>
      </c>
      <c r="B11" s="617" t="s">
        <v>249</v>
      </c>
      <c r="C11" s="925">
        <v>3</v>
      </c>
      <c r="D11" s="926">
        <v>3</v>
      </c>
      <c r="E11" s="926">
        <v>3</v>
      </c>
      <c r="F11" s="926" t="s">
        <v>327</v>
      </c>
      <c r="G11" s="926" t="s">
        <v>327</v>
      </c>
      <c r="H11" s="926" t="s">
        <v>327</v>
      </c>
      <c r="I11" s="926" t="s">
        <v>327</v>
      </c>
      <c r="J11" s="927" t="s">
        <v>327</v>
      </c>
      <c r="K11" s="928" t="s">
        <v>327</v>
      </c>
      <c r="L11" s="94" t="s">
        <v>327</v>
      </c>
    </row>
    <row r="12" spans="1:13">
      <c r="A12" s="317" t="s">
        <v>327</v>
      </c>
      <c r="B12" s="617" t="s">
        <v>250</v>
      </c>
      <c r="C12" s="925">
        <v>25</v>
      </c>
      <c r="D12" s="926">
        <v>25</v>
      </c>
      <c r="E12" s="926">
        <v>25</v>
      </c>
      <c r="F12" s="926" t="s">
        <v>327</v>
      </c>
      <c r="G12" s="926" t="s">
        <v>327</v>
      </c>
      <c r="H12" s="926" t="s">
        <v>327</v>
      </c>
      <c r="I12" s="926" t="s">
        <v>327</v>
      </c>
      <c r="J12" s="927" t="s">
        <v>327</v>
      </c>
      <c r="K12" s="928" t="s">
        <v>327</v>
      </c>
      <c r="L12" s="94" t="s">
        <v>327</v>
      </c>
    </row>
    <row r="13" spans="1:13">
      <c r="A13" s="317" t="s">
        <v>327</v>
      </c>
      <c r="B13" s="617" t="s">
        <v>252</v>
      </c>
      <c r="C13" s="925">
        <v>1.5</v>
      </c>
      <c r="D13" s="926">
        <v>1.5</v>
      </c>
      <c r="E13" s="926">
        <v>1.5</v>
      </c>
      <c r="F13" s="927">
        <v>1.1000000000000001</v>
      </c>
      <c r="G13" s="928">
        <v>1.9</v>
      </c>
      <c r="H13" s="928">
        <v>1.1000000000000001</v>
      </c>
      <c r="I13" s="928">
        <v>1.9</v>
      </c>
      <c r="J13" s="928" t="s">
        <v>300</v>
      </c>
      <c r="K13" s="928">
        <v>3</v>
      </c>
      <c r="L13" s="94" t="s">
        <v>327</v>
      </c>
    </row>
    <row r="14" spans="1:13">
      <c r="A14" s="317" t="s">
        <v>327</v>
      </c>
      <c r="B14" s="627" t="s">
        <v>484</v>
      </c>
      <c r="C14" s="926">
        <v>0.02</v>
      </c>
      <c r="D14" s="926">
        <v>0.02</v>
      </c>
      <c r="E14" s="926">
        <v>0.02</v>
      </c>
      <c r="F14" s="927">
        <v>1.4999999999999999E-2</v>
      </c>
      <c r="G14" s="928">
        <v>2.5000000000000001E-2</v>
      </c>
      <c r="H14" s="928">
        <v>1.4999999999999999E-2</v>
      </c>
      <c r="I14" s="928">
        <v>2.5000000000000001E-2</v>
      </c>
      <c r="J14" s="928" t="s">
        <v>300</v>
      </c>
      <c r="K14" s="928">
        <v>3</v>
      </c>
      <c r="L14" s="94" t="s">
        <v>327</v>
      </c>
    </row>
    <row r="15" spans="1:13">
      <c r="A15" s="317" t="s">
        <v>327</v>
      </c>
      <c r="B15" s="628" t="s">
        <v>255</v>
      </c>
      <c r="C15" s="929" t="s">
        <v>327</v>
      </c>
      <c r="D15" s="929" t="s">
        <v>327</v>
      </c>
      <c r="E15" s="929" t="s">
        <v>327</v>
      </c>
      <c r="F15" s="929" t="s">
        <v>327</v>
      </c>
      <c r="G15" s="929" t="s">
        <v>327</v>
      </c>
      <c r="H15" s="929" t="s">
        <v>327</v>
      </c>
      <c r="I15" s="929" t="s">
        <v>327</v>
      </c>
      <c r="J15" s="929" t="s">
        <v>327</v>
      </c>
      <c r="K15" s="930" t="s">
        <v>327</v>
      </c>
      <c r="L15" s="94" t="s">
        <v>327</v>
      </c>
    </row>
    <row r="16" spans="1:13">
      <c r="A16" s="317" t="s">
        <v>327</v>
      </c>
      <c r="B16" s="627" t="s">
        <v>256</v>
      </c>
      <c r="C16" s="931" t="s">
        <v>146</v>
      </c>
      <c r="D16" s="931" t="s">
        <v>146</v>
      </c>
      <c r="E16" s="931" t="s">
        <v>146</v>
      </c>
      <c r="F16" s="931" t="s">
        <v>146</v>
      </c>
      <c r="G16" s="931" t="s">
        <v>146</v>
      </c>
      <c r="H16" s="931" t="s">
        <v>146</v>
      </c>
      <c r="I16" s="931" t="s">
        <v>146</v>
      </c>
      <c r="J16" s="927" t="s">
        <v>327</v>
      </c>
      <c r="K16" s="928" t="s">
        <v>327</v>
      </c>
      <c r="L16" s="94" t="s">
        <v>327</v>
      </c>
    </row>
    <row r="17" spans="1:12">
      <c r="A17" s="317" t="s">
        <v>327</v>
      </c>
      <c r="B17" s="627" t="s">
        <v>257</v>
      </c>
      <c r="C17" s="931" t="s">
        <v>146</v>
      </c>
      <c r="D17" s="931" t="s">
        <v>146</v>
      </c>
      <c r="E17" s="931" t="s">
        <v>146</v>
      </c>
      <c r="F17" s="931" t="s">
        <v>146</v>
      </c>
      <c r="G17" s="931" t="s">
        <v>146</v>
      </c>
      <c r="H17" s="931" t="s">
        <v>146</v>
      </c>
      <c r="I17" s="931" t="s">
        <v>146</v>
      </c>
      <c r="J17" s="927" t="s">
        <v>327</v>
      </c>
      <c r="K17" s="928" t="s">
        <v>327</v>
      </c>
      <c r="L17" s="94" t="s">
        <v>327</v>
      </c>
    </row>
    <row r="18" spans="1:12">
      <c r="A18" s="317" t="s">
        <v>327</v>
      </c>
      <c r="B18" s="619" t="s">
        <v>258</v>
      </c>
      <c r="C18" s="932" t="s">
        <v>327</v>
      </c>
      <c r="D18" s="932" t="s">
        <v>327</v>
      </c>
      <c r="E18" s="932" t="s">
        <v>327</v>
      </c>
      <c r="F18" s="932" t="s">
        <v>327</v>
      </c>
      <c r="G18" s="932" t="s">
        <v>327</v>
      </c>
      <c r="H18" s="932" t="s">
        <v>327</v>
      </c>
      <c r="I18" s="932" t="s">
        <v>327</v>
      </c>
      <c r="J18" s="932" t="s">
        <v>327</v>
      </c>
      <c r="K18" s="933" t="s">
        <v>327</v>
      </c>
      <c r="L18" s="94" t="s">
        <v>327</v>
      </c>
    </row>
    <row r="19" spans="1:12">
      <c r="A19" s="317" t="s">
        <v>327</v>
      </c>
      <c r="B19" s="617" t="s">
        <v>259</v>
      </c>
      <c r="C19" s="925">
        <v>20</v>
      </c>
      <c r="D19" s="926">
        <v>20</v>
      </c>
      <c r="E19" s="926">
        <v>20</v>
      </c>
      <c r="F19" s="926">
        <v>10</v>
      </c>
      <c r="G19" s="926">
        <v>30</v>
      </c>
      <c r="H19" s="926">
        <v>10</v>
      </c>
      <c r="I19" s="927">
        <v>30</v>
      </c>
      <c r="J19" s="928" t="s">
        <v>265</v>
      </c>
      <c r="K19" s="928" t="s">
        <v>916</v>
      </c>
      <c r="L19" s="94" t="s">
        <v>327</v>
      </c>
    </row>
    <row r="20" spans="1:12">
      <c r="A20" s="317" t="s">
        <v>327</v>
      </c>
      <c r="B20" s="617" t="s">
        <v>260</v>
      </c>
      <c r="C20" s="925">
        <v>40</v>
      </c>
      <c r="D20" s="926">
        <v>30</v>
      </c>
      <c r="E20" s="926">
        <v>15</v>
      </c>
      <c r="F20" s="926">
        <v>30</v>
      </c>
      <c r="G20" s="926">
        <v>50</v>
      </c>
      <c r="H20" s="926">
        <v>10</v>
      </c>
      <c r="I20" s="927">
        <v>40</v>
      </c>
      <c r="J20" s="928" t="s">
        <v>246</v>
      </c>
      <c r="K20" s="928">
        <v>4</v>
      </c>
      <c r="L20" s="94" t="s">
        <v>327</v>
      </c>
    </row>
    <row r="21" spans="1:12">
      <c r="A21" s="317" t="s">
        <v>327</v>
      </c>
      <c r="B21" s="617" t="s">
        <v>261</v>
      </c>
      <c r="C21" s="925">
        <v>0.25</v>
      </c>
      <c r="D21" s="926">
        <v>0.23</v>
      </c>
      <c r="E21" s="926">
        <v>0.2</v>
      </c>
      <c r="F21" s="926" t="s">
        <v>327</v>
      </c>
      <c r="G21" s="926" t="s">
        <v>327</v>
      </c>
      <c r="H21" s="926" t="s">
        <v>327</v>
      </c>
      <c r="I21" s="927" t="s">
        <v>327</v>
      </c>
      <c r="J21" s="928" t="s">
        <v>327</v>
      </c>
      <c r="K21" s="928">
        <v>3</v>
      </c>
      <c r="L21" s="94" t="s">
        <v>327</v>
      </c>
    </row>
    <row r="22" spans="1:12">
      <c r="A22" s="317" t="s">
        <v>327</v>
      </c>
      <c r="B22" s="617" t="s">
        <v>262</v>
      </c>
      <c r="C22" s="925">
        <v>0.5</v>
      </c>
      <c r="D22" s="926">
        <v>0.5</v>
      </c>
      <c r="E22" s="926">
        <v>0.5</v>
      </c>
      <c r="F22" s="926" t="s">
        <v>327</v>
      </c>
      <c r="G22" s="926" t="s">
        <v>327</v>
      </c>
      <c r="H22" s="926" t="s">
        <v>327</v>
      </c>
      <c r="I22" s="927" t="s">
        <v>327</v>
      </c>
      <c r="J22" s="928" t="s">
        <v>327</v>
      </c>
      <c r="K22" s="928">
        <v>3</v>
      </c>
      <c r="L22" s="94" t="s">
        <v>327</v>
      </c>
    </row>
    <row r="23" spans="1:12">
      <c r="A23" s="317" t="s">
        <v>327</v>
      </c>
      <c r="B23" s="619" t="s">
        <v>263</v>
      </c>
      <c r="C23" s="932" t="s">
        <v>327</v>
      </c>
      <c r="D23" s="932" t="s">
        <v>327</v>
      </c>
      <c r="E23" s="932" t="s">
        <v>327</v>
      </c>
      <c r="F23" s="932" t="s">
        <v>327</v>
      </c>
      <c r="G23" s="932" t="s">
        <v>327</v>
      </c>
      <c r="H23" s="932" t="s">
        <v>327</v>
      </c>
      <c r="I23" s="932" t="s">
        <v>327</v>
      </c>
      <c r="J23" s="932" t="s">
        <v>327</v>
      </c>
      <c r="K23" s="933" t="s">
        <v>327</v>
      </c>
      <c r="L23" s="94" t="s">
        <v>327</v>
      </c>
    </row>
    <row r="24" spans="1:12">
      <c r="A24" s="317" t="s">
        <v>327</v>
      </c>
      <c r="B24" s="617" t="s">
        <v>691</v>
      </c>
      <c r="C24" s="928">
        <v>30</v>
      </c>
      <c r="D24" s="928">
        <v>30</v>
      </c>
      <c r="E24" s="928">
        <v>30</v>
      </c>
      <c r="F24" s="928">
        <v>30</v>
      </c>
      <c r="G24" s="928">
        <v>30</v>
      </c>
      <c r="H24" s="928">
        <v>30</v>
      </c>
      <c r="I24" s="928">
        <v>30</v>
      </c>
      <c r="J24" s="928" t="s">
        <v>327</v>
      </c>
      <c r="K24" s="928">
        <v>5</v>
      </c>
      <c r="L24" s="94" t="s">
        <v>327</v>
      </c>
    </row>
    <row r="25" spans="1:12">
      <c r="A25" s="317" t="s">
        <v>327</v>
      </c>
      <c r="B25" s="617" t="s">
        <v>444</v>
      </c>
      <c r="C25" s="934" t="s">
        <v>146</v>
      </c>
      <c r="D25" s="934" t="s">
        <v>146</v>
      </c>
      <c r="E25" s="934" t="s">
        <v>146</v>
      </c>
      <c r="F25" s="934" t="s">
        <v>146</v>
      </c>
      <c r="G25" s="934" t="s">
        <v>146</v>
      </c>
      <c r="H25" s="934" t="s">
        <v>146</v>
      </c>
      <c r="I25" s="934" t="s">
        <v>146</v>
      </c>
      <c r="J25" s="928" t="s">
        <v>305</v>
      </c>
      <c r="K25" s="928" t="s">
        <v>327</v>
      </c>
      <c r="L25" s="94" t="s">
        <v>327</v>
      </c>
    </row>
    <row r="26" spans="1:12" ht="15" customHeight="1">
      <c r="A26" s="317" t="s">
        <v>327</v>
      </c>
      <c r="B26" s="617" t="s">
        <v>445</v>
      </c>
      <c r="C26" s="928">
        <v>86</v>
      </c>
      <c r="D26" s="928">
        <v>60</v>
      </c>
      <c r="E26" s="928">
        <v>20</v>
      </c>
      <c r="F26" s="928">
        <v>20</v>
      </c>
      <c r="G26" s="928">
        <v>86</v>
      </c>
      <c r="H26" s="928">
        <v>20</v>
      </c>
      <c r="I26" s="928">
        <v>86</v>
      </c>
      <c r="J26" s="928" t="s">
        <v>584</v>
      </c>
      <c r="K26" s="928" t="s">
        <v>557</v>
      </c>
      <c r="L26" s="94" t="s">
        <v>327</v>
      </c>
    </row>
    <row r="27" spans="1:12">
      <c r="A27" s="317" t="s">
        <v>327</v>
      </c>
      <c r="B27" s="617" t="s">
        <v>446</v>
      </c>
      <c r="C27" s="934" t="s">
        <v>146</v>
      </c>
      <c r="D27" s="934" t="s">
        <v>146</v>
      </c>
      <c r="E27" s="934" t="s">
        <v>146</v>
      </c>
      <c r="F27" s="934" t="s">
        <v>146</v>
      </c>
      <c r="G27" s="934" t="s">
        <v>146</v>
      </c>
      <c r="H27" s="934" t="s">
        <v>146</v>
      </c>
      <c r="I27" s="934" t="s">
        <v>146</v>
      </c>
      <c r="J27" s="928" t="s">
        <v>327</v>
      </c>
      <c r="K27" s="928" t="s">
        <v>327</v>
      </c>
      <c r="L27" s="94" t="s">
        <v>327</v>
      </c>
    </row>
    <row r="28" spans="1:12">
      <c r="A28" s="317" t="s">
        <v>327</v>
      </c>
      <c r="B28" s="617" t="s">
        <v>447</v>
      </c>
      <c r="C28" s="934" t="s">
        <v>146</v>
      </c>
      <c r="D28" s="934" t="s">
        <v>146</v>
      </c>
      <c r="E28" s="934" t="s">
        <v>146</v>
      </c>
      <c r="F28" s="934" t="s">
        <v>146</v>
      </c>
      <c r="G28" s="934" t="s">
        <v>146</v>
      </c>
      <c r="H28" s="934" t="s">
        <v>146</v>
      </c>
      <c r="I28" s="934" t="s">
        <v>146</v>
      </c>
      <c r="J28" s="928" t="s">
        <v>327</v>
      </c>
      <c r="K28" s="928" t="s">
        <v>327</v>
      </c>
      <c r="L28" s="94" t="s">
        <v>327</v>
      </c>
    </row>
    <row r="29" spans="1:12">
      <c r="A29" s="317" t="s">
        <v>327</v>
      </c>
      <c r="B29" s="619" t="s">
        <v>270</v>
      </c>
      <c r="C29" s="932" t="s">
        <v>327</v>
      </c>
      <c r="D29" s="932" t="s">
        <v>327</v>
      </c>
      <c r="E29" s="932" t="s">
        <v>327</v>
      </c>
      <c r="F29" s="932" t="s">
        <v>327</v>
      </c>
      <c r="G29" s="932" t="s">
        <v>327</v>
      </c>
      <c r="H29" s="932" t="s">
        <v>327</v>
      </c>
      <c r="I29" s="932" t="s">
        <v>327</v>
      </c>
      <c r="J29" s="932" t="s">
        <v>327</v>
      </c>
      <c r="K29" s="933" t="s">
        <v>327</v>
      </c>
      <c r="L29" s="94" t="s">
        <v>327</v>
      </c>
    </row>
    <row r="30" spans="1:12">
      <c r="A30" s="317" t="s">
        <v>327</v>
      </c>
      <c r="B30" s="617" t="s">
        <v>271</v>
      </c>
      <c r="C30" s="925">
        <v>1.1200000000000001</v>
      </c>
      <c r="D30" s="935">
        <f>1.12*0.95</f>
        <v>1.0640000000000001</v>
      </c>
      <c r="E30" s="936">
        <f>1.12*0.88</f>
        <v>0.98560000000000014</v>
      </c>
      <c r="F30" s="937">
        <v>0.85</v>
      </c>
      <c r="G30" s="938">
        <v>1.75</v>
      </c>
      <c r="H30" s="938">
        <v>0.6</v>
      </c>
      <c r="I30" s="927">
        <v>1.25</v>
      </c>
      <c r="J30" s="928" t="s">
        <v>692</v>
      </c>
      <c r="K30" s="939" t="s">
        <v>364</v>
      </c>
      <c r="L30" s="94" t="s">
        <v>327</v>
      </c>
    </row>
    <row r="31" spans="1:12">
      <c r="A31" s="317" t="s">
        <v>327</v>
      </c>
      <c r="B31" s="617" t="s">
        <v>544</v>
      </c>
      <c r="C31" s="928">
        <v>50</v>
      </c>
      <c r="D31" s="928">
        <v>50</v>
      </c>
      <c r="E31" s="928">
        <v>50</v>
      </c>
      <c r="F31" s="928">
        <v>50</v>
      </c>
      <c r="G31" s="928">
        <v>50</v>
      </c>
      <c r="H31" s="928">
        <v>50</v>
      </c>
      <c r="I31" s="928">
        <v>50</v>
      </c>
      <c r="J31" s="928" t="s">
        <v>327</v>
      </c>
      <c r="K31" s="928">
        <v>7</v>
      </c>
      <c r="L31" s="94" t="s">
        <v>327</v>
      </c>
    </row>
    <row r="32" spans="1:12">
      <c r="A32" s="317" t="s">
        <v>327</v>
      </c>
      <c r="B32" s="617" t="s">
        <v>545</v>
      </c>
      <c r="C32" s="928">
        <v>50</v>
      </c>
      <c r="D32" s="928">
        <v>50</v>
      </c>
      <c r="E32" s="928">
        <v>50</v>
      </c>
      <c r="F32" s="928">
        <v>50</v>
      </c>
      <c r="G32" s="928">
        <v>50</v>
      </c>
      <c r="H32" s="928">
        <v>50</v>
      </c>
      <c r="I32" s="928">
        <v>50</v>
      </c>
      <c r="J32" s="928" t="s">
        <v>327</v>
      </c>
      <c r="K32" s="928">
        <v>7</v>
      </c>
      <c r="L32" s="94" t="s">
        <v>327</v>
      </c>
    </row>
    <row r="33" spans="1:12">
      <c r="A33" s="317" t="s">
        <v>327</v>
      </c>
      <c r="B33" s="617" t="s">
        <v>276</v>
      </c>
      <c r="C33" s="940">
        <v>26500</v>
      </c>
      <c r="D33" s="941">
        <f>MROUND(C33*0.97,100)</f>
        <v>25700</v>
      </c>
      <c r="E33" s="941">
        <f>MROUND(C33*0.94,100)</f>
        <v>24900</v>
      </c>
      <c r="F33" s="940">
        <v>19000</v>
      </c>
      <c r="G33" s="941">
        <v>33000</v>
      </c>
      <c r="H33" s="940">
        <v>18000</v>
      </c>
      <c r="I33" s="940">
        <v>31000</v>
      </c>
      <c r="J33" s="928" t="s">
        <v>300</v>
      </c>
      <c r="K33" s="939" t="s">
        <v>313</v>
      </c>
      <c r="L33" s="94" t="s">
        <v>327</v>
      </c>
    </row>
    <row r="34" spans="1:12">
      <c r="A34" s="317" t="s">
        <v>327</v>
      </c>
      <c r="B34" s="617" t="s">
        <v>279</v>
      </c>
      <c r="C34" s="942">
        <v>3.6</v>
      </c>
      <c r="D34" s="943">
        <v>3.5</v>
      </c>
      <c r="E34" s="944">
        <v>3.4</v>
      </c>
      <c r="F34" s="945">
        <f>C34*0.75</f>
        <v>2.7</v>
      </c>
      <c r="G34" s="946">
        <f>C34*1.25</f>
        <v>4.5</v>
      </c>
      <c r="H34" s="945">
        <f>E34*0.75</f>
        <v>2.5499999999999998</v>
      </c>
      <c r="I34" s="946">
        <f>E34*1.25</f>
        <v>4.25</v>
      </c>
      <c r="J34" s="928" t="s">
        <v>300</v>
      </c>
      <c r="K34" s="928" t="s">
        <v>313</v>
      </c>
      <c r="L34" s="94" t="s">
        <v>327</v>
      </c>
    </row>
    <row r="35" spans="1:12">
      <c r="A35" s="317" t="s">
        <v>327</v>
      </c>
      <c r="B35" s="617" t="s">
        <v>282</v>
      </c>
      <c r="C35" s="947">
        <v>25</v>
      </c>
      <c r="D35" s="948">
        <v>25</v>
      </c>
      <c r="E35" s="948">
        <v>25</v>
      </c>
      <c r="F35" s="949">
        <v>20</v>
      </c>
      <c r="G35" s="950">
        <v>35</v>
      </c>
      <c r="H35" s="950">
        <v>20</v>
      </c>
      <c r="I35" s="950">
        <v>35</v>
      </c>
      <c r="J35" s="928" t="s">
        <v>300</v>
      </c>
      <c r="K35" s="928">
        <v>4</v>
      </c>
      <c r="L35" s="94" t="s">
        <v>327</v>
      </c>
    </row>
    <row r="36" spans="1:12">
      <c r="A36" s="340" t="s">
        <v>327</v>
      </c>
      <c r="B36" s="317" t="s">
        <v>327</v>
      </c>
      <c r="C36" s="344" t="s">
        <v>327</v>
      </c>
      <c r="D36" s="640"/>
      <c r="E36" s="640"/>
      <c r="F36" s="344" t="s">
        <v>327</v>
      </c>
      <c r="G36" s="344" t="s">
        <v>327</v>
      </c>
      <c r="H36" s="344" t="s">
        <v>327</v>
      </c>
      <c r="I36" s="344" t="s">
        <v>327</v>
      </c>
      <c r="J36" s="344" t="s">
        <v>327</v>
      </c>
      <c r="K36" s="344" t="s">
        <v>327</v>
      </c>
      <c r="L36" s="94" t="s">
        <v>327</v>
      </c>
    </row>
    <row r="37" spans="1:12" s="93" customFormat="1" ht="12">
      <c r="A37" s="340" t="s">
        <v>286</v>
      </c>
      <c r="B37" s="340"/>
      <c r="C37" s="344" t="s">
        <v>327</v>
      </c>
      <c r="D37" s="344" t="s">
        <v>327</v>
      </c>
      <c r="E37" s="344" t="s">
        <v>327</v>
      </c>
      <c r="F37" s="344" t="s">
        <v>327</v>
      </c>
      <c r="G37" s="344" t="s">
        <v>327</v>
      </c>
      <c r="H37" s="344" t="s">
        <v>327</v>
      </c>
      <c r="I37" s="344" t="s">
        <v>327</v>
      </c>
      <c r="J37" s="344" t="s">
        <v>327</v>
      </c>
      <c r="K37" s="344" t="s">
        <v>327</v>
      </c>
      <c r="L37" s="93" t="s">
        <v>327</v>
      </c>
    </row>
    <row r="38" spans="1:12">
      <c r="A38" s="444">
        <v>1</v>
      </c>
      <c r="B38" s="1154" t="s">
        <v>287</v>
      </c>
      <c r="C38" s="1154"/>
      <c r="D38" s="1154"/>
      <c r="E38" s="1154"/>
      <c r="F38" s="1154"/>
      <c r="G38" s="1154"/>
      <c r="H38" s="1154"/>
      <c r="I38" s="1154"/>
      <c r="J38" s="1154"/>
      <c r="K38" s="1154"/>
      <c r="L38" s="94" t="s">
        <v>327</v>
      </c>
    </row>
    <row r="39" spans="1:12">
      <c r="A39" s="444">
        <v>2</v>
      </c>
      <c r="B39" s="1202" t="s">
        <v>601</v>
      </c>
      <c r="C39" s="1202"/>
      <c r="D39" s="1202"/>
      <c r="E39" s="1202"/>
      <c r="F39" s="1202"/>
      <c r="G39" s="1202"/>
      <c r="H39" s="1202"/>
      <c r="I39" s="1202"/>
      <c r="J39" s="1202"/>
      <c r="K39" s="1202"/>
      <c r="L39" s="94" t="s">
        <v>327</v>
      </c>
    </row>
    <row r="40" spans="1:12">
      <c r="A40" s="444">
        <v>3</v>
      </c>
      <c r="B40" s="1202" t="s">
        <v>693</v>
      </c>
      <c r="C40" s="1202"/>
      <c r="D40" s="1202"/>
      <c r="E40" s="1202"/>
      <c r="F40" s="1202"/>
      <c r="G40" s="1202"/>
      <c r="H40" s="1202"/>
      <c r="I40" s="1202"/>
      <c r="J40" s="1202"/>
      <c r="K40" s="1202"/>
      <c r="L40" s="94" t="s">
        <v>327</v>
      </c>
    </row>
    <row r="41" spans="1:12">
      <c r="A41" s="444">
        <v>4</v>
      </c>
      <c r="B41" s="1202" t="s">
        <v>589</v>
      </c>
      <c r="C41" s="1202"/>
      <c r="D41" s="1202"/>
      <c r="E41" s="1202"/>
      <c r="F41" s="1202"/>
      <c r="G41" s="1202"/>
      <c r="H41" s="1202"/>
      <c r="I41" s="1202"/>
      <c r="J41" s="1202"/>
      <c r="K41" s="1202"/>
      <c r="L41" s="94" t="s">
        <v>327</v>
      </c>
    </row>
    <row r="42" spans="1:12" s="93" customFormat="1" ht="12" customHeight="1">
      <c r="A42" s="444">
        <v>5</v>
      </c>
      <c r="B42" s="1202" t="s">
        <v>588</v>
      </c>
      <c r="C42" s="1202"/>
      <c r="D42" s="1202"/>
      <c r="E42" s="1202"/>
      <c r="F42" s="1202"/>
      <c r="G42" s="1202"/>
      <c r="H42" s="1202"/>
      <c r="I42" s="1202"/>
      <c r="J42" s="1202"/>
      <c r="K42" s="1202"/>
      <c r="L42" s="93" t="s">
        <v>327</v>
      </c>
    </row>
    <row r="43" spans="1:12" s="93" customFormat="1" ht="12" customHeight="1">
      <c r="A43" s="444">
        <v>6</v>
      </c>
      <c r="B43" s="1202" t="s">
        <v>694</v>
      </c>
      <c r="C43" s="1202"/>
      <c r="D43" s="1202"/>
      <c r="E43" s="1202"/>
      <c r="F43" s="1202"/>
      <c r="G43" s="1202"/>
      <c r="H43" s="1202"/>
      <c r="I43" s="1202"/>
      <c r="J43" s="1202"/>
      <c r="K43" s="1202"/>
      <c r="L43" s="93" t="s">
        <v>327</v>
      </c>
    </row>
    <row r="44" spans="1:12" s="93" customFormat="1" ht="12" customHeight="1">
      <c r="A44" s="444">
        <v>7</v>
      </c>
      <c r="B44" s="1203" t="s">
        <v>695</v>
      </c>
      <c r="C44" s="1203"/>
      <c r="D44" s="1203"/>
      <c r="E44" s="1203"/>
      <c r="F44" s="1203"/>
      <c r="G44" s="1203"/>
      <c r="H44" s="1203"/>
      <c r="I44" s="1203"/>
      <c r="J44" s="1203"/>
      <c r="K44" s="1203"/>
    </row>
    <row r="45" spans="1:12" s="93" customFormat="1" ht="12" customHeight="1">
      <c r="A45" s="444">
        <v>8</v>
      </c>
      <c r="B45" s="777" t="s">
        <v>987</v>
      </c>
      <c r="C45" s="777"/>
      <c r="D45" s="777"/>
      <c r="E45" s="777"/>
      <c r="F45" s="777"/>
      <c r="G45" s="777"/>
      <c r="H45" s="777"/>
      <c r="I45" s="777"/>
      <c r="J45" s="777"/>
      <c r="K45" s="777"/>
    </row>
    <row r="46" spans="1:12" s="93" customFormat="1" ht="12">
      <c r="A46" s="340" t="s">
        <v>298</v>
      </c>
      <c r="B46" s="340"/>
      <c r="C46" s="344" t="s">
        <v>327</v>
      </c>
      <c r="D46" s="344" t="s">
        <v>327</v>
      </c>
      <c r="E46" s="344" t="s">
        <v>327</v>
      </c>
      <c r="F46" s="344" t="s">
        <v>327</v>
      </c>
      <c r="G46" s="344" t="s">
        <v>327</v>
      </c>
      <c r="H46" s="344" t="s">
        <v>327</v>
      </c>
      <c r="I46" s="344" t="s">
        <v>327</v>
      </c>
      <c r="J46" s="344" t="s">
        <v>327</v>
      </c>
      <c r="K46" s="344" t="s">
        <v>327</v>
      </c>
      <c r="L46" s="93" t="s">
        <v>327</v>
      </c>
    </row>
    <row r="47" spans="1:12" s="93" customFormat="1" ht="12" customHeight="1">
      <c r="A47" s="444" t="s">
        <v>246</v>
      </c>
      <c r="B47" s="1202" t="s">
        <v>590</v>
      </c>
      <c r="C47" s="1202"/>
      <c r="D47" s="1202"/>
      <c r="E47" s="1202"/>
      <c r="F47" s="1202"/>
      <c r="G47" s="1202"/>
      <c r="H47" s="1202"/>
      <c r="I47" s="1202"/>
      <c r="J47" s="1202"/>
      <c r="K47" s="1202"/>
      <c r="L47" s="93" t="s">
        <v>327</v>
      </c>
    </row>
    <row r="48" spans="1:12" s="93" customFormat="1" ht="13.5" customHeight="1">
      <c r="A48" s="444" t="s">
        <v>300</v>
      </c>
      <c r="B48" s="1202" t="s">
        <v>323</v>
      </c>
      <c r="C48" s="1202"/>
      <c r="D48" s="1202"/>
      <c r="E48" s="1202"/>
      <c r="F48" s="1202"/>
      <c r="G48" s="1202"/>
      <c r="H48" s="1202"/>
      <c r="I48" s="1202"/>
      <c r="J48" s="1202"/>
      <c r="K48" s="1202"/>
      <c r="L48" s="93" t="s">
        <v>327</v>
      </c>
    </row>
    <row r="49" spans="1:12" s="93" customFormat="1" ht="12">
      <c r="A49" s="444" t="s">
        <v>265</v>
      </c>
      <c r="B49" s="1206" t="s">
        <v>591</v>
      </c>
      <c r="C49" s="1206"/>
      <c r="D49" s="1206"/>
      <c r="E49" s="1206"/>
      <c r="F49" s="1206"/>
      <c r="G49" s="1206"/>
      <c r="H49" s="1206"/>
      <c r="I49" s="1206"/>
      <c r="J49" s="1206"/>
      <c r="K49" s="1206"/>
      <c r="L49" s="93" t="s">
        <v>327</v>
      </c>
    </row>
    <row r="50" spans="1:12" s="93" customFormat="1" ht="12" customHeight="1">
      <c r="A50" s="444" t="s">
        <v>303</v>
      </c>
      <c r="B50" s="1202" t="s">
        <v>696</v>
      </c>
      <c r="C50" s="1202"/>
      <c r="D50" s="1202"/>
      <c r="E50" s="1202"/>
      <c r="F50" s="1202"/>
      <c r="G50" s="1202"/>
      <c r="H50" s="1202"/>
      <c r="I50" s="1202"/>
      <c r="J50" s="1202"/>
      <c r="K50" s="1202"/>
      <c r="L50" s="93" t="s">
        <v>327</v>
      </c>
    </row>
    <row r="51" spans="1:12" s="93" customFormat="1" ht="12" customHeight="1">
      <c r="A51" s="444" t="s">
        <v>305</v>
      </c>
      <c r="B51" s="1202" t="s">
        <v>697</v>
      </c>
      <c r="C51" s="1202"/>
      <c r="D51" s="1202"/>
      <c r="E51" s="1202"/>
      <c r="F51" s="1202"/>
      <c r="G51" s="1202"/>
      <c r="H51" s="1202"/>
      <c r="I51" s="1202"/>
      <c r="J51" s="1202"/>
      <c r="K51" s="1202"/>
      <c r="L51" s="93" t="s">
        <v>327</v>
      </c>
    </row>
    <row r="52" spans="1:12" s="93" customFormat="1" ht="12" customHeight="1">
      <c r="A52" s="444" t="s">
        <v>307</v>
      </c>
      <c r="B52" s="1202" t="s">
        <v>698</v>
      </c>
      <c r="C52" s="1202"/>
      <c r="D52" s="1202"/>
      <c r="E52" s="1202"/>
      <c r="F52" s="1202"/>
      <c r="G52" s="1202"/>
      <c r="H52" s="1202"/>
      <c r="I52" s="1202"/>
      <c r="J52" s="1202"/>
      <c r="K52" s="1202"/>
      <c r="L52" s="93" t="s">
        <v>327</v>
      </c>
    </row>
    <row r="53" spans="1:12" s="93" customFormat="1" ht="12" customHeight="1">
      <c r="A53" s="444" t="s">
        <v>309</v>
      </c>
      <c r="B53" s="1202" t="s">
        <v>324</v>
      </c>
      <c r="C53" s="1202"/>
      <c r="D53" s="1202"/>
      <c r="E53" s="1202"/>
      <c r="F53" s="1202"/>
      <c r="G53" s="1202"/>
      <c r="H53" s="1202"/>
      <c r="I53" s="1202"/>
      <c r="J53" s="1202"/>
      <c r="K53" s="1202"/>
      <c r="L53" s="93" t="s">
        <v>327</v>
      </c>
    </row>
    <row r="54" spans="1:12" s="93" customFormat="1" ht="15" customHeight="1">
      <c r="A54" s="444" t="s">
        <v>253</v>
      </c>
      <c r="B54" s="1206" t="s">
        <v>699</v>
      </c>
      <c r="C54" s="1206"/>
      <c r="D54" s="1206"/>
      <c r="E54" s="1206"/>
      <c r="F54" s="1206"/>
      <c r="G54" s="1206"/>
      <c r="H54" s="1206"/>
      <c r="I54" s="1206"/>
      <c r="J54" s="1206"/>
      <c r="K54" s="1206"/>
      <c r="L54" s="93" t="s">
        <v>327</v>
      </c>
    </row>
    <row r="55" spans="1:12">
      <c r="A55" s="444" t="s">
        <v>385</v>
      </c>
      <c r="B55" s="1202" t="s">
        <v>344</v>
      </c>
      <c r="C55" s="1202"/>
      <c r="D55" s="1202"/>
      <c r="E55" s="1202"/>
      <c r="F55" s="1202"/>
      <c r="G55" s="1202"/>
      <c r="H55" s="1202"/>
      <c r="I55" s="1202"/>
      <c r="J55" s="1202"/>
      <c r="K55" s="1202"/>
      <c r="L55" s="94" t="s">
        <v>327</v>
      </c>
    </row>
    <row r="56" spans="1:12">
      <c r="A56" s="444"/>
      <c r="B56" s="1202"/>
      <c r="C56" s="1202"/>
      <c r="D56" s="1202"/>
      <c r="E56" s="1202"/>
      <c r="F56" s="1202"/>
      <c r="G56" s="1202"/>
      <c r="H56" s="1202"/>
      <c r="I56" s="1202"/>
      <c r="J56" s="1202"/>
      <c r="K56" s="1202"/>
    </row>
  </sheetData>
  <mergeCells count="20">
    <mergeCell ref="B52:K52"/>
    <mergeCell ref="B53:K53"/>
    <mergeCell ref="B55:K55"/>
    <mergeCell ref="B56:K56"/>
    <mergeCell ref="B47:K47"/>
    <mergeCell ref="B49:K49"/>
    <mergeCell ref="B54:K54"/>
    <mergeCell ref="B48:K48"/>
    <mergeCell ref="B50:K50"/>
    <mergeCell ref="B51:K51"/>
    <mergeCell ref="C3:K3"/>
    <mergeCell ref="F4:G4"/>
    <mergeCell ref="H4:I4"/>
    <mergeCell ref="B38:K38"/>
    <mergeCell ref="B39:K39"/>
    <mergeCell ref="B40:K40"/>
    <mergeCell ref="B41:K41"/>
    <mergeCell ref="B42:K42"/>
    <mergeCell ref="B43:K43"/>
    <mergeCell ref="B44:K44"/>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58346-324F-4C31-89F6-5F492458CD23}">
  <sheetPr codeName="Sheet30">
    <tabColor theme="6" tint="0.79998168889431442"/>
  </sheetPr>
  <dimension ref="A1:M57"/>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150" customWidth="1"/>
    <col min="10" max="10" width="8.7109375" style="150" customWidth="1"/>
    <col min="11" max="11" width="6.5703125" style="150" customWidth="1"/>
    <col min="12" max="16384" width="9.140625" style="94"/>
  </cols>
  <sheetData>
    <row r="1" spans="1:13" ht="20.25">
      <c r="A1" s="317" t="s">
        <v>327</v>
      </c>
      <c r="B1" s="318" t="s">
        <v>234</v>
      </c>
      <c r="C1" s="344" t="s">
        <v>327</v>
      </c>
      <c r="D1" s="344" t="s">
        <v>327</v>
      </c>
      <c r="E1" s="344" t="s">
        <v>327</v>
      </c>
      <c r="F1" s="344" t="s">
        <v>327</v>
      </c>
      <c r="G1" s="344" t="s">
        <v>327</v>
      </c>
      <c r="H1" s="344" t="s">
        <v>327</v>
      </c>
      <c r="I1" s="344" t="s">
        <v>327</v>
      </c>
      <c r="J1" s="344" t="s">
        <v>327</v>
      </c>
      <c r="K1" s="344" t="s">
        <v>327</v>
      </c>
      <c r="L1" s="94" t="s">
        <v>327</v>
      </c>
    </row>
    <row r="2" spans="1:13">
      <c r="A2" s="317" t="s">
        <v>327</v>
      </c>
      <c r="B2" s="317" t="s">
        <v>327</v>
      </c>
      <c r="C2" s="344" t="s">
        <v>327</v>
      </c>
      <c r="D2" s="344" t="s">
        <v>327</v>
      </c>
      <c r="E2" s="344" t="s">
        <v>327</v>
      </c>
      <c r="F2" s="344" t="s">
        <v>327</v>
      </c>
      <c r="G2" s="344" t="s">
        <v>327</v>
      </c>
      <c r="H2" s="344" t="s">
        <v>327</v>
      </c>
      <c r="I2" s="344" t="s">
        <v>327</v>
      </c>
      <c r="J2" s="344" t="s">
        <v>327</v>
      </c>
      <c r="K2" s="344" t="s">
        <v>327</v>
      </c>
      <c r="L2" s="94" t="s">
        <v>327</v>
      </c>
      <c r="M2" s="94" t="s">
        <v>578</v>
      </c>
    </row>
    <row r="3" spans="1:13" ht="15" customHeight="1">
      <c r="A3" s="317" t="s">
        <v>327</v>
      </c>
      <c r="B3" s="616" t="s">
        <v>145</v>
      </c>
      <c r="C3" s="1204" t="s">
        <v>700</v>
      </c>
      <c r="D3" s="1204"/>
      <c r="E3" s="1204"/>
      <c r="F3" s="1204"/>
      <c r="G3" s="1204"/>
      <c r="H3" s="1204"/>
      <c r="I3" s="1204"/>
      <c r="J3" s="1204"/>
      <c r="K3" s="1205"/>
      <c r="L3" s="94" t="s">
        <v>327</v>
      </c>
    </row>
    <row r="4" spans="1:13" ht="16.5" customHeight="1">
      <c r="A4" s="317" t="s">
        <v>327</v>
      </c>
      <c r="B4" s="617" t="s">
        <v>327</v>
      </c>
      <c r="C4" s="534">
        <v>2023</v>
      </c>
      <c r="D4" s="534">
        <v>2030</v>
      </c>
      <c r="E4" s="534">
        <v>2050</v>
      </c>
      <c r="F4" s="1161" t="s">
        <v>236</v>
      </c>
      <c r="G4" s="1163"/>
      <c r="H4" s="1161" t="s">
        <v>237</v>
      </c>
      <c r="I4" s="1163"/>
      <c r="J4" s="618" t="s">
        <v>238</v>
      </c>
      <c r="K4" s="618" t="s">
        <v>239</v>
      </c>
      <c r="L4" s="94" t="s">
        <v>327</v>
      </c>
    </row>
    <row r="5" spans="1:13" ht="15" customHeight="1">
      <c r="A5" s="317" t="s">
        <v>327</v>
      </c>
      <c r="B5" s="619" t="s">
        <v>240</v>
      </c>
      <c r="C5" s="620" t="s">
        <v>327</v>
      </c>
      <c r="D5" s="620" t="s">
        <v>327</v>
      </c>
      <c r="E5" s="620" t="s">
        <v>327</v>
      </c>
      <c r="F5" s="620" t="s">
        <v>241</v>
      </c>
      <c r="G5" s="620" t="s">
        <v>242</v>
      </c>
      <c r="H5" s="620" t="s">
        <v>241</v>
      </c>
      <c r="I5" s="620" t="s">
        <v>242</v>
      </c>
      <c r="J5" s="620" t="s">
        <v>327</v>
      </c>
      <c r="K5" s="618" t="s">
        <v>327</v>
      </c>
      <c r="L5" s="94" t="s">
        <v>327</v>
      </c>
    </row>
    <row r="6" spans="1:13" ht="15" customHeight="1">
      <c r="A6" s="317" t="s">
        <v>327</v>
      </c>
      <c r="B6" s="617" t="s">
        <v>243</v>
      </c>
      <c r="C6" s="621">
        <v>100</v>
      </c>
      <c r="D6" s="622">
        <v>100</v>
      </c>
      <c r="E6" s="622">
        <v>100</v>
      </c>
      <c r="F6" s="622">
        <v>40</v>
      </c>
      <c r="G6" s="622">
        <v>300</v>
      </c>
      <c r="H6" s="622">
        <v>40</v>
      </c>
      <c r="I6" s="622">
        <v>300</v>
      </c>
      <c r="J6" s="623" t="s">
        <v>385</v>
      </c>
      <c r="K6" s="624">
        <v>1</v>
      </c>
      <c r="L6" s="94" t="s">
        <v>327</v>
      </c>
    </row>
    <row r="7" spans="1:13" ht="21" customHeight="1">
      <c r="A7" s="317" t="s">
        <v>327</v>
      </c>
      <c r="B7" s="617" t="s">
        <v>244</v>
      </c>
      <c r="C7" s="621">
        <v>400</v>
      </c>
      <c r="D7" s="622">
        <v>400</v>
      </c>
      <c r="E7" s="622">
        <v>400</v>
      </c>
      <c r="F7" s="622">
        <v>100</v>
      </c>
      <c r="G7" s="622">
        <v>800</v>
      </c>
      <c r="H7" s="622">
        <v>100</v>
      </c>
      <c r="I7" s="622">
        <v>800</v>
      </c>
      <c r="J7" s="623" t="s">
        <v>385</v>
      </c>
      <c r="K7" s="624">
        <v>1</v>
      </c>
      <c r="L7" s="94" t="s">
        <v>327</v>
      </c>
    </row>
    <row r="8" spans="1:13" ht="21" customHeight="1">
      <c r="A8" s="317" t="s">
        <v>327</v>
      </c>
      <c r="B8" s="617" t="s">
        <v>245</v>
      </c>
      <c r="C8" s="621">
        <v>57</v>
      </c>
      <c r="D8" s="622">
        <v>60</v>
      </c>
      <c r="E8" s="622">
        <v>61</v>
      </c>
      <c r="F8" s="622">
        <v>45</v>
      </c>
      <c r="G8" s="622">
        <v>62</v>
      </c>
      <c r="H8" s="622">
        <v>55</v>
      </c>
      <c r="I8" s="622">
        <v>65</v>
      </c>
      <c r="J8" s="623" t="s">
        <v>327</v>
      </c>
      <c r="K8" s="624" t="s">
        <v>701</v>
      </c>
      <c r="L8" s="94" t="s">
        <v>327</v>
      </c>
    </row>
    <row r="9" spans="1:13" ht="24.75" customHeight="1">
      <c r="A9" s="317" t="s">
        <v>327</v>
      </c>
      <c r="B9" s="625" t="s">
        <v>247</v>
      </c>
      <c r="C9" s="621">
        <v>56</v>
      </c>
      <c r="D9" s="622">
        <v>59</v>
      </c>
      <c r="E9" s="622">
        <v>60</v>
      </c>
      <c r="F9" s="622">
        <v>39</v>
      </c>
      <c r="G9" s="622">
        <v>61</v>
      </c>
      <c r="H9" s="622">
        <v>54</v>
      </c>
      <c r="I9" s="622">
        <v>64</v>
      </c>
      <c r="J9" s="623" t="s">
        <v>327</v>
      </c>
      <c r="K9" s="624" t="s">
        <v>327</v>
      </c>
      <c r="L9" s="94" t="s">
        <v>327</v>
      </c>
    </row>
    <row r="10" spans="1:13">
      <c r="A10" s="317" t="s">
        <v>327</v>
      </c>
      <c r="B10" s="626" t="s">
        <v>248</v>
      </c>
      <c r="C10" s="621">
        <v>5</v>
      </c>
      <c r="D10" s="622">
        <v>5</v>
      </c>
      <c r="E10" s="622">
        <v>5</v>
      </c>
      <c r="F10" s="622">
        <v>3</v>
      </c>
      <c r="G10" s="622">
        <v>10</v>
      </c>
      <c r="H10" s="622">
        <v>3</v>
      </c>
      <c r="I10" s="622">
        <v>10</v>
      </c>
      <c r="J10" s="623" t="s">
        <v>327</v>
      </c>
      <c r="K10" s="624">
        <v>1</v>
      </c>
      <c r="L10" s="94" t="s">
        <v>327</v>
      </c>
    </row>
    <row r="11" spans="1:13">
      <c r="A11" s="317" t="s">
        <v>327</v>
      </c>
      <c r="B11" s="617" t="s">
        <v>249</v>
      </c>
      <c r="C11" s="621">
        <v>5</v>
      </c>
      <c r="D11" s="622">
        <v>5</v>
      </c>
      <c r="E11" s="622">
        <v>5</v>
      </c>
      <c r="F11" s="622">
        <v>3</v>
      </c>
      <c r="G11" s="622">
        <v>8</v>
      </c>
      <c r="H11" s="622">
        <v>3</v>
      </c>
      <c r="I11" s="622">
        <v>8</v>
      </c>
      <c r="J11" s="623" t="s">
        <v>327</v>
      </c>
      <c r="K11" s="624">
        <v>1</v>
      </c>
      <c r="L11" s="94" t="s">
        <v>327</v>
      </c>
    </row>
    <row r="12" spans="1:13">
      <c r="A12" s="317" t="s">
        <v>327</v>
      </c>
      <c r="B12" s="617" t="s">
        <v>250</v>
      </c>
      <c r="C12" s="621">
        <v>25</v>
      </c>
      <c r="D12" s="622">
        <v>25</v>
      </c>
      <c r="E12" s="622">
        <v>25</v>
      </c>
      <c r="F12" s="622">
        <v>20</v>
      </c>
      <c r="G12" s="622">
        <v>30</v>
      </c>
      <c r="H12" s="622">
        <v>20</v>
      </c>
      <c r="I12" s="622">
        <v>30</v>
      </c>
      <c r="J12" s="623" t="s">
        <v>327</v>
      </c>
      <c r="K12" s="624">
        <v>1</v>
      </c>
      <c r="L12" s="94" t="s">
        <v>327</v>
      </c>
    </row>
    <row r="13" spans="1:13">
      <c r="A13" s="317" t="s">
        <v>327</v>
      </c>
      <c r="B13" s="617" t="s">
        <v>252</v>
      </c>
      <c r="C13" s="621">
        <v>2.5</v>
      </c>
      <c r="D13" s="622">
        <v>2.5</v>
      </c>
      <c r="E13" s="622">
        <v>2.5</v>
      </c>
      <c r="F13" s="623">
        <v>2</v>
      </c>
      <c r="G13" s="624">
        <v>3</v>
      </c>
      <c r="H13" s="624">
        <v>2</v>
      </c>
      <c r="I13" s="621">
        <v>3</v>
      </c>
      <c r="J13" s="623" t="s">
        <v>327</v>
      </c>
      <c r="K13" s="624">
        <v>1</v>
      </c>
      <c r="L13" s="94" t="s">
        <v>327</v>
      </c>
    </row>
    <row r="14" spans="1:13">
      <c r="A14" s="317" t="s">
        <v>327</v>
      </c>
      <c r="B14" s="627" t="s">
        <v>484</v>
      </c>
      <c r="C14" s="631" t="s">
        <v>146</v>
      </c>
      <c r="D14" s="631" t="s">
        <v>146</v>
      </c>
      <c r="E14" s="631" t="s">
        <v>146</v>
      </c>
      <c r="F14" s="631" t="s">
        <v>146</v>
      </c>
      <c r="G14" s="631" t="s">
        <v>146</v>
      </c>
      <c r="H14" s="631" t="s">
        <v>146</v>
      </c>
      <c r="I14" s="631" t="s">
        <v>146</v>
      </c>
      <c r="J14" s="623" t="s">
        <v>327</v>
      </c>
      <c r="K14" s="624" t="s">
        <v>327</v>
      </c>
      <c r="L14" s="94" t="s">
        <v>327</v>
      </c>
    </row>
    <row r="15" spans="1:13">
      <c r="A15" s="317" t="s">
        <v>327</v>
      </c>
      <c r="B15" s="628" t="s">
        <v>255</v>
      </c>
      <c r="C15" s="629" t="s">
        <v>327</v>
      </c>
      <c r="D15" s="629" t="s">
        <v>327</v>
      </c>
      <c r="E15" s="629" t="s">
        <v>327</v>
      </c>
      <c r="F15" s="629" t="s">
        <v>327</v>
      </c>
      <c r="G15" s="629" t="s">
        <v>327</v>
      </c>
      <c r="H15" s="629" t="s">
        <v>327</v>
      </c>
      <c r="I15" s="629" t="s">
        <v>327</v>
      </c>
      <c r="J15" s="629" t="s">
        <v>327</v>
      </c>
      <c r="K15" s="630" t="s">
        <v>327</v>
      </c>
      <c r="L15" s="94" t="s">
        <v>327</v>
      </c>
    </row>
    <row r="16" spans="1:13">
      <c r="A16" s="317" t="s">
        <v>327</v>
      </c>
      <c r="B16" s="627" t="s">
        <v>256</v>
      </c>
      <c r="C16" s="631" t="s">
        <v>146</v>
      </c>
      <c r="D16" s="631" t="s">
        <v>146</v>
      </c>
      <c r="E16" s="631" t="s">
        <v>146</v>
      </c>
      <c r="F16" s="631" t="s">
        <v>146</v>
      </c>
      <c r="G16" s="631" t="s">
        <v>146</v>
      </c>
      <c r="H16" s="631" t="s">
        <v>146</v>
      </c>
      <c r="I16" s="631" t="s">
        <v>146</v>
      </c>
      <c r="J16" s="623" t="s">
        <v>327</v>
      </c>
      <c r="K16" s="624" t="s">
        <v>327</v>
      </c>
      <c r="L16" s="94" t="s">
        <v>327</v>
      </c>
    </row>
    <row r="17" spans="1:12">
      <c r="A17" s="317" t="s">
        <v>327</v>
      </c>
      <c r="B17" s="627" t="s">
        <v>257</v>
      </c>
      <c r="C17" s="631" t="s">
        <v>146</v>
      </c>
      <c r="D17" s="631" t="s">
        <v>146</v>
      </c>
      <c r="E17" s="631" t="s">
        <v>146</v>
      </c>
      <c r="F17" s="631" t="s">
        <v>146</v>
      </c>
      <c r="G17" s="631" t="s">
        <v>146</v>
      </c>
      <c r="H17" s="631" t="s">
        <v>146</v>
      </c>
      <c r="I17" s="631" t="s">
        <v>146</v>
      </c>
      <c r="J17" s="623" t="s">
        <v>327</v>
      </c>
      <c r="K17" s="624" t="s">
        <v>327</v>
      </c>
      <c r="L17" s="94" t="s">
        <v>327</v>
      </c>
    </row>
    <row r="18" spans="1:12">
      <c r="A18" s="317" t="s">
        <v>327</v>
      </c>
      <c r="B18" s="619" t="s">
        <v>258</v>
      </c>
      <c r="C18" s="620" t="s">
        <v>327</v>
      </c>
      <c r="D18" s="620" t="s">
        <v>327</v>
      </c>
      <c r="E18" s="620" t="s">
        <v>327</v>
      </c>
      <c r="F18" s="620" t="s">
        <v>327</v>
      </c>
      <c r="G18" s="620" t="s">
        <v>327</v>
      </c>
      <c r="H18" s="620" t="s">
        <v>327</v>
      </c>
      <c r="I18" s="620" t="s">
        <v>327</v>
      </c>
      <c r="J18" s="620" t="s">
        <v>327</v>
      </c>
      <c r="K18" s="618" t="s">
        <v>327</v>
      </c>
      <c r="L18" s="94" t="s">
        <v>327</v>
      </c>
    </row>
    <row r="19" spans="1:12">
      <c r="A19" s="317" t="s">
        <v>327</v>
      </c>
      <c r="B19" s="617" t="s">
        <v>259</v>
      </c>
      <c r="C19" s="621">
        <v>20</v>
      </c>
      <c r="D19" s="622">
        <v>20</v>
      </c>
      <c r="E19" s="622">
        <v>20</v>
      </c>
      <c r="F19" s="622">
        <v>10</v>
      </c>
      <c r="G19" s="622">
        <v>30</v>
      </c>
      <c r="H19" s="622">
        <v>10</v>
      </c>
      <c r="I19" s="623">
        <v>30</v>
      </c>
      <c r="J19" s="624" t="s">
        <v>265</v>
      </c>
      <c r="K19" s="624" t="s">
        <v>355</v>
      </c>
      <c r="L19" s="94" t="s">
        <v>327</v>
      </c>
    </row>
    <row r="20" spans="1:12">
      <c r="A20" s="317" t="s">
        <v>327</v>
      </c>
      <c r="B20" s="617" t="s">
        <v>260</v>
      </c>
      <c r="C20" s="621">
        <v>45</v>
      </c>
      <c r="D20" s="622">
        <v>30</v>
      </c>
      <c r="E20" s="622">
        <v>15</v>
      </c>
      <c r="F20" s="622">
        <v>30</v>
      </c>
      <c r="G20" s="622">
        <v>50</v>
      </c>
      <c r="H20" s="622">
        <v>10</v>
      </c>
      <c r="I20" s="623">
        <v>40</v>
      </c>
      <c r="J20" s="624" t="s">
        <v>246</v>
      </c>
      <c r="K20" s="624">
        <v>5</v>
      </c>
      <c r="L20" s="94" t="s">
        <v>327</v>
      </c>
    </row>
    <row r="21" spans="1:12">
      <c r="A21" s="317" t="s">
        <v>327</v>
      </c>
      <c r="B21" s="617" t="s">
        <v>261</v>
      </c>
      <c r="C21" s="621">
        <v>2</v>
      </c>
      <c r="D21" s="622">
        <v>1</v>
      </c>
      <c r="E21" s="622">
        <v>1</v>
      </c>
      <c r="F21" s="622">
        <v>1</v>
      </c>
      <c r="G21" s="622">
        <v>3</v>
      </c>
      <c r="H21" s="622">
        <v>0.5</v>
      </c>
      <c r="I21" s="623">
        <v>2</v>
      </c>
      <c r="J21" s="624" t="s">
        <v>246</v>
      </c>
      <c r="K21" s="624" t="s">
        <v>314</v>
      </c>
      <c r="L21" s="94" t="s">
        <v>327</v>
      </c>
    </row>
    <row r="22" spans="1:12">
      <c r="A22" s="317" t="s">
        <v>327</v>
      </c>
      <c r="B22" s="617" t="s">
        <v>262</v>
      </c>
      <c r="C22" s="621">
        <v>4</v>
      </c>
      <c r="D22" s="622">
        <v>4</v>
      </c>
      <c r="E22" s="622">
        <v>4</v>
      </c>
      <c r="F22" s="622">
        <v>2</v>
      </c>
      <c r="G22" s="622">
        <v>5</v>
      </c>
      <c r="H22" s="622">
        <v>2</v>
      </c>
      <c r="I22" s="622">
        <v>5</v>
      </c>
      <c r="J22" s="624" t="s">
        <v>327</v>
      </c>
      <c r="K22" s="624" t="s">
        <v>314</v>
      </c>
      <c r="L22" s="94" t="s">
        <v>327</v>
      </c>
    </row>
    <row r="23" spans="1:12">
      <c r="A23" s="317" t="s">
        <v>327</v>
      </c>
      <c r="B23" s="619" t="s">
        <v>263</v>
      </c>
      <c r="C23" s="620" t="s">
        <v>327</v>
      </c>
      <c r="D23" s="620" t="s">
        <v>327</v>
      </c>
      <c r="E23" s="620" t="s">
        <v>327</v>
      </c>
      <c r="F23" s="620" t="s">
        <v>327</v>
      </c>
      <c r="G23" s="620" t="s">
        <v>327</v>
      </c>
      <c r="H23" s="620" t="s">
        <v>327</v>
      </c>
      <c r="I23" s="620" t="s">
        <v>327</v>
      </c>
      <c r="J23" s="620" t="s">
        <v>327</v>
      </c>
      <c r="K23" s="618" t="s">
        <v>327</v>
      </c>
      <c r="L23" s="94" t="s">
        <v>327</v>
      </c>
    </row>
    <row r="24" spans="1:12">
      <c r="A24" s="317" t="s">
        <v>327</v>
      </c>
      <c r="B24" s="617" t="s">
        <v>691</v>
      </c>
      <c r="C24" s="624">
        <v>30</v>
      </c>
      <c r="D24" s="624">
        <v>30</v>
      </c>
      <c r="E24" s="624">
        <v>30</v>
      </c>
      <c r="F24" s="624" t="s">
        <v>327</v>
      </c>
      <c r="G24" s="624" t="s">
        <v>327</v>
      </c>
      <c r="H24" s="624" t="s">
        <v>327</v>
      </c>
      <c r="I24" s="624" t="s">
        <v>327</v>
      </c>
      <c r="J24" s="624" t="s">
        <v>327</v>
      </c>
      <c r="K24" s="624" t="s">
        <v>327</v>
      </c>
      <c r="L24" s="94" t="s">
        <v>327</v>
      </c>
    </row>
    <row r="25" spans="1:12">
      <c r="A25" s="317" t="s">
        <v>327</v>
      </c>
      <c r="B25" s="617" t="s">
        <v>444</v>
      </c>
      <c r="C25" s="632" t="s">
        <v>146</v>
      </c>
      <c r="D25" s="632" t="s">
        <v>146</v>
      </c>
      <c r="E25" s="632" t="s">
        <v>146</v>
      </c>
      <c r="F25" s="632" t="s">
        <v>146</v>
      </c>
      <c r="G25" s="632" t="s">
        <v>146</v>
      </c>
      <c r="H25" s="632" t="s">
        <v>146</v>
      </c>
      <c r="I25" s="632" t="s">
        <v>146</v>
      </c>
      <c r="J25" s="624" t="s">
        <v>305</v>
      </c>
      <c r="K25" s="624" t="s">
        <v>327</v>
      </c>
      <c r="L25" s="94" t="s">
        <v>327</v>
      </c>
    </row>
    <row r="26" spans="1:12" ht="15" customHeight="1">
      <c r="A26" s="317" t="s">
        <v>327</v>
      </c>
      <c r="B26" s="617" t="s">
        <v>445</v>
      </c>
      <c r="C26" s="624">
        <v>86</v>
      </c>
      <c r="D26" s="624">
        <v>60</v>
      </c>
      <c r="E26" s="624">
        <v>20</v>
      </c>
      <c r="F26" s="624">
        <v>20</v>
      </c>
      <c r="G26" s="624">
        <v>86</v>
      </c>
      <c r="H26" s="624">
        <v>20</v>
      </c>
      <c r="I26" s="624">
        <v>86</v>
      </c>
      <c r="J26" s="624" t="s">
        <v>584</v>
      </c>
      <c r="K26" s="624" t="s">
        <v>367</v>
      </c>
      <c r="L26" s="94" t="s">
        <v>327</v>
      </c>
    </row>
    <row r="27" spans="1:12">
      <c r="A27" s="317" t="s">
        <v>327</v>
      </c>
      <c r="B27" s="617" t="s">
        <v>446</v>
      </c>
      <c r="C27" s="632" t="s">
        <v>146</v>
      </c>
      <c r="D27" s="632" t="s">
        <v>146</v>
      </c>
      <c r="E27" s="632" t="s">
        <v>146</v>
      </c>
      <c r="F27" s="632" t="s">
        <v>146</v>
      </c>
      <c r="G27" s="632" t="s">
        <v>146</v>
      </c>
      <c r="H27" s="632" t="s">
        <v>146</v>
      </c>
      <c r="I27" s="632" t="s">
        <v>146</v>
      </c>
      <c r="J27" s="624" t="s">
        <v>327</v>
      </c>
      <c r="K27" s="624" t="s">
        <v>327</v>
      </c>
      <c r="L27" s="94" t="s">
        <v>327</v>
      </c>
    </row>
    <row r="28" spans="1:12">
      <c r="A28" s="317" t="s">
        <v>327</v>
      </c>
      <c r="B28" s="617" t="s">
        <v>447</v>
      </c>
      <c r="C28" s="632" t="s">
        <v>146</v>
      </c>
      <c r="D28" s="632" t="s">
        <v>146</v>
      </c>
      <c r="E28" s="632" t="s">
        <v>146</v>
      </c>
      <c r="F28" s="632" t="s">
        <v>146</v>
      </c>
      <c r="G28" s="632" t="s">
        <v>146</v>
      </c>
      <c r="H28" s="632" t="s">
        <v>146</v>
      </c>
      <c r="I28" s="632" t="s">
        <v>146</v>
      </c>
      <c r="J28" s="624" t="s">
        <v>327</v>
      </c>
      <c r="K28" s="624" t="s">
        <v>327</v>
      </c>
      <c r="L28" s="94" t="s">
        <v>327</v>
      </c>
    </row>
    <row r="29" spans="1:12">
      <c r="A29" s="317" t="s">
        <v>327</v>
      </c>
      <c r="B29" s="619" t="s">
        <v>270</v>
      </c>
      <c r="C29" s="620" t="s">
        <v>327</v>
      </c>
      <c r="D29" s="620" t="s">
        <v>327</v>
      </c>
      <c r="E29" s="620" t="s">
        <v>327</v>
      </c>
      <c r="F29" s="620" t="s">
        <v>327</v>
      </c>
      <c r="G29" s="620" t="s">
        <v>327</v>
      </c>
      <c r="H29" s="620" t="s">
        <v>327</v>
      </c>
      <c r="I29" s="620" t="s">
        <v>327</v>
      </c>
      <c r="J29" s="620" t="s">
        <v>327</v>
      </c>
      <c r="K29" s="618" t="s">
        <v>327</v>
      </c>
      <c r="L29" s="94" t="s">
        <v>327</v>
      </c>
    </row>
    <row r="30" spans="1:12">
      <c r="A30" s="317" t="s">
        <v>327</v>
      </c>
      <c r="B30" s="549" t="s">
        <v>271</v>
      </c>
      <c r="C30" s="641">
        <v>1.08</v>
      </c>
      <c r="D30" s="633">
        <f>1.08*0.95</f>
        <v>1.026</v>
      </c>
      <c r="E30" s="634">
        <f>1.08*0.88</f>
        <v>0.95040000000000002</v>
      </c>
      <c r="F30" s="642">
        <v>0.74</v>
      </c>
      <c r="G30" s="622">
        <v>1.1399999999999999</v>
      </c>
      <c r="H30" s="622">
        <v>0.63</v>
      </c>
      <c r="I30" s="623">
        <v>1.03</v>
      </c>
      <c r="J30" s="624" t="s">
        <v>702</v>
      </c>
      <c r="K30" s="624" t="s">
        <v>703</v>
      </c>
      <c r="L30" s="94" t="s">
        <v>327</v>
      </c>
    </row>
    <row r="31" spans="1:12">
      <c r="A31" s="317" t="s">
        <v>327</v>
      </c>
      <c r="B31" s="549" t="s">
        <v>544</v>
      </c>
      <c r="C31" s="643">
        <v>50</v>
      </c>
      <c r="D31" s="643">
        <v>50</v>
      </c>
      <c r="E31" s="643">
        <v>50</v>
      </c>
      <c r="F31" s="644">
        <v>50</v>
      </c>
      <c r="G31" s="624">
        <v>50</v>
      </c>
      <c r="H31" s="624">
        <v>50</v>
      </c>
      <c r="I31" s="624">
        <v>50</v>
      </c>
      <c r="J31" s="624" t="s">
        <v>327</v>
      </c>
      <c r="K31" s="624">
        <v>9</v>
      </c>
      <c r="L31" s="94" t="s">
        <v>327</v>
      </c>
    </row>
    <row r="32" spans="1:12">
      <c r="A32" s="317" t="s">
        <v>327</v>
      </c>
      <c r="B32" s="549" t="s">
        <v>545</v>
      </c>
      <c r="C32" s="644">
        <v>50</v>
      </c>
      <c r="D32" s="644">
        <v>50</v>
      </c>
      <c r="E32" s="644">
        <v>50</v>
      </c>
      <c r="F32" s="644">
        <v>50</v>
      </c>
      <c r="G32" s="624">
        <v>50</v>
      </c>
      <c r="H32" s="624">
        <v>50</v>
      </c>
      <c r="I32" s="624">
        <v>50</v>
      </c>
      <c r="J32" s="624" t="s">
        <v>327</v>
      </c>
      <c r="K32" s="624">
        <v>9</v>
      </c>
      <c r="L32" s="94" t="s">
        <v>327</v>
      </c>
    </row>
    <row r="33" spans="1:12">
      <c r="A33" s="317" t="s">
        <v>327</v>
      </c>
      <c r="B33" s="549" t="s">
        <v>276</v>
      </c>
      <c r="C33" s="645">
        <v>26800</v>
      </c>
      <c r="D33" s="635">
        <f>MROUND(C33*0.97,100)</f>
        <v>26000</v>
      </c>
      <c r="E33" s="635">
        <f>MROUND(C33*0.94,100)</f>
        <v>25200</v>
      </c>
      <c r="F33" s="646">
        <v>20000</v>
      </c>
      <c r="G33" s="635">
        <v>33500</v>
      </c>
      <c r="H33" s="635">
        <v>19000</v>
      </c>
      <c r="I33" s="635">
        <v>31500</v>
      </c>
      <c r="J33" s="624" t="s">
        <v>300</v>
      </c>
      <c r="K33" s="624" t="s">
        <v>586</v>
      </c>
      <c r="L33" s="94" t="s">
        <v>327</v>
      </c>
    </row>
    <row r="34" spans="1:12">
      <c r="A34" s="317" t="s">
        <v>327</v>
      </c>
      <c r="B34" s="627" t="s">
        <v>279</v>
      </c>
      <c r="C34" s="647">
        <v>2.6</v>
      </c>
      <c r="D34" s="648">
        <v>2.5</v>
      </c>
      <c r="E34" s="648">
        <v>2.4</v>
      </c>
      <c r="F34" s="623">
        <v>1.9</v>
      </c>
      <c r="G34" s="624">
        <v>3.3</v>
      </c>
      <c r="H34" s="624">
        <v>1.8</v>
      </c>
      <c r="I34" s="624">
        <v>3.1</v>
      </c>
      <c r="J34" s="624" t="s">
        <v>300</v>
      </c>
      <c r="K34" s="624">
        <v>1</v>
      </c>
      <c r="L34" s="94" t="s">
        <v>327</v>
      </c>
    </row>
    <row r="35" spans="1:12">
      <c r="A35" s="317" t="s">
        <v>327</v>
      </c>
      <c r="B35" s="617" t="s">
        <v>282</v>
      </c>
      <c r="C35" s="636">
        <v>90</v>
      </c>
      <c r="D35" s="637">
        <v>90</v>
      </c>
      <c r="E35" s="637">
        <v>90</v>
      </c>
      <c r="F35" s="638">
        <v>70</v>
      </c>
      <c r="G35" s="639">
        <v>115</v>
      </c>
      <c r="H35" s="639">
        <v>70</v>
      </c>
      <c r="I35" s="639">
        <v>115</v>
      </c>
      <c r="J35" s="624" t="s">
        <v>300</v>
      </c>
      <c r="K35" s="624">
        <v>6</v>
      </c>
      <c r="L35" s="94" t="s">
        <v>327</v>
      </c>
    </row>
    <row r="36" spans="1:12">
      <c r="A36" s="340" t="s">
        <v>327</v>
      </c>
      <c r="B36" s="317" t="s">
        <v>327</v>
      </c>
      <c r="C36" s="344" t="s">
        <v>327</v>
      </c>
      <c r="D36" s="649"/>
      <c r="E36" s="649"/>
      <c r="F36" s="344"/>
      <c r="G36" s="344"/>
      <c r="H36" s="649"/>
      <c r="I36" s="649"/>
      <c r="J36" s="344" t="s">
        <v>327</v>
      </c>
      <c r="K36" s="344" t="s">
        <v>327</v>
      </c>
      <c r="L36" s="94" t="s">
        <v>327</v>
      </c>
    </row>
    <row r="37" spans="1:12" s="93" customFormat="1" ht="12">
      <c r="A37" s="340" t="s">
        <v>286</v>
      </c>
      <c r="B37" s="340"/>
      <c r="C37" s="344" t="s">
        <v>327</v>
      </c>
      <c r="D37" s="344"/>
      <c r="E37" s="344"/>
      <c r="F37" s="344"/>
      <c r="G37" s="344"/>
      <c r="H37" s="344"/>
      <c r="I37" s="344"/>
      <c r="J37" s="344" t="s">
        <v>327</v>
      </c>
      <c r="K37" s="344" t="s">
        <v>327</v>
      </c>
      <c r="L37" s="93" t="s">
        <v>327</v>
      </c>
    </row>
    <row r="38" spans="1:12" ht="14.1" customHeight="1">
      <c r="A38" s="502">
        <v>1</v>
      </c>
      <c r="B38" s="1150" t="s">
        <v>287</v>
      </c>
      <c r="C38" s="1150"/>
      <c r="D38" s="1150"/>
      <c r="E38" s="1150"/>
      <c r="F38" s="1150"/>
      <c r="G38" s="1150"/>
      <c r="H38" s="1150"/>
      <c r="I38" s="1150"/>
      <c r="J38" s="1150"/>
      <c r="K38" s="1150"/>
      <c r="L38" s="94" t="s">
        <v>327</v>
      </c>
    </row>
    <row r="39" spans="1:12" ht="14.1" customHeight="1">
      <c r="A39" s="502">
        <v>2</v>
      </c>
      <c r="B39" s="1178" t="s">
        <v>694</v>
      </c>
      <c r="C39" s="1178"/>
      <c r="D39" s="1178"/>
      <c r="E39" s="1178"/>
      <c r="F39" s="1178"/>
      <c r="G39" s="1178"/>
      <c r="H39" s="1178"/>
      <c r="I39" s="1178"/>
      <c r="J39" s="1178"/>
      <c r="K39" s="1178"/>
      <c r="L39" s="94" t="s">
        <v>327</v>
      </c>
    </row>
    <row r="40" spans="1:12" ht="14.1" customHeight="1">
      <c r="A40" s="502">
        <v>3</v>
      </c>
      <c r="B40" s="1178" t="s">
        <v>601</v>
      </c>
      <c r="C40" s="1178"/>
      <c r="D40" s="1178"/>
      <c r="E40" s="1178"/>
      <c r="F40" s="1178"/>
      <c r="G40" s="1178"/>
      <c r="H40" s="1178"/>
      <c r="I40" s="1178"/>
      <c r="J40" s="1178"/>
      <c r="K40" s="1178"/>
      <c r="L40" s="94" t="s">
        <v>327</v>
      </c>
    </row>
    <row r="41" spans="1:12" ht="14.1" customHeight="1">
      <c r="A41" s="502">
        <v>4</v>
      </c>
      <c r="B41" s="1178" t="s">
        <v>290</v>
      </c>
      <c r="C41" s="1178"/>
      <c r="D41" s="1178"/>
      <c r="E41" s="1178"/>
      <c r="F41" s="1178"/>
      <c r="G41" s="1178"/>
      <c r="H41" s="1178"/>
      <c r="I41" s="1178"/>
      <c r="J41" s="1178"/>
      <c r="K41" s="1178"/>
      <c r="L41" s="94" t="s">
        <v>327</v>
      </c>
    </row>
    <row r="42" spans="1:12" ht="14.1" customHeight="1">
      <c r="A42" s="502">
        <v>5</v>
      </c>
      <c r="B42" s="1177" t="s">
        <v>704</v>
      </c>
      <c r="C42" s="1177"/>
      <c r="D42" s="1177"/>
      <c r="E42" s="1177"/>
      <c r="F42" s="1177"/>
      <c r="G42" s="1177"/>
      <c r="H42" s="1177"/>
      <c r="I42" s="1177"/>
      <c r="J42" s="1177"/>
      <c r="K42" s="1177"/>
      <c r="L42" s="94" t="s">
        <v>327</v>
      </c>
    </row>
    <row r="43" spans="1:12" ht="26.25" customHeight="1">
      <c r="A43" s="502">
        <v>6</v>
      </c>
      <c r="B43" s="1181" t="s">
        <v>589</v>
      </c>
      <c r="C43" s="1181"/>
      <c r="D43" s="1181"/>
      <c r="E43" s="1181"/>
      <c r="F43" s="1181"/>
      <c r="G43" s="1181"/>
      <c r="H43" s="1181"/>
      <c r="I43" s="1181"/>
      <c r="J43" s="1181"/>
      <c r="K43" s="1181"/>
      <c r="L43" s="94" t="s">
        <v>327</v>
      </c>
    </row>
    <row r="44" spans="1:12" ht="14.1" customHeight="1">
      <c r="A44" s="502">
        <v>7</v>
      </c>
      <c r="B44" s="1178" t="s">
        <v>588</v>
      </c>
      <c r="C44" s="1178"/>
      <c r="D44" s="1178"/>
      <c r="E44" s="1178"/>
      <c r="F44" s="1178"/>
      <c r="G44" s="1178"/>
      <c r="H44" s="1178"/>
      <c r="I44" s="1178"/>
      <c r="J44" s="1178"/>
      <c r="K44" s="1178"/>
      <c r="L44" s="94" t="s">
        <v>327</v>
      </c>
    </row>
    <row r="45" spans="1:12" ht="14.1" customHeight="1">
      <c r="A45" s="502">
        <v>8</v>
      </c>
      <c r="B45" s="1178" t="s">
        <v>693</v>
      </c>
      <c r="C45" s="1178"/>
      <c r="D45" s="1178"/>
      <c r="E45" s="1178"/>
      <c r="F45" s="1178"/>
      <c r="G45" s="1178"/>
      <c r="H45" s="1178"/>
      <c r="I45" s="1178"/>
      <c r="J45" s="1178"/>
      <c r="K45" s="1178"/>
      <c r="L45" s="94" t="s">
        <v>327</v>
      </c>
    </row>
    <row r="46" spans="1:12" ht="14.1" customHeight="1">
      <c r="A46" s="502">
        <v>9</v>
      </c>
      <c r="B46" s="1177" t="s">
        <v>695</v>
      </c>
      <c r="C46" s="1177"/>
      <c r="D46" s="1177"/>
      <c r="E46" s="1177"/>
      <c r="F46" s="1177"/>
      <c r="G46" s="1177"/>
      <c r="H46" s="1177"/>
      <c r="I46" s="1177"/>
      <c r="J46" s="1177"/>
      <c r="K46" s="1177"/>
      <c r="L46" s="94" t="s">
        <v>327</v>
      </c>
    </row>
    <row r="47" spans="1:12" ht="14.1" customHeight="1">
      <c r="A47" s="502">
        <v>10</v>
      </c>
      <c r="B47" s="1177" t="s">
        <v>600</v>
      </c>
      <c r="C47" s="1177"/>
      <c r="D47" s="1177"/>
      <c r="E47" s="1177"/>
      <c r="F47" s="1177"/>
      <c r="G47" s="1177"/>
      <c r="H47" s="1177"/>
      <c r="I47" s="1177"/>
      <c r="J47" s="1177"/>
      <c r="K47" s="1177"/>
      <c r="L47" s="94" t="s">
        <v>327</v>
      </c>
    </row>
    <row r="48" spans="1:12">
      <c r="A48" s="340" t="s">
        <v>298</v>
      </c>
      <c r="B48" s="340"/>
      <c r="C48" s="344" t="s">
        <v>327</v>
      </c>
      <c r="D48" s="344" t="s">
        <v>327</v>
      </c>
      <c r="E48" s="344" t="s">
        <v>327</v>
      </c>
      <c r="F48" s="344" t="s">
        <v>327</v>
      </c>
      <c r="G48" s="344" t="s">
        <v>327</v>
      </c>
      <c r="H48" s="344" t="s">
        <v>327</v>
      </c>
      <c r="I48" s="344" t="s">
        <v>327</v>
      </c>
      <c r="J48" s="344" t="s">
        <v>327</v>
      </c>
      <c r="K48" s="344" t="s">
        <v>327</v>
      </c>
      <c r="L48" s="94" t="s">
        <v>327</v>
      </c>
    </row>
    <row r="49" spans="1:12" ht="14.1" customHeight="1">
      <c r="A49" s="502" t="s">
        <v>246</v>
      </c>
      <c r="B49" s="1177" t="s">
        <v>590</v>
      </c>
      <c r="C49" s="1177"/>
      <c r="D49" s="1177"/>
      <c r="E49" s="1177"/>
      <c r="F49" s="1177"/>
      <c r="G49" s="1177"/>
      <c r="H49" s="1177"/>
      <c r="I49" s="1177"/>
      <c r="J49" s="1177"/>
      <c r="K49" s="1177"/>
      <c r="L49" s="94" t="s">
        <v>327</v>
      </c>
    </row>
    <row r="50" spans="1:12" ht="13.5" customHeight="1">
      <c r="A50" s="502" t="s">
        <v>300</v>
      </c>
      <c r="B50" s="1178" t="s">
        <v>323</v>
      </c>
      <c r="C50" s="1178"/>
      <c r="D50" s="1178"/>
      <c r="E50" s="1178"/>
      <c r="F50" s="1178"/>
      <c r="G50" s="1178"/>
      <c r="H50" s="1178"/>
      <c r="I50" s="1178"/>
      <c r="J50" s="1178"/>
      <c r="K50" s="1178"/>
      <c r="L50" s="94" t="s">
        <v>327</v>
      </c>
    </row>
    <row r="51" spans="1:12" ht="15" customHeight="1">
      <c r="A51" s="502" t="s">
        <v>265</v>
      </c>
      <c r="B51" s="1181" t="s">
        <v>591</v>
      </c>
      <c r="C51" s="1181"/>
      <c r="D51" s="1181"/>
      <c r="E51" s="1181"/>
      <c r="F51" s="1181"/>
      <c r="G51" s="1181"/>
      <c r="H51" s="1181"/>
      <c r="I51" s="1181"/>
      <c r="J51" s="1181"/>
      <c r="K51" s="1181"/>
      <c r="L51" s="94" t="s">
        <v>327</v>
      </c>
    </row>
    <row r="52" spans="1:12" ht="14.1" customHeight="1">
      <c r="A52" s="502" t="s">
        <v>303</v>
      </c>
      <c r="B52" s="1178" t="s">
        <v>696</v>
      </c>
      <c r="C52" s="1178"/>
      <c r="D52" s="1178"/>
      <c r="E52" s="1178"/>
      <c r="F52" s="1178"/>
      <c r="G52" s="1178"/>
      <c r="H52" s="1178"/>
      <c r="I52" s="1178"/>
      <c r="J52" s="1178"/>
      <c r="K52" s="1178"/>
      <c r="L52" s="94" t="s">
        <v>327</v>
      </c>
    </row>
    <row r="53" spans="1:12" ht="14.1" customHeight="1">
      <c r="A53" s="502" t="s">
        <v>305</v>
      </c>
      <c r="B53" s="1177" t="s">
        <v>697</v>
      </c>
      <c r="C53" s="1177"/>
      <c r="D53" s="1177"/>
      <c r="E53" s="1177"/>
      <c r="F53" s="1177"/>
      <c r="G53" s="1177"/>
      <c r="H53" s="1177"/>
      <c r="I53" s="1177"/>
      <c r="J53" s="1177"/>
      <c r="K53" s="1177"/>
      <c r="L53" s="94" t="s">
        <v>327</v>
      </c>
    </row>
    <row r="54" spans="1:12" ht="14.1" customHeight="1">
      <c r="A54" s="502" t="s">
        <v>307</v>
      </c>
      <c r="B54" s="1177" t="s">
        <v>324</v>
      </c>
      <c r="C54" s="1177"/>
      <c r="D54" s="1177"/>
      <c r="E54" s="1177"/>
      <c r="F54" s="1177"/>
      <c r="G54" s="1177"/>
      <c r="H54" s="1177"/>
      <c r="I54" s="1177"/>
      <c r="J54" s="1177"/>
      <c r="K54" s="1177"/>
      <c r="L54" s="94" t="s">
        <v>327</v>
      </c>
    </row>
    <row r="55" spans="1:12" ht="40.5" customHeight="1">
      <c r="A55" s="502" t="s">
        <v>253</v>
      </c>
      <c r="B55" s="1181" t="s">
        <v>325</v>
      </c>
      <c r="C55" s="1181"/>
      <c r="D55" s="1181"/>
      <c r="E55" s="1181"/>
      <c r="F55" s="1181"/>
      <c r="G55" s="1181"/>
      <c r="H55" s="1181"/>
      <c r="I55" s="1181"/>
      <c r="J55" s="1181"/>
      <c r="K55" s="1181"/>
      <c r="L55" s="94" t="s">
        <v>327</v>
      </c>
    </row>
    <row r="56" spans="1:12" ht="14.1" customHeight="1">
      <c r="A56" s="502" t="s">
        <v>385</v>
      </c>
      <c r="B56" s="1177" t="s">
        <v>344</v>
      </c>
      <c r="C56" s="1177"/>
      <c r="D56" s="1177"/>
      <c r="E56" s="1177"/>
      <c r="F56" s="1177"/>
      <c r="G56" s="1177"/>
      <c r="H56" s="1177"/>
      <c r="I56" s="1177"/>
      <c r="J56" s="1177"/>
      <c r="K56" s="1177"/>
      <c r="L56" s="94" t="s">
        <v>327</v>
      </c>
    </row>
    <row r="57" spans="1:12">
      <c r="L57" s="94" t="s">
        <v>327</v>
      </c>
    </row>
  </sheetData>
  <mergeCells count="21">
    <mergeCell ref="B50:K50"/>
    <mergeCell ref="B51:K51"/>
    <mergeCell ref="B53:K53"/>
    <mergeCell ref="B54:K54"/>
    <mergeCell ref="B55:K55"/>
    <mergeCell ref="B56:K56"/>
    <mergeCell ref="C3:K3"/>
    <mergeCell ref="F4:G4"/>
    <mergeCell ref="H4:I4"/>
    <mergeCell ref="B43:K43"/>
    <mergeCell ref="B52:K52"/>
    <mergeCell ref="B38:K38"/>
    <mergeCell ref="B39:K39"/>
    <mergeCell ref="B40:K40"/>
    <mergeCell ref="B41:K41"/>
    <mergeCell ref="B42:K42"/>
    <mergeCell ref="B44:K44"/>
    <mergeCell ref="B45:K45"/>
    <mergeCell ref="B46:K46"/>
    <mergeCell ref="B47:K47"/>
    <mergeCell ref="B49:K49"/>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80CF0-F49F-4404-8619-F9BFAA3E7FFC}">
  <sheetPr codeName="Sheet31">
    <tabColor theme="1" tint="0.34998626667073579"/>
  </sheetPr>
  <dimension ref="A1:XFD64"/>
  <sheetViews>
    <sheetView showGridLines="0" zoomScaleNormal="100" workbookViewId="0">
      <selection activeCell="B47" sqref="B47:K47"/>
    </sheetView>
  </sheetViews>
  <sheetFormatPr defaultColWidth="9" defaultRowHeight="15"/>
  <cols>
    <col min="1" max="1" width="3" style="93" customWidth="1"/>
    <col min="2" max="2" width="37.7109375" style="230" customWidth="1"/>
    <col min="3" max="4" width="5.42578125" style="230" bestFit="1" customWidth="1"/>
    <col min="5" max="5" width="6.28515625" style="230" bestFit="1" customWidth="1"/>
    <col min="6" max="9" width="9.28515625" style="231" customWidth="1"/>
    <col min="10" max="10" width="4.85546875" style="230" bestFit="1" customWidth="1"/>
    <col min="11" max="11" width="6.5703125" style="230" customWidth="1"/>
    <col min="12" max="13" width="9" style="230"/>
    <col min="14" max="14" width="3" style="230" customWidth="1"/>
    <col min="15" max="15" width="35.28515625" style="230" customWidth="1"/>
    <col min="16" max="17" width="6" style="230" bestFit="1" customWidth="1"/>
    <col min="18" max="21" width="9.28515625" style="230" customWidth="1"/>
    <col min="22" max="22" width="5" style="230" bestFit="1" customWidth="1"/>
    <col min="23" max="23" width="6.5703125" style="230" customWidth="1"/>
    <col min="24" max="16384" width="9" style="230"/>
  </cols>
  <sheetData>
    <row r="1" spans="1:23" s="94" customFormat="1" ht="20.25">
      <c r="A1" s="317" t="s">
        <v>327</v>
      </c>
      <c r="B1" s="318" t="s">
        <v>234</v>
      </c>
      <c r="C1" s="344" t="s">
        <v>327</v>
      </c>
      <c r="D1" s="344" t="s">
        <v>327</v>
      </c>
      <c r="E1" s="344" t="s">
        <v>327</v>
      </c>
      <c r="F1" s="1192"/>
      <c r="G1" s="1192"/>
      <c r="H1" s="1192"/>
      <c r="I1" s="1192"/>
      <c r="J1" s="1192"/>
      <c r="K1" s="1192"/>
      <c r="L1" s="94" t="s">
        <v>327</v>
      </c>
    </row>
    <row r="2" spans="1:23" s="94" customFormat="1">
      <c r="A2" s="317" t="s">
        <v>327</v>
      </c>
      <c r="B2" s="317" t="s">
        <v>327</v>
      </c>
      <c r="C2" s="344" t="s">
        <v>327</v>
      </c>
      <c r="D2" s="344" t="s">
        <v>327</v>
      </c>
      <c r="E2" s="344" t="s">
        <v>327</v>
      </c>
      <c r="F2" s="344" t="s">
        <v>327</v>
      </c>
      <c r="G2" s="344" t="s">
        <v>327</v>
      </c>
      <c r="H2" s="344" t="s">
        <v>327</v>
      </c>
      <c r="I2" s="344" t="s">
        <v>327</v>
      </c>
      <c r="J2" s="344" t="s">
        <v>327</v>
      </c>
      <c r="K2" s="344" t="s">
        <v>327</v>
      </c>
      <c r="L2" s="94" t="s">
        <v>327</v>
      </c>
    </row>
    <row r="3" spans="1:23" ht="23.85" customHeight="1">
      <c r="A3" s="317"/>
      <c r="B3" s="445" t="s">
        <v>145</v>
      </c>
      <c r="C3" s="1196" t="s">
        <v>705</v>
      </c>
      <c r="D3" s="1196"/>
      <c r="E3" s="1196"/>
      <c r="F3" s="1196"/>
      <c r="G3" s="1196"/>
      <c r="H3" s="1196"/>
      <c r="I3" s="1196"/>
      <c r="J3" s="1196"/>
      <c r="K3" s="1196"/>
      <c r="N3" s="346"/>
      <c r="O3" s="445" t="s">
        <v>145</v>
      </c>
      <c r="P3" s="1196" t="s">
        <v>706</v>
      </c>
      <c r="Q3" s="1196"/>
      <c r="R3" s="1196"/>
      <c r="S3" s="1196"/>
      <c r="T3" s="1196"/>
      <c r="U3" s="1196"/>
      <c r="V3" s="1196"/>
      <c r="W3" s="1196"/>
    </row>
    <row r="4" spans="1:23">
      <c r="A4" s="317"/>
      <c r="B4" s="447"/>
      <c r="C4" s="99">
        <v>2023</v>
      </c>
      <c r="D4" s="99">
        <v>2030</v>
      </c>
      <c r="E4" s="99">
        <v>2050</v>
      </c>
      <c r="F4" s="1145" t="s">
        <v>606</v>
      </c>
      <c r="G4" s="1142"/>
      <c r="H4" s="1145" t="s">
        <v>237</v>
      </c>
      <c r="I4" s="1142"/>
      <c r="J4" s="482" t="s">
        <v>238</v>
      </c>
      <c r="K4" s="482" t="s">
        <v>239</v>
      </c>
      <c r="N4" s="346"/>
      <c r="O4" s="448"/>
      <c r="P4" s="99">
        <v>2030</v>
      </c>
      <c r="Q4" s="99">
        <v>2050</v>
      </c>
      <c r="R4" s="1145" t="s">
        <v>606</v>
      </c>
      <c r="S4" s="1142"/>
      <c r="T4" s="1145" t="s">
        <v>237</v>
      </c>
      <c r="U4" s="1142"/>
      <c r="V4" s="446" t="s">
        <v>238</v>
      </c>
      <c r="W4" s="446" t="s">
        <v>239</v>
      </c>
    </row>
    <row r="5" spans="1:23">
      <c r="A5" s="317"/>
      <c r="B5" s="449" t="s">
        <v>240</v>
      </c>
      <c r="C5" s="483"/>
      <c r="D5" s="483"/>
      <c r="E5" s="483"/>
      <c r="F5" s="450" t="s">
        <v>241</v>
      </c>
      <c r="G5" s="450" t="s">
        <v>242</v>
      </c>
      <c r="H5" s="450" t="s">
        <v>241</v>
      </c>
      <c r="I5" s="450" t="s">
        <v>242</v>
      </c>
      <c r="J5" s="483"/>
      <c r="K5" s="484"/>
      <c r="N5" s="346"/>
      <c r="O5" s="449" t="s">
        <v>240</v>
      </c>
      <c r="P5" s="483"/>
      <c r="Q5" s="483"/>
      <c r="R5" s="450" t="s">
        <v>241</v>
      </c>
      <c r="S5" s="450" t="s">
        <v>242</v>
      </c>
      <c r="T5" s="450" t="s">
        <v>241</v>
      </c>
      <c r="U5" s="450" t="s">
        <v>242</v>
      </c>
      <c r="V5" s="485"/>
      <c r="W5" s="484"/>
    </row>
    <row r="6" spans="1:23">
      <c r="A6" s="317"/>
      <c r="B6" s="323" t="s">
        <v>243</v>
      </c>
      <c r="C6" s="327">
        <v>100</v>
      </c>
      <c r="D6" s="328">
        <v>100</v>
      </c>
      <c r="E6" s="328">
        <v>100</v>
      </c>
      <c r="F6" s="328">
        <v>40</v>
      </c>
      <c r="G6" s="328">
        <v>300</v>
      </c>
      <c r="H6" s="328">
        <v>40</v>
      </c>
      <c r="I6" s="328">
        <v>300</v>
      </c>
      <c r="J6" s="329" t="s">
        <v>265</v>
      </c>
      <c r="K6" s="330">
        <v>6</v>
      </c>
      <c r="N6" s="346"/>
      <c r="O6" s="474" t="s">
        <v>607</v>
      </c>
      <c r="P6" s="328">
        <v>100</v>
      </c>
      <c r="Q6" s="328">
        <v>100</v>
      </c>
      <c r="R6" s="328">
        <v>40</v>
      </c>
      <c r="S6" s="328">
        <v>300</v>
      </c>
      <c r="T6" s="328">
        <v>40</v>
      </c>
      <c r="U6" s="328">
        <v>300</v>
      </c>
      <c r="V6" s="329" t="s">
        <v>265</v>
      </c>
      <c r="W6" s="330">
        <v>6</v>
      </c>
    </row>
    <row r="7" spans="1:23" ht="24.75">
      <c r="A7" s="317"/>
      <c r="B7" s="514" t="s">
        <v>244</v>
      </c>
      <c r="C7" s="327">
        <v>400</v>
      </c>
      <c r="D7" s="328">
        <v>400</v>
      </c>
      <c r="E7" s="328">
        <v>400</v>
      </c>
      <c r="F7" s="328">
        <v>100</v>
      </c>
      <c r="G7" s="328">
        <v>800</v>
      </c>
      <c r="H7" s="328">
        <v>100</v>
      </c>
      <c r="I7" s="328">
        <v>800</v>
      </c>
      <c r="J7" s="329" t="s">
        <v>265</v>
      </c>
      <c r="K7" s="330">
        <v>6</v>
      </c>
      <c r="N7" s="346"/>
      <c r="O7" s="323" t="s">
        <v>244</v>
      </c>
      <c r="P7" s="328">
        <v>400</v>
      </c>
      <c r="Q7" s="328">
        <v>400</v>
      </c>
      <c r="R7" s="328">
        <v>100</v>
      </c>
      <c r="S7" s="328">
        <v>800</v>
      </c>
      <c r="T7" s="328">
        <v>100</v>
      </c>
      <c r="U7" s="328">
        <v>800</v>
      </c>
      <c r="V7" s="329" t="s">
        <v>265</v>
      </c>
      <c r="W7" s="330">
        <v>6</v>
      </c>
    </row>
    <row r="8" spans="1:23">
      <c r="A8" s="317"/>
      <c r="B8" s="453" t="s">
        <v>628</v>
      </c>
      <c r="C8" s="454">
        <v>0</v>
      </c>
      <c r="D8" s="454">
        <v>0</v>
      </c>
      <c r="E8" s="454">
        <v>0</v>
      </c>
      <c r="F8" s="454">
        <v>0</v>
      </c>
      <c r="G8" s="454">
        <v>-2</v>
      </c>
      <c r="H8" s="454">
        <v>0</v>
      </c>
      <c r="I8" s="454">
        <v>-2</v>
      </c>
      <c r="J8" s="454" t="s">
        <v>246</v>
      </c>
      <c r="K8" s="454">
        <v>1.4</v>
      </c>
      <c r="N8" s="346"/>
      <c r="O8" s="453" t="s">
        <v>628</v>
      </c>
      <c r="P8" s="454">
        <v>0</v>
      </c>
      <c r="Q8" s="454">
        <v>0</v>
      </c>
      <c r="R8" s="454">
        <v>0</v>
      </c>
      <c r="S8" s="454">
        <v>-3</v>
      </c>
      <c r="T8" s="454">
        <v>0</v>
      </c>
      <c r="U8" s="454">
        <v>-3</v>
      </c>
      <c r="V8" s="454" t="s">
        <v>246</v>
      </c>
      <c r="W8" s="454">
        <v>1.4</v>
      </c>
    </row>
    <row r="9" spans="1:23">
      <c r="A9" s="317"/>
      <c r="B9" s="453" t="s">
        <v>610</v>
      </c>
      <c r="C9" s="454">
        <v>0</v>
      </c>
      <c r="D9" s="454">
        <v>0</v>
      </c>
      <c r="E9" s="454">
        <v>0</v>
      </c>
      <c r="F9" s="454">
        <v>0</v>
      </c>
      <c r="G9" s="454">
        <v>-2</v>
      </c>
      <c r="H9" s="454">
        <v>0</v>
      </c>
      <c r="I9" s="454">
        <v>-2</v>
      </c>
      <c r="J9" s="454" t="s">
        <v>246</v>
      </c>
      <c r="K9" s="454">
        <v>1.4</v>
      </c>
      <c r="N9" s="346"/>
      <c r="O9" s="453" t="s">
        <v>610</v>
      </c>
      <c r="P9" s="454">
        <v>0</v>
      </c>
      <c r="Q9" s="454">
        <v>0</v>
      </c>
      <c r="R9" s="454">
        <v>0</v>
      </c>
      <c r="S9" s="454">
        <v>-3</v>
      </c>
      <c r="T9" s="454">
        <v>0</v>
      </c>
      <c r="U9" s="454">
        <v>-3</v>
      </c>
      <c r="V9" s="454" t="s">
        <v>246</v>
      </c>
      <c r="W9" s="454">
        <v>1.4</v>
      </c>
    </row>
    <row r="10" spans="1:23">
      <c r="A10" s="317"/>
      <c r="B10" s="474" t="s">
        <v>248</v>
      </c>
      <c r="C10" s="454">
        <v>0</v>
      </c>
      <c r="D10" s="454">
        <v>0</v>
      </c>
      <c r="E10" s="454">
        <v>0</v>
      </c>
      <c r="F10" s="454">
        <v>0</v>
      </c>
      <c r="G10" s="454">
        <v>1</v>
      </c>
      <c r="H10" s="454">
        <v>0</v>
      </c>
      <c r="I10" s="454">
        <v>1</v>
      </c>
      <c r="J10" s="454" t="s">
        <v>246</v>
      </c>
      <c r="K10" s="454"/>
      <c r="N10" s="346"/>
      <c r="O10" s="474" t="s">
        <v>248</v>
      </c>
      <c r="P10" s="454">
        <v>0</v>
      </c>
      <c r="Q10" s="454">
        <v>0</v>
      </c>
      <c r="R10" s="454">
        <v>0</v>
      </c>
      <c r="S10" s="454">
        <v>1</v>
      </c>
      <c r="T10" s="454">
        <v>0</v>
      </c>
      <c r="U10" s="454">
        <v>1</v>
      </c>
      <c r="V10" s="454" t="s">
        <v>246</v>
      </c>
      <c r="W10" s="454"/>
    </row>
    <row r="11" spans="1:23">
      <c r="A11" s="317"/>
      <c r="B11" s="474" t="s">
        <v>249</v>
      </c>
      <c r="C11" s="454">
        <v>0</v>
      </c>
      <c r="D11" s="454">
        <v>0</v>
      </c>
      <c r="E11" s="454">
        <v>0</v>
      </c>
      <c r="F11" s="454">
        <v>0</v>
      </c>
      <c r="G11" s="454">
        <v>0</v>
      </c>
      <c r="H11" s="454">
        <v>0</v>
      </c>
      <c r="I11" s="454">
        <v>0</v>
      </c>
      <c r="J11" s="454" t="s">
        <v>246</v>
      </c>
      <c r="K11" s="454"/>
      <c r="N11" s="346"/>
      <c r="O11" s="474" t="s">
        <v>249</v>
      </c>
      <c r="P11" s="454">
        <v>0</v>
      </c>
      <c r="Q11" s="454">
        <v>0</v>
      </c>
      <c r="R11" s="454">
        <v>0</v>
      </c>
      <c r="S11" s="454">
        <v>0</v>
      </c>
      <c r="T11" s="454">
        <v>0</v>
      </c>
      <c r="U11" s="454">
        <v>0</v>
      </c>
      <c r="V11" s="454" t="s">
        <v>246</v>
      </c>
      <c r="W11" s="454"/>
    </row>
    <row r="12" spans="1:23">
      <c r="A12" s="317"/>
      <c r="B12" s="474" t="s">
        <v>250</v>
      </c>
      <c r="C12" s="454"/>
      <c r="D12" s="454"/>
      <c r="E12" s="454"/>
      <c r="F12" s="454"/>
      <c r="G12" s="454"/>
      <c r="H12" s="454"/>
      <c r="I12" s="454"/>
      <c r="J12" s="454"/>
      <c r="K12" s="454"/>
      <c r="N12" s="346"/>
      <c r="O12" s="474" t="s">
        <v>250</v>
      </c>
      <c r="P12" s="454"/>
      <c r="Q12" s="454"/>
      <c r="R12" s="454"/>
      <c r="S12" s="454"/>
      <c r="T12" s="454"/>
      <c r="U12" s="454"/>
      <c r="V12" s="454"/>
      <c r="W12" s="454"/>
    </row>
    <row r="13" spans="1:23">
      <c r="A13" s="317"/>
      <c r="B13" s="474" t="s">
        <v>252</v>
      </c>
      <c r="C13" s="454"/>
      <c r="D13" s="454"/>
      <c r="E13" s="454"/>
      <c r="F13" s="454"/>
      <c r="G13" s="454"/>
      <c r="H13" s="454"/>
      <c r="I13" s="454"/>
      <c r="J13" s="454"/>
      <c r="K13" s="454"/>
      <c r="N13" s="346"/>
      <c r="O13" s="474" t="s">
        <v>252</v>
      </c>
      <c r="P13" s="454"/>
      <c r="Q13" s="454"/>
      <c r="R13" s="454"/>
      <c r="S13" s="454"/>
      <c r="T13" s="454"/>
      <c r="U13" s="454"/>
      <c r="V13" s="454"/>
      <c r="W13" s="454"/>
    </row>
    <row r="14" spans="1:23">
      <c r="A14" s="317"/>
      <c r="B14" s="447" t="s">
        <v>612</v>
      </c>
      <c r="C14" s="456"/>
      <c r="D14" s="456"/>
      <c r="E14" s="456"/>
      <c r="F14" s="456"/>
      <c r="G14" s="456"/>
      <c r="H14" s="456"/>
      <c r="I14" s="456"/>
      <c r="J14" s="456"/>
      <c r="K14" s="456"/>
      <c r="N14" s="346"/>
      <c r="O14" s="447" t="s">
        <v>612</v>
      </c>
      <c r="P14" s="456"/>
      <c r="Q14" s="456"/>
      <c r="R14" s="456"/>
      <c r="S14" s="456"/>
      <c r="T14" s="456"/>
      <c r="U14" s="456"/>
      <c r="V14" s="456"/>
      <c r="W14" s="456"/>
    </row>
    <row r="15" spans="1:23">
      <c r="A15" s="317"/>
      <c r="B15" s="449" t="s">
        <v>258</v>
      </c>
      <c r="C15" s="483"/>
      <c r="D15" s="483"/>
      <c r="E15" s="483"/>
      <c r="F15" s="486"/>
      <c r="G15" s="486"/>
      <c r="H15" s="486"/>
      <c r="I15" s="486"/>
      <c r="J15" s="483"/>
      <c r="K15" s="484"/>
      <c r="N15" s="346"/>
      <c r="O15" s="487" t="s">
        <v>258</v>
      </c>
      <c r="P15" s="483"/>
      <c r="Q15" s="483"/>
      <c r="R15" s="486"/>
      <c r="S15" s="486"/>
      <c r="T15" s="486"/>
      <c r="U15" s="486"/>
      <c r="V15" s="483"/>
      <c r="W15" s="484"/>
    </row>
    <row r="16" spans="1:23">
      <c r="A16" s="317"/>
      <c r="B16" s="473" t="s">
        <v>259</v>
      </c>
      <c r="C16" s="452">
        <v>0</v>
      </c>
      <c r="D16" s="452">
        <v>0</v>
      </c>
      <c r="E16" s="452">
        <v>0</v>
      </c>
      <c r="F16" s="452">
        <v>0</v>
      </c>
      <c r="G16" s="452">
        <v>0</v>
      </c>
      <c r="H16" s="452">
        <v>0</v>
      </c>
      <c r="I16" s="452">
        <v>0</v>
      </c>
      <c r="J16" s="452" t="s">
        <v>246</v>
      </c>
      <c r="K16" s="452" t="s">
        <v>281</v>
      </c>
      <c r="N16" s="346"/>
      <c r="O16" s="473" t="s">
        <v>259</v>
      </c>
      <c r="P16" s="452">
        <v>0</v>
      </c>
      <c r="Q16" s="452">
        <v>0</v>
      </c>
      <c r="R16" s="452">
        <v>0</v>
      </c>
      <c r="S16" s="452">
        <v>0</v>
      </c>
      <c r="T16" s="452">
        <v>0</v>
      </c>
      <c r="U16" s="452">
        <v>0</v>
      </c>
      <c r="V16" s="452" t="s">
        <v>246</v>
      </c>
      <c r="W16" s="452" t="s">
        <v>281</v>
      </c>
    </row>
    <row r="17" spans="1:24">
      <c r="A17" s="317"/>
      <c r="B17" s="474" t="s">
        <v>260</v>
      </c>
      <c r="C17" s="454">
        <v>-3</v>
      </c>
      <c r="D17" s="454">
        <v>-3</v>
      </c>
      <c r="E17" s="454">
        <v>-3</v>
      </c>
      <c r="F17" s="454">
        <v>-1</v>
      </c>
      <c r="G17" s="454">
        <v>-5</v>
      </c>
      <c r="H17" s="454">
        <v>-1</v>
      </c>
      <c r="I17" s="454">
        <v>-5</v>
      </c>
      <c r="J17" s="454" t="s">
        <v>246</v>
      </c>
      <c r="K17" s="454" t="s">
        <v>281</v>
      </c>
      <c r="N17" s="346"/>
      <c r="O17" s="474" t="s">
        <v>260</v>
      </c>
      <c r="P17" s="454">
        <v>-5</v>
      </c>
      <c r="Q17" s="454">
        <v>-5</v>
      </c>
      <c r="R17" s="454">
        <v>-3</v>
      </c>
      <c r="S17" s="454">
        <v>-10</v>
      </c>
      <c r="T17" s="454">
        <v>-3</v>
      </c>
      <c r="U17" s="454">
        <v>-10</v>
      </c>
      <c r="V17" s="454" t="s">
        <v>246</v>
      </c>
      <c r="W17" s="454" t="s">
        <v>281</v>
      </c>
    </row>
    <row r="18" spans="1:24">
      <c r="A18" s="317"/>
      <c r="B18" s="474" t="s">
        <v>261</v>
      </c>
      <c r="C18" s="454">
        <v>0</v>
      </c>
      <c r="D18" s="454">
        <v>0</v>
      </c>
      <c r="E18" s="454">
        <v>0</v>
      </c>
      <c r="F18" s="454">
        <v>0</v>
      </c>
      <c r="G18" s="454">
        <v>0</v>
      </c>
      <c r="H18" s="454">
        <v>0</v>
      </c>
      <c r="I18" s="454">
        <v>0</v>
      </c>
      <c r="J18" s="454" t="s">
        <v>246</v>
      </c>
      <c r="K18" s="454" t="s">
        <v>281</v>
      </c>
      <c r="N18" s="346"/>
      <c r="O18" s="474" t="s">
        <v>261</v>
      </c>
      <c r="P18" s="454">
        <v>0</v>
      </c>
      <c r="Q18" s="454">
        <v>0</v>
      </c>
      <c r="R18" s="454">
        <v>0</v>
      </c>
      <c r="S18" s="454">
        <v>0</v>
      </c>
      <c r="T18" s="454">
        <v>0</v>
      </c>
      <c r="U18" s="454">
        <v>0</v>
      </c>
      <c r="V18" s="454" t="s">
        <v>246</v>
      </c>
      <c r="W18" s="454" t="s">
        <v>281</v>
      </c>
    </row>
    <row r="19" spans="1:24">
      <c r="A19" s="317"/>
      <c r="B19" s="447" t="s">
        <v>262</v>
      </c>
      <c r="C19" s="456">
        <v>0</v>
      </c>
      <c r="D19" s="456">
        <v>0</v>
      </c>
      <c r="E19" s="456">
        <v>0</v>
      </c>
      <c r="F19" s="456">
        <v>0</v>
      </c>
      <c r="G19" s="456">
        <v>0</v>
      </c>
      <c r="H19" s="456">
        <v>0</v>
      </c>
      <c r="I19" s="456">
        <v>0</v>
      </c>
      <c r="J19" s="456" t="s">
        <v>246</v>
      </c>
      <c r="K19" s="456" t="s">
        <v>281</v>
      </c>
      <c r="N19" s="346"/>
      <c r="O19" s="447" t="s">
        <v>262</v>
      </c>
      <c r="P19" s="456">
        <v>0</v>
      </c>
      <c r="Q19" s="456">
        <v>0</v>
      </c>
      <c r="R19" s="456">
        <v>0</v>
      </c>
      <c r="S19" s="456">
        <v>0</v>
      </c>
      <c r="T19" s="456">
        <v>0</v>
      </c>
      <c r="U19" s="456">
        <v>0</v>
      </c>
      <c r="V19" s="456" t="s">
        <v>246</v>
      </c>
      <c r="W19" s="456" t="s">
        <v>281</v>
      </c>
    </row>
    <row r="20" spans="1:24">
      <c r="A20" s="317"/>
      <c r="B20" s="449" t="s">
        <v>263</v>
      </c>
      <c r="C20" s="486"/>
      <c r="D20" s="486"/>
      <c r="E20" s="486"/>
      <c r="F20" s="486"/>
      <c r="G20" s="486"/>
      <c r="H20" s="486"/>
      <c r="I20" s="486"/>
      <c r="J20" s="486"/>
      <c r="K20" s="488"/>
      <c r="N20" s="346"/>
      <c r="O20" s="449" t="s">
        <v>263</v>
      </c>
      <c r="P20" s="486"/>
      <c r="Q20" s="486"/>
      <c r="R20" s="486"/>
      <c r="S20" s="486"/>
      <c r="T20" s="486"/>
      <c r="U20" s="486"/>
      <c r="V20" s="486"/>
      <c r="W20" s="488"/>
    </row>
    <row r="21" spans="1:24">
      <c r="A21" s="317"/>
      <c r="B21" s="473" t="s">
        <v>707</v>
      </c>
      <c r="C21" s="458">
        <v>-0.2</v>
      </c>
      <c r="D21" s="458">
        <v>-0.2</v>
      </c>
      <c r="E21" s="458">
        <v>-0.2</v>
      </c>
      <c r="F21" s="458">
        <v>-0.1</v>
      </c>
      <c r="G21" s="458">
        <v>-0.2</v>
      </c>
      <c r="H21" s="458">
        <v>-0.1</v>
      </c>
      <c r="I21" s="458">
        <v>-0.2</v>
      </c>
      <c r="J21" s="452" t="s">
        <v>246</v>
      </c>
      <c r="K21" s="452">
        <v>4</v>
      </c>
      <c r="N21" s="346"/>
      <c r="O21" s="473" t="s">
        <v>613</v>
      </c>
      <c r="P21" s="458">
        <v>-1</v>
      </c>
      <c r="Q21" s="458">
        <v>-1</v>
      </c>
      <c r="R21" s="458">
        <v>-1</v>
      </c>
      <c r="S21" s="458">
        <v>-1</v>
      </c>
      <c r="T21" s="458">
        <v>-1</v>
      </c>
      <c r="U21" s="458">
        <v>-1</v>
      </c>
      <c r="V21" s="452" t="s">
        <v>246</v>
      </c>
      <c r="W21" s="452">
        <v>4</v>
      </c>
    </row>
    <row r="22" spans="1:24">
      <c r="A22" s="317"/>
      <c r="B22" s="474" t="s">
        <v>708</v>
      </c>
      <c r="C22" s="459">
        <v>-0.2</v>
      </c>
      <c r="D22" s="459">
        <v>-0.2</v>
      </c>
      <c r="E22" s="459">
        <v>-0.2</v>
      </c>
      <c r="F22" s="459">
        <v>-0.1</v>
      </c>
      <c r="G22" s="459">
        <v>-0.2</v>
      </c>
      <c r="H22" s="459">
        <v>-0.1</v>
      </c>
      <c r="I22" s="459">
        <v>-0.2</v>
      </c>
      <c r="J22" s="454" t="s">
        <v>246</v>
      </c>
      <c r="K22" s="454">
        <v>4</v>
      </c>
      <c r="N22" s="346"/>
      <c r="O22" s="474" t="s">
        <v>614</v>
      </c>
      <c r="P22" s="459">
        <v>-1</v>
      </c>
      <c r="Q22" s="459">
        <v>-1</v>
      </c>
      <c r="R22" s="459">
        <v>-1</v>
      </c>
      <c r="S22" s="459">
        <v>-1</v>
      </c>
      <c r="T22" s="459">
        <v>-1</v>
      </c>
      <c r="U22" s="459">
        <v>-1</v>
      </c>
      <c r="V22" s="454" t="s">
        <v>246</v>
      </c>
      <c r="W22" s="454">
        <v>4</v>
      </c>
    </row>
    <row r="23" spans="1:24">
      <c r="A23" s="317"/>
      <c r="B23" s="447" t="s">
        <v>709</v>
      </c>
      <c r="C23" s="460">
        <v>0.4</v>
      </c>
      <c r="D23" s="460">
        <v>0.4</v>
      </c>
      <c r="E23" s="460">
        <v>0.4</v>
      </c>
      <c r="F23" s="460">
        <v>0.1</v>
      </c>
      <c r="G23" s="460">
        <v>0.6</v>
      </c>
      <c r="H23" s="460">
        <v>0.1</v>
      </c>
      <c r="I23" s="460">
        <v>0.6</v>
      </c>
      <c r="J23" s="456" t="s">
        <v>246</v>
      </c>
      <c r="K23" s="456">
        <v>4.5</v>
      </c>
      <c r="N23" s="346"/>
      <c r="O23" s="447" t="s">
        <v>630</v>
      </c>
      <c r="P23" s="460">
        <v>-1</v>
      </c>
      <c r="Q23" s="460">
        <v>-1</v>
      </c>
      <c r="R23" s="460">
        <v>-1</v>
      </c>
      <c r="S23" s="460">
        <v>-1</v>
      </c>
      <c r="T23" s="460">
        <v>-1</v>
      </c>
      <c r="U23" s="460">
        <v>-1</v>
      </c>
      <c r="V23" s="456" t="s">
        <v>246</v>
      </c>
      <c r="W23" s="456">
        <v>4.5</v>
      </c>
    </row>
    <row r="24" spans="1:24">
      <c r="A24" s="317"/>
      <c r="B24" s="449" t="s">
        <v>393</v>
      </c>
      <c r="C24" s="489"/>
      <c r="D24" s="489"/>
      <c r="E24" s="489"/>
      <c r="F24" s="489"/>
      <c r="G24" s="489"/>
      <c r="H24" s="489"/>
      <c r="I24" s="489"/>
      <c r="J24" s="489"/>
      <c r="K24" s="490"/>
      <c r="N24" s="346"/>
      <c r="O24" s="449" t="s">
        <v>393</v>
      </c>
      <c r="P24" s="489"/>
      <c r="Q24" s="489"/>
      <c r="R24" s="489"/>
      <c r="S24" s="489"/>
      <c r="T24" s="489"/>
      <c r="U24" s="489"/>
      <c r="V24" s="489"/>
      <c r="W24" s="490"/>
    </row>
    <row r="25" spans="1:24">
      <c r="A25" s="317"/>
      <c r="B25" s="473" t="s">
        <v>542</v>
      </c>
      <c r="C25" s="491" t="s">
        <v>710</v>
      </c>
      <c r="D25" s="491" t="s">
        <v>710</v>
      </c>
      <c r="E25" s="491" t="s">
        <v>711</v>
      </c>
      <c r="F25" s="491"/>
      <c r="G25" s="491"/>
      <c r="H25" s="462"/>
      <c r="I25" s="491"/>
      <c r="J25" s="452" t="s">
        <v>712</v>
      </c>
      <c r="K25" s="463">
        <v>2</v>
      </c>
      <c r="N25" s="346"/>
      <c r="O25" s="473" t="s">
        <v>542</v>
      </c>
      <c r="P25" s="491" t="s">
        <v>713</v>
      </c>
      <c r="Q25" s="491" t="s">
        <v>714</v>
      </c>
      <c r="R25" s="491"/>
      <c r="S25" s="491"/>
      <c r="T25" s="491"/>
      <c r="U25" s="491"/>
      <c r="V25" s="452" t="s">
        <v>616</v>
      </c>
      <c r="W25" s="463">
        <v>2</v>
      </c>
    </row>
    <row r="26" spans="1:24">
      <c r="A26" s="317"/>
      <c r="B26" s="474" t="s">
        <v>274</v>
      </c>
      <c r="C26" s="454" t="s">
        <v>146</v>
      </c>
      <c r="D26" s="454" t="s">
        <v>146</v>
      </c>
      <c r="E26" s="454" t="s">
        <v>146</v>
      </c>
      <c r="F26" s="454" t="s">
        <v>146</v>
      </c>
      <c r="G26" s="454" t="s">
        <v>146</v>
      </c>
      <c r="H26" s="454" t="s">
        <v>146</v>
      </c>
      <c r="I26" s="454" t="s">
        <v>146</v>
      </c>
      <c r="J26" s="464"/>
      <c r="K26" s="464"/>
      <c r="N26" s="346"/>
      <c r="O26" s="474" t="s">
        <v>274</v>
      </c>
      <c r="P26" s="454" t="s">
        <v>146</v>
      </c>
      <c r="Q26" s="454" t="s">
        <v>146</v>
      </c>
      <c r="R26" s="454" t="s">
        <v>146</v>
      </c>
      <c r="S26" s="454" t="s">
        <v>146</v>
      </c>
      <c r="T26" s="454" t="s">
        <v>146</v>
      </c>
      <c r="U26" s="454" t="s">
        <v>146</v>
      </c>
      <c r="V26" s="464"/>
      <c r="W26" s="464"/>
    </row>
    <row r="27" spans="1:24">
      <c r="A27" s="317"/>
      <c r="B27" s="474" t="s">
        <v>275</v>
      </c>
      <c r="C27" s="454" t="s">
        <v>146</v>
      </c>
      <c r="D27" s="454" t="s">
        <v>146</v>
      </c>
      <c r="E27" s="454" t="s">
        <v>146</v>
      </c>
      <c r="F27" s="454" t="s">
        <v>146</v>
      </c>
      <c r="G27" s="454" t="s">
        <v>146</v>
      </c>
      <c r="H27" s="454" t="s">
        <v>146</v>
      </c>
      <c r="I27" s="454" t="s">
        <v>146</v>
      </c>
      <c r="J27" s="464"/>
      <c r="K27" s="464"/>
      <c r="N27" s="346"/>
      <c r="O27" s="474" t="s">
        <v>275</v>
      </c>
      <c r="P27" s="454" t="s">
        <v>146</v>
      </c>
      <c r="Q27" s="454" t="s">
        <v>146</v>
      </c>
      <c r="R27" s="454" t="s">
        <v>146</v>
      </c>
      <c r="S27" s="454" t="s">
        <v>146</v>
      </c>
      <c r="T27" s="454" t="s">
        <v>146</v>
      </c>
      <c r="U27" s="454" t="s">
        <v>146</v>
      </c>
      <c r="V27" s="464"/>
      <c r="W27" s="464"/>
    </row>
    <row r="28" spans="1:24">
      <c r="A28" s="317"/>
      <c r="B28" s="453" t="s">
        <v>715</v>
      </c>
      <c r="C28" s="459">
        <v>0.03</v>
      </c>
      <c r="D28" s="459">
        <v>0.03</v>
      </c>
      <c r="E28" s="459">
        <v>0.03</v>
      </c>
      <c r="F28" s="459">
        <v>0.01</v>
      </c>
      <c r="G28" s="459">
        <v>0.05</v>
      </c>
      <c r="H28" s="459">
        <v>0.01</v>
      </c>
      <c r="I28" s="459">
        <v>0.05</v>
      </c>
      <c r="J28" s="454" t="s">
        <v>246</v>
      </c>
      <c r="K28" s="465">
        <v>2</v>
      </c>
      <c r="N28" s="346"/>
      <c r="O28" s="474" t="s">
        <v>632</v>
      </c>
      <c r="P28" s="459">
        <v>0.05</v>
      </c>
      <c r="Q28" s="459">
        <v>0.05</v>
      </c>
      <c r="R28" s="459">
        <v>0.03</v>
      </c>
      <c r="S28" s="459">
        <v>0.1</v>
      </c>
      <c r="T28" s="459">
        <v>0.03</v>
      </c>
      <c r="U28" s="459">
        <v>0.1</v>
      </c>
      <c r="V28" s="454" t="s">
        <v>246</v>
      </c>
      <c r="W28" s="465">
        <v>2</v>
      </c>
    </row>
    <row r="29" spans="1:24">
      <c r="A29" s="317"/>
      <c r="B29" s="453" t="s">
        <v>716</v>
      </c>
      <c r="C29" s="459">
        <v>0.03</v>
      </c>
      <c r="D29" s="459">
        <v>0.03</v>
      </c>
      <c r="E29" s="459">
        <v>0.03</v>
      </c>
      <c r="F29" s="459">
        <v>0.01</v>
      </c>
      <c r="G29" s="459">
        <v>0.05</v>
      </c>
      <c r="H29" s="459">
        <v>0.01</v>
      </c>
      <c r="I29" s="459">
        <v>0.05</v>
      </c>
      <c r="J29" s="454" t="s">
        <v>246</v>
      </c>
      <c r="K29" s="465">
        <v>2</v>
      </c>
      <c r="N29" s="346"/>
      <c r="O29" s="453" t="s">
        <v>633</v>
      </c>
      <c r="P29" s="459">
        <v>0.05</v>
      </c>
      <c r="Q29" s="459">
        <v>0.05</v>
      </c>
      <c r="R29" s="459">
        <v>0.03</v>
      </c>
      <c r="S29" s="459">
        <v>0.1</v>
      </c>
      <c r="T29" s="459">
        <v>0.03</v>
      </c>
      <c r="U29" s="459">
        <v>0.1</v>
      </c>
      <c r="V29" s="454" t="s">
        <v>246</v>
      </c>
      <c r="W29" s="465">
        <v>2</v>
      </c>
    </row>
    <row r="30" spans="1:24">
      <c r="A30" s="317"/>
      <c r="B30" s="470"/>
      <c r="C30" s="492"/>
      <c r="D30" s="492"/>
      <c r="E30" s="492"/>
      <c r="F30" s="492"/>
      <c r="G30" s="492"/>
      <c r="H30" s="492"/>
      <c r="I30" s="492"/>
      <c r="J30" s="461"/>
      <c r="K30" s="493"/>
      <c r="N30" s="346"/>
      <c r="O30" s="470"/>
      <c r="P30" s="492"/>
      <c r="Q30" s="492"/>
      <c r="R30" s="492"/>
      <c r="S30" s="492"/>
      <c r="T30" s="492"/>
      <c r="U30" s="492"/>
      <c r="V30" s="461"/>
      <c r="W30" s="493"/>
    </row>
    <row r="31" spans="1:24">
      <c r="A31" s="468" t="s">
        <v>286</v>
      </c>
      <c r="B31" s="470"/>
      <c r="C31" s="492"/>
      <c r="D31" s="492"/>
      <c r="E31" s="492"/>
      <c r="F31" s="492"/>
      <c r="G31" s="492"/>
      <c r="H31" s="492"/>
      <c r="I31" s="492"/>
      <c r="J31" s="461"/>
      <c r="K31" s="493"/>
      <c r="N31" s="468" t="s">
        <v>286</v>
      </c>
      <c r="O31" s="470"/>
      <c r="P31" s="492"/>
      <c r="Q31" s="492"/>
      <c r="R31" s="492"/>
      <c r="S31" s="492"/>
      <c r="T31" s="492"/>
      <c r="U31" s="492"/>
      <c r="V31" s="461"/>
      <c r="W31" s="493"/>
    </row>
    <row r="32" spans="1:24" ht="27.75" customHeight="1">
      <c r="A32" s="515">
        <v>1</v>
      </c>
      <c r="B32" s="1193" t="s">
        <v>717</v>
      </c>
      <c r="C32" s="1193"/>
      <c r="D32" s="1193"/>
      <c r="E32" s="1193"/>
      <c r="F32" s="1193"/>
      <c r="G32" s="1193"/>
      <c r="H32" s="1193"/>
      <c r="I32" s="1193"/>
      <c r="J32" s="1193"/>
      <c r="K32" s="1193"/>
      <c r="N32" s="515">
        <v>1</v>
      </c>
      <c r="O32" s="1193" t="s">
        <v>717</v>
      </c>
      <c r="P32" s="1193"/>
      <c r="Q32" s="1193"/>
      <c r="R32" s="1193"/>
      <c r="S32" s="1193"/>
      <c r="T32" s="1193"/>
      <c r="U32" s="1193"/>
      <c r="V32" s="1193"/>
      <c r="W32" s="1193"/>
      <c r="X32" s="494"/>
    </row>
    <row r="33" spans="1:16384" ht="27.75" customHeight="1">
      <c r="A33" s="515">
        <v>2</v>
      </c>
      <c r="B33" s="1207" t="s">
        <v>718</v>
      </c>
      <c r="C33" s="1207"/>
      <c r="D33" s="1207"/>
      <c r="E33" s="1207"/>
      <c r="F33" s="1207"/>
      <c r="G33" s="1207"/>
      <c r="H33" s="1207"/>
      <c r="I33" s="1207"/>
      <c r="J33" s="1207"/>
      <c r="K33" s="1207"/>
      <c r="N33" s="515">
        <v>2</v>
      </c>
      <c r="O33" s="1207" t="s">
        <v>718</v>
      </c>
      <c r="P33" s="1207"/>
      <c r="Q33" s="1207"/>
      <c r="R33" s="1207"/>
      <c r="S33" s="1207"/>
      <c r="T33" s="1207"/>
      <c r="U33" s="1207"/>
      <c r="V33" s="1207"/>
      <c r="W33" s="1207"/>
      <c r="X33" s="469"/>
    </row>
    <row r="34" spans="1:16384" ht="39" customHeight="1">
      <c r="A34" s="515">
        <v>3</v>
      </c>
      <c r="B34" s="1207" t="s">
        <v>719</v>
      </c>
      <c r="C34" s="1207"/>
      <c r="D34" s="1207"/>
      <c r="E34" s="1207"/>
      <c r="F34" s="1207"/>
      <c r="G34" s="1207"/>
      <c r="H34" s="1207"/>
      <c r="I34" s="1207"/>
      <c r="J34" s="1207"/>
      <c r="K34" s="1207"/>
      <c r="N34" s="515">
        <v>3</v>
      </c>
      <c r="O34" s="1207" t="s">
        <v>719</v>
      </c>
      <c r="P34" s="1207"/>
      <c r="Q34" s="1207"/>
      <c r="R34" s="1207"/>
      <c r="S34" s="1207"/>
      <c r="T34" s="1207"/>
      <c r="U34" s="1207"/>
      <c r="V34" s="1207"/>
      <c r="W34" s="1207"/>
      <c r="X34" s="469"/>
    </row>
    <row r="35" spans="1:16384" ht="27.75" customHeight="1">
      <c r="A35" s="515">
        <v>4</v>
      </c>
      <c r="B35" s="1207" t="s">
        <v>720</v>
      </c>
      <c r="C35" s="1207"/>
      <c r="D35" s="1207"/>
      <c r="E35" s="1207"/>
      <c r="F35" s="1207"/>
      <c r="G35" s="1207"/>
      <c r="H35" s="1207"/>
      <c r="I35" s="1207"/>
      <c r="J35" s="1207"/>
      <c r="K35" s="1207"/>
      <c r="N35" s="515">
        <v>4</v>
      </c>
      <c r="O35" s="1207" t="s">
        <v>720</v>
      </c>
      <c r="P35" s="1207"/>
      <c r="Q35" s="1207"/>
      <c r="R35" s="1207"/>
      <c r="S35" s="1207"/>
      <c r="T35" s="1207"/>
      <c r="U35" s="1207"/>
      <c r="V35" s="1207"/>
      <c r="W35" s="1207"/>
      <c r="X35" s="495"/>
    </row>
    <row r="36" spans="1:16384" ht="15" customHeight="1">
      <c r="A36" s="515">
        <v>5</v>
      </c>
      <c r="B36" s="1207" t="s">
        <v>721</v>
      </c>
      <c r="C36" s="1207"/>
      <c r="D36" s="1207"/>
      <c r="E36" s="1207"/>
      <c r="F36" s="1207"/>
      <c r="G36" s="1207"/>
      <c r="H36" s="1207"/>
      <c r="I36" s="1207"/>
      <c r="J36" s="1207"/>
      <c r="K36" s="1207"/>
      <c r="N36" s="515">
        <v>5</v>
      </c>
      <c r="O36" s="1207" t="s">
        <v>721</v>
      </c>
      <c r="P36" s="1207"/>
      <c r="Q36" s="1207"/>
      <c r="R36" s="1207"/>
      <c r="S36" s="1207"/>
      <c r="T36" s="1207"/>
      <c r="U36" s="1207"/>
      <c r="V36" s="1207"/>
      <c r="W36" s="1207"/>
      <c r="X36" s="495"/>
    </row>
    <row r="37" spans="1:16384" ht="15" customHeight="1">
      <c r="A37" s="515">
        <v>6</v>
      </c>
      <c r="B37" s="1207" t="s">
        <v>602</v>
      </c>
      <c r="C37" s="1207"/>
      <c r="D37" s="1207"/>
      <c r="E37" s="1207"/>
      <c r="F37" s="1207"/>
      <c r="G37" s="1207"/>
      <c r="H37" s="1207"/>
      <c r="I37" s="1207"/>
      <c r="J37" s="1207"/>
      <c r="K37" s="1207"/>
      <c r="N37" s="515">
        <v>6</v>
      </c>
      <c r="O37" s="1207" t="s">
        <v>602</v>
      </c>
      <c r="P37" s="1207"/>
      <c r="Q37" s="1207"/>
      <c r="R37" s="1207"/>
      <c r="S37" s="1207"/>
      <c r="T37" s="1207"/>
      <c r="U37" s="1207"/>
      <c r="V37" s="1207"/>
      <c r="W37" s="1207"/>
      <c r="X37" s="495"/>
    </row>
    <row r="38" spans="1:16384" s="497" customFormat="1" ht="14.25">
      <c r="A38" s="340" t="s">
        <v>638</v>
      </c>
      <c r="B38" s="340"/>
      <c r="C38" s="496"/>
      <c r="D38" s="496"/>
      <c r="E38" s="496"/>
      <c r="F38" s="496"/>
      <c r="G38" s="496"/>
      <c r="H38" s="496"/>
      <c r="I38" s="496"/>
      <c r="J38" s="496"/>
      <c r="K38" s="496"/>
      <c r="N38" s="340" t="s">
        <v>638</v>
      </c>
      <c r="O38" s="480"/>
      <c r="P38" s="498"/>
      <c r="Q38" s="498"/>
      <c r="R38" s="498"/>
      <c r="S38" s="498"/>
      <c r="T38" s="498"/>
      <c r="U38" s="498"/>
      <c r="V38" s="496"/>
      <c r="W38" s="496"/>
    </row>
    <row r="39" spans="1:16384" ht="30.75" customHeight="1">
      <c r="A39" s="513" t="s">
        <v>246</v>
      </c>
      <c r="B39" s="1174" t="s">
        <v>659</v>
      </c>
      <c r="C39" s="1174"/>
      <c r="D39" s="1174"/>
      <c r="E39" s="1174"/>
      <c r="F39" s="1174"/>
      <c r="G39" s="1174"/>
      <c r="H39" s="1174"/>
      <c r="I39" s="1174"/>
      <c r="J39" s="1174"/>
      <c r="K39" s="513"/>
      <c r="N39" s="513" t="s">
        <v>246</v>
      </c>
      <c r="O39" s="1174" t="s">
        <v>659</v>
      </c>
      <c r="P39" s="1174"/>
      <c r="Q39" s="1174"/>
      <c r="R39" s="1174"/>
      <c r="S39" s="1174"/>
      <c r="T39" s="1174"/>
      <c r="U39" s="1174"/>
      <c r="V39" s="1174"/>
      <c r="W39" s="1174"/>
    </row>
    <row r="40" spans="1:16384" ht="15" customHeight="1">
      <c r="A40" s="513" t="s">
        <v>300</v>
      </c>
      <c r="B40" s="1174" t="s">
        <v>640</v>
      </c>
      <c r="C40" s="1174"/>
      <c r="D40" s="1174"/>
      <c r="E40" s="1174"/>
      <c r="F40" s="1174"/>
      <c r="G40" s="1174"/>
      <c r="H40" s="1174"/>
      <c r="I40" s="1174"/>
      <c r="J40" s="1174"/>
      <c r="K40" s="513"/>
      <c r="N40" s="513" t="s">
        <v>300</v>
      </c>
      <c r="O40" s="1174" t="s">
        <v>640</v>
      </c>
      <c r="P40" s="1174"/>
      <c r="Q40" s="1174"/>
      <c r="R40" s="1174"/>
      <c r="S40" s="1174"/>
      <c r="T40" s="1174"/>
      <c r="U40" s="1174"/>
      <c r="V40" s="1174"/>
      <c r="W40" s="1174"/>
    </row>
    <row r="41" spans="1:16384">
      <c r="A41" s="513" t="s">
        <v>265</v>
      </c>
      <c r="B41" s="1174" t="s">
        <v>344</v>
      </c>
      <c r="C41" s="1174"/>
      <c r="D41" s="1174"/>
      <c r="E41" s="1174"/>
      <c r="F41" s="1174"/>
      <c r="G41" s="1174"/>
      <c r="H41" s="1174"/>
      <c r="I41" s="1174"/>
      <c r="J41" s="1174"/>
      <c r="K41" s="513"/>
      <c r="N41" s="513" t="s">
        <v>265</v>
      </c>
      <c r="O41" s="1174" t="s">
        <v>344</v>
      </c>
      <c r="P41" s="1174"/>
      <c r="Q41" s="1174"/>
      <c r="R41" s="1174"/>
      <c r="S41" s="1174"/>
      <c r="T41" s="1174"/>
      <c r="U41" s="1174"/>
      <c r="V41" s="1174"/>
      <c r="W41" s="1174"/>
    </row>
    <row r="42" spans="1:16384" ht="25.5" customHeight="1">
      <c r="A42" s="513" t="s">
        <v>303</v>
      </c>
      <c r="B42" s="1174" t="s">
        <v>722</v>
      </c>
      <c r="C42" s="1174"/>
      <c r="D42" s="1174"/>
      <c r="E42" s="1174"/>
      <c r="F42" s="1174"/>
      <c r="G42" s="1174"/>
      <c r="H42" s="1174"/>
      <c r="I42" s="1174"/>
      <c r="J42" s="1174"/>
      <c r="K42" s="513"/>
      <c r="L42" s="515"/>
      <c r="M42" s="516"/>
      <c r="N42" s="513" t="s">
        <v>303</v>
      </c>
      <c r="O42" s="1174" t="s">
        <v>722</v>
      </c>
      <c r="P42" s="1174"/>
      <c r="Q42" s="1174"/>
      <c r="R42" s="1174"/>
      <c r="S42" s="1174"/>
      <c r="T42" s="1174"/>
      <c r="U42" s="1174"/>
      <c r="V42" s="1174"/>
      <c r="W42" s="1174"/>
      <c r="X42" s="1207"/>
      <c r="Y42" s="1207"/>
      <c r="Z42" s="1207"/>
      <c r="AA42" s="1207"/>
      <c r="AB42" s="1207"/>
      <c r="AC42" s="1207"/>
      <c r="AD42" s="1207"/>
      <c r="AE42" s="1207"/>
      <c r="AF42" s="1207"/>
      <c r="AG42" s="1207"/>
      <c r="AH42" s="515"/>
      <c r="AI42" s="1207"/>
      <c r="AJ42" s="1207"/>
      <c r="AK42" s="1207"/>
      <c r="AL42" s="1207"/>
      <c r="AM42" s="1207"/>
      <c r="AN42" s="1207"/>
      <c r="AO42" s="1207"/>
      <c r="AP42" s="1207"/>
      <c r="AQ42" s="1207"/>
      <c r="AR42" s="1207"/>
      <c r="AS42" s="515"/>
      <c r="AT42" s="1207"/>
      <c r="AU42" s="1207"/>
      <c r="AV42" s="1207"/>
      <c r="AW42" s="1207"/>
      <c r="AX42" s="1207"/>
      <c r="AY42" s="1207"/>
      <c r="AZ42" s="1207"/>
      <c r="BA42" s="1207"/>
      <c r="BB42" s="1207"/>
      <c r="BC42" s="1207"/>
      <c r="BD42" s="515"/>
      <c r="BE42" s="1207"/>
      <c r="BF42" s="1207"/>
      <c r="BG42" s="1207"/>
      <c r="BH42" s="1207"/>
      <c r="BI42" s="1207"/>
      <c r="BJ42" s="1207"/>
      <c r="BK42" s="1207"/>
      <c r="BL42" s="1207"/>
      <c r="BM42" s="1207"/>
      <c r="BN42" s="1207"/>
      <c r="BO42" s="515"/>
      <c r="BP42" s="1207"/>
      <c r="BQ42" s="1207"/>
      <c r="BR42" s="1207"/>
      <c r="BS42" s="1207"/>
      <c r="BT42" s="1207"/>
      <c r="BU42" s="1207"/>
      <c r="BV42" s="1207"/>
      <c r="BW42" s="1207"/>
      <c r="BX42" s="1207"/>
      <c r="BY42" s="1207"/>
      <c r="BZ42" s="515"/>
      <c r="CA42" s="1207"/>
      <c r="CB42" s="1207"/>
      <c r="CC42" s="1207"/>
      <c r="CD42" s="1207"/>
      <c r="CE42" s="1207"/>
      <c r="CF42" s="1207"/>
      <c r="CG42" s="1207"/>
      <c r="CH42" s="1207"/>
      <c r="CI42" s="1207"/>
      <c r="CJ42" s="1207"/>
      <c r="CK42" s="515"/>
      <c r="CL42" s="1207"/>
      <c r="CM42" s="1207"/>
      <c r="CN42" s="1207"/>
      <c r="CO42" s="1207"/>
      <c r="CP42" s="1207"/>
      <c r="CQ42" s="1207"/>
      <c r="CR42" s="1207"/>
      <c r="CS42" s="1207"/>
      <c r="CT42" s="1207"/>
      <c r="CU42" s="1207"/>
      <c r="CV42" s="515"/>
      <c r="CW42" s="1207"/>
      <c r="CX42" s="1207"/>
      <c r="CY42" s="1207"/>
      <c r="CZ42" s="1207"/>
      <c r="DA42" s="1207"/>
      <c r="DB42" s="1207"/>
      <c r="DC42" s="1207"/>
      <c r="DD42" s="1207"/>
      <c r="DE42" s="1207"/>
      <c r="DF42" s="1207"/>
      <c r="DG42" s="515"/>
      <c r="DH42" s="1207"/>
      <c r="DI42" s="1207"/>
      <c r="DJ42" s="1207"/>
      <c r="DK42" s="1207"/>
      <c r="DL42" s="1207"/>
      <c r="DM42" s="1207"/>
      <c r="DN42" s="1207"/>
      <c r="DO42" s="1207"/>
      <c r="DP42" s="1207"/>
      <c r="DQ42" s="1207"/>
      <c r="DR42" s="515"/>
      <c r="DS42" s="1207"/>
      <c r="DT42" s="1207"/>
      <c r="DU42" s="1207"/>
      <c r="DV42" s="1207"/>
      <c r="DW42" s="1207"/>
      <c r="DX42" s="1207"/>
      <c r="DY42" s="1207"/>
      <c r="DZ42" s="1207"/>
      <c r="EA42" s="1207"/>
      <c r="EB42" s="1207"/>
      <c r="EC42" s="515"/>
      <c r="ED42" s="1207"/>
      <c r="EE42" s="1207"/>
      <c r="EF42" s="1207"/>
      <c r="EG42" s="1207"/>
      <c r="EH42" s="1207"/>
      <c r="EI42" s="1207"/>
      <c r="EJ42" s="1207"/>
      <c r="EK42" s="1207"/>
      <c r="EL42" s="1207"/>
      <c r="EM42" s="1207"/>
      <c r="EN42" s="515"/>
      <c r="EO42" s="1207"/>
      <c r="EP42" s="1207"/>
      <c r="EQ42" s="1207"/>
      <c r="ER42" s="1207"/>
      <c r="ES42" s="1207"/>
      <c r="ET42" s="1207"/>
      <c r="EU42" s="1207"/>
      <c r="EV42" s="1207"/>
      <c r="EW42" s="1207"/>
      <c r="EX42" s="1207"/>
      <c r="EY42" s="515"/>
      <c r="EZ42" s="1207"/>
      <c r="FA42" s="1207"/>
      <c r="FB42" s="1207"/>
      <c r="FC42" s="1207"/>
      <c r="FD42" s="1207"/>
      <c r="FE42" s="1207"/>
      <c r="FF42" s="1207"/>
      <c r="FG42" s="1207"/>
      <c r="FH42" s="1207"/>
      <c r="FI42" s="1207"/>
      <c r="FJ42" s="515"/>
      <c r="FK42" s="1207"/>
      <c r="FL42" s="1207"/>
      <c r="FM42" s="1207"/>
      <c r="FN42" s="1207"/>
      <c r="FO42" s="1207"/>
      <c r="FP42" s="1207"/>
      <c r="FQ42" s="1207"/>
      <c r="FR42" s="1207"/>
      <c r="FS42" s="1207"/>
      <c r="FT42" s="1207"/>
      <c r="FU42" s="515"/>
      <c r="FV42" s="1207"/>
      <c r="FW42" s="1207"/>
      <c r="FX42" s="1207"/>
      <c r="FY42" s="1207"/>
      <c r="FZ42" s="1207"/>
      <c r="GA42" s="1207"/>
      <c r="GB42" s="1207"/>
      <c r="GC42" s="1207"/>
      <c r="GD42" s="1207"/>
      <c r="GE42" s="1207"/>
      <c r="GF42" s="515"/>
      <c r="GG42" s="1207"/>
      <c r="GH42" s="1207"/>
      <c r="GI42" s="1207"/>
      <c r="GJ42" s="1207"/>
      <c r="GK42" s="1207"/>
      <c r="GL42" s="1207"/>
      <c r="GM42" s="1207"/>
      <c r="GN42" s="1207"/>
      <c r="GO42" s="1207"/>
      <c r="GP42" s="1207"/>
      <c r="GQ42" s="515"/>
      <c r="GR42" s="1207"/>
      <c r="GS42" s="1207"/>
      <c r="GT42" s="1207"/>
      <c r="GU42" s="1207"/>
      <c r="GV42" s="1207"/>
      <c r="GW42" s="1207"/>
      <c r="GX42" s="1207"/>
      <c r="GY42" s="1207"/>
      <c r="GZ42" s="1207"/>
      <c r="HA42" s="1207"/>
      <c r="HB42" s="515"/>
      <c r="HC42" s="1207"/>
      <c r="HD42" s="1207"/>
      <c r="HE42" s="1207"/>
      <c r="HF42" s="1207"/>
      <c r="HG42" s="1207"/>
      <c r="HH42" s="1207"/>
      <c r="HI42" s="1207"/>
      <c r="HJ42" s="1207"/>
      <c r="HK42" s="1207"/>
      <c r="HL42" s="1207"/>
      <c r="HM42" s="515"/>
      <c r="HN42" s="1207"/>
      <c r="HO42" s="1207"/>
      <c r="HP42" s="1207"/>
      <c r="HQ42" s="1207"/>
      <c r="HR42" s="1207"/>
      <c r="HS42" s="1207"/>
      <c r="HT42" s="1207"/>
      <c r="HU42" s="1207"/>
      <c r="HV42" s="1207"/>
      <c r="HW42" s="1207"/>
      <c r="HX42" s="515"/>
      <c r="HY42" s="1207"/>
      <c r="HZ42" s="1207"/>
      <c r="IA42" s="1207"/>
      <c r="IB42" s="1207"/>
      <c r="IC42" s="1207"/>
      <c r="ID42" s="1207"/>
      <c r="IE42" s="1207"/>
      <c r="IF42" s="1207"/>
      <c r="IG42" s="1207"/>
      <c r="IH42" s="1207"/>
      <c r="II42" s="515"/>
      <c r="IJ42" s="1207"/>
      <c r="IK42" s="1207"/>
      <c r="IL42" s="1207"/>
      <c r="IM42" s="1207"/>
      <c r="IN42" s="1207"/>
      <c r="IO42" s="1207"/>
      <c r="IP42" s="1207"/>
      <c r="IQ42" s="1207"/>
      <c r="IR42" s="1207"/>
      <c r="IS42" s="1207"/>
      <c r="IT42" s="515"/>
      <c r="IU42" s="1207"/>
      <c r="IV42" s="1207"/>
      <c r="IW42" s="1207"/>
      <c r="IX42" s="1207"/>
      <c r="IY42" s="1207"/>
      <c r="IZ42" s="1207"/>
      <c r="JA42" s="1207"/>
      <c r="JB42" s="1207"/>
      <c r="JC42" s="1207"/>
      <c r="JD42" s="1207"/>
      <c r="JE42" s="515"/>
      <c r="JF42" s="1207"/>
      <c r="JG42" s="1207"/>
      <c r="JH42" s="1207"/>
      <c r="JI42" s="1207"/>
      <c r="JJ42" s="1207"/>
      <c r="JK42" s="1207"/>
      <c r="JL42" s="1207"/>
      <c r="JM42" s="1207"/>
      <c r="JN42" s="1207"/>
      <c r="JO42" s="1207"/>
      <c r="JP42" s="515"/>
      <c r="JQ42" s="1207"/>
      <c r="JR42" s="1207"/>
      <c r="JS42" s="1207"/>
      <c r="JT42" s="1207"/>
      <c r="JU42" s="1207"/>
      <c r="JV42" s="1207"/>
      <c r="JW42" s="1207"/>
      <c r="JX42" s="1207"/>
      <c r="JY42" s="1207"/>
      <c r="JZ42" s="1207"/>
      <c r="KA42" s="515"/>
      <c r="KB42" s="1207"/>
      <c r="KC42" s="1207"/>
      <c r="KD42" s="1207"/>
      <c r="KE42" s="1207"/>
      <c r="KF42" s="1207"/>
      <c r="KG42" s="1207"/>
      <c r="KH42" s="1207"/>
      <c r="KI42" s="1207"/>
      <c r="KJ42" s="1207"/>
      <c r="KK42" s="1207"/>
      <c r="KL42" s="515"/>
      <c r="KM42" s="1207"/>
      <c r="KN42" s="1207"/>
      <c r="KO42" s="1207"/>
      <c r="KP42" s="1207"/>
      <c r="KQ42" s="1207"/>
      <c r="KR42" s="1207"/>
      <c r="KS42" s="1207"/>
      <c r="KT42" s="1207"/>
      <c r="KU42" s="1207"/>
      <c r="KV42" s="1207"/>
      <c r="KW42" s="515"/>
      <c r="KX42" s="1207"/>
      <c r="KY42" s="1207"/>
      <c r="KZ42" s="1207"/>
      <c r="LA42" s="1207"/>
      <c r="LB42" s="1207"/>
      <c r="LC42" s="1207"/>
      <c r="LD42" s="1207"/>
      <c r="LE42" s="1207"/>
      <c r="LF42" s="1207"/>
      <c r="LG42" s="1207"/>
      <c r="LH42" s="515"/>
      <c r="LI42" s="1207"/>
      <c r="LJ42" s="1207"/>
      <c r="LK42" s="1207"/>
      <c r="LL42" s="1207"/>
      <c r="LM42" s="1207"/>
      <c r="LN42" s="1207"/>
      <c r="LO42" s="1207"/>
      <c r="LP42" s="1207"/>
      <c r="LQ42" s="1207"/>
      <c r="LR42" s="1207"/>
      <c r="LS42" s="515"/>
      <c r="LT42" s="1207"/>
      <c r="LU42" s="1207"/>
      <c r="LV42" s="1207"/>
      <c r="LW42" s="1207"/>
      <c r="LX42" s="1207"/>
      <c r="LY42" s="1207"/>
      <c r="LZ42" s="1207"/>
      <c r="MA42" s="1207"/>
      <c r="MB42" s="1207"/>
      <c r="MC42" s="1207"/>
      <c r="MD42" s="515"/>
      <c r="ME42" s="1207"/>
      <c r="MF42" s="1207"/>
      <c r="MG42" s="1207"/>
      <c r="MH42" s="1207"/>
      <c r="MI42" s="1207"/>
      <c r="MJ42" s="1207"/>
      <c r="MK42" s="1207"/>
      <c r="ML42" s="1207"/>
      <c r="MM42" s="1207"/>
      <c r="MN42" s="1207"/>
      <c r="MO42" s="515"/>
      <c r="MP42" s="1207"/>
      <c r="MQ42" s="1207"/>
      <c r="MR42" s="1207"/>
      <c r="MS42" s="1207"/>
      <c r="MT42" s="1207"/>
      <c r="MU42" s="1207"/>
      <c r="MV42" s="1207"/>
      <c r="MW42" s="1207"/>
      <c r="MX42" s="1207"/>
      <c r="MY42" s="1207"/>
      <c r="MZ42" s="515"/>
      <c r="NA42" s="1207"/>
      <c r="NB42" s="1207"/>
      <c r="NC42" s="1207"/>
      <c r="ND42" s="1207"/>
      <c r="NE42" s="1207"/>
      <c r="NF42" s="1207"/>
      <c r="NG42" s="1207"/>
      <c r="NH42" s="1207"/>
      <c r="NI42" s="1207"/>
      <c r="NJ42" s="1207"/>
      <c r="NK42" s="515"/>
      <c r="NL42" s="1207"/>
      <c r="NM42" s="1207"/>
      <c r="NN42" s="1207"/>
      <c r="NO42" s="1207"/>
      <c r="NP42" s="1207"/>
      <c r="NQ42" s="1207"/>
      <c r="NR42" s="1207"/>
      <c r="NS42" s="1207"/>
      <c r="NT42" s="1207"/>
      <c r="NU42" s="1207"/>
      <c r="NV42" s="515"/>
      <c r="NW42" s="1207"/>
      <c r="NX42" s="1207"/>
      <c r="NY42" s="1207"/>
      <c r="NZ42" s="1207"/>
      <c r="OA42" s="1207"/>
      <c r="OB42" s="1207"/>
      <c r="OC42" s="1207"/>
      <c r="OD42" s="1207"/>
      <c r="OE42" s="1207"/>
      <c r="OF42" s="1207"/>
      <c r="OG42" s="515"/>
      <c r="OH42" s="1207"/>
      <c r="OI42" s="1207"/>
      <c r="OJ42" s="1207"/>
      <c r="OK42" s="1207"/>
      <c r="OL42" s="1207"/>
      <c r="OM42" s="1207"/>
      <c r="ON42" s="1207"/>
      <c r="OO42" s="1207"/>
      <c r="OP42" s="1207"/>
      <c r="OQ42" s="1207"/>
      <c r="OR42" s="515"/>
      <c r="OS42" s="1207"/>
      <c r="OT42" s="1207"/>
      <c r="OU42" s="1207"/>
      <c r="OV42" s="1207"/>
      <c r="OW42" s="1207"/>
      <c r="OX42" s="1207"/>
      <c r="OY42" s="1207"/>
      <c r="OZ42" s="1207"/>
      <c r="PA42" s="1207"/>
      <c r="PB42" s="1207"/>
      <c r="PC42" s="515"/>
      <c r="PD42" s="1207"/>
      <c r="PE42" s="1207"/>
      <c r="PF42" s="1207"/>
      <c r="PG42" s="1207"/>
      <c r="PH42" s="1207"/>
      <c r="PI42" s="1207"/>
      <c r="PJ42" s="1207"/>
      <c r="PK42" s="1207"/>
      <c r="PL42" s="1207"/>
      <c r="PM42" s="1207"/>
      <c r="PN42" s="515"/>
      <c r="PO42" s="1207"/>
      <c r="PP42" s="1207"/>
      <c r="PQ42" s="1207"/>
      <c r="PR42" s="1207"/>
      <c r="PS42" s="1207"/>
      <c r="PT42" s="1207"/>
      <c r="PU42" s="1207"/>
      <c r="PV42" s="1207"/>
      <c r="PW42" s="1207"/>
      <c r="PX42" s="1207"/>
      <c r="PY42" s="515"/>
      <c r="PZ42" s="1207"/>
      <c r="QA42" s="1207"/>
      <c r="QB42" s="1207"/>
      <c r="QC42" s="1207"/>
      <c r="QD42" s="1207"/>
      <c r="QE42" s="1207"/>
      <c r="QF42" s="1207"/>
      <c r="QG42" s="1207"/>
      <c r="QH42" s="1207"/>
      <c r="QI42" s="1207"/>
      <c r="QJ42" s="515"/>
      <c r="QK42" s="1207"/>
      <c r="QL42" s="1207"/>
      <c r="QM42" s="1207"/>
      <c r="QN42" s="1207"/>
      <c r="QO42" s="1207"/>
      <c r="QP42" s="1207"/>
      <c r="QQ42" s="1207"/>
      <c r="QR42" s="1207"/>
      <c r="QS42" s="1207"/>
      <c r="QT42" s="1207"/>
      <c r="QU42" s="515"/>
      <c r="QV42" s="1207"/>
      <c r="QW42" s="1207"/>
      <c r="QX42" s="1207"/>
      <c r="QY42" s="1207"/>
      <c r="QZ42" s="1207"/>
      <c r="RA42" s="1207"/>
      <c r="RB42" s="1207"/>
      <c r="RC42" s="1207"/>
      <c r="RD42" s="1207"/>
      <c r="RE42" s="1207"/>
      <c r="RF42" s="515"/>
      <c r="RG42" s="1207"/>
      <c r="RH42" s="1207"/>
      <c r="RI42" s="1207"/>
      <c r="RJ42" s="1207"/>
      <c r="RK42" s="1207"/>
      <c r="RL42" s="1207"/>
      <c r="RM42" s="1207"/>
      <c r="RN42" s="1207"/>
      <c r="RO42" s="1207"/>
      <c r="RP42" s="1207"/>
      <c r="RQ42" s="515"/>
      <c r="RR42" s="1207"/>
      <c r="RS42" s="1207"/>
      <c r="RT42" s="1207"/>
      <c r="RU42" s="1207"/>
      <c r="RV42" s="1207"/>
      <c r="RW42" s="1207"/>
      <c r="RX42" s="1207"/>
      <c r="RY42" s="1207"/>
      <c r="RZ42" s="1207"/>
      <c r="SA42" s="1207"/>
      <c r="SB42" s="515"/>
      <c r="SC42" s="1207"/>
      <c r="SD42" s="1207"/>
      <c r="SE42" s="1207"/>
      <c r="SF42" s="1207"/>
      <c r="SG42" s="1207"/>
      <c r="SH42" s="1207"/>
      <c r="SI42" s="1207"/>
      <c r="SJ42" s="1207"/>
      <c r="SK42" s="1207"/>
      <c r="SL42" s="1207"/>
      <c r="SM42" s="515"/>
      <c r="SN42" s="1207"/>
      <c r="SO42" s="1207"/>
      <c r="SP42" s="1207"/>
      <c r="SQ42" s="1207"/>
      <c r="SR42" s="1207"/>
      <c r="SS42" s="1207"/>
      <c r="ST42" s="1207"/>
      <c r="SU42" s="1207"/>
      <c r="SV42" s="1207"/>
      <c r="SW42" s="1207"/>
      <c r="SX42" s="515"/>
      <c r="SY42" s="1207"/>
      <c r="SZ42" s="1207"/>
      <c r="TA42" s="1207"/>
      <c r="TB42" s="1207"/>
      <c r="TC42" s="1207"/>
      <c r="TD42" s="1207"/>
      <c r="TE42" s="1207"/>
      <c r="TF42" s="1207"/>
      <c r="TG42" s="1207"/>
      <c r="TH42" s="1207"/>
      <c r="TI42" s="515"/>
      <c r="TJ42" s="1207"/>
      <c r="TK42" s="1207"/>
      <c r="TL42" s="1207"/>
      <c r="TM42" s="1207"/>
      <c r="TN42" s="1207"/>
      <c r="TO42" s="1207"/>
      <c r="TP42" s="1207"/>
      <c r="TQ42" s="1207"/>
      <c r="TR42" s="1207"/>
      <c r="TS42" s="1207"/>
      <c r="TT42" s="515"/>
      <c r="TU42" s="1207"/>
      <c r="TV42" s="1207"/>
      <c r="TW42" s="1207"/>
      <c r="TX42" s="1207"/>
      <c r="TY42" s="1207"/>
      <c r="TZ42" s="1207"/>
      <c r="UA42" s="1207"/>
      <c r="UB42" s="1207"/>
      <c r="UC42" s="1207"/>
      <c r="UD42" s="1207"/>
      <c r="UE42" s="515"/>
      <c r="UF42" s="1207"/>
      <c r="UG42" s="1207"/>
      <c r="UH42" s="1207"/>
      <c r="UI42" s="1207"/>
      <c r="UJ42" s="1207"/>
      <c r="UK42" s="1207"/>
      <c r="UL42" s="1207"/>
      <c r="UM42" s="1207"/>
      <c r="UN42" s="1207"/>
      <c r="UO42" s="1207"/>
      <c r="UP42" s="515"/>
      <c r="UQ42" s="1207"/>
      <c r="UR42" s="1207"/>
      <c r="US42" s="1207"/>
      <c r="UT42" s="1207"/>
      <c r="UU42" s="1207"/>
      <c r="UV42" s="1207"/>
      <c r="UW42" s="1207"/>
      <c r="UX42" s="1207"/>
      <c r="UY42" s="1207"/>
      <c r="UZ42" s="1207"/>
      <c r="VA42" s="515"/>
      <c r="VB42" s="1207"/>
      <c r="VC42" s="1207"/>
      <c r="VD42" s="1207"/>
      <c r="VE42" s="1207"/>
      <c r="VF42" s="1207"/>
      <c r="VG42" s="1207"/>
      <c r="VH42" s="1207"/>
      <c r="VI42" s="1207"/>
      <c r="VJ42" s="1207"/>
      <c r="VK42" s="1207"/>
      <c r="VL42" s="515"/>
      <c r="VM42" s="1207"/>
      <c r="VN42" s="1207"/>
      <c r="VO42" s="1207"/>
      <c r="VP42" s="1207"/>
      <c r="VQ42" s="1207"/>
      <c r="VR42" s="1207"/>
      <c r="VS42" s="1207"/>
      <c r="VT42" s="1207"/>
      <c r="VU42" s="1207"/>
      <c r="VV42" s="1207"/>
      <c r="VW42" s="515"/>
      <c r="VX42" s="1207"/>
      <c r="VY42" s="1207"/>
      <c r="VZ42" s="1207"/>
      <c r="WA42" s="1207"/>
      <c r="WB42" s="1207"/>
      <c r="WC42" s="1207"/>
      <c r="WD42" s="1207"/>
      <c r="WE42" s="1207"/>
      <c r="WF42" s="1207"/>
      <c r="WG42" s="1207"/>
      <c r="WH42" s="515"/>
      <c r="WI42" s="1207"/>
      <c r="WJ42" s="1207"/>
      <c r="WK42" s="1207"/>
      <c r="WL42" s="1207"/>
      <c r="WM42" s="1207"/>
      <c r="WN42" s="1207"/>
      <c r="WO42" s="1207"/>
      <c r="WP42" s="1207"/>
      <c r="WQ42" s="1207"/>
      <c r="WR42" s="1207"/>
      <c r="WS42" s="515"/>
      <c r="WT42" s="1207"/>
      <c r="WU42" s="1207"/>
      <c r="WV42" s="1207"/>
      <c r="WW42" s="1207"/>
      <c r="WX42" s="1207"/>
      <c r="WY42" s="1207"/>
      <c r="WZ42" s="1207"/>
      <c r="XA42" s="1207"/>
      <c r="XB42" s="1207"/>
      <c r="XC42" s="1207"/>
      <c r="XD42" s="515"/>
      <c r="XE42" s="1207"/>
      <c r="XF42" s="1207"/>
      <c r="XG42" s="1207"/>
      <c r="XH42" s="1207"/>
      <c r="XI42" s="1207"/>
      <c r="XJ42" s="1207"/>
      <c r="XK42" s="1207"/>
      <c r="XL42" s="1207"/>
      <c r="XM42" s="1207"/>
      <c r="XN42" s="1207"/>
      <c r="XO42" s="515"/>
      <c r="XP42" s="1207"/>
      <c r="XQ42" s="1207"/>
      <c r="XR42" s="1207"/>
      <c r="XS42" s="1207"/>
      <c r="XT42" s="1207"/>
      <c r="XU42" s="1207"/>
      <c r="XV42" s="1207"/>
      <c r="XW42" s="1207"/>
      <c r="XX42" s="1207"/>
      <c r="XY42" s="1207"/>
      <c r="XZ42" s="515"/>
      <c r="YA42" s="1207"/>
      <c r="YB42" s="1207"/>
      <c r="YC42" s="1207"/>
      <c r="YD42" s="1207"/>
      <c r="YE42" s="1207"/>
      <c r="YF42" s="1207"/>
      <c r="YG42" s="1207"/>
      <c r="YH42" s="1207"/>
      <c r="YI42" s="1207"/>
      <c r="YJ42" s="1207"/>
      <c r="YK42" s="515"/>
      <c r="YL42" s="1207"/>
      <c r="YM42" s="1207"/>
      <c r="YN42" s="1207"/>
      <c r="YO42" s="1207"/>
      <c r="YP42" s="1207"/>
      <c r="YQ42" s="1207"/>
      <c r="YR42" s="1207"/>
      <c r="YS42" s="1207"/>
      <c r="YT42" s="1207"/>
      <c r="YU42" s="1207"/>
      <c r="YV42" s="515"/>
      <c r="YW42" s="1207"/>
      <c r="YX42" s="1207"/>
      <c r="YY42" s="1207"/>
      <c r="YZ42" s="1207"/>
      <c r="ZA42" s="1207"/>
      <c r="ZB42" s="1207"/>
      <c r="ZC42" s="1207"/>
      <c r="ZD42" s="1207"/>
      <c r="ZE42" s="1207"/>
      <c r="ZF42" s="1207"/>
      <c r="ZG42" s="515"/>
      <c r="ZH42" s="1207"/>
      <c r="ZI42" s="1207"/>
      <c r="ZJ42" s="1207"/>
      <c r="ZK42" s="1207"/>
      <c r="ZL42" s="1207"/>
      <c r="ZM42" s="1207"/>
      <c r="ZN42" s="1207"/>
      <c r="ZO42" s="1207"/>
      <c r="ZP42" s="1207"/>
      <c r="ZQ42" s="1207"/>
      <c r="ZR42" s="515"/>
      <c r="ZS42" s="1207"/>
      <c r="ZT42" s="1207"/>
      <c r="ZU42" s="1207"/>
      <c r="ZV42" s="1207"/>
      <c r="ZW42" s="1207"/>
      <c r="ZX42" s="1207"/>
      <c r="ZY42" s="1207"/>
      <c r="ZZ42" s="1207"/>
      <c r="AAA42" s="1207"/>
      <c r="AAB42" s="1207"/>
      <c r="AAC42" s="515"/>
      <c r="AAD42" s="1207"/>
      <c r="AAE42" s="1207"/>
      <c r="AAF42" s="1207"/>
      <c r="AAG42" s="1207"/>
      <c r="AAH42" s="1207"/>
      <c r="AAI42" s="1207"/>
      <c r="AAJ42" s="1207"/>
      <c r="AAK42" s="1207"/>
      <c r="AAL42" s="1207"/>
      <c r="AAM42" s="1207"/>
      <c r="AAN42" s="515"/>
      <c r="AAO42" s="1207"/>
      <c r="AAP42" s="1207"/>
      <c r="AAQ42" s="1207"/>
      <c r="AAR42" s="1207"/>
      <c r="AAS42" s="1207"/>
      <c r="AAT42" s="1207"/>
      <c r="AAU42" s="1207"/>
      <c r="AAV42" s="1207"/>
      <c r="AAW42" s="1207"/>
      <c r="AAX42" s="1207"/>
      <c r="AAY42" s="515"/>
      <c r="AAZ42" s="1207"/>
      <c r="ABA42" s="1207"/>
      <c r="ABB42" s="1207"/>
      <c r="ABC42" s="1207"/>
      <c r="ABD42" s="1207"/>
      <c r="ABE42" s="1207"/>
      <c r="ABF42" s="1207"/>
      <c r="ABG42" s="1207"/>
      <c r="ABH42" s="1207"/>
      <c r="ABI42" s="1207"/>
      <c r="ABJ42" s="515"/>
      <c r="ABK42" s="1207"/>
      <c r="ABL42" s="1207"/>
      <c r="ABM42" s="1207"/>
      <c r="ABN42" s="1207"/>
      <c r="ABO42" s="1207"/>
      <c r="ABP42" s="1207"/>
      <c r="ABQ42" s="1207"/>
      <c r="ABR42" s="1207"/>
      <c r="ABS42" s="1207"/>
      <c r="ABT42" s="1207"/>
      <c r="ABU42" s="515"/>
      <c r="ABV42" s="1207"/>
      <c r="ABW42" s="1207"/>
      <c r="ABX42" s="1207"/>
      <c r="ABY42" s="1207"/>
      <c r="ABZ42" s="1207"/>
      <c r="ACA42" s="1207"/>
      <c r="ACB42" s="1207"/>
      <c r="ACC42" s="1207"/>
      <c r="ACD42" s="1207"/>
      <c r="ACE42" s="1207"/>
      <c r="ACF42" s="515"/>
      <c r="ACG42" s="1207"/>
      <c r="ACH42" s="1207"/>
      <c r="ACI42" s="1207"/>
      <c r="ACJ42" s="1207"/>
      <c r="ACK42" s="1207"/>
      <c r="ACL42" s="1207"/>
      <c r="ACM42" s="1207"/>
      <c r="ACN42" s="1207"/>
      <c r="ACO42" s="1207"/>
      <c r="ACP42" s="1207"/>
      <c r="ACQ42" s="515"/>
      <c r="ACR42" s="1207"/>
      <c r="ACS42" s="1207"/>
      <c r="ACT42" s="1207"/>
      <c r="ACU42" s="1207"/>
      <c r="ACV42" s="1207"/>
      <c r="ACW42" s="1207"/>
      <c r="ACX42" s="1207"/>
      <c r="ACY42" s="1207"/>
      <c r="ACZ42" s="1207"/>
      <c r="ADA42" s="1207"/>
      <c r="ADB42" s="515"/>
      <c r="ADC42" s="1207"/>
      <c r="ADD42" s="1207"/>
      <c r="ADE42" s="1207"/>
      <c r="ADF42" s="1207"/>
      <c r="ADG42" s="1207"/>
      <c r="ADH42" s="1207"/>
      <c r="ADI42" s="1207"/>
      <c r="ADJ42" s="1207"/>
      <c r="ADK42" s="1207"/>
      <c r="ADL42" s="1207"/>
      <c r="ADM42" s="515"/>
      <c r="ADN42" s="1207"/>
      <c r="ADO42" s="1207"/>
      <c r="ADP42" s="1207"/>
      <c r="ADQ42" s="1207"/>
      <c r="ADR42" s="1207"/>
      <c r="ADS42" s="1207"/>
      <c r="ADT42" s="1207"/>
      <c r="ADU42" s="1207"/>
      <c r="ADV42" s="1207"/>
      <c r="ADW42" s="1207"/>
      <c r="ADX42" s="515"/>
      <c r="ADY42" s="1207"/>
      <c r="ADZ42" s="1207"/>
      <c r="AEA42" s="1207"/>
      <c r="AEB42" s="1207"/>
      <c r="AEC42" s="1207"/>
      <c r="AED42" s="1207"/>
      <c r="AEE42" s="1207"/>
      <c r="AEF42" s="1207"/>
      <c r="AEG42" s="1207"/>
      <c r="AEH42" s="1207"/>
      <c r="AEI42" s="515"/>
      <c r="AEJ42" s="1207"/>
      <c r="AEK42" s="1207"/>
      <c r="AEL42" s="1207"/>
      <c r="AEM42" s="1207"/>
      <c r="AEN42" s="1207"/>
      <c r="AEO42" s="1207"/>
      <c r="AEP42" s="1207"/>
      <c r="AEQ42" s="1207"/>
      <c r="AER42" s="1207"/>
      <c r="AES42" s="1207"/>
      <c r="AET42" s="515"/>
      <c r="AEU42" s="1207"/>
      <c r="AEV42" s="1207"/>
      <c r="AEW42" s="1207"/>
      <c r="AEX42" s="1207"/>
      <c r="AEY42" s="1207"/>
      <c r="AEZ42" s="1207"/>
      <c r="AFA42" s="1207"/>
      <c r="AFB42" s="1207"/>
      <c r="AFC42" s="1207"/>
      <c r="AFD42" s="1207"/>
      <c r="AFE42" s="515"/>
      <c r="AFF42" s="1207"/>
      <c r="AFG42" s="1207"/>
      <c r="AFH42" s="1207"/>
      <c r="AFI42" s="1207"/>
      <c r="AFJ42" s="1207"/>
      <c r="AFK42" s="1207"/>
      <c r="AFL42" s="1207"/>
      <c r="AFM42" s="1207"/>
      <c r="AFN42" s="1207"/>
      <c r="AFO42" s="1207"/>
      <c r="AFP42" s="515"/>
      <c r="AFQ42" s="1207"/>
      <c r="AFR42" s="1207"/>
      <c r="AFS42" s="1207"/>
      <c r="AFT42" s="1207"/>
      <c r="AFU42" s="1207"/>
      <c r="AFV42" s="1207"/>
      <c r="AFW42" s="1207"/>
      <c r="AFX42" s="1207"/>
      <c r="AFY42" s="1207"/>
      <c r="AFZ42" s="1207"/>
      <c r="AGA42" s="515"/>
      <c r="AGB42" s="1207"/>
      <c r="AGC42" s="1207"/>
      <c r="AGD42" s="1207"/>
      <c r="AGE42" s="1207"/>
      <c r="AGF42" s="1207"/>
      <c r="AGG42" s="1207"/>
      <c r="AGH42" s="1207"/>
      <c r="AGI42" s="1207"/>
      <c r="AGJ42" s="1207"/>
      <c r="AGK42" s="1207"/>
      <c r="AGL42" s="515"/>
      <c r="AGM42" s="1207"/>
      <c r="AGN42" s="1207"/>
      <c r="AGO42" s="1207"/>
      <c r="AGP42" s="1207"/>
      <c r="AGQ42" s="1207"/>
      <c r="AGR42" s="1207"/>
      <c r="AGS42" s="1207"/>
      <c r="AGT42" s="1207"/>
      <c r="AGU42" s="1207"/>
      <c r="AGV42" s="1207"/>
      <c r="AGW42" s="515"/>
      <c r="AGX42" s="1207"/>
      <c r="AGY42" s="1207"/>
      <c r="AGZ42" s="1207"/>
      <c r="AHA42" s="1207"/>
      <c r="AHB42" s="1207"/>
      <c r="AHC42" s="1207"/>
      <c r="AHD42" s="1207"/>
      <c r="AHE42" s="1207"/>
      <c r="AHF42" s="1207"/>
      <c r="AHG42" s="1207"/>
      <c r="AHH42" s="515"/>
      <c r="AHI42" s="1207"/>
      <c r="AHJ42" s="1207"/>
      <c r="AHK42" s="1207"/>
      <c r="AHL42" s="1207"/>
      <c r="AHM42" s="1207"/>
      <c r="AHN42" s="1207"/>
      <c r="AHO42" s="1207"/>
      <c r="AHP42" s="1207"/>
      <c r="AHQ42" s="1207"/>
      <c r="AHR42" s="1207"/>
      <c r="AHS42" s="515"/>
      <c r="AHT42" s="1207"/>
      <c r="AHU42" s="1207"/>
      <c r="AHV42" s="1207"/>
      <c r="AHW42" s="1207"/>
      <c r="AHX42" s="1207"/>
      <c r="AHY42" s="1207"/>
      <c r="AHZ42" s="1207"/>
      <c r="AIA42" s="1207"/>
      <c r="AIB42" s="1207"/>
      <c r="AIC42" s="1207"/>
      <c r="AID42" s="515"/>
      <c r="AIE42" s="1207"/>
      <c r="AIF42" s="1207"/>
      <c r="AIG42" s="1207"/>
      <c r="AIH42" s="1207"/>
      <c r="AII42" s="1207"/>
      <c r="AIJ42" s="1207"/>
      <c r="AIK42" s="1207"/>
      <c r="AIL42" s="1207"/>
      <c r="AIM42" s="1207"/>
      <c r="AIN42" s="1207"/>
      <c r="AIO42" s="515"/>
      <c r="AIP42" s="1207"/>
      <c r="AIQ42" s="1207"/>
      <c r="AIR42" s="1207"/>
      <c r="AIS42" s="1207"/>
      <c r="AIT42" s="1207"/>
      <c r="AIU42" s="1207"/>
      <c r="AIV42" s="1207"/>
      <c r="AIW42" s="1207"/>
      <c r="AIX42" s="1207"/>
      <c r="AIY42" s="1207"/>
      <c r="AIZ42" s="515"/>
      <c r="AJA42" s="1207"/>
      <c r="AJB42" s="1207"/>
      <c r="AJC42" s="1207"/>
      <c r="AJD42" s="1207"/>
      <c r="AJE42" s="1207"/>
      <c r="AJF42" s="1207"/>
      <c r="AJG42" s="1207"/>
      <c r="AJH42" s="1207"/>
      <c r="AJI42" s="1207"/>
      <c r="AJJ42" s="1207"/>
      <c r="AJK42" s="515"/>
      <c r="AJL42" s="1207"/>
      <c r="AJM42" s="1207"/>
      <c r="AJN42" s="1207"/>
      <c r="AJO42" s="1207"/>
      <c r="AJP42" s="1207"/>
      <c r="AJQ42" s="1207"/>
      <c r="AJR42" s="1207"/>
      <c r="AJS42" s="1207"/>
      <c r="AJT42" s="1207"/>
      <c r="AJU42" s="1207"/>
      <c r="AJV42" s="515"/>
      <c r="AJW42" s="1207"/>
      <c r="AJX42" s="1207"/>
      <c r="AJY42" s="1207"/>
      <c r="AJZ42" s="1207"/>
      <c r="AKA42" s="1207"/>
      <c r="AKB42" s="1207"/>
      <c r="AKC42" s="1207"/>
      <c r="AKD42" s="1207"/>
      <c r="AKE42" s="1207"/>
      <c r="AKF42" s="1207"/>
      <c r="AKG42" s="515"/>
      <c r="AKH42" s="1207"/>
      <c r="AKI42" s="1207"/>
      <c r="AKJ42" s="1207"/>
      <c r="AKK42" s="1207"/>
      <c r="AKL42" s="1207"/>
      <c r="AKM42" s="1207"/>
      <c r="AKN42" s="1207"/>
      <c r="AKO42" s="1207"/>
      <c r="AKP42" s="1207"/>
      <c r="AKQ42" s="1207"/>
      <c r="AKR42" s="515"/>
      <c r="AKS42" s="1207"/>
      <c r="AKT42" s="1207"/>
      <c r="AKU42" s="1207"/>
      <c r="AKV42" s="1207"/>
      <c r="AKW42" s="1207"/>
      <c r="AKX42" s="1207"/>
      <c r="AKY42" s="1207"/>
      <c r="AKZ42" s="1207"/>
      <c r="ALA42" s="1207"/>
      <c r="ALB42" s="1207"/>
      <c r="ALC42" s="515"/>
      <c r="ALD42" s="1207"/>
      <c r="ALE42" s="1207"/>
      <c r="ALF42" s="1207"/>
      <c r="ALG42" s="1207"/>
      <c r="ALH42" s="1207"/>
      <c r="ALI42" s="1207"/>
      <c r="ALJ42" s="1207"/>
      <c r="ALK42" s="1207"/>
      <c r="ALL42" s="1207"/>
      <c r="ALM42" s="1207"/>
      <c r="ALN42" s="515"/>
      <c r="ALO42" s="1207"/>
      <c r="ALP42" s="1207"/>
      <c r="ALQ42" s="1207"/>
      <c r="ALR42" s="1207"/>
      <c r="ALS42" s="1207"/>
      <c r="ALT42" s="1207"/>
      <c r="ALU42" s="1207"/>
      <c r="ALV42" s="1207"/>
      <c r="ALW42" s="1207"/>
      <c r="ALX42" s="1207"/>
      <c r="ALY42" s="515"/>
      <c r="ALZ42" s="1207"/>
      <c r="AMA42" s="1207"/>
      <c r="AMB42" s="1207"/>
      <c r="AMC42" s="1207"/>
      <c r="AMD42" s="1207"/>
      <c r="AME42" s="1207"/>
      <c r="AMF42" s="1207"/>
      <c r="AMG42" s="1207"/>
      <c r="AMH42" s="1207"/>
      <c r="AMI42" s="1207"/>
      <c r="AMJ42" s="515"/>
      <c r="AMK42" s="1207"/>
      <c r="AML42" s="1207"/>
      <c r="AMM42" s="1207"/>
      <c r="AMN42" s="1207"/>
      <c r="AMO42" s="1207"/>
      <c r="AMP42" s="1207"/>
      <c r="AMQ42" s="1207"/>
      <c r="AMR42" s="1207"/>
      <c r="AMS42" s="1207"/>
      <c r="AMT42" s="1207"/>
      <c r="AMU42" s="515"/>
      <c r="AMV42" s="1207"/>
      <c r="AMW42" s="1207"/>
      <c r="AMX42" s="1207"/>
      <c r="AMY42" s="1207"/>
      <c r="AMZ42" s="1207"/>
      <c r="ANA42" s="1207"/>
      <c r="ANB42" s="1207"/>
      <c r="ANC42" s="1207"/>
      <c r="AND42" s="1207"/>
      <c r="ANE42" s="1207"/>
      <c r="ANF42" s="515"/>
      <c r="ANG42" s="1207"/>
      <c r="ANH42" s="1207"/>
      <c r="ANI42" s="1207"/>
      <c r="ANJ42" s="1207"/>
      <c r="ANK42" s="1207"/>
      <c r="ANL42" s="1207"/>
      <c r="ANM42" s="1207"/>
      <c r="ANN42" s="1207"/>
      <c r="ANO42" s="1207"/>
      <c r="ANP42" s="1207"/>
      <c r="ANQ42" s="515"/>
      <c r="ANR42" s="1207"/>
      <c r="ANS42" s="1207"/>
      <c r="ANT42" s="1207"/>
      <c r="ANU42" s="1207"/>
      <c r="ANV42" s="1207"/>
      <c r="ANW42" s="1207"/>
      <c r="ANX42" s="1207"/>
      <c r="ANY42" s="1207"/>
      <c r="ANZ42" s="1207"/>
      <c r="AOA42" s="1207"/>
      <c r="AOB42" s="515"/>
      <c r="AOC42" s="1207"/>
      <c r="AOD42" s="1207"/>
      <c r="AOE42" s="1207"/>
      <c r="AOF42" s="1207"/>
      <c r="AOG42" s="1207"/>
      <c r="AOH42" s="1207"/>
      <c r="AOI42" s="1207"/>
      <c r="AOJ42" s="1207"/>
      <c r="AOK42" s="1207"/>
      <c r="AOL42" s="1207"/>
      <c r="AOM42" s="515"/>
      <c r="AON42" s="1207"/>
      <c r="AOO42" s="1207"/>
      <c r="AOP42" s="1207"/>
      <c r="AOQ42" s="1207"/>
      <c r="AOR42" s="1207"/>
      <c r="AOS42" s="1207"/>
      <c r="AOT42" s="1207"/>
      <c r="AOU42" s="1207"/>
      <c r="AOV42" s="1207"/>
      <c r="AOW42" s="1207"/>
      <c r="AOX42" s="515"/>
      <c r="AOY42" s="1207"/>
      <c r="AOZ42" s="1207"/>
      <c r="APA42" s="1207"/>
      <c r="APB42" s="1207"/>
      <c r="APC42" s="1207"/>
      <c r="APD42" s="1207"/>
      <c r="APE42" s="1207"/>
      <c r="APF42" s="1207"/>
      <c r="APG42" s="1207"/>
      <c r="APH42" s="1207"/>
      <c r="API42" s="515"/>
      <c r="APJ42" s="1207"/>
      <c r="APK42" s="1207"/>
      <c r="APL42" s="1207"/>
      <c r="APM42" s="1207"/>
      <c r="APN42" s="1207"/>
      <c r="APO42" s="1207"/>
      <c r="APP42" s="1207"/>
      <c r="APQ42" s="1207"/>
      <c r="APR42" s="1207"/>
      <c r="APS42" s="1207"/>
      <c r="APT42" s="515"/>
      <c r="APU42" s="1207"/>
      <c r="APV42" s="1207"/>
      <c r="APW42" s="1207"/>
      <c r="APX42" s="1207"/>
      <c r="APY42" s="1207"/>
      <c r="APZ42" s="1207"/>
      <c r="AQA42" s="1207"/>
      <c r="AQB42" s="1207"/>
      <c r="AQC42" s="1207"/>
      <c r="AQD42" s="1207"/>
      <c r="AQE42" s="515"/>
      <c r="AQF42" s="1207"/>
      <c r="AQG42" s="1207"/>
      <c r="AQH42" s="1207"/>
      <c r="AQI42" s="1207"/>
      <c r="AQJ42" s="1207"/>
      <c r="AQK42" s="1207"/>
      <c r="AQL42" s="1207"/>
      <c r="AQM42" s="1207"/>
      <c r="AQN42" s="1207"/>
      <c r="AQO42" s="1207"/>
      <c r="AQP42" s="515"/>
      <c r="AQQ42" s="1207"/>
      <c r="AQR42" s="1207"/>
      <c r="AQS42" s="1207"/>
      <c r="AQT42" s="1207"/>
      <c r="AQU42" s="1207"/>
      <c r="AQV42" s="1207"/>
      <c r="AQW42" s="1207"/>
      <c r="AQX42" s="1207"/>
      <c r="AQY42" s="1207"/>
      <c r="AQZ42" s="1207"/>
      <c r="ARA42" s="515"/>
      <c r="ARB42" s="1207"/>
      <c r="ARC42" s="1207"/>
      <c r="ARD42" s="1207"/>
      <c r="ARE42" s="1207"/>
      <c r="ARF42" s="1207"/>
      <c r="ARG42" s="1207"/>
      <c r="ARH42" s="1207"/>
      <c r="ARI42" s="1207"/>
      <c r="ARJ42" s="1207"/>
      <c r="ARK42" s="1207"/>
      <c r="ARL42" s="515"/>
      <c r="ARM42" s="1207"/>
      <c r="ARN42" s="1207"/>
      <c r="ARO42" s="1207"/>
      <c r="ARP42" s="1207"/>
      <c r="ARQ42" s="1207"/>
      <c r="ARR42" s="1207"/>
      <c r="ARS42" s="1207"/>
      <c r="ART42" s="1207"/>
      <c r="ARU42" s="1207"/>
      <c r="ARV42" s="1207"/>
      <c r="ARW42" s="515"/>
      <c r="ARX42" s="1207"/>
      <c r="ARY42" s="1207"/>
      <c r="ARZ42" s="1207"/>
      <c r="ASA42" s="1207"/>
      <c r="ASB42" s="1207"/>
      <c r="ASC42" s="1207"/>
      <c r="ASD42" s="1207"/>
      <c r="ASE42" s="1207"/>
      <c r="ASF42" s="1207"/>
      <c r="ASG42" s="1207"/>
      <c r="ASH42" s="515"/>
      <c r="ASI42" s="1207"/>
      <c r="ASJ42" s="1207"/>
      <c r="ASK42" s="1207"/>
      <c r="ASL42" s="1207"/>
      <c r="ASM42" s="1207"/>
      <c r="ASN42" s="1207"/>
      <c r="ASO42" s="1207"/>
      <c r="ASP42" s="1207"/>
      <c r="ASQ42" s="1207"/>
      <c r="ASR42" s="1207"/>
      <c r="ASS42" s="515"/>
      <c r="AST42" s="1207"/>
      <c r="ASU42" s="1207"/>
      <c r="ASV42" s="1207"/>
      <c r="ASW42" s="1207"/>
      <c r="ASX42" s="1207"/>
      <c r="ASY42" s="1207"/>
      <c r="ASZ42" s="1207"/>
      <c r="ATA42" s="1207"/>
      <c r="ATB42" s="1207"/>
      <c r="ATC42" s="1207"/>
      <c r="ATD42" s="515"/>
      <c r="ATE42" s="1207"/>
      <c r="ATF42" s="1207"/>
      <c r="ATG42" s="1207"/>
      <c r="ATH42" s="1207"/>
      <c r="ATI42" s="1207"/>
      <c r="ATJ42" s="1207"/>
      <c r="ATK42" s="1207"/>
      <c r="ATL42" s="1207"/>
      <c r="ATM42" s="1207"/>
      <c r="ATN42" s="1207"/>
      <c r="ATO42" s="515"/>
      <c r="ATP42" s="1207"/>
      <c r="ATQ42" s="1207"/>
      <c r="ATR42" s="1207"/>
      <c r="ATS42" s="1207"/>
      <c r="ATT42" s="1207"/>
      <c r="ATU42" s="1207"/>
      <c r="ATV42" s="1207"/>
      <c r="ATW42" s="1207"/>
      <c r="ATX42" s="1207"/>
      <c r="ATY42" s="1207"/>
      <c r="ATZ42" s="515"/>
      <c r="AUA42" s="1207"/>
      <c r="AUB42" s="1207"/>
      <c r="AUC42" s="1207"/>
      <c r="AUD42" s="1207"/>
      <c r="AUE42" s="1207"/>
      <c r="AUF42" s="1207"/>
      <c r="AUG42" s="1207"/>
      <c r="AUH42" s="1207"/>
      <c r="AUI42" s="1207"/>
      <c r="AUJ42" s="1207"/>
      <c r="AUK42" s="515"/>
      <c r="AUL42" s="1207"/>
      <c r="AUM42" s="1207"/>
      <c r="AUN42" s="1207"/>
      <c r="AUO42" s="1207"/>
      <c r="AUP42" s="1207"/>
      <c r="AUQ42" s="1207"/>
      <c r="AUR42" s="1207"/>
      <c r="AUS42" s="1207"/>
      <c r="AUT42" s="1207"/>
      <c r="AUU42" s="1207"/>
      <c r="AUV42" s="515"/>
      <c r="AUW42" s="1207"/>
      <c r="AUX42" s="1207"/>
      <c r="AUY42" s="1207"/>
      <c r="AUZ42" s="1207"/>
      <c r="AVA42" s="1207"/>
      <c r="AVB42" s="1207"/>
      <c r="AVC42" s="1207"/>
      <c r="AVD42" s="1207"/>
      <c r="AVE42" s="1207"/>
      <c r="AVF42" s="1207"/>
      <c r="AVG42" s="515"/>
      <c r="AVH42" s="1207"/>
      <c r="AVI42" s="1207"/>
      <c r="AVJ42" s="1207"/>
      <c r="AVK42" s="1207"/>
      <c r="AVL42" s="1207"/>
      <c r="AVM42" s="1207"/>
      <c r="AVN42" s="1207"/>
      <c r="AVO42" s="1207"/>
      <c r="AVP42" s="1207"/>
      <c r="AVQ42" s="1207"/>
      <c r="AVR42" s="515"/>
      <c r="AVS42" s="1207"/>
      <c r="AVT42" s="1207"/>
      <c r="AVU42" s="1207"/>
      <c r="AVV42" s="1207"/>
      <c r="AVW42" s="1207"/>
      <c r="AVX42" s="1207"/>
      <c r="AVY42" s="1207"/>
      <c r="AVZ42" s="1207"/>
      <c r="AWA42" s="1207"/>
      <c r="AWB42" s="1207"/>
      <c r="AWC42" s="515"/>
      <c r="AWD42" s="1207"/>
      <c r="AWE42" s="1207"/>
      <c r="AWF42" s="1207"/>
      <c r="AWG42" s="1207"/>
      <c r="AWH42" s="1207"/>
      <c r="AWI42" s="1207"/>
      <c r="AWJ42" s="1207"/>
      <c r="AWK42" s="1207"/>
      <c r="AWL42" s="1207"/>
      <c r="AWM42" s="1207"/>
      <c r="AWN42" s="515"/>
      <c r="AWO42" s="1207"/>
      <c r="AWP42" s="1207"/>
      <c r="AWQ42" s="1207"/>
      <c r="AWR42" s="1207"/>
      <c r="AWS42" s="1207"/>
      <c r="AWT42" s="1207"/>
      <c r="AWU42" s="1207"/>
      <c r="AWV42" s="1207"/>
      <c r="AWW42" s="1207"/>
      <c r="AWX42" s="1207"/>
      <c r="AWY42" s="515"/>
      <c r="AWZ42" s="1207"/>
      <c r="AXA42" s="1207"/>
      <c r="AXB42" s="1207"/>
      <c r="AXC42" s="1207"/>
      <c r="AXD42" s="1207"/>
      <c r="AXE42" s="1207"/>
      <c r="AXF42" s="1207"/>
      <c r="AXG42" s="1207"/>
      <c r="AXH42" s="1207"/>
      <c r="AXI42" s="1207"/>
      <c r="AXJ42" s="515"/>
      <c r="AXK42" s="1207"/>
      <c r="AXL42" s="1207"/>
      <c r="AXM42" s="1207"/>
      <c r="AXN42" s="1207"/>
      <c r="AXO42" s="1207"/>
      <c r="AXP42" s="1207"/>
      <c r="AXQ42" s="1207"/>
      <c r="AXR42" s="1207"/>
      <c r="AXS42" s="1207"/>
      <c r="AXT42" s="1207"/>
      <c r="AXU42" s="515"/>
      <c r="AXV42" s="1207"/>
      <c r="AXW42" s="1207"/>
      <c r="AXX42" s="1207"/>
      <c r="AXY42" s="1207"/>
      <c r="AXZ42" s="1207"/>
      <c r="AYA42" s="1207"/>
      <c r="AYB42" s="1207"/>
      <c r="AYC42" s="1207"/>
      <c r="AYD42" s="1207"/>
      <c r="AYE42" s="1207"/>
      <c r="AYF42" s="515"/>
      <c r="AYG42" s="1207"/>
      <c r="AYH42" s="1207"/>
      <c r="AYI42" s="1207"/>
      <c r="AYJ42" s="1207"/>
      <c r="AYK42" s="1207"/>
      <c r="AYL42" s="1207"/>
      <c r="AYM42" s="1207"/>
      <c r="AYN42" s="1207"/>
      <c r="AYO42" s="1207"/>
      <c r="AYP42" s="1207"/>
      <c r="AYQ42" s="515"/>
      <c r="AYR42" s="1207"/>
      <c r="AYS42" s="1207"/>
      <c r="AYT42" s="1207"/>
      <c r="AYU42" s="1207"/>
      <c r="AYV42" s="1207"/>
      <c r="AYW42" s="1207"/>
      <c r="AYX42" s="1207"/>
      <c r="AYY42" s="1207"/>
      <c r="AYZ42" s="1207"/>
      <c r="AZA42" s="1207"/>
      <c r="AZB42" s="515"/>
      <c r="AZC42" s="1207"/>
      <c r="AZD42" s="1207"/>
      <c r="AZE42" s="1207"/>
      <c r="AZF42" s="1207"/>
      <c r="AZG42" s="1207"/>
      <c r="AZH42" s="1207"/>
      <c r="AZI42" s="1207"/>
      <c r="AZJ42" s="1207"/>
      <c r="AZK42" s="1207"/>
      <c r="AZL42" s="1207"/>
      <c r="AZM42" s="515"/>
      <c r="AZN42" s="1207"/>
      <c r="AZO42" s="1207"/>
      <c r="AZP42" s="1207"/>
      <c r="AZQ42" s="1207"/>
      <c r="AZR42" s="1207"/>
      <c r="AZS42" s="1207"/>
      <c r="AZT42" s="1207"/>
      <c r="AZU42" s="1207"/>
      <c r="AZV42" s="1207"/>
      <c r="AZW42" s="1207"/>
      <c r="AZX42" s="515"/>
      <c r="AZY42" s="1207"/>
      <c r="AZZ42" s="1207"/>
      <c r="BAA42" s="1207"/>
      <c r="BAB42" s="1207"/>
      <c r="BAC42" s="1207"/>
      <c r="BAD42" s="1207"/>
      <c r="BAE42" s="1207"/>
      <c r="BAF42" s="1207"/>
      <c r="BAG42" s="1207"/>
      <c r="BAH42" s="1207"/>
      <c r="BAI42" s="515"/>
      <c r="BAJ42" s="1207"/>
      <c r="BAK42" s="1207"/>
      <c r="BAL42" s="1207"/>
      <c r="BAM42" s="1207"/>
      <c r="BAN42" s="1207"/>
      <c r="BAO42" s="1207"/>
      <c r="BAP42" s="1207"/>
      <c r="BAQ42" s="1207"/>
      <c r="BAR42" s="1207"/>
      <c r="BAS42" s="1207"/>
      <c r="BAT42" s="515"/>
      <c r="BAU42" s="1207"/>
      <c r="BAV42" s="1207"/>
      <c r="BAW42" s="1207"/>
      <c r="BAX42" s="1207"/>
      <c r="BAY42" s="1207"/>
      <c r="BAZ42" s="1207"/>
      <c r="BBA42" s="1207"/>
      <c r="BBB42" s="1207"/>
      <c r="BBC42" s="1207"/>
      <c r="BBD42" s="1207"/>
      <c r="BBE42" s="515"/>
      <c r="BBF42" s="1207"/>
      <c r="BBG42" s="1207"/>
      <c r="BBH42" s="1207"/>
      <c r="BBI42" s="1207"/>
      <c r="BBJ42" s="1207"/>
      <c r="BBK42" s="1207"/>
      <c r="BBL42" s="1207"/>
      <c r="BBM42" s="1207"/>
      <c r="BBN42" s="1207"/>
      <c r="BBO42" s="1207"/>
      <c r="BBP42" s="515"/>
      <c r="BBQ42" s="1207"/>
      <c r="BBR42" s="1207"/>
      <c r="BBS42" s="1207"/>
      <c r="BBT42" s="1207"/>
      <c r="BBU42" s="1207"/>
      <c r="BBV42" s="1207"/>
      <c r="BBW42" s="1207"/>
      <c r="BBX42" s="1207"/>
      <c r="BBY42" s="1207"/>
      <c r="BBZ42" s="1207"/>
      <c r="BCA42" s="515"/>
      <c r="BCB42" s="1207"/>
      <c r="BCC42" s="1207"/>
      <c r="BCD42" s="1207"/>
      <c r="BCE42" s="1207"/>
      <c r="BCF42" s="1207"/>
      <c r="BCG42" s="1207"/>
      <c r="BCH42" s="1207"/>
      <c r="BCI42" s="1207"/>
      <c r="BCJ42" s="1207"/>
      <c r="BCK42" s="1207"/>
      <c r="BCL42" s="515"/>
      <c r="BCM42" s="1207"/>
      <c r="BCN42" s="1207"/>
      <c r="BCO42" s="1207"/>
      <c r="BCP42" s="1207"/>
      <c r="BCQ42" s="1207"/>
      <c r="BCR42" s="1207"/>
      <c r="BCS42" s="1207"/>
      <c r="BCT42" s="1207"/>
      <c r="BCU42" s="1207"/>
      <c r="BCV42" s="1207"/>
      <c r="BCW42" s="515"/>
      <c r="BCX42" s="1207"/>
      <c r="BCY42" s="1207"/>
      <c r="BCZ42" s="1207"/>
      <c r="BDA42" s="1207"/>
      <c r="BDB42" s="1207"/>
      <c r="BDC42" s="1207"/>
      <c r="BDD42" s="1207"/>
      <c r="BDE42" s="1207"/>
      <c r="BDF42" s="1207"/>
      <c r="BDG42" s="1207"/>
      <c r="BDH42" s="515"/>
      <c r="BDI42" s="1207"/>
      <c r="BDJ42" s="1207"/>
      <c r="BDK42" s="1207"/>
      <c r="BDL42" s="1207"/>
      <c r="BDM42" s="1207"/>
      <c r="BDN42" s="1207"/>
      <c r="BDO42" s="1207"/>
      <c r="BDP42" s="1207"/>
      <c r="BDQ42" s="1207"/>
      <c r="BDR42" s="1207"/>
      <c r="BDS42" s="515"/>
      <c r="BDT42" s="1207"/>
      <c r="BDU42" s="1207"/>
      <c r="BDV42" s="1207"/>
      <c r="BDW42" s="1207"/>
      <c r="BDX42" s="1207"/>
      <c r="BDY42" s="1207"/>
      <c r="BDZ42" s="1207"/>
      <c r="BEA42" s="1207"/>
      <c r="BEB42" s="1207"/>
      <c r="BEC42" s="1207"/>
      <c r="BED42" s="515"/>
      <c r="BEE42" s="1207"/>
      <c r="BEF42" s="1207"/>
      <c r="BEG42" s="1207"/>
      <c r="BEH42" s="1207"/>
      <c r="BEI42" s="1207"/>
      <c r="BEJ42" s="1207"/>
      <c r="BEK42" s="1207"/>
      <c r="BEL42" s="1207"/>
      <c r="BEM42" s="1207"/>
      <c r="BEN42" s="1207"/>
      <c r="BEO42" s="515"/>
      <c r="BEP42" s="1207"/>
      <c r="BEQ42" s="1207"/>
      <c r="BER42" s="1207"/>
      <c r="BES42" s="1207"/>
      <c r="BET42" s="1207"/>
      <c r="BEU42" s="1207"/>
      <c r="BEV42" s="1207"/>
      <c r="BEW42" s="1207"/>
      <c r="BEX42" s="1207"/>
      <c r="BEY42" s="1207"/>
      <c r="BEZ42" s="515"/>
      <c r="BFA42" s="1207"/>
      <c r="BFB42" s="1207"/>
      <c r="BFC42" s="1207"/>
      <c r="BFD42" s="1207"/>
      <c r="BFE42" s="1207"/>
      <c r="BFF42" s="1207"/>
      <c r="BFG42" s="1207"/>
      <c r="BFH42" s="1207"/>
      <c r="BFI42" s="1207"/>
      <c r="BFJ42" s="1207"/>
      <c r="BFK42" s="515"/>
      <c r="BFL42" s="1207"/>
      <c r="BFM42" s="1207"/>
      <c r="BFN42" s="1207"/>
      <c r="BFO42" s="1207"/>
      <c r="BFP42" s="1207"/>
      <c r="BFQ42" s="1207"/>
      <c r="BFR42" s="1207"/>
      <c r="BFS42" s="1207"/>
      <c r="BFT42" s="1207"/>
      <c r="BFU42" s="1207"/>
      <c r="BFV42" s="515"/>
      <c r="BFW42" s="1207"/>
      <c r="BFX42" s="1207"/>
      <c r="BFY42" s="1207"/>
      <c r="BFZ42" s="1207"/>
      <c r="BGA42" s="1207"/>
      <c r="BGB42" s="1207"/>
      <c r="BGC42" s="1207"/>
      <c r="BGD42" s="1207"/>
      <c r="BGE42" s="1207"/>
      <c r="BGF42" s="1207"/>
      <c r="BGG42" s="515"/>
      <c r="BGH42" s="1207"/>
      <c r="BGI42" s="1207"/>
      <c r="BGJ42" s="1207"/>
      <c r="BGK42" s="1207"/>
      <c r="BGL42" s="1207"/>
      <c r="BGM42" s="1207"/>
      <c r="BGN42" s="1207"/>
      <c r="BGO42" s="1207"/>
      <c r="BGP42" s="1207"/>
      <c r="BGQ42" s="1207"/>
      <c r="BGR42" s="515"/>
      <c r="BGS42" s="1207"/>
      <c r="BGT42" s="1207"/>
      <c r="BGU42" s="1207"/>
      <c r="BGV42" s="1207"/>
      <c r="BGW42" s="1207"/>
      <c r="BGX42" s="1207"/>
      <c r="BGY42" s="1207"/>
      <c r="BGZ42" s="1207"/>
      <c r="BHA42" s="1207"/>
      <c r="BHB42" s="1207"/>
      <c r="BHC42" s="515"/>
      <c r="BHD42" s="1207"/>
      <c r="BHE42" s="1207"/>
      <c r="BHF42" s="1207"/>
      <c r="BHG42" s="1207"/>
      <c r="BHH42" s="1207"/>
      <c r="BHI42" s="1207"/>
      <c r="BHJ42" s="1207"/>
      <c r="BHK42" s="1207"/>
      <c r="BHL42" s="1207"/>
      <c r="BHM42" s="1207"/>
      <c r="BHN42" s="515"/>
      <c r="BHO42" s="1207"/>
      <c r="BHP42" s="1207"/>
      <c r="BHQ42" s="1207"/>
      <c r="BHR42" s="1207"/>
      <c r="BHS42" s="1207"/>
      <c r="BHT42" s="1207"/>
      <c r="BHU42" s="1207"/>
      <c r="BHV42" s="1207"/>
      <c r="BHW42" s="1207"/>
      <c r="BHX42" s="1207"/>
      <c r="BHY42" s="515"/>
      <c r="BHZ42" s="1207"/>
      <c r="BIA42" s="1207"/>
      <c r="BIB42" s="1207"/>
      <c r="BIC42" s="1207"/>
      <c r="BID42" s="1207"/>
      <c r="BIE42" s="1207"/>
      <c r="BIF42" s="1207"/>
      <c r="BIG42" s="1207"/>
      <c r="BIH42" s="1207"/>
      <c r="BII42" s="1207"/>
      <c r="BIJ42" s="515"/>
      <c r="BIK42" s="1207"/>
      <c r="BIL42" s="1207"/>
      <c r="BIM42" s="1207"/>
      <c r="BIN42" s="1207"/>
      <c r="BIO42" s="1207"/>
      <c r="BIP42" s="1207"/>
      <c r="BIQ42" s="1207"/>
      <c r="BIR42" s="1207"/>
      <c r="BIS42" s="1207"/>
      <c r="BIT42" s="1207"/>
      <c r="BIU42" s="515"/>
      <c r="BIV42" s="1207"/>
      <c r="BIW42" s="1207"/>
      <c r="BIX42" s="1207"/>
      <c r="BIY42" s="1207"/>
      <c r="BIZ42" s="1207"/>
      <c r="BJA42" s="1207"/>
      <c r="BJB42" s="1207"/>
      <c r="BJC42" s="1207"/>
      <c r="BJD42" s="1207"/>
      <c r="BJE42" s="1207"/>
      <c r="BJF42" s="515"/>
      <c r="BJG42" s="1207"/>
      <c r="BJH42" s="1207"/>
      <c r="BJI42" s="1207"/>
      <c r="BJJ42" s="1207"/>
      <c r="BJK42" s="1207"/>
      <c r="BJL42" s="1207"/>
      <c r="BJM42" s="1207"/>
      <c r="BJN42" s="1207"/>
      <c r="BJO42" s="1207"/>
      <c r="BJP42" s="1207"/>
      <c r="BJQ42" s="515"/>
      <c r="BJR42" s="1207"/>
      <c r="BJS42" s="1207"/>
      <c r="BJT42" s="1207"/>
      <c r="BJU42" s="1207"/>
      <c r="BJV42" s="1207"/>
      <c r="BJW42" s="1207"/>
      <c r="BJX42" s="1207"/>
      <c r="BJY42" s="1207"/>
      <c r="BJZ42" s="1207"/>
      <c r="BKA42" s="1207"/>
      <c r="BKB42" s="515"/>
      <c r="BKC42" s="1207"/>
      <c r="BKD42" s="1207"/>
      <c r="BKE42" s="1207"/>
      <c r="BKF42" s="1207"/>
      <c r="BKG42" s="1207"/>
      <c r="BKH42" s="1207"/>
      <c r="BKI42" s="1207"/>
      <c r="BKJ42" s="1207"/>
      <c r="BKK42" s="1207"/>
      <c r="BKL42" s="1207"/>
      <c r="BKM42" s="515"/>
      <c r="BKN42" s="1207"/>
      <c r="BKO42" s="1207"/>
      <c r="BKP42" s="1207"/>
      <c r="BKQ42" s="1207"/>
      <c r="BKR42" s="1207"/>
      <c r="BKS42" s="1207"/>
      <c r="BKT42" s="1207"/>
      <c r="BKU42" s="1207"/>
      <c r="BKV42" s="1207"/>
      <c r="BKW42" s="1207"/>
      <c r="BKX42" s="515"/>
      <c r="BKY42" s="1207"/>
      <c r="BKZ42" s="1207"/>
      <c r="BLA42" s="1207"/>
      <c r="BLB42" s="1207"/>
      <c r="BLC42" s="1207"/>
      <c r="BLD42" s="1207"/>
      <c r="BLE42" s="1207"/>
      <c r="BLF42" s="1207"/>
      <c r="BLG42" s="1207"/>
      <c r="BLH42" s="1207"/>
      <c r="BLI42" s="515"/>
      <c r="BLJ42" s="1207"/>
      <c r="BLK42" s="1207"/>
      <c r="BLL42" s="1207"/>
      <c r="BLM42" s="1207"/>
      <c r="BLN42" s="1207"/>
      <c r="BLO42" s="1207"/>
      <c r="BLP42" s="1207"/>
      <c r="BLQ42" s="1207"/>
      <c r="BLR42" s="1207"/>
      <c r="BLS42" s="1207"/>
      <c r="BLT42" s="515"/>
      <c r="BLU42" s="1207"/>
      <c r="BLV42" s="1207"/>
      <c r="BLW42" s="1207"/>
      <c r="BLX42" s="1207"/>
      <c r="BLY42" s="1207"/>
      <c r="BLZ42" s="1207"/>
      <c r="BMA42" s="1207"/>
      <c r="BMB42" s="1207"/>
      <c r="BMC42" s="1207"/>
      <c r="BMD42" s="1207"/>
      <c r="BME42" s="515"/>
      <c r="BMF42" s="1207"/>
      <c r="BMG42" s="1207"/>
      <c r="BMH42" s="1207"/>
      <c r="BMI42" s="1207"/>
      <c r="BMJ42" s="1207"/>
      <c r="BMK42" s="1207"/>
      <c r="BML42" s="1207"/>
      <c r="BMM42" s="1207"/>
      <c r="BMN42" s="1207"/>
      <c r="BMO42" s="1207"/>
      <c r="BMP42" s="515"/>
      <c r="BMQ42" s="1207"/>
      <c r="BMR42" s="1207"/>
      <c r="BMS42" s="1207"/>
      <c r="BMT42" s="1207"/>
      <c r="BMU42" s="1207"/>
      <c r="BMV42" s="1207"/>
      <c r="BMW42" s="1207"/>
      <c r="BMX42" s="1207"/>
      <c r="BMY42" s="1207"/>
      <c r="BMZ42" s="1207"/>
      <c r="BNA42" s="515"/>
      <c r="BNB42" s="1207"/>
      <c r="BNC42" s="1207"/>
      <c r="BND42" s="1207"/>
      <c r="BNE42" s="1207"/>
      <c r="BNF42" s="1207"/>
      <c r="BNG42" s="1207"/>
      <c r="BNH42" s="1207"/>
      <c r="BNI42" s="1207"/>
      <c r="BNJ42" s="1207"/>
      <c r="BNK42" s="1207"/>
      <c r="BNL42" s="515"/>
      <c r="BNM42" s="1207"/>
      <c r="BNN42" s="1207"/>
      <c r="BNO42" s="1207"/>
      <c r="BNP42" s="1207"/>
      <c r="BNQ42" s="1207"/>
      <c r="BNR42" s="1207"/>
      <c r="BNS42" s="1207"/>
      <c r="BNT42" s="1207"/>
      <c r="BNU42" s="1207"/>
      <c r="BNV42" s="1207"/>
      <c r="BNW42" s="515"/>
      <c r="BNX42" s="1207"/>
      <c r="BNY42" s="1207"/>
      <c r="BNZ42" s="1207"/>
      <c r="BOA42" s="1207"/>
      <c r="BOB42" s="1207"/>
      <c r="BOC42" s="1207"/>
      <c r="BOD42" s="1207"/>
      <c r="BOE42" s="1207"/>
      <c r="BOF42" s="1207"/>
      <c r="BOG42" s="1207"/>
      <c r="BOH42" s="515"/>
      <c r="BOI42" s="1207"/>
      <c r="BOJ42" s="1207"/>
      <c r="BOK42" s="1207"/>
      <c r="BOL42" s="1207"/>
      <c r="BOM42" s="1207"/>
      <c r="BON42" s="1207"/>
      <c r="BOO42" s="1207"/>
      <c r="BOP42" s="1207"/>
      <c r="BOQ42" s="1207"/>
      <c r="BOR42" s="1207"/>
      <c r="BOS42" s="515"/>
      <c r="BOT42" s="1207"/>
      <c r="BOU42" s="1207"/>
      <c r="BOV42" s="1207"/>
      <c r="BOW42" s="1207"/>
      <c r="BOX42" s="1207"/>
      <c r="BOY42" s="1207"/>
      <c r="BOZ42" s="1207"/>
      <c r="BPA42" s="1207"/>
      <c r="BPB42" s="1207"/>
      <c r="BPC42" s="1207"/>
      <c r="BPD42" s="515"/>
      <c r="BPE42" s="1207"/>
      <c r="BPF42" s="1207"/>
      <c r="BPG42" s="1207"/>
      <c r="BPH42" s="1207"/>
      <c r="BPI42" s="1207"/>
      <c r="BPJ42" s="1207"/>
      <c r="BPK42" s="1207"/>
      <c r="BPL42" s="1207"/>
      <c r="BPM42" s="1207"/>
      <c r="BPN42" s="1207"/>
      <c r="BPO42" s="515"/>
      <c r="BPP42" s="1207"/>
      <c r="BPQ42" s="1207"/>
      <c r="BPR42" s="1207"/>
      <c r="BPS42" s="1207"/>
      <c r="BPT42" s="1207"/>
      <c r="BPU42" s="1207"/>
      <c r="BPV42" s="1207"/>
      <c r="BPW42" s="1207"/>
      <c r="BPX42" s="1207"/>
      <c r="BPY42" s="1207"/>
      <c r="BPZ42" s="515"/>
      <c r="BQA42" s="1207"/>
      <c r="BQB42" s="1207"/>
      <c r="BQC42" s="1207"/>
      <c r="BQD42" s="1207"/>
      <c r="BQE42" s="1207"/>
      <c r="BQF42" s="1207"/>
      <c r="BQG42" s="1207"/>
      <c r="BQH42" s="1207"/>
      <c r="BQI42" s="1207"/>
      <c r="BQJ42" s="1207"/>
      <c r="BQK42" s="515"/>
      <c r="BQL42" s="1207"/>
      <c r="BQM42" s="1207"/>
      <c r="BQN42" s="1207"/>
      <c r="BQO42" s="1207"/>
      <c r="BQP42" s="1207"/>
      <c r="BQQ42" s="1207"/>
      <c r="BQR42" s="1207"/>
      <c r="BQS42" s="1207"/>
      <c r="BQT42" s="1207"/>
      <c r="BQU42" s="1207"/>
      <c r="BQV42" s="515"/>
      <c r="BQW42" s="1207"/>
      <c r="BQX42" s="1207"/>
      <c r="BQY42" s="1207"/>
      <c r="BQZ42" s="1207"/>
      <c r="BRA42" s="1207"/>
      <c r="BRB42" s="1207"/>
      <c r="BRC42" s="1207"/>
      <c r="BRD42" s="1207"/>
      <c r="BRE42" s="1207"/>
      <c r="BRF42" s="1207"/>
      <c r="BRG42" s="515"/>
      <c r="BRH42" s="1207"/>
      <c r="BRI42" s="1207"/>
      <c r="BRJ42" s="1207"/>
      <c r="BRK42" s="1207"/>
      <c r="BRL42" s="1207"/>
      <c r="BRM42" s="1207"/>
      <c r="BRN42" s="1207"/>
      <c r="BRO42" s="1207"/>
      <c r="BRP42" s="1207"/>
      <c r="BRQ42" s="1207"/>
      <c r="BRR42" s="515"/>
      <c r="BRS42" s="1207"/>
      <c r="BRT42" s="1207"/>
      <c r="BRU42" s="1207"/>
      <c r="BRV42" s="1207"/>
      <c r="BRW42" s="1207"/>
      <c r="BRX42" s="1207"/>
      <c r="BRY42" s="1207"/>
      <c r="BRZ42" s="1207"/>
      <c r="BSA42" s="1207"/>
      <c r="BSB42" s="1207"/>
      <c r="BSC42" s="515"/>
      <c r="BSD42" s="1207"/>
      <c r="BSE42" s="1207"/>
      <c r="BSF42" s="1207"/>
      <c r="BSG42" s="1207"/>
      <c r="BSH42" s="1207"/>
      <c r="BSI42" s="1207"/>
      <c r="BSJ42" s="1207"/>
      <c r="BSK42" s="1207"/>
      <c r="BSL42" s="1207"/>
      <c r="BSM42" s="1207"/>
      <c r="BSN42" s="515"/>
      <c r="BSO42" s="1207"/>
      <c r="BSP42" s="1207"/>
      <c r="BSQ42" s="1207"/>
      <c r="BSR42" s="1207"/>
      <c r="BSS42" s="1207"/>
      <c r="BST42" s="1207"/>
      <c r="BSU42" s="1207"/>
      <c r="BSV42" s="1207"/>
      <c r="BSW42" s="1207"/>
      <c r="BSX42" s="1207"/>
      <c r="BSY42" s="515"/>
      <c r="BSZ42" s="1207"/>
      <c r="BTA42" s="1207"/>
      <c r="BTB42" s="1207"/>
      <c r="BTC42" s="1207"/>
      <c r="BTD42" s="1207"/>
      <c r="BTE42" s="1207"/>
      <c r="BTF42" s="1207"/>
      <c r="BTG42" s="1207"/>
      <c r="BTH42" s="1207"/>
      <c r="BTI42" s="1207"/>
      <c r="BTJ42" s="515"/>
      <c r="BTK42" s="1207"/>
      <c r="BTL42" s="1207"/>
      <c r="BTM42" s="1207"/>
      <c r="BTN42" s="1207"/>
      <c r="BTO42" s="1207"/>
      <c r="BTP42" s="1207"/>
      <c r="BTQ42" s="1207"/>
      <c r="BTR42" s="1207"/>
      <c r="BTS42" s="1207"/>
      <c r="BTT42" s="1207"/>
      <c r="BTU42" s="515"/>
      <c r="BTV42" s="1207"/>
      <c r="BTW42" s="1207"/>
      <c r="BTX42" s="1207"/>
      <c r="BTY42" s="1207"/>
      <c r="BTZ42" s="1207"/>
      <c r="BUA42" s="1207"/>
      <c r="BUB42" s="1207"/>
      <c r="BUC42" s="1207"/>
      <c r="BUD42" s="1207"/>
      <c r="BUE42" s="1207"/>
      <c r="BUF42" s="515"/>
      <c r="BUG42" s="1207"/>
      <c r="BUH42" s="1207"/>
      <c r="BUI42" s="1207"/>
      <c r="BUJ42" s="1207"/>
      <c r="BUK42" s="1207"/>
      <c r="BUL42" s="1207"/>
      <c r="BUM42" s="1207"/>
      <c r="BUN42" s="1207"/>
      <c r="BUO42" s="1207"/>
      <c r="BUP42" s="1207"/>
      <c r="BUQ42" s="515"/>
      <c r="BUR42" s="1207"/>
      <c r="BUS42" s="1207"/>
      <c r="BUT42" s="1207"/>
      <c r="BUU42" s="1207"/>
      <c r="BUV42" s="1207"/>
      <c r="BUW42" s="1207"/>
      <c r="BUX42" s="1207"/>
      <c r="BUY42" s="1207"/>
      <c r="BUZ42" s="1207"/>
      <c r="BVA42" s="1207"/>
      <c r="BVB42" s="515"/>
      <c r="BVC42" s="1207"/>
      <c r="BVD42" s="1207"/>
      <c r="BVE42" s="1207"/>
      <c r="BVF42" s="1207"/>
      <c r="BVG42" s="1207"/>
      <c r="BVH42" s="1207"/>
      <c r="BVI42" s="1207"/>
      <c r="BVJ42" s="1207"/>
      <c r="BVK42" s="1207"/>
      <c r="BVL42" s="1207"/>
      <c r="BVM42" s="515"/>
      <c r="BVN42" s="1207"/>
      <c r="BVO42" s="1207"/>
      <c r="BVP42" s="1207"/>
      <c r="BVQ42" s="1207"/>
      <c r="BVR42" s="1207"/>
      <c r="BVS42" s="1207"/>
      <c r="BVT42" s="1207"/>
      <c r="BVU42" s="1207"/>
      <c r="BVV42" s="1207"/>
      <c r="BVW42" s="1207"/>
      <c r="BVX42" s="515"/>
      <c r="BVY42" s="1207"/>
      <c r="BVZ42" s="1207"/>
      <c r="BWA42" s="1207"/>
      <c r="BWB42" s="1207"/>
      <c r="BWC42" s="1207"/>
      <c r="BWD42" s="1207"/>
      <c r="BWE42" s="1207"/>
      <c r="BWF42" s="1207"/>
      <c r="BWG42" s="1207"/>
      <c r="BWH42" s="1207"/>
      <c r="BWI42" s="515"/>
      <c r="BWJ42" s="1207"/>
      <c r="BWK42" s="1207"/>
      <c r="BWL42" s="1207"/>
      <c r="BWM42" s="1207"/>
      <c r="BWN42" s="1207"/>
      <c r="BWO42" s="1207"/>
      <c r="BWP42" s="1207"/>
      <c r="BWQ42" s="1207"/>
      <c r="BWR42" s="1207"/>
      <c r="BWS42" s="1207"/>
      <c r="BWT42" s="515"/>
      <c r="BWU42" s="1207"/>
      <c r="BWV42" s="1207"/>
      <c r="BWW42" s="1207"/>
      <c r="BWX42" s="1207"/>
      <c r="BWY42" s="1207"/>
      <c r="BWZ42" s="1207"/>
      <c r="BXA42" s="1207"/>
      <c r="BXB42" s="1207"/>
      <c r="BXC42" s="1207"/>
      <c r="BXD42" s="1207"/>
      <c r="BXE42" s="515"/>
      <c r="BXF42" s="1207"/>
      <c r="BXG42" s="1207"/>
      <c r="BXH42" s="1207"/>
      <c r="BXI42" s="1207"/>
      <c r="BXJ42" s="1207"/>
      <c r="BXK42" s="1207"/>
      <c r="BXL42" s="1207"/>
      <c r="BXM42" s="1207"/>
      <c r="BXN42" s="1207"/>
      <c r="BXO42" s="1207"/>
      <c r="BXP42" s="515"/>
      <c r="BXQ42" s="1207"/>
      <c r="BXR42" s="1207"/>
      <c r="BXS42" s="1207"/>
      <c r="BXT42" s="1207"/>
      <c r="BXU42" s="1207"/>
      <c r="BXV42" s="1207"/>
      <c r="BXW42" s="1207"/>
      <c r="BXX42" s="1207"/>
      <c r="BXY42" s="1207"/>
      <c r="BXZ42" s="1207"/>
      <c r="BYA42" s="515"/>
      <c r="BYB42" s="1207"/>
      <c r="BYC42" s="1207"/>
      <c r="BYD42" s="1207"/>
      <c r="BYE42" s="1207"/>
      <c r="BYF42" s="1207"/>
      <c r="BYG42" s="1207"/>
      <c r="BYH42" s="1207"/>
      <c r="BYI42" s="1207"/>
      <c r="BYJ42" s="1207"/>
      <c r="BYK42" s="1207"/>
      <c r="BYL42" s="515"/>
      <c r="BYM42" s="1207"/>
      <c r="BYN42" s="1207"/>
      <c r="BYO42" s="1207"/>
      <c r="BYP42" s="1207"/>
      <c r="BYQ42" s="1207"/>
      <c r="BYR42" s="1207"/>
      <c r="BYS42" s="1207"/>
      <c r="BYT42" s="1207"/>
      <c r="BYU42" s="1207"/>
      <c r="BYV42" s="1207"/>
      <c r="BYW42" s="515"/>
      <c r="BYX42" s="1207"/>
      <c r="BYY42" s="1207"/>
      <c r="BYZ42" s="1207"/>
      <c r="BZA42" s="1207"/>
      <c r="BZB42" s="1207"/>
      <c r="BZC42" s="1207"/>
      <c r="BZD42" s="1207"/>
      <c r="BZE42" s="1207"/>
      <c r="BZF42" s="1207"/>
      <c r="BZG42" s="1207"/>
      <c r="BZH42" s="515"/>
      <c r="BZI42" s="1207"/>
      <c r="BZJ42" s="1207"/>
      <c r="BZK42" s="1207"/>
      <c r="BZL42" s="1207"/>
      <c r="BZM42" s="1207"/>
      <c r="BZN42" s="1207"/>
      <c r="BZO42" s="1207"/>
      <c r="BZP42" s="1207"/>
      <c r="BZQ42" s="1207"/>
      <c r="BZR42" s="1207"/>
      <c r="BZS42" s="515"/>
      <c r="BZT42" s="1207"/>
      <c r="BZU42" s="1207"/>
      <c r="BZV42" s="1207"/>
      <c r="BZW42" s="1207"/>
      <c r="BZX42" s="1207"/>
      <c r="BZY42" s="1207"/>
      <c r="BZZ42" s="1207"/>
      <c r="CAA42" s="1207"/>
      <c r="CAB42" s="1207"/>
      <c r="CAC42" s="1207"/>
      <c r="CAD42" s="515"/>
      <c r="CAE42" s="1207"/>
      <c r="CAF42" s="1207"/>
      <c r="CAG42" s="1207"/>
      <c r="CAH42" s="1207"/>
      <c r="CAI42" s="1207"/>
      <c r="CAJ42" s="1207"/>
      <c r="CAK42" s="1207"/>
      <c r="CAL42" s="1207"/>
      <c r="CAM42" s="1207"/>
      <c r="CAN42" s="1207"/>
      <c r="CAO42" s="515"/>
      <c r="CAP42" s="1207"/>
      <c r="CAQ42" s="1207"/>
      <c r="CAR42" s="1207"/>
      <c r="CAS42" s="1207"/>
      <c r="CAT42" s="1207"/>
      <c r="CAU42" s="1207"/>
      <c r="CAV42" s="1207"/>
      <c r="CAW42" s="1207"/>
      <c r="CAX42" s="1207"/>
      <c r="CAY42" s="1207"/>
      <c r="CAZ42" s="515"/>
      <c r="CBA42" s="1207"/>
      <c r="CBB42" s="1207"/>
      <c r="CBC42" s="1207"/>
      <c r="CBD42" s="1207"/>
      <c r="CBE42" s="1207"/>
      <c r="CBF42" s="1207"/>
      <c r="CBG42" s="1207"/>
      <c r="CBH42" s="1207"/>
      <c r="CBI42" s="1207"/>
      <c r="CBJ42" s="1207"/>
      <c r="CBK42" s="515"/>
      <c r="CBL42" s="1207"/>
      <c r="CBM42" s="1207"/>
      <c r="CBN42" s="1207"/>
      <c r="CBO42" s="1207"/>
      <c r="CBP42" s="1207"/>
      <c r="CBQ42" s="1207"/>
      <c r="CBR42" s="1207"/>
      <c r="CBS42" s="1207"/>
      <c r="CBT42" s="1207"/>
      <c r="CBU42" s="1207"/>
      <c r="CBV42" s="515"/>
      <c r="CBW42" s="1207"/>
      <c r="CBX42" s="1207"/>
      <c r="CBY42" s="1207"/>
      <c r="CBZ42" s="1207"/>
      <c r="CCA42" s="1207"/>
      <c r="CCB42" s="1207"/>
      <c r="CCC42" s="1207"/>
      <c r="CCD42" s="1207"/>
      <c r="CCE42" s="1207"/>
      <c r="CCF42" s="1207"/>
      <c r="CCG42" s="515"/>
      <c r="CCH42" s="1207"/>
      <c r="CCI42" s="1207"/>
      <c r="CCJ42" s="1207"/>
      <c r="CCK42" s="1207"/>
      <c r="CCL42" s="1207"/>
      <c r="CCM42" s="1207"/>
      <c r="CCN42" s="1207"/>
      <c r="CCO42" s="1207"/>
      <c r="CCP42" s="1207"/>
      <c r="CCQ42" s="1207"/>
      <c r="CCR42" s="515"/>
      <c r="CCS42" s="1207"/>
      <c r="CCT42" s="1207"/>
      <c r="CCU42" s="1207"/>
      <c r="CCV42" s="1207"/>
      <c r="CCW42" s="1207"/>
      <c r="CCX42" s="1207"/>
      <c r="CCY42" s="1207"/>
      <c r="CCZ42" s="1207"/>
      <c r="CDA42" s="1207"/>
      <c r="CDB42" s="1207"/>
      <c r="CDC42" s="515"/>
      <c r="CDD42" s="1207"/>
      <c r="CDE42" s="1207"/>
      <c r="CDF42" s="1207"/>
      <c r="CDG42" s="1207"/>
      <c r="CDH42" s="1207"/>
      <c r="CDI42" s="1207"/>
      <c r="CDJ42" s="1207"/>
      <c r="CDK42" s="1207"/>
      <c r="CDL42" s="1207"/>
      <c r="CDM42" s="1207"/>
      <c r="CDN42" s="515"/>
      <c r="CDO42" s="1207"/>
      <c r="CDP42" s="1207"/>
      <c r="CDQ42" s="1207"/>
      <c r="CDR42" s="1207"/>
      <c r="CDS42" s="1207"/>
      <c r="CDT42" s="1207"/>
      <c r="CDU42" s="1207"/>
      <c r="CDV42" s="1207"/>
      <c r="CDW42" s="1207"/>
      <c r="CDX42" s="1207"/>
      <c r="CDY42" s="515"/>
      <c r="CDZ42" s="1207"/>
      <c r="CEA42" s="1207"/>
      <c r="CEB42" s="1207"/>
      <c r="CEC42" s="1207"/>
      <c r="CED42" s="1207"/>
      <c r="CEE42" s="1207"/>
      <c r="CEF42" s="1207"/>
      <c r="CEG42" s="1207"/>
      <c r="CEH42" s="1207"/>
      <c r="CEI42" s="1207"/>
      <c r="CEJ42" s="515"/>
      <c r="CEK42" s="1207"/>
      <c r="CEL42" s="1207"/>
      <c r="CEM42" s="1207"/>
      <c r="CEN42" s="1207"/>
      <c r="CEO42" s="1207"/>
      <c r="CEP42" s="1207"/>
      <c r="CEQ42" s="1207"/>
      <c r="CER42" s="1207"/>
      <c r="CES42" s="1207"/>
      <c r="CET42" s="1207"/>
      <c r="CEU42" s="515"/>
      <c r="CEV42" s="1207"/>
      <c r="CEW42" s="1207"/>
      <c r="CEX42" s="1207"/>
      <c r="CEY42" s="1207"/>
      <c r="CEZ42" s="1207"/>
      <c r="CFA42" s="1207"/>
      <c r="CFB42" s="1207"/>
      <c r="CFC42" s="1207"/>
      <c r="CFD42" s="1207"/>
      <c r="CFE42" s="1207"/>
      <c r="CFF42" s="515"/>
      <c r="CFG42" s="1207"/>
      <c r="CFH42" s="1207"/>
      <c r="CFI42" s="1207"/>
      <c r="CFJ42" s="1207"/>
      <c r="CFK42" s="1207"/>
      <c r="CFL42" s="1207"/>
      <c r="CFM42" s="1207"/>
      <c r="CFN42" s="1207"/>
      <c r="CFO42" s="1207"/>
      <c r="CFP42" s="1207"/>
      <c r="CFQ42" s="515"/>
      <c r="CFR42" s="1207"/>
      <c r="CFS42" s="1207"/>
      <c r="CFT42" s="1207"/>
      <c r="CFU42" s="1207"/>
      <c r="CFV42" s="1207"/>
      <c r="CFW42" s="1207"/>
      <c r="CFX42" s="1207"/>
      <c r="CFY42" s="1207"/>
      <c r="CFZ42" s="1207"/>
      <c r="CGA42" s="1207"/>
      <c r="CGB42" s="515"/>
      <c r="CGC42" s="1207"/>
      <c r="CGD42" s="1207"/>
      <c r="CGE42" s="1207"/>
      <c r="CGF42" s="1207"/>
      <c r="CGG42" s="1207"/>
      <c r="CGH42" s="1207"/>
      <c r="CGI42" s="1207"/>
      <c r="CGJ42" s="1207"/>
      <c r="CGK42" s="1207"/>
      <c r="CGL42" s="1207"/>
      <c r="CGM42" s="515"/>
      <c r="CGN42" s="1207"/>
      <c r="CGO42" s="1207"/>
      <c r="CGP42" s="1207"/>
      <c r="CGQ42" s="1207"/>
      <c r="CGR42" s="1207"/>
      <c r="CGS42" s="1207"/>
      <c r="CGT42" s="1207"/>
      <c r="CGU42" s="1207"/>
      <c r="CGV42" s="1207"/>
      <c r="CGW42" s="1207"/>
      <c r="CGX42" s="515"/>
      <c r="CGY42" s="1207"/>
      <c r="CGZ42" s="1207"/>
      <c r="CHA42" s="1207"/>
      <c r="CHB42" s="1207"/>
      <c r="CHC42" s="1207"/>
      <c r="CHD42" s="1207"/>
      <c r="CHE42" s="1207"/>
      <c r="CHF42" s="1207"/>
      <c r="CHG42" s="1207"/>
      <c r="CHH42" s="1207"/>
      <c r="CHI42" s="515"/>
      <c r="CHJ42" s="1207"/>
      <c r="CHK42" s="1207"/>
      <c r="CHL42" s="1207"/>
      <c r="CHM42" s="1207"/>
      <c r="CHN42" s="1207"/>
      <c r="CHO42" s="1207"/>
      <c r="CHP42" s="1207"/>
      <c r="CHQ42" s="1207"/>
      <c r="CHR42" s="1207"/>
      <c r="CHS42" s="1207"/>
      <c r="CHT42" s="515"/>
      <c r="CHU42" s="1207"/>
      <c r="CHV42" s="1207"/>
      <c r="CHW42" s="1207"/>
      <c r="CHX42" s="1207"/>
      <c r="CHY42" s="1207"/>
      <c r="CHZ42" s="1207"/>
      <c r="CIA42" s="1207"/>
      <c r="CIB42" s="1207"/>
      <c r="CIC42" s="1207"/>
      <c r="CID42" s="1207"/>
      <c r="CIE42" s="515"/>
      <c r="CIF42" s="1207"/>
      <c r="CIG42" s="1207"/>
      <c r="CIH42" s="1207"/>
      <c r="CII42" s="1207"/>
      <c r="CIJ42" s="1207"/>
      <c r="CIK42" s="1207"/>
      <c r="CIL42" s="1207"/>
      <c r="CIM42" s="1207"/>
      <c r="CIN42" s="1207"/>
      <c r="CIO42" s="1207"/>
      <c r="CIP42" s="515"/>
      <c r="CIQ42" s="1207"/>
      <c r="CIR42" s="1207"/>
      <c r="CIS42" s="1207"/>
      <c r="CIT42" s="1207"/>
      <c r="CIU42" s="1207"/>
      <c r="CIV42" s="1207"/>
      <c r="CIW42" s="1207"/>
      <c r="CIX42" s="1207"/>
      <c r="CIY42" s="1207"/>
      <c r="CIZ42" s="1207"/>
      <c r="CJA42" s="515"/>
      <c r="CJB42" s="1207"/>
      <c r="CJC42" s="1207"/>
      <c r="CJD42" s="1207"/>
      <c r="CJE42" s="1207"/>
      <c r="CJF42" s="1207"/>
      <c r="CJG42" s="1207"/>
      <c r="CJH42" s="1207"/>
      <c r="CJI42" s="1207"/>
      <c r="CJJ42" s="1207"/>
      <c r="CJK42" s="1207"/>
      <c r="CJL42" s="515"/>
      <c r="CJM42" s="1207"/>
      <c r="CJN42" s="1207"/>
      <c r="CJO42" s="1207"/>
      <c r="CJP42" s="1207"/>
      <c r="CJQ42" s="1207"/>
      <c r="CJR42" s="1207"/>
      <c r="CJS42" s="1207"/>
      <c r="CJT42" s="1207"/>
      <c r="CJU42" s="1207"/>
      <c r="CJV42" s="1207"/>
      <c r="CJW42" s="515"/>
      <c r="CJX42" s="1207"/>
      <c r="CJY42" s="1207"/>
      <c r="CJZ42" s="1207"/>
      <c r="CKA42" s="1207"/>
      <c r="CKB42" s="1207"/>
      <c r="CKC42" s="1207"/>
      <c r="CKD42" s="1207"/>
      <c r="CKE42" s="1207"/>
      <c r="CKF42" s="1207"/>
      <c r="CKG42" s="1207"/>
      <c r="CKH42" s="515"/>
      <c r="CKI42" s="1207"/>
      <c r="CKJ42" s="1207"/>
      <c r="CKK42" s="1207"/>
      <c r="CKL42" s="1207"/>
      <c r="CKM42" s="1207"/>
      <c r="CKN42" s="1207"/>
      <c r="CKO42" s="1207"/>
      <c r="CKP42" s="1207"/>
      <c r="CKQ42" s="1207"/>
      <c r="CKR42" s="1207"/>
      <c r="CKS42" s="515"/>
      <c r="CKT42" s="1207"/>
      <c r="CKU42" s="1207"/>
      <c r="CKV42" s="1207"/>
      <c r="CKW42" s="1207"/>
      <c r="CKX42" s="1207"/>
      <c r="CKY42" s="1207"/>
      <c r="CKZ42" s="1207"/>
      <c r="CLA42" s="1207"/>
      <c r="CLB42" s="1207"/>
      <c r="CLC42" s="1207"/>
      <c r="CLD42" s="515"/>
      <c r="CLE42" s="1207"/>
      <c r="CLF42" s="1207"/>
      <c r="CLG42" s="1207"/>
      <c r="CLH42" s="1207"/>
      <c r="CLI42" s="1207"/>
      <c r="CLJ42" s="1207"/>
      <c r="CLK42" s="1207"/>
      <c r="CLL42" s="1207"/>
      <c r="CLM42" s="1207"/>
      <c r="CLN42" s="1207"/>
      <c r="CLO42" s="515"/>
      <c r="CLP42" s="1207"/>
      <c r="CLQ42" s="1207"/>
      <c r="CLR42" s="1207"/>
      <c r="CLS42" s="1207"/>
      <c r="CLT42" s="1207"/>
      <c r="CLU42" s="1207"/>
      <c r="CLV42" s="1207"/>
      <c r="CLW42" s="1207"/>
      <c r="CLX42" s="1207"/>
      <c r="CLY42" s="1207"/>
      <c r="CLZ42" s="515"/>
      <c r="CMA42" s="1207"/>
      <c r="CMB42" s="1207"/>
      <c r="CMC42" s="1207"/>
      <c r="CMD42" s="1207"/>
      <c r="CME42" s="1207"/>
      <c r="CMF42" s="1207"/>
      <c r="CMG42" s="1207"/>
      <c r="CMH42" s="1207"/>
      <c r="CMI42" s="1207"/>
      <c r="CMJ42" s="1207"/>
      <c r="CMK42" s="515"/>
      <c r="CML42" s="1207"/>
      <c r="CMM42" s="1207"/>
      <c r="CMN42" s="1207"/>
      <c r="CMO42" s="1207"/>
      <c r="CMP42" s="1207"/>
      <c r="CMQ42" s="1207"/>
      <c r="CMR42" s="1207"/>
      <c r="CMS42" s="1207"/>
      <c r="CMT42" s="1207"/>
      <c r="CMU42" s="1207"/>
      <c r="CMV42" s="515"/>
      <c r="CMW42" s="1207"/>
      <c r="CMX42" s="1207"/>
      <c r="CMY42" s="1207"/>
      <c r="CMZ42" s="1207"/>
      <c r="CNA42" s="1207"/>
      <c r="CNB42" s="1207"/>
      <c r="CNC42" s="1207"/>
      <c r="CND42" s="1207"/>
      <c r="CNE42" s="1207"/>
      <c r="CNF42" s="1207"/>
      <c r="CNG42" s="515"/>
      <c r="CNH42" s="1207"/>
      <c r="CNI42" s="1207"/>
      <c r="CNJ42" s="1207"/>
      <c r="CNK42" s="1207"/>
      <c r="CNL42" s="1207"/>
      <c r="CNM42" s="1207"/>
      <c r="CNN42" s="1207"/>
      <c r="CNO42" s="1207"/>
      <c r="CNP42" s="1207"/>
      <c r="CNQ42" s="1207"/>
      <c r="CNR42" s="515"/>
      <c r="CNS42" s="1207"/>
      <c r="CNT42" s="1207"/>
      <c r="CNU42" s="1207"/>
      <c r="CNV42" s="1207"/>
      <c r="CNW42" s="1207"/>
      <c r="CNX42" s="1207"/>
      <c r="CNY42" s="1207"/>
      <c r="CNZ42" s="1207"/>
      <c r="COA42" s="1207"/>
      <c r="COB42" s="1207"/>
      <c r="COC42" s="515"/>
      <c r="COD42" s="1207"/>
      <c r="COE42" s="1207"/>
      <c r="COF42" s="1207"/>
      <c r="COG42" s="1207"/>
      <c r="COH42" s="1207"/>
      <c r="COI42" s="1207"/>
      <c r="COJ42" s="1207"/>
      <c r="COK42" s="1207"/>
      <c r="COL42" s="1207"/>
      <c r="COM42" s="1207"/>
      <c r="CON42" s="515"/>
      <c r="COO42" s="1207"/>
      <c r="COP42" s="1207"/>
      <c r="COQ42" s="1207"/>
      <c r="COR42" s="1207"/>
      <c r="COS42" s="1207"/>
      <c r="COT42" s="1207"/>
      <c r="COU42" s="1207"/>
      <c r="COV42" s="1207"/>
      <c r="COW42" s="1207"/>
      <c r="COX42" s="1207"/>
      <c r="COY42" s="515"/>
      <c r="COZ42" s="1207"/>
      <c r="CPA42" s="1207"/>
      <c r="CPB42" s="1207"/>
      <c r="CPC42" s="1207"/>
      <c r="CPD42" s="1207"/>
      <c r="CPE42" s="1207"/>
      <c r="CPF42" s="1207"/>
      <c r="CPG42" s="1207"/>
      <c r="CPH42" s="1207"/>
      <c r="CPI42" s="1207"/>
      <c r="CPJ42" s="515"/>
      <c r="CPK42" s="1207"/>
      <c r="CPL42" s="1207"/>
      <c r="CPM42" s="1207"/>
      <c r="CPN42" s="1207"/>
      <c r="CPO42" s="1207"/>
      <c r="CPP42" s="1207"/>
      <c r="CPQ42" s="1207"/>
      <c r="CPR42" s="1207"/>
      <c r="CPS42" s="1207"/>
      <c r="CPT42" s="1207"/>
      <c r="CPU42" s="515"/>
      <c r="CPV42" s="1207"/>
      <c r="CPW42" s="1207"/>
      <c r="CPX42" s="1207"/>
      <c r="CPY42" s="1207"/>
      <c r="CPZ42" s="1207"/>
      <c r="CQA42" s="1207"/>
      <c r="CQB42" s="1207"/>
      <c r="CQC42" s="1207"/>
      <c r="CQD42" s="1207"/>
      <c r="CQE42" s="1207"/>
      <c r="CQF42" s="515"/>
      <c r="CQG42" s="1207"/>
      <c r="CQH42" s="1207"/>
      <c r="CQI42" s="1207"/>
      <c r="CQJ42" s="1207"/>
      <c r="CQK42" s="1207"/>
      <c r="CQL42" s="1207"/>
      <c r="CQM42" s="1207"/>
      <c r="CQN42" s="1207"/>
      <c r="CQO42" s="1207"/>
      <c r="CQP42" s="1207"/>
      <c r="CQQ42" s="515"/>
      <c r="CQR42" s="1207"/>
      <c r="CQS42" s="1207"/>
      <c r="CQT42" s="1207"/>
      <c r="CQU42" s="1207"/>
      <c r="CQV42" s="1207"/>
      <c r="CQW42" s="1207"/>
      <c r="CQX42" s="1207"/>
      <c r="CQY42" s="1207"/>
      <c r="CQZ42" s="1207"/>
      <c r="CRA42" s="1207"/>
      <c r="CRB42" s="515"/>
      <c r="CRC42" s="1207"/>
      <c r="CRD42" s="1207"/>
      <c r="CRE42" s="1207"/>
      <c r="CRF42" s="1207"/>
      <c r="CRG42" s="1207"/>
      <c r="CRH42" s="1207"/>
      <c r="CRI42" s="1207"/>
      <c r="CRJ42" s="1207"/>
      <c r="CRK42" s="1207"/>
      <c r="CRL42" s="1207"/>
      <c r="CRM42" s="515"/>
      <c r="CRN42" s="1207"/>
      <c r="CRO42" s="1207"/>
      <c r="CRP42" s="1207"/>
      <c r="CRQ42" s="1207"/>
      <c r="CRR42" s="1207"/>
      <c r="CRS42" s="1207"/>
      <c r="CRT42" s="1207"/>
      <c r="CRU42" s="1207"/>
      <c r="CRV42" s="1207"/>
      <c r="CRW42" s="1207"/>
      <c r="CRX42" s="515"/>
      <c r="CRY42" s="1207"/>
      <c r="CRZ42" s="1207"/>
      <c r="CSA42" s="1207"/>
      <c r="CSB42" s="1207"/>
      <c r="CSC42" s="1207"/>
      <c r="CSD42" s="1207"/>
      <c r="CSE42" s="1207"/>
      <c r="CSF42" s="1207"/>
      <c r="CSG42" s="1207"/>
      <c r="CSH42" s="1207"/>
      <c r="CSI42" s="515"/>
      <c r="CSJ42" s="1207"/>
      <c r="CSK42" s="1207"/>
      <c r="CSL42" s="1207"/>
      <c r="CSM42" s="1207"/>
      <c r="CSN42" s="1207"/>
      <c r="CSO42" s="1207"/>
      <c r="CSP42" s="1207"/>
      <c r="CSQ42" s="1207"/>
      <c r="CSR42" s="1207"/>
      <c r="CSS42" s="1207"/>
      <c r="CST42" s="515"/>
      <c r="CSU42" s="1207"/>
      <c r="CSV42" s="1207"/>
      <c r="CSW42" s="1207"/>
      <c r="CSX42" s="1207"/>
      <c r="CSY42" s="1207"/>
      <c r="CSZ42" s="1207"/>
      <c r="CTA42" s="1207"/>
      <c r="CTB42" s="1207"/>
      <c r="CTC42" s="1207"/>
      <c r="CTD42" s="1207"/>
      <c r="CTE42" s="515"/>
      <c r="CTF42" s="1207"/>
      <c r="CTG42" s="1207"/>
      <c r="CTH42" s="1207"/>
      <c r="CTI42" s="1207"/>
      <c r="CTJ42" s="1207"/>
      <c r="CTK42" s="1207"/>
      <c r="CTL42" s="1207"/>
      <c r="CTM42" s="1207"/>
      <c r="CTN42" s="1207"/>
      <c r="CTO42" s="1207"/>
      <c r="CTP42" s="515"/>
      <c r="CTQ42" s="1207"/>
      <c r="CTR42" s="1207"/>
      <c r="CTS42" s="1207"/>
      <c r="CTT42" s="1207"/>
      <c r="CTU42" s="1207"/>
      <c r="CTV42" s="1207"/>
      <c r="CTW42" s="1207"/>
      <c r="CTX42" s="1207"/>
      <c r="CTY42" s="1207"/>
      <c r="CTZ42" s="1207"/>
      <c r="CUA42" s="515"/>
      <c r="CUB42" s="1207"/>
      <c r="CUC42" s="1207"/>
      <c r="CUD42" s="1207"/>
      <c r="CUE42" s="1207"/>
      <c r="CUF42" s="1207"/>
      <c r="CUG42" s="1207"/>
      <c r="CUH42" s="1207"/>
      <c r="CUI42" s="1207"/>
      <c r="CUJ42" s="1207"/>
      <c r="CUK42" s="1207"/>
      <c r="CUL42" s="515"/>
      <c r="CUM42" s="1207"/>
      <c r="CUN42" s="1207"/>
      <c r="CUO42" s="1207"/>
      <c r="CUP42" s="1207"/>
      <c r="CUQ42" s="1207"/>
      <c r="CUR42" s="1207"/>
      <c r="CUS42" s="1207"/>
      <c r="CUT42" s="1207"/>
      <c r="CUU42" s="1207"/>
      <c r="CUV42" s="1207"/>
      <c r="CUW42" s="515"/>
      <c r="CUX42" s="1207"/>
      <c r="CUY42" s="1207"/>
      <c r="CUZ42" s="1207"/>
      <c r="CVA42" s="1207"/>
      <c r="CVB42" s="1207"/>
      <c r="CVC42" s="1207"/>
      <c r="CVD42" s="1207"/>
      <c r="CVE42" s="1207"/>
      <c r="CVF42" s="1207"/>
      <c r="CVG42" s="1207"/>
      <c r="CVH42" s="515"/>
      <c r="CVI42" s="1207"/>
      <c r="CVJ42" s="1207"/>
      <c r="CVK42" s="1207"/>
      <c r="CVL42" s="1207"/>
      <c r="CVM42" s="1207"/>
      <c r="CVN42" s="1207"/>
      <c r="CVO42" s="1207"/>
      <c r="CVP42" s="1207"/>
      <c r="CVQ42" s="1207"/>
      <c r="CVR42" s="1207"/>
      <c r="CVS42" s="515"/>
      <c r="CVT42" s="1207"/>
      <c r="CVU42" s="1207"/>
      <c r="CVV42" s="1207"/>
      <c r="CVW42" s="1207"/>
      <c r="CVX42" s="1207"/>
      <c r="CVY42" s="1207"/>
      <c r="CVZ42" s="1207"/>
      <c r="CWA42" s="1207"/>
      <c r="CWB42" s="1207"/>
      <c r="CWC42" s="1207"/>
      <c r="CWD42" s="515"/>
      <c r="CWE42" s="1207"/>
      <c r="CWF42" s="1207"/>
      <c r="CWG42" s="1207"/>
      <c r="CWH42" s="1207"/>
      <c r="CWI42" s="1207"/>
      <c r="CWJ42" s="1207"/>
      <c r="CWK42" s="1207"/>
      <c r="CWL42" s="1207"/>
      <c r="CWM42" s="1207"/>
      <c r="CWN42" s="1207"/>
      <c r="CWO42" s="515"/>
      <c r="CWP42" s="1207"/>
      <c r="CWQ42" s="1207"/>
      <c r="CWR42" s="1207"/>
      <c r="CWS42" s="1207"/>
      <c r="CWT42" s="1207"/>
      <c r="CWU42" s="1207"/>
      <c r="CWV42" s="1207"/>
      <c r="CWW42" s="1207"/>
      <c r="CWX42" s="1207"/>
      <c r="CWY42" s="1207"/>
      <c r="CWZ42" s="515"/>
      <c r="CXA42" s="1207"/>
      <c r="CXB42" s="1207"/>
      <c r="CXC42" s="1207"/>
      <c r="CXD42" s="1207"/>
      <c r="CXE42" s="1207"/>
      <c r="CXF42" s="1207"/>
      <c r="CXG42" s="1207"/>
      <c r="CXH42" s="1207"/>
      <c r="CXI42" s="1207"/>
      <c r="CXJ42" s="1207"/>
      <c r="CXK42" s="515"/>
      <c r="CXL42" s="1207"/>
      <c r="CXM42" s="1207"/>
      <c r="CXN42" s="1207"/>
      <c r="CXO42" s="1207"/>
      <c r="CXP42" s="1207"/>
      <c r="CXQ42" s="1207"/>
      <c r="CXR42" s="1207"/>
      <c r="CXS42" s="1207"/>
      <c r="CXT42" s="1207"/>
      <c r="CXU42" s="1207"/>
      <c r="CXV42" s="515"/>
      <c r="CXW42" s="1207"/>
      <c r="CXX42" s="1207"/>
      <c r="CXY42" s="1207"/>
      <c r="CXZ42" s="1207"/>
      <c r="CYA42" s="1207"/>
      <c r="CYB42" s="1207"/>
      <c r="CYC42" s="1207"/>
      <c r="CYD42" s="1207"/>
      <c r="CYE42" s="1207"/>
      <c r="CYF42" s="1207"/>
      <c r="CYG42" s="515"/>
      <c r="CYH42" s="1207"/>
      <c r="CYI42" s="1207"/>
      <c r="CYJ42" s="1207"/>
      <c r="CYK42" s="1207"/>
      <c r="CYL42" s="1207"/>
      <c r="CYM42" s="1207"/>
      <c r="CYN42" s="1207"/>
      <c r="CYO42" s="1207"/>
      <c r="CYP42" s="1207"/>
      <c r="CYQ42" s="1207"/>
      <c r="CYR42" s="515"/>
      <c r="CYS42" s="1207"/>
      <c r="CYT42" s="1207"/>
      <c r="CYU42" s="1207"/>
      <c r="CYV42" s="1207"/>
      <c r="CYW42" s="1207"/>
      <c r="CYX42" s="1207"/>
      <c r="CYY42" s="1207"/>
      <c r="CYZ42" s="1207"/>
      <c r="CZA42" s="1207"/>
      <c r="CZB42" s="1207"/>
      <c r="CZC42" s="515"/>
      <c r="CZD42" s="1207"/>
      <c r="CZE42" s="1207"/>
      <c r="CZF42" s="1207"/>
      <c r="CZG42" s="1207"/>
      <c r="CZH42" s="1207"/>
      <c r="CZI42" s="1207"/>
      <c r="CZJ42" s="1207"/>
      <c r="CZK42" s="1207"/>
      <c r="CZL42" s="1207"/>
      <c r="CZM42" s="1207"/>
      <c r="CZN42" s="515"/>
      <c r="CZO42" s="1207"/>
      <c r="CZP42" s="1207"/>
      <c r="CZQ42" s="1207"/>
      <c r="CZR42" s="1207"/>
      <c r="CZS42" s="1207"/>
      <c r="CZT42" s="1207"/>
      <c r="CZU42" s="1207"/>
      <c r="CZV42" s="1207"/>
      <c r="CZW42" s="1207"/>
      <c r="CZX42" s="1207"/>
      <c r="CZY42" s="515"/>
      <c r="CZZ42" s="1207"/>
      <c r="DAA42" s="1207"/>
      <c r="DAB42" s="1207"/>
      <c r="DAC42" s="1207"/>
      <c r="DAD42" s="1207"/>
      <c r="DAE42" s="1207"/>
      <c r="DAF42" s="1207"/>
      <c r="DAG42" s="1207"/>
      <c r="DAH42" s="1207"/>
      <c r="DAI42" s="1207"/>
      <c r="DAJ42" s="515"/>
      <c r="DAK42" s="1207"/>
      <c r="DAL42" s="1207"/>
      <c r="DAM42" s="1207"/>
      <c r="DAN42" s="1207"/>
      <c r="DAO42" s="1207"/>
      <c r="DAP42" s="1207"/>
      <c r="DAQ42" s="1207"/>
      <c r="DAR42" s="1207"/>
      <c r="DAS42" s="1207"/>
      <c r="DAT42" s="1207"/>
      <c r="DAU42" s="515"/>
      <c r="DAV42" s="1207"/>
      <c r="DAW42" s="1207"/>
      <c r="DAX42" s="1207"/>
      <c r="DAY42" s="1207"/>
      <c r="DAZ42" s="1207"/>
      <c r="DBA42" s="1207"/>
      <c r="DBB42" s="1207"/>
      <c r="DBC42" s="1207"/>
      <c r="DBD42" s="1207"/>
      <c r="DBE42" s="1207"/>
      <c r="DBF42" s="515"/>
      <c r="DBG42" s="1207"/>
      <c r="DBH42" s="1207"/>
      <c r="DBI42" s="1207"/>
      <c r="DBJ42" s="1207"/>
      <c r="DBK42" s="1207"/>
      <c r="DBL42" s="1207"/>
      <c r="DBM42" s="1207"/>
      <c r="DBN42" s="1207"/>
      <c r="DBO42" s="1207"/>
      <c r="DBP42" s="1207"/>
      <c r="DBQ42" s="515"/>
      <c r="DBR42" s="1207"/>
      <c r="DBS42" s="1207"/>
      <c r="DBT42" s="1207"/>
      <c r="DBU42" s="1207"/>
      <c r="DBV42" s="1207"/>
      <c r="DBW42" s="1207"/>
      <c r="DBX42" s="1207"/>
      <c r="DBY42" s="1207"/>
      <c r="DBZ42" s="1207"/>
      <c r="DCA42" s="1207"/>
      <c r="DCB42" s="515"/>
      <c r="DCC42" s="1207"/>
      <c r="DCD42" s="1207"/>
      <c r="DCE42" s="1207"/>
      <c r="DCF42" s="1207"/>
      <c r="DCG42" s="1207"/>
      <c r="DCH42" s="1207"/>
      <c r="DCI42" s="1207"/>
      <c r="DCJ42" s="1207"/>
      <c r="DCK42" s="1207"/>
      <c r="DCL42" s="1207"/>
      <c r="DCM42" s="515"/>
      <c r="DCN42" s="1207"/>
      <c r="DCO42" s="1207"/>
      <c r="DCP42" s="1207"/>
      <c r="DCQ42" s="1207"/>
      <c r="DCR42" s="1207"/>
      <c r="DCS42" s="1207"/>
      <c r="DCT42" s="1207"/>
      <c r="DCU42" s="1207"/>
      <c r="DCV42" s="1207"/>
      <c r="DCW42" s="1207"/>
      <c r="DCX42" s="515"/>
      <c r="DCY42" s="1207"/>
      <c r="DCZ42" s="1207"/>
      <c r="DDA42" s="1207"/>
      <c r="DDB42" s="1207"/>
      <c r="DDC42" s="1207"/>
      <c r="DDD42" s="1207"/>
      <c r="DDE42" s="1207"/>
      <c r="DDF42" s="1207"/>
      <c r="DDG42" s="1207"/>
      <c r="DDH42" s="1207"/>
      <c r="DDI42" s="515"/>
      <c r="DDJ42" s="1207"/>
      <c r="DDK42" s="1207"/>
      <c r="DDL42" s="1207"/>
      <c r="DDM42" s="1207"/>
      <c r="DDN42" s="1207"/>
      <c r="DDO42" s="1207"/>
      <c r="DDP42" s="1207"/>
      <c r="DDQ42" s="1207"/>
      <c r="DDR42" s="1207"/>
      <c r="DDS42" s="1207"/>
      <c r="DDT42" s="515"/>
      <c r="DDU42" s="1207"/>
      <c r="DDV42" s="1207"/>
      <c r="DDW42" s="1207"/>
      <c r="DDX42" s="1207"/>
      <c r="DDY42" s="1207"/>
      <c r="DDZ42" s="1207"/>
      <c r="DEA42" s="1207"/>
      <c r="DEB42" s="1207"/>
      <c r="DEC42" s="1207"/>
      <c r="DED42" s="1207"/>
      <c r="DEE42" s="515"/>
      <c r="DEF42" s="1207"/>
      <c r="DEG42" s="1207"/>
      <c r="DEH42" s="1207"/>
      <c r="DEI42" s="1207"/>
      <c r="DEJ42" s="1207"/>
      <c r="DEK42" s="1207"/>
      <c r="DEL42" s="1207"/>
      <c r="DEM42" s="1207"/>
      <c r="DEN42" s="1207"/>
      <c r="DEO42" s="1207"/>
      <c r="DEP42" s="515"/>
      <c r="DEQ42" s="1207"/>
      <c r="DER42" s="1207"/>
      <c r="DES42" s="1207"/>
      <c r="DET42" s="1207"/>
      <c r="DEU42" s="1207"/>
      <c r="DEV42" s="1207"/>
      <c r="DEW42" s="1207"/>
      <c r="DEX42" s="1207"/>
      <c r="DEY42" s="1207"/>
      <c r="DEZ42" s="1207"/>
      <c r="DFA42" s="515"/>
      <c r="DFB42" s="1207"/>
      <c r="DFC42" s="1207"/>
      <c r="DFD42" s="1207"/>
      <c r="DFE42" s="1207"/>
      <c r="DFF42" s="1207"/>
      <c r="DFG42" s="1207"/>
      <c r="DFH42" s="1207"/>
      <c r="DFI42" s="1207"/>
      <c r="DFJ42" s="1207"/>
      <c r="DFK42" s="1207"/>
      <c r="DFL42" s="515"/>
      <c r="DFM42" s="1207"/>
      <c r="DFN42" s="1207"/>
      <c r="DFO42" s="1207"/>
      <c r="DFP42" s="1207"/>
      <c r="DFQ42" s="1207"/>
      <c r="DFR42" s="1207"/>
      <c r="DFS42" s="1207"/>
      <c r="DFT42" s="1207"/>
      <c r="DFU42" s="1207"/>
      <c r="DFV42" s="1207"/>
      <c r="DFW42" s="515"/>
      <c r="DFX42" s="1207"/>
      <c r="DFY42" s="1207"/>
      <c r="DFZ42" s="1207"/>
      <c r="DGA42" s="1207"/>
      <c r="DGB42" s="1207"/>
      <c r="DGC42" s="1207"/>
      <c r="DGD42" s="1207"/>
      <c r="DGE42" s="1207"/>
      <c r="DGF42" s="1207"/>
      <c r="DGG42" s="1207"/>
      <c r="DGH42" s="515"/>
      <c r="DGI42" s="1207"/>
      <c r="DGJ42" s="1207"/>
      <c r="DGK42" s="1207"/>
      <c r="DGL42" s="1207"/>
      <c r="DGM42" s="1207"/>
      <c r="DGN42" s="1207"/>
      <c r="DGO42" s="1207"/>
      <c r="DGP42" s="1207"/>
      <c r="DGQ42" s="1207"/>
      <c r="DGR42" s="1207"/>
      <c r="DGS42" s="515"/>
      <c r="DGT42" s="1207"/>
      <c r="DGU42" s="1207"/>
      <c r="DGV42" s="1207"/>
      <c r="DGW42" s="1207"/>
      <c r="DGX42" s="1207"/>
      <c r="DGY42" s="1207"/>
      <c r="DGZ42" s="1207"/>
      <c r="DHA42" s="1207"/>
      <c r="DHB42" s="1207"/>
      <c r="DHC42" s="1207"/>
      <c r="DHD42" s="515"/>
      <c r="DHE42" s="1207"/>
      <c r="DHF42" s="1207"/>
      <c r="DHG42" s="1207"/>
      <c r="DHH42" s="1207"/>
      <c r="DHI42" s="1207"/>
      <c r="DHJ42" s="1207"/>
      <c r="DHK42" s="1207"/>
      <c r="DHL42" s="1207"/>
      <c r="DHM42" s="1207"/>
      <c r="DHN42" s="1207"/>
      <c r="DHO42" s="515"/>
      <c r="DHP42" s="1207"/>
      <c r="DHQ42" s="1207"/>
      <c r="DHR42" s="1207"/>
      <c r="DHS42" s="1207"/>
      <c r="DHT42" s="1207"/>
      <c r="DHU42" s="1207"/>
      <c r="DHV42" s="1207"/>
      <c r="DHW42" s="1207"/>
      <c r="DHX42" s="1207"/>
      <c r="DHY42" s="1207"/>
      <c r="DHZ42" s="515"/>
      <c r="DIA42" s="1207"/>
      <c r="DIB42" s="1207"/>
      <c r="DIC42" s="1207"/>
      <c r="DID42" s="1207"/>
      <c r="DIE42" s="1207"/>
      <c r="DIF42" s="1207"/>
      <c r="DIG42" s="1207"/>
      <c r="DIH42" s="1207"/>
      <c r="DII42" s="1207"/>
      <c r="DIJ42" s="1207"/>
      <c r="DIK42" s="515"/>
      <c r="DIL42" s="1207"/>
      <c r="DIM42" s="1207"/>
      <c r="DIN42" s="1207"/>
      <c r="DIO42" s="1207"/>
      <c r="DIP42" s="1207"/>
      <c r="DIQ42" s="1207"/>
      <c r="DIR42" s="1207"/>
      <c r="DIS42" s="1207"/>
      <c r="DIT42" s="1207"/>
      <c r="DIU42" s="1207"/>
      <c r="DIV42" s="515"/>
      <c r="DIW42" s="1207"/>
      <c r="DIX42" s="1207"/>
      <c r="DIY42" s="1207"/>
      <c r="DIZ42" s="1207"/>
      <c r="DJA42" s="1207"/>
      <c r="DJB42" s="1207"/>
      <c r="DJC42" s="1207"/>
      <c r="DJD42" s="1207"/>
      <c r="DJE42" s="1207"/>
      <c r="DJF42" s="1207"/>
      <c r="DJG42" s="515"/>
      <c r="DJH42" s="1207"/>
      <c r="DJI42" s="1207"/>
      <c r="DJJ42" s="1207"/>
      <c r="DJK42" s="1207"/>
      <c r="DJL42" s="1207"/>
      <c r="DJM42" s="1207"/>
      <c r="DJN42" s="1207"/>
      <c r="DJO42" s="1207"/>
      <c r="DJP42" s="1207"/>
      <c r="DJQ42" s="1207"/>
      <c r="DJR42" s="515"/>
      <c r="DJS42" s="1207"/>
      <c r="DJT42" s="1207"/>
      <c r="DJU42" s="1207"/>
      <c r="DJV42" s="1207"/>
      <c r="DJW42" s="1207"/>
      <c r="DJX42" s="1207"/>
      <c r="DJY42" s="1207"/>
      <c r="DJZ42" s="1207"/>
      <c r="DKA42" s="1207"/>
      <c r="DKB42" s="1207"/>
      <c r="DKC42" s="515"/>
      <c r="DKD42" s="1207"/>
      <c r="DKE42" s="1207"/>
      <c r="DKF42" s="1207"/>
      <c r="DKG42" s="1207"/>
      <c r="DKH42" s="1207"/>
      <c r="DKI42" s="1207"/>
      <c r="DKJ42" s="1207"/>
      <c r="DKK42" s="1207"/>
      <c r="DKL42" s="1207"/>
      <c r="DKM42" s="1207"/>
      <c r="DKN42" s="515"/>
      <c r="DKO42" s="1207"/>
      <c r="DKP42" s="1207"/>
      <c r="DKQ42" s="1207"/>
      <c r="DKR42" s="1207"/>
      <c r="DKS42" s="1207"/>
      <c r="DKT42" s="1207"/>
      <c r="DKU42" s="1207"/>
      <c r="DKV42" s="1207"/>
      <c r="DKW42" s="1207"/>
      <c r="DKX42" s="1207"/>
      <c r="DKY42" s="515"/>
      <c r="DKZ42" s="1207"/>
      <c r="DLA42" s="1207"/>
      <c r="DLB42" s="1207"/>
      <c r="DLC42" s="1207"/>
      <c r="DLD42" s="1207"/>
      <c r="DLE42" s="1207"/>
      <c r="DLF42" s="1207"/>
      <c r="DLG42" s="1207"/>
      <c r="DLH42" s="1207"/>
      <c r="DLI42" s="1207"/>
      <c r="DLJ42" s="515"/>
      <c r="DLK42" s="1207"/>
      <c r="DLL42" s="1207"/>
      <c r="DLM42" s="1207"/>
      <c r="DLN42" s="1207"/>
      <c r="DLO42" s="1207"/>
      <c r="DLP42" s="1207"/>
      <c r="DLQ42" s="1207"/>
      <c r="DLR42" s="1207"/>
      <c r="DLS42" s="1207"/>
      <c r="DLT42" s="1207"/>
      <c r="DLU42" s="515"/>
      <c r="DLV42" s="1207"/>
      <c r="DLW42" s="1207"/>
      <c r="DLX42" s="1207"/>
      <c r="DLY42" s="1207"/>
      <c r="DLZ42" s="1207"/>
      <c r="DMA42" s="1207"/>
      <c r="DMB42" s="1207"/>
      <c r="DMC42" s="1207"/>
      <c r="DMD42" s="1207"/>
      <c r="DME42" s="1207"/>
      <c r="DMF42" s="515"/>
      <c r="DMG42" s="1207"/>
      <c r="DMH42" s="1207"/>
      <c r="DMI42" s="1207"/>
      <c r="DMJ42" s="1207"/>
      <c r="DMK42" s="1207"/>
      <c r="DML42" s="1207"/>
      <c r="DMM42" s="1207"/>
      <c r="DMN42" s="1207"/>
      <c r="DMO42" s="1207"/>
      <c r="DMP42" s="1207"/>
      <c r="DMQ42" s="515"/>
      <c r="DMR42" s="1207"/>
      <c r="DMS42" s="1207"/>
      <c r="DMT42" s="1207"/>
      <c r="DMU42" s="1207"/>
      <c r="DMV42" s="1207"/>
      <c r="DMW42" s="1207"/>
      <c r="DMX42" s="1207"/>
      <c r="DMY42" s="1207"/>
      <c r="DMZ42" s="1207"/>
      <c r="DNA42" s="1207"/>
      <c r="DNB42" s="515"/>
      <c r="DNC42" s="1207"/>
      <c r="DND42" s="1207"/>
      <c r="DNE42" s="1207"/>
      <c r="DNF42" s="1207"/>
      <c r="DNG42" s="1207"/>
      <c r="DNH42" s="1207"/>
      <c r="DNI42" s="1207"/>
      <c r="DNJ42" s="1207"/>
      <c r="DNK42" s="1207"/>
      <c r="DNL42" s="1207"/>
      <c r="DNM42" s="515"/>
      <c r="DNN42" s="1207"/>
      <c r="DNO42" s="1207"/>
      <c r="DNP42" s="1207"/>
      <c r="DNQ42" s="1207"/>
      <c r="DNR42" s="1207"/>
      <c r="DNS42" s="1207"/>
      <c r="DNT42" s="1207"/>
      <c r="DNU42" s="1207"/>
      <c r="DNV42" s="1207"/>
      <c r="DNW42" s="1207"/>
      <c r="DNX42" s="515"/>
      <c r="DNY42" s="1207"/>
      <c r="DNZ42" s="1207"/>
      <c r="DOA42" s="1207"/>
      <c r="DOB42" s="1207"/>
      <c r="DOC42" s="1207"/>
      <c r="DOD42" s="1207"/>
      <c r="DOE42" s="1207"/>
      <c r="DOF42" s="1207"/>
      <c r="DOG42" s="1207"/>
      <c r="DOH42" s="1207"/>
      <c r="DOI42" s="515"/>
      <c r="DOJ42" s="1207"/>
      <c r="DOK42" s="1207"/>
      <c r="DOL42" s="1207"/>
      <c r="DOM42" s="1207"/>
      <c r="DON42" s="1207"/>
      <c r="DOO42" s="1207"/>
      <c r="DOP42" s="1207"/>
      <c r="DOQ42" s="1207"/>
      <c r="DOR42" s="1207"/>
      <c r="DOS42" s="1207"/>
      <c r="DOT42" s="515"/>
      <c r="DOU42" s="1207"/>
      <c r="DOV42" s="1207"/>
      <c r="DOW42" s="1207"/>
      <c r="DOX42" s="1207"/>
      <c r="DOY42" s="1207"/>
      <c r="DOZ42" s="1207"/>
      <c r="DPA42" s="1207"/>
      <c r="DPB42" s="1207"/>
      <c r="DPC42" s="1207"/>
      <c r="DPD42" s="1207"/>
      <c r="DPE42" s="515"/>
      <c r="DPF42" s="1207"/>
      <c r="DPG42" s="1207"/>
      <c r="DPH42" s="1207"/>
      <c r="DPI42" s="1207"/>
      <c r="DPJ42" s="1207"/>
      <c r="DPK42" s="1207"/>
      <c r="DPL42" s="1207"/>
      <c r="DPM42" s="1207"/>
      <c r="DPN42" s="1207"/>
      <c r="DPO42" s="1207"/>
      <c r="DPP42" s="515"/>
      <c r="DPQ42" s="1207"/>
      <c r="DPR42" s="1207"/>
      <c r="DPS42" s="1207"/>
      <c r="DPT42" s="1207"/>
      <c r="DPU42" s="1207"/>
      <c r="DPV42" s="1207"/>
      <c r="DPW42" s="1207"/>
      <c r="DPX42" s="1207"/>
      <c r="DPY42" s="1207"/>
      <c r="DPZ42" s="1207"/>
      <c r="DQA42" s="515"/>
      <c r="DQB42" s="1207"/>
      <c r="DQC42" s="1207"/>
      <c r="DQD42" s="1207"/>
      <c r="DQE42" s="1207"/>
      <c r="DQF42" s="1207"/>
      <c r="DQG42" s="1207"/>
      <c r="DQH42" s="1207"/>
      <c r="DQI42" s="1207"/>
      <c r="DQJ42" s="1207"/>
      <c r="DQK42" s="1207"/>
      <c r="DQL42" s="515"/>
      <c r="DQM42" s="1207"/>
      <c r="DQN42" s="1207"/>
      <c r="DQO42" s="1207"/>
      <c r="DQP42" s="1207"/>
      <c r="DQQ42" s="1207"/>
      <c r="DQR42" s="1207"/>
      <c r="DQS42" s="1207"/>
      <c r="DQT42" s="1207"/>
      <c r="DQU42" s="1207"/>
      <c r="DQV42" s="1207"/>
      <c r="DQW42" s="515"/>
      <c r="DQX42" s="1207"/>
      <c r="DQY42" s="1207"/>
      <c r="DQZ42" s="1207"/>
      <c r="DRA42" s="1207"/>
      <c r="DRB42" s="1207"/>
      <c r="DRC42" s="1207"/>
      <c r="DRD42" s="1207"/>
      <c r="DRE42" s="1207"/>
      <c r="DRF42" s="1207"/>
      <c r="DRG42" s="1207"/>
      <c r="DRH42" s="515"/>
      <c r="DRI42" s="1207"/>
      <c r="DRJ42" s="1207"/>
      <c r="DRK42" s="1207"/>
      <c r="DRL42" s="1207"/>
      <c r="DRM42" s="1207"/>
      <c r="DRN42" s="1207"/>
      <c r="DRO42" s="1207"/>
      <c r="DRP42" s="1207"/>
      <c r="DRQ42" s="1207"/>
      <c r="DRR42" s="1207"/>
      <c r="DRS42" s="515"/>
      <c r="DRT42" s="1207"/>
      <c r="DRU42" s="1207"/>
      <c r="DRV42" s="1207"/>
      <c r="DRW42" s="1207"/>
      <c r="DRX42" s="1207"/>
      <c r="DRY42" s="1207"/>
      <c r="DRZ42" s="1207"/>
      <c r="DSA42" s="1207"/>
      <c r="DSB42" s="1207"/>
      <c r="DSC42" s="1207"/>
      <c r="DSD42" s="515"/>
      <c r="DSE42" s="1207"/>
      <c r="DSF42" s="1207"/>
      <c r="DSG42" s="1207"/>
      <c r="DSH42" s="1207"/>
      <c r="DSI42" s="1207"/>
      <c r="DSJ42" s="1207"/>
      <c r="DSK42" s="1207"/>
      <c r="DSL42" s="1207"/>
      <c r="DSM42" s="1207"/>
      <c r="DSN42" s="1207"/>
      <c r="DSO42" s="515"/>
      <c r="DSP42" s="1207"/>
      <c r="DSQ42" s="1207"/>
      <c r="DSR42" s="1207"/>
      <c r="DSS42" s="1207"/>
      <c r="DST42" s="1207"/>
      <c r="DSU42" s="1207"/>
      <c r="DSV42" s="1207"/>
      <c r="DSW42" s="1207"/>
      <c r="DSX42" s="1207"/>
      <c r="DSY42" s="1207"/>
      <c r="DSZ42" s="515"/>
      <c r="DTA42" s="1207"/>
      <c r="DTB42" s="1207"/>
      <c r="DTC42" s="1207"/>
      <c r="DTD42" s="1207"/>
      <c r="DTE42" s="1207"/>
      <c r="DTF42" s="1207"/>
      <c r="DTG42" s="1207"/>
      <c r="DTH42" s="1207"/>
      <c r="DTI42" s="1207"/>
      <c r="DTJ42" s="1207"/>
      <c r="DTK42" s="515"/>
      <c r="DTL42" s="1207"/>
      <c r="DTM42" s="1207"/>
      <c r="DTN42" s="1207"/>
      <c r="DTO42" s="1207"/>
      <c r="DTP42" s="1207"/>
      <c r="DTQ42" s="1207"/>
      <c r="DTR42" s="1207"/>
      <c r="DTS42" s="1207"/>
      <c r="DTT42" s="1207"/>
      <c r="DTU42" s="1207"/>
      <c r="DTV42" s="515"/>
      <c r="DTW42" s="1207"/>
      <c r="DTX42" s="1207"/>
      <c r="DTY42" s="1207"/>
      <c r="DTZ42" s="1207"/>
      <c r="DUA42" s="1207"/>
      <c r="DUB42" s="1207"/>
      <c r="DUC42" s="1207"/>
      <c r="DUD42" s="1207"/>
      <c r="DUE42" s="1207"/>
      <c r="DUF42" s="1207"/>
      <c r="DUG42" s="515"/>
      <c r="DUH42" s="1207"/>
      <c r="DUI42" s="1207"/>
      <c r="DUJ42" s="1207"/>
      <c r="DUK42" s="1207"/>
      <c r="DUL42" s="1207"/>
      <c r="DUM42" s="1207"/>
      <c r="DUN42" s="1207"/>
      <c r="DUO42" s="1207"/>
      <c r="DUP42" s="1207"/>
      <c r="DUQ42" s="1207"/>
      <c r="DUR42" s="515"/>
      <c r="DUS42" s="1207"/>
      <c r="DUT42" s="1207"/>
      <c r="DUU42" s="1207"/>
      <c r="DUV42" s="1207"/>
      <c r="DUW42" s="1207"/>
      <c r="DUX42" s="1207"/>
      <c r="DUY42" s="1207"/>
      <c r="DUZ42" s="1207"/>
      <c r="DVA42" s="1207"/>
      <c r="DVB42" s="1207"/>
      <c r="DVC42" s="515"/>
      <c r="DVD42" s="1207"/>
      <c r="DVE42" s="1207"/>
      <c r="DVF42" s="1207"/>
      <c r="DVG42" s="1207"/>
      <c r="DVH42" s="1207"/>
      <c r="DVI42" s="1207"/>
      <c r="DVJ42" s="1207"/>
      <c r="DVK42" s="1207"/>
      <c r="DVL42" s="1207"/>
      <c r="DVM42" s="1207"/>
      <c r="DVN42" s="515"/>
      <c r="DVO42" s="1207"/>
      <c r="DVP42" s="1207"/>
      <c r="DVQ42" s="1207"/>
      <c r="DVR42" s="1207"/>
      <c r="DVS42" s="1207"/>
      <c r="DVT42" s="1207"/>
      <c r="DVU42" s="1207"/>
      <c r="DVV42" s="1207"/>
      <c r="DVW42" s="1207"/>
      <c r="DVX42" s="1207"/>
      <c r="DVY42" s="515"/>
      <c r="DVZ42" s="1207"/>
      <c r="DWA42" s="1207"/>
      <c r="DWB42" s="1207"/>
      <c r="DWC42" s="1207"/>
      <c r="DWD42" s="1207"/>
      <c r="DWE42" s="1207"/>
      <c r="DWF42" s="1207"/>
      <c r="DWG42" s="1207"/>
      <c r="DWH42" s="1207"/>
      <c r="DWI42" s="1207"/>
      <c r="DWJ42" s="515"/>
      <c r="DWK42" s="1207"/>
      <c r="DWL42" s="1207"/>
      <c r="DWM42" s="1207"/>
      <c r="DWN42" s="1207"/>
      <c r="DWO42" s="1207"/>
      <c r="DWP42" s="1207"/>
      <c r="DWQ42" s="1207"/>
      <c r="DWR42" s="1207"/>
      <c r="DWS42" s="1207"/>
      <c r="DWT42" s="1207"/>
      <c r="DWU42" s="515"/>
      <c r="DWV42" s="1207"/>
      <c r="DWW42" s="1207"/>
      <c r="DWX42" s="1207"/>
      <c r="DWY42" s="1207"/>
      <c r="DWZ42" s="1207"/>
      <c r="DXA42" s="1207"/>
      <c r="DXB42" s="1207"/>
      <c r="DXC42" s="1207"/>
      <c r="DXD42" s="1207"/>
      <c r="DXE42" s="1207"/>
      <c r="DXF42" s="515"/>
      <c r="DXG42" s="1207"/>
      <c r="DXH42" s="1207"/>
      <c r="DXI42" s="1207"/>
      <c r="DXJ42" s="1207"/>
      <c r="DXK42" s="1207"/>
      <c r="DXL42" s="1207"/>
      <c r="DXM42" s="1207"/>
      <c r="DXN42" s="1207"/>
      <c r="DXO42" s="1207"/>
      <c r="DXP42" s="1207"/>
      <c r="DXQ42" s="515"/>
      <c r="DXR42" s="1207"/>
      <c r="DXS42" s="1207"/>
      <c r="DXT42" s="1207"/>
      <c r="DXU42" s="1207"/>
      <c r="DXV42" s="1207"/>
      <c r="DXW42" s="1207"/>
      <c r="DXX42" s="1207"/>
      <c r="DXY42" s="1207"/>
      <c r="DXZ42" s="1207"/>
      <c r="DYA42" s="1207"/>
      <c r="DYB42" s="515"/>
      <c r="DYC42" s="1207"/>
      <c r="DYD42" s="1207"/>
      <c r="DYE42" s="1207"/>
      <c r="DYF42" s="1207"/>
      <c r="DYG42" s="1207"/>
      <c r="DYH42" s="1207"/>
      <c r="DYI42" s="1207"/>
      <c r="DYJ42" s="1207"/>
      <c r="DYK42" s="1207"/>
      <c r="DYL42" s="1207"/>
      <c r="DYM42" s="515"/>
      <c r="DYN42" s="1207"/>
      <c r="DYO42" s="1207"/>
      <c r="DYP42" s="1207"/>
      <c r="DYQ42" s="1207"/>
      <c r="DYR42" s="1207"/>
      <c r="DYS42" s="1207"/>
      <c r="DYT42" s="1207"/>
      <c r="DYU42" s="1207"/>
      <c r="DYV42" s="1207"/>
      <c r="DYW42" s="1207"/>
      <c r="DYX42" s="515"/>
      <c r="DYY42" s="1207"/>
      <c r="DYZ42" s="1207"/>
      <c r="DZA42" s="1207"/>
      <c r="DZB42" s="1207"/>
      <c r="DZC42" s="1207"/>
      <c r="DZD42" s="1207"/>
      <c r="DZE42" s="1207"/>
      <c r="DZF42" s="1207"/>
      <c r="DZG42" s="1207"/>
      <c r="DZH42" s="1207"/>
      <c r="DZI42" s="515"/>
      <c r="DZJ42" s="1207"/>
      <c r="DZK42" s="1207"/>
      <c r="DZL42" s="1207"/>
      <c r="DZM42" s="1207"/>
      <c r="DZN42" s="1207"/>
      <c r="DZO42" s="1207"/>
      <c r="DZP42" s="1207"/>
      <c r="DZQ42" s="1207"/>
      <c r="DZR42" s="1207"/>
      <c r="DZS42" s="1207"/>
      <c r="DZT42" s="515"/>
      <c r="DZU42" s="1207"/>
      <c r="DZV42" s="1207"/>
      <c r="DZW42" s="1207"/>
      <c r="DZX42" s="1207"/>
      <c r="DZY42" s="1207"/>
      <c r="DZZ42" s="1207"/>
      <c r="EAA42" s="1207"/>
      <c r="EAB42" s="1207"/>
      <c r="EAC42" s="1207"/>
      <c r="EAD42" s="1207"/>
      <c r="EAE42" s="515"/>
      <c r="EAF42" s="1207"/>
      <c r="EAG42" s="1207"/>
      <c r="EAH42" s="1207"/>
      <c r="EAI42" s="1207"/>
      <c r="EAJ42" s="1207"/>
      <c r="EAK42" s="1207"/>
      <c r="EAL42" s="1207"/>
      <c r="EAM42" s="1207"/>
      <c r="EAN42" s="1207"/>
      <c r="EAO42" s="1207"/>
      <c r="EAP42" s="515"/>
      <c r="EAQ42" s="1207"/>
      <c r="EAR42" s="1207"/>
      <c r="EAS42" s="1207"/>
      <c r="EAT42" s="1207"/>
      <c r="EAU42" s="1207"/>
      <c r="EAV42" s="1207"/>
      <c r="EAW42" s="1207"/>
      <c r="EAX42" s="1207"/>
      <c r="EAY42" s="1207"/>
      <c r="EAZ42" s="1207"/>
      <c r="EBA42" s="515"/>
      <c r="EBB42" s="1207"/>
      <c r="EBC42" s="1207"/>
      <c r="EBD42" s="1207"/>
      <c r="EBE42" s="1207"/>
      <c r="EBF42" s="1207"/>
      <c r="EBG42" s="1207"/>
      <c r="EBH42" s="1207"/>
      <c r="EBI42" s="1207"/>
      <c r="EBJ42" s="1207"/>
      <c r="EBK42" s="1207"/>
      <c r="EBL42" s="515"/>
      <c r="EBM42" s="1207"/>
      <c r="EBN42" s="1207"/>
      <c r="EBO42" s="1207"/>
      <c r="EBP42" s="1207"/>
      <c r="EBQ42" s="1207"/>
      <c r="EBR42" s="1207"/>
      <c r="EBS42" s="1207"/>
      <c r="EBT42" s="1207"/>
      <c r="EBU42" s="1207"/>
      <c r="EBV42" s="1207"/>
      <c r="EBW42" s="515"/>
      <c r="EBX42" s="1207"/>
      <c r="EBY42" s="1207"/>
      <c r="EBZ42" s="1207"/>
      <c r="ECA42" s="1207"/>
      <c r="ECB42" s="1207"/>
      <c r="ECC42" s="1207"/>
      <c r="ECD42" s="1207"/>
      <c r="ECE42" s="1207"/>
      <c r="ECF42" s="1207"/>
      <c r="ECG42" s="1207"/>
      <c r="ECH42" s="515"/>
      <c r="ECI42" s="1207"/>
      <c r="ECJ42" s="1207"/>
      <c r="ECK42" s="1207"/>
      <c r="ECL42" s="1207"/>
      <c r="ECM42" s="1207"/>
      <c r="ECN42" s="1207"/>
      <c r="ECO42" s="1207"/>
      <c r="ECP42" s="1207"/>
      <c r="ECQ42" s="1207"/>
      <c r="ECR42" s="1207"/>
      <c r="ECS42" s="515"/>
      <c r="ECT42" s="1207"/>
      <c r="ECU42" s="1207"/>
      <c r="ECV42" s="1207"/>
      <c r="ECW42" s="1207"/>
      <c r="ECX42" s="1207"/>
      <c r="ECY42" s="1207"/>
      <c r="ECZ42" s="1207"/>
      <c r="EDA42" s="1207"/>
      <c r="EDB42" s="1207"/>
      <c r="EDC42" s="1207"/>
      <c r="EDD42" s="515"/>
      <c r="EDE42" s="1207"/>
      <c r="EDF42" s="1207"/>
      <c r="EDG42" s="1207"/>
      <c r="EDH42" s="1207"/>
      <c r="EDI42" s="1207"/>
      <c r="EDJ42" s="1207"/>
      <c r="EDK42" s="1207"/>
      <c r="EDL42" s="1207"/>
      <c r="EDM42" s="1207"/>
      <c r="EDN42" s="1207"/>
      <c r="EDO42" s="515"/>
      <c r="EDP42" s="1207"/>
      <c r="EDQ42" s="1207"/>
      <c r="EDR42" s="1207"/>
      <c r="EDS42" s="1207"/>
      <c r="EDT42" s="1207"/>
      <c r="EDU42" s="1207"/>
      <c r="EDV42" s="1207"/>
      <c r="EDW42" s="1207"/>
      <c r="EDX42" s="1207"/>
      <c r="EDY42" s="1207"/>
      <c r="EDZ42" s="515"/>
      <c r="EEA42" s="1207"/>
      <c r="EEB42" s="1207"/>
      <c r="EEC42" s="1207"/>
      <c r="EED42" s="1207"/>
      <c r="EEE42" s="1207"/>
      <c r="EEF42" s="1207"/>
      <c r="EEG42" s="1207"/>
      <c r="EEH42" s="1207"/>
      <c r="EEI42" s="1207"/>
      <c r="EEJ42" s="1207"/>
      <c r="EEK42" s="515"/>
      <c r="EEL42" s="1207"/>
      <c r="EEM42" s="1207"/>
      <c r="EEN42" s="1207"/>
      <c r="EEO42" s="1207"/>
      <c r="EEP42" s="1207"/>
      <c r="EEQ42" s="1207"/>
      <c r="EER42" s="1207"/>
      <c r="EES42" s="1207"/>
      <c r="EET42" s="1207"/>
      <c r="EEU42" s="1207"/>
      <c r="EEV42" s="515"/>
      <c r="EEW42" s="1207"/>
      <c r="EEX42" s="1207"/>
      <c r="EEY42" s="1207"/>
      <c r="EEZ42" s="1207"/>
      <c r="EFA42" s="1207"/>
      <c r="EFB42" s="1207"/>
      <c r="EFC42" s="1207"/>
      <c r="EFD42" s="1207"/>
      <c r="EFE42" s="1207"/>
      <c r="EFF42" s="1207"/>
      <c r="EFG42" s="515"/>
      <c r="EFH42" s="1207"/>
      <c r="EFI42" s="1207"/>
      <c r="EFJ42" s="1207"/>
      <c r="EFK42" s="1207"/>
      <c r="EFL42" s="1207"/>
      <c r="EFM42" s="1207"/>
      <c r="EFN42" s="1207"/>
      <c r="EFO42" s="1207"/>
      <c r="EFP42" s="1207"/>
      <c r="EFQ42" s="1207"/>
      <c r="EFR42" s="515"/>
      <c r="EFS42" s="1207"/>
      <c r="EFT42" s="1207"/>
      <c r="EFU42" s="1207"/>
      <c r="EFV42" s="1207"/>
      <c r="EFW42" s="1207"/>
      <c r="EFX42" s="1207"/>
      <c r="EFY42" s="1207"/>
      <c r="EFZ42" s="1207"/>
      <c r="EGA42" s="1207"/>
      <c r="EGB42" s="1207"/>
      <c r="EGC42" s="515"/>
      <c r="EGD42" s="1207"/>
      <c r="EGE42" s="1207"/>
      <c r="EGF42" s="1207"/>
      <c r="EGG42" s="1207"/>
      <c r="EGH42" s="1207"/>
      <c r="EGI42" s="1207"/>
      <c r="EGJ42" s="1207"/>
      <c r="EGK42" s="1207"/>
      <c r="EGL42" s="1207"/>
      <c r="EGM42" s="1207"/>
      <c r="EGN42" s="515"/>
      <c r="EGO42" s="1207"/>
      <c r="EGP42" s="1207"/>
      <c r="EGQ42" s="1207"/>
      <c r="EGR42" s="1207"/>
      <c r="EGS42" s="1207"/>
      <c r="EGT42" s="1207"/>
      <c r="EGU42" s="1207"/>
      <c r="EGV42" s="1207"/>
      <c r="EGW42" s="1207"/>
      <c r="EGX42" s="1207"/>
      <c r="EGY42" s="515"/>
      <c r="EGZ42" s="1207"/>
      <c r="EHA42" s="1207"/>
      <c r="EHB42" s="1207"/>
      <c r="EHC42" s="1207"/>
      <c r="EHD42" s="1207"/>
      <c r="EHE42" s="1207"/>
      <c r="EHF42" s="1207"/>
      <c r="EHG42" s="1207"/>
      <c r="EHH42" s="1207"/>
      <c r="EHI42" s="1207"/>
      <c r="EHJ42" s="515"/>
      <c r="EHK42" s="1207"/>
      <c r="EHL42" s="1207"/>
      <c r="EHM42" s="1207"/>
      <c r="EHN42" s="1207"/>
      <c r="EHO42" s="1207"/>
      <c r="EHP42" s="1207"/>
      <c r="EHQ42" s="1207"/>
      <c r="EHR42" s="1207"/>
      <c r="EHS42" s="1207"/>
      <c r="EHT42" s="1207"/>
      <c r="EHU42" s="515"/>
      <c r="EHV42" s="1207"/>
      <c r="EHW42" s="1207"/>
      <c r="EHX42" s="1207"/>
      <c r="EHY42" s="1207"/>
      <c r="EHZ42" s="1207"/>
      <c r="EIA42" s="1207"/>
      <c r="EIB42" s="1207"/>
      <c r="EIC42" s="1207"/>
      <c r="EID42" s="1207"/>
      <c r="EIE42" s="1207"/>
      <c r="EIF42" s="515"/>
      <c r="EIG42" s="1207"/>
      <c r="EIH42" s="1207"/>
      <c r="EII42" s="1207"/>
      <c r="EIJ42" s="1207"/>
      <c r="EIK42" s="1207"/>
      <c r="EIL42" s="1207"/>
      <c r="EIM42" s="1207"/>
      <c r="EIN42" s="1207"/>
      <c r="EIO42" s="1207"/>
      <c r="EIP42" s="1207"/>
      <c r="EIQ42" s="515"/>
      <c r="EIR42" s="1207"/>
      <c r="EIS42" s="1207"/>
      <c r="EIT42" s="1207"/>
      <c r="EIU42" s="1207"/>
      <c r="EIV42" s="1207"/>
      <c r="EIW42" s="1207"/>
      <c r="EIX42" s="1207"/>
      <c r="EIY42" s="1207"/>
      <c r="EIZ42" s="1207"/>
      <c r="EJA42" s="1207"/>
      <c r="EJB42" s="515"/>
      <c r="EJC42" s="1207"/>
      <c r="EJD42" s="1207"/>
      <c r="EJE42" s="1207"/>
      <c r="EJF42" s="1207"/>
      <c r="EJG42" s="1207"/>
      <c r="EJH42" s="1207"/>
      <c r="EJI42" s="1207"/>
      <c r="EJJ42" s="1207"/>
      <c r="EJK42" s="1207"/>
      <c r="EJL42" s="1207"/>
      <c r="EJM42" s="515"/>
      <c r="EJN42" s="1207"/>
      <c r="EJO42" s="1207"/>
      <c r="EJP42" s="1207"/>
      <c r="EJQ42" s="1207"/>
      <c r="EJR42" s="1207"/>
      <c r="EJS42" s="1207"/>
      <c r="EJT42" s="1207"/>
      <c r="EJU42" s="1207"/>
      <c r="EJV42" s="1207"/>
      <c r="EJW42" s="1207"/>
      <c r="EJX42" s="515"/>
      <c r="EJY42" s="1207"/>
      <c r="EJZ42" s="1207"/>
      <c r="EKA42" s="1207"/>
      <c r="EKB42" s="1207"/>
      <c r="EKC42" s="1207"/>
      <c r="EKD42" s="1207"/>
      <c r="EKE42" s="1207"/>
      <c r="EKF42" s="1207"/>
      <c r="EKG42" s="1207"/>
      <c r="EKH42" s="1207"/>
      <c r="EKI42" s="515"/>
      <c r="EKJ42" s="1207"/>
      <c r="EKK42" s="1207"/>
      <c r="EKL42" s="1207"/>
      <c r="EKM42" s="1207"/>
      <c r="EKN42" s="1207"/>
      <c r="EKO42" s="1207"/>
      <c r="EKP42" s="1207"/>
      <c r="EKQ42" s="1207"/>
      <c r="EKR42" s="1207"/>
      <c r="EKS42" s="1207"/>
      <c r="EKT42" s="515"/>
      <c r="EKU42" s="1207"/>
      <c r="EKV42" s="1207"/>
      <c r="EKW42" s="1207"/>
      <c r="EKX42" s="1207"/>
      <c r="EKY42" s="1207"/>
      <c r="EKZ42" s="1207"/>
      <c r="ELA42" s="1207"/>
      <c r="ELB42" s="1207"/>
      <c r="ELC42" s="1207"/>
      <c r="ELD42" s="1207"/>
      <c r="ELE42" s="515"/>
      <c r="ELF42" s="1207"/>
      <c r="ELG42" s="1207"/>
      <c r="ELH42" s="1207"/>
      <c r="ELI42" s="1207"/>
      <c r="ELJ42" s="1207"/>
      <c r="ELK42" s="1207"/>
      <c r="ELL42" s="1207"/>
      <c r="ELM42" s="1207"/>
      <c r="ELN42" s="1207"/>
      <c r="ELO42" s="1207"/>
      <c r="ELP42" s="515"/>
      <c r="ELQ42" s="1207"/>
      <c r="ELR42" s="1207"/>
      <c r="ELS42" s="1207"/>
      <c r="ELT42" s="1207"/>
      <c r="ELU42" s="1207"/>
      <c r="ELV42" s="1207"/>
      <c r="ELW42" s="1207"/>
      <c r="ELX42" s="1207"/>
      <c r="ELY42" s="1207"/>
      <c r="ELZ42" s="1207"/>
      <c r="EMA42" s="515"/>
      <c r="EMB42" s="1207"/>
      <c r="EMC42" s="1207"/>
      <c r="EMD42" s="1207"/>
      <c r="EME42" s="1207"/>
      <c r="EMF42" s="1207"/>
      <c r="EMG42" s="1207"/>
      <c r="EMH42" s="1207"/>
      <c r="EMI42" s="1207"/>
      <c r="EMJ42" s="1207"/>
      <c r="EMK42" s="1207"/>
      <c r="EML42" s="515"/>
      <c r="EMM42" s="1207"/>
      <c r="EMN42" s="1207"/>
      <c r="EMO42" s="1207"/>
      <c r="EMP42" s="1207"/>
      <c r="EMQ42" s="1207"/>
      <c r="EMR42" s="1207"/>
      <c r="EMS42" s="1207"/>
      <c r="EMT42" s="1207"/>
      <c r="EMU42" s="1207"/>
      <c r="EMV42" s="1207"/>
      <c r="EMW42" s="515"/>
      <c r="EMX42" s="1207"/>
      <c r="EMY42" s="1207"/>
      <c r="EMZ42" s="1207"/>
      <c r="ENA42" s="1207"/>
      <c r="ENB42" s="1207"/>
      <c r="ENC42" s="1207"/>
      <c r="END42" s="1207"/>
      <c r="ENE42" s="1207"/>
      <c r="ENF42" s="1207"/>
      <c r="ENG42" s="1207"/>
      <c r="ENH42" s="515"/>
      <c r="ENI42" s="1207"/>
      <c r="ENJ42" s="1207"/>
      <c r="ENK42" s="1207"/>
      <c r="ENL42" s="1207"/>
      <c r="ENM42" s="1207"/>
      <c r="ENN42" s="1207"/>
      <c r="ENO42" s="1207"/>
      <c r="ENP42" s="1207"/>
      <c r="ENQ42" s="1207"/>
      <c r="ENR42" s="1207"/>
      <c r="ENS42" s="515"/>
      <c r="ENT42" s="1207"/>
      <c r="ENU42" s="1207"/>
      <c r="ENV42" s="1207"/>
      <c r="ENW42" s="1207"/>
      <c r="ENX42" s="1207"/>
      <c r="ENY42" s="1207"/>
      <c r="ENZ42" s="1207"/>
      <c r="EOA42" s="1207"/>
      <c r="EOB42" s="1207"/>
      <c r="EOC42" s="1207"/>
      <c r="EOD42" s="515"/>
      <c r="EOE42" s="1207"/>
      <c r="EOF42" s="1207"/>
      <c r="EOG42" s="1207"/>
      <c r="EOH42" s="1207"/>
      <c r="EOI42" s="1207"/>
      <c r="EOJ42" s="1207"/>
      <c r="EOK42" s="1207"/>
      <c r="EOL42" s="1207"/>
      <c r="EOM42" s="1207"/>
      <c r="EON42" s="1207"/>
      <c r="EOO42" s="515"/>
      <c r="EOP42" s="1207"/>
      <c r="EOQ42" s="1207"/>
      <c r="EOR42" s="1207"/>
      <c r="EOS42" s="1207"/>
      <c r="EOT42" s="1207"/>
      <c r="EOU42" s="1207"/>
      <c r="EOV42" s="1207"/>
      <c r="EOW42" s="1207"/>
      <c r="EOX42" s="1207"/>
      <c r="EOY42" s="1207"/>
      <c r="EOZ42" s="515"/>
      <c r="EPA42" s="1207"/>
      <c r="EPB42" s="1207"/>
      <c r="EPC42" s="1207"/>
      <c r="EPD42" s="1207"/>
      <c r="EPE42" s="1207"/>
      <c r="EPF42" s="1207"/>
      <c r="EPG42" s="1207"/>
      <c r="EPH42" s="1207"/>
      <c r="EPI42" s="1207"/>
      <c r="EPJ42" s="1207"/>
      <c r="EPK42" s="515"/>
      <c r="EPL42" s="1207"/>
      <c r="EPM42" s="1207"/>
      <c r="EPN42" s="1207"/>
      <c r="EPO42" s="1207"/>
      <c r="EPP42" s="1207"/>
      <c r="EPQ42" s="1207"/>
      <c r="EPR42" s="1207"/>
      <c r="EPS42" s="1207"/>
      <c r="EPT42" s="1207"/>
      <c r="EPU42" s="1207"/>
      <c r="EPV42" s="515"/>
      <c r="EPW42" s="1207"/>
      <c r="EPX42" s="1207"/>
      <c r="EPY42" s="1207"/>
      <c r="EPZ42" s="1207"/>
      <c r="EQA42" s="1207"/>
      <c r="EQB42" s="1207"/>
      <c r="EQC42" s="1207"/>
      <c r="EQD42" s="1207"/>
      <c r="EQE42" s="1207"/>
      <c r="EQF42" s="1207"/>
      <c r="EQG42" s="515"/>
      <c r="EQH42" s="1207"/>
      <c r="EQI42" s="1207"/>
      <c r="EQJ42" s="1207"/>
      <c r="EQK42" s="1207"/>
      <c r="EQL42" s="1207"/>
      <c r="EQM42" s="1207"/>
      <c r="EQN42" s="1207"/>
      <c r="EQO42" s="1207"/>
      <c r="EQP42" s="1207"/>
      <c r="EQQ42" s="1207"/>
      <c r="EQR42" s="515"/>
      <c r="EQS42" s="1207"/>
      <c r="EQT42" s="1207"/>
      <c r="EQU42" s="1207"/>
      <c r="EQV42" s="1207"/>
      <c r="EQW42" s="1207"/>
      <c r="EQX42" s="1207"/>
      <c r="EQY42" s="1207"/>
      <c r="EQZ42" s="1207"/>
      <c r="ERA42" s="1207"/>
      <c r="ERB42" s="1207"/>
      <c r="ERC42" s="515"/>
      <c r="ERD42" s="1207"/>
      <c r="ERE42" s="1207"/>
      <c r="ERF42" s="1207"/>
      <c r="ERG42" s="1207"/>
      <c r="ERH42" s="1207"/>
      <c r="ERI42" s="1207"/>
      <c r="ERJ42" s="1207"/>
      <c r="ERK42" s="1207"/>
      <c r="ERL42" s="1207"/>
      <c r="ERM42" s="1207"/>
      <c r="ERN42" s="515"/>
      <c r="ERO42" s="1207"/>
      <c r="ERP42" s="1207"/>
      <c r="ERQ42" s="1207"/>
      <c r="ERR42" s="1207"/>
      <c r="ERS42" s="1207"/>
      <c r="ERT42" s="1207"/>
      <c r="ERU42" s="1207"/>
      <c r="ERV42" s="1207"/>
      <c r="ERW42" s="1207"/>
      <c r="ERX42" s="1207"/>
      <c r="ERY42" s="515"/>
      <c r="ERZ42" s="1207"/>
      <c r="ESA42" s="1207"/>
      <c r="ESB42" s="1207"/>
      <c r="ESC42" s="1207"/>
      <c r="ESD42" s="1207"/>
      <c r="ESE42" s="1207"/>
      <c r="ESF42" s="1207"/>
      <c r="ESG42" s="1207"/>
      <c r="ESH42" s="1207"/>
      <c r="ESI42" s="1207"/>
      <c r="ESJ42" s="515"/>
      <c r="ESK42" s="1207"/>
      <c r="ESL42" s="1207"/>
      <c r="ESM42" s="1207"/>
      <c r="ESN42" s="1207"/>
      <c r="ESO42" s="1207"/>
      <c r="ESP42" s="1207"/>
      <c r="ESQ42" s="1207"/>
      <c r="ESR42" s="1207"/>
      <c r="ESS42" s="1207"/>
      <c r="EST42" s="1207"/>
      <c r="ESU42" s="515"/>
      <c r="ESV42" s="1207"/>
      <c r="ESW42" s="1207"/>
      <c r="ESX42" s="1207"/>
      <c r="ESY42" s="1207"/>
      <c r="ESZ42" s="1207"/>
      <c r="ETA42" s="1207"/>
      <c r="ETB42" s="1207"/>
      <c r="ETC42" s="1207"/>
      <c r="ETD42" s="1207"/>
      <c r="ETE42" s="1207"/>
      <c r="ETF42" s="515"/>
      <c r="ETG42" s="1207"/>
      <c r="ETH42" s="1207"/>
      <c r="ETI42" s="1207"/>
      <c r="ETJ42" s="1207"/>
      <c r="ETK42" s="1207"/>
      <c r="ETL42" s="1207"/>
      <c r="ETM42" s="1207"/>
      <c r="ETN42" s="1207"/>
      <c r="ETO42" s="1207"/>
      <c r="ETP42" s="1207"/>
      <c r="ETQ42" s="515"/>
      <c r="ETR42" s="1207"/>
      <c r="ETS42" s="1207"/>
      <c r="ETT42" s="1207"/>
      <c r="ETU42" s="1207"/>
      <c r="ETV42" s="1207"/>
      <c r="ETW42" s="1207"/>
      <c r="ETX42" s="1207"/>
      <c r="ETY42" s="1207"/>
      <c r="ETZ42" s="1207"/>
      <c r="EUA42" s="1207"/>
      <c r="EUB42" s="515"/>
      <c r="EUC42" s="1207"/>
      <c r="EUD42" s="1207"/>
      <c r="EUE42" s="1207"/>
      <c r="EUF42" s="1207"/>
      <c r="EUG42" s="1207"/>
      <c r="EUH42" s="1207"/>
      <c r="EUI42" s="1207"/>
      <c r="EUJ42" s="1207"/>
      <c r="EUK42" s="1207"/>
      <c r="EUL42" s="1207"/>
      <c r="EUM42" s="515"/>
      <c r="EUN42" s="1207"/>
      <c r="EUO42" s="1207"/>
      <c r="EUP42" s="1207"/>
      <c r="EUQ42" s="1207"/>
      <c r="EUR42" s="1207"/>
      <c r="EUS42" s="1207"/>
      <c r="EUT42" s="1207"/>
      <c r="EUU42" s="1207"/>
      <c r="EUV42" s="1207"/>
      <c r="EUW42" s="1207"/>
      <c r="EUX42" s="515"/>
      <c r="EUY42" s="1207"/>
      <c r="EUZ42" s="1207"/>
      <c r="EVA42" s="1207"/>
      <c r="EVB42" s="1207"/>
      <c r="EVC42" s="1207"/>
      <c r="EVD42" s="1207"/>
      <c r="EVE42" s="1207"/>
      <c r="EVF42" s="1207"/>
      <c r="EVG42" s="1207"/>
      <c r="EVH42" s="1207"/>
      <c r="EVI42" s="515"/>
      <c r="EVJ42" s="1207"/>
      <c r="EVK42" s="1207"/>
      <c r="EVL42" s="1207"/>
      <c r="EVM42" s="1207"/>
      <c r="EVN42" s="1207"/>
      <c r="EVO42" s="1207"/>
      <c r="EVP42" s="1207"/>
      <c r="EVQ42" s="1207"/>
      <c r="EVR42" s="1207"/>
      <c r="EVS42" s="1207"/>
      <c r="EVT42" s="515"/>
      <c r="EVU42" s="1207"/>
      <c r="EVV42" s="1207"/>
      <c r="EVW42" s="1207"/>
      <c r="EVX42" s="1207"/>
      <c r="EVY42" s="1207"/>
      <c r="EVZ42" s="1207"/>
      <c r="EWA42" s="1207"/>
      <c r="EWB42" s="1207"/>
      <c r="EWC42" s="1207"/>
      <c r="EWD42" s="1207"/>
      <c r="EWE42" s="515"/>
      <c r="EWF42" s="1207"/>
      <c r="EWG42" s="1207"/>
      <c r="EWH42" s="1207"/>
      <c r="EWI42" s="1207"/>
      <c r="EWJ42" s="1207"/>
      <c r="EWK42" s="1207"/>
      <c r="EWL42" s="1207"/>
      <c r="EWM42" s="1207"/>
      <c r="EWN42" s="1207"/>
      <c r="EWO42" s="1207"/>
      <c r="EWP42" s="515"/>
      <c r="EWQ42" s="1207"/>
      <c r="EWR42" s="1207"/>
      <c r="EWS42" s="1207"/>
      <c r="EWT42" s="1207"/>
      <c r="EWU42" s="1207"/>
      <c r="EWV42" s="1207"/>
      <c r="EWW42" s="1207"/>
      <c r="EWX42" s="1207"/>
      <c r="EWY42" s="1207"/>
      <c r="EWZ42" s="1207"/>
      <c r="EXA42" s="515"/>
      <c r="EXB42" s="1207"/>
      <c r="EXC42" s="1207"/>
      <c r="EXD42" s="1207"/>
      <c r="EXE42" s="1207"/>
      <c r="EXF42" s="1207"/>
      <c r="EXG42" s="1207"/>
      <c r="EXH42" s="1207"/>
      <c r="EXI42" s="1207"/>
      <c r="EXJ42" s="1207"/>
      <c r="EXK42" s="1207"/>
      <c r="EXL42" s="515"/>
      <c r="EXM42" s="1207"/>
      <c r="EXN42" s="1207"/>
      <c r="EXO42" s="1207"/>
      <c r="EXP42" s="1207"/>
      <c r="EXQ42" s="1207"/>
      <c r="EXR42" s="1207"/>
      <c r="EXS42" s="1207"/>
      <c r="EXT42" s="1207"/>
      <c r="EXU42" s="1207"/>
      <c r="EXV42" s="1207"/>
      <c r="EXW42" s="515"/>
      <c r="EXX42" s="1207"/>
      <c r="EXY42" s="1207"/>
      <c r="EXZ42" s="1207"/>
      <c r="EYA42" s="1207"/>
      <c r="EYB42" s="1207"/>
      <c r="EYC42" s="1207"/>
      <c r="EYD42" s="1207"/>
      <c r="EYE42" s="1207"/>
      <c r="EYF42" s="1207"/>
      <c r="EYG42" s="1207"/>
      <c r="EYH42" s="515"/>
      <c r="EYI42" s="1207"/>
      <c r="EYJ42" s="1207"/>
      <c r="EYK42" s="1207"/>
      <c r="EYL42" s="1207"/>
      <c r="EYM42" s="1207"/>
      <c r="EYN42" s="1207"/>
      <c r="EYO42" s="1207"/>
      <c r="EYP42" s="1207"/>
      <c r="EYQ42" s="1207"/>
      <c r="EYR42" s="1207"/>
      <c r="EYS42" s="515"/>
      <c r="EYT42" s="1207"/>
      <c r="EYU42" s="1207"/>
      <c r="EYV42" s="1207"/>
      <c r="EYW42" s="1207"/>
      <c r="EYX42" s="1207"/>
      <c r="EYY42" s="1207"/>
      <c r="EYZ42" s="1207"/>
      <c r="EZA42" s="1207"/>
      <c r="EZB42" s="1207"/>
      <c r="EZC42" s="1207"/>
      <c r="EZD42" s="515"/>
      <c r="EZE42" s="1207"/>
      <c r="EZF42" s="1207"/>
      <c r="EZG42" s="1207"/>
      <c r="EZH42" s="1207"/>
      <c r="EZI42" s="1207"/>
      <c r="EZJ42" s="1207"/>
      <c r="EZK42" s="1207"/>
      <c r="EZL42" s="1207"/>
      <c r="EZM42" s="1207"/>
      <c r="EZN42" s="1207"/>
      <c r="EZO42" s="515"/>
      <c r="EZP42" s="1207"/>
      <c r="EZQ42" s="1207"/>
      <c r="EZR42" s="1207"/>
      <c r="EZS42" s="1207"/>
      <c r="EZT42" s="1207"/>
      <c r="EZU42" s="1207"/>
      <c r="EZV42" s="1207"/>
      <c r="EZW42" s="1207"/>
      <c r="EZX42" s="1207"/>
      <c r="EZY42" s="1207"/>
      <c r="EZZ42" s="515"/>
      <c r="FAA42" s="1207"/>
      <c r="FAB42" s="1207"/>
      <c r="FAC42" s="1207"/>
      <c r="FAD42" s="1207"/>
      <c r="FAE42" s="1207"/>
      <c r="FAF42" s="1207"/>
      <c r="FAG42" s="1207"/>
      <c r="FAH42" s="1207"/>
      <c r="FAI42" s="1207"/>
      <c r="FAJ42" s="1207"/>
      <c r="FAK42" s="515"/>
      <c r="FAL42" s="1207"/>
      <c r="FAM42" s="1207"/>
      <c r="FAN42" s="1207"/>
      <c r="FAO42" s="1207"/>
      <c r="FAP42" s="1207"/>
      <c r="FAQ42" s="1207"/>
      <c r="FAR42" s="1207"/>
      <c r="FAS42" s="1207"/>
      <c r="FAT42" s="1207"/>
      <c r="FAU42" s="1207"/>
      <c r="FAV42" s="515"/>
      <c r="FAW42" s="1207"/>
      <c r="FAX42" s="1207"/>
      <c r="FAY42" s="1207"/>
      <c r="FAZ42" s="1207"/>
      <c r="FBA42" s="1207"/>
      <c r="FBB42" s="1207"/>
      <c r="FBC42" s="1207"/>
      <c r="FBD42" s="1207"/>
      <c r="FBE42" s="1207"/>
      <c r="FBF42" s="1207"/>
      <c r="FBG42" s="515"/>
      <c r="FBH42" s="1207"/>
      <c r="FBI42" s="1207"/>
      <c r="FBJ42" s="1207"/>
      <c r="FBK42" s="1207"/>
      <c r="FBL42" s="1207"/>
      <c r="FBM42" s="1207"/>
      <c r="FBN42" s="1207"/>
      <c r="FBO42" s="1207"/>
      <c r="FBP42" s="1207"/>
      <c r="FBQ42" s="1207"/>
      <c r="FBR42" s="515"/>
      <c r="FBS42" s="1207"/>
      <c r="FBT42" s="1207"/>
      <c r="FBU42" s="1207"/>
      <c r="FBV42" s="1207"/>
      <c r="FBW42" s="1207"/>
      <c r="FBX42" s="1207"/>
      <c r="FBY42" s="1207"/>
      <c r="FBZ42" s="1207"/>
      <c r="FCA42" s="1207"/>
      <c r="FCB42" s="1207"/>
      <c r="FCC42" s="515"/>
      <c r="FCD42" s="1207"/>
      <c r="FCE42" s="1207"/>
      <c r="FCF42" s="1207"/>
      <c r="FCG42" s="1207"/>
      <c r="FCH42" s="1207"/>
      <c r="FCI42" s="1207"/>
      <c r="FCJ42" s="1207"/>
      <c r="FCK42" s="1207"/>
      <c r="FCL42" s="1207"/>
      <c r="FCM42" s="1207"/>
      <c r="FCN42" s="515"/>
      <c r="FCO42" s="1207"/>
      <c r="FCP42" s="1207"/>
      <c r="FCQ42" s="1207"/>
      <c r="FCR42" s="1207"/>
      <c r="FCS42" s="1207"/>
      <c r="FCT42" s="1207"/>
      <c r="FCU42" s="1207"/>
      <c r="FCV42" s="1207"/>
      <c r="FCW42" s="1207"/>
      <c r="FCX42" s="1207"/>
      <c r="FCY42" s="515"/>
      <c r="FCZ42" s="1207"/>
      <c r="FDA42" s="1207"/>
      <c r="FDB42" s="1207"/>
      <c r="FDC42" s="1207"/>
      <c r="FDD42" s="1207"/>
      <c r="FDE42" s="1207"/>
      <c r="FDF42" s="1207"/>
      <c r="FDG42" s="1207"/>
      <c r="FDH42" s="1207"/>
      <c r="FDI42" s="1207"/>
      <c r="FDJ42" s="515"/>
      <c r="FDK42" s="1207"/>
      <c r="FDL42" s="1207"/>
      <c r="FDM42" s="1207"/>
      <c r="FDN42" s="1207"/>
      <c r="FDO42" s="1207"/>
      <c r="FDP42" s="1207"/>
      <c r="FDQ42" s="1207"/>
      <c r="FDR42" s="1207"/>
      <c r="FDS42" s="1207"/>
      <c r="FDT42" s="1207"/>
      <c r="FDU42" s="515"/>
      <c r="FDV42" s="1207"/>
      <c r="FDW42" s="1207"/>
      <c r="FDX42" s="1207"/>
      <c r="FDY42" s="1207"/>
      <c r="FDZ42" s="1207"/>
      <c r="FEA42" s="1207"/>
      <c r="FEB42" s="1207"/>
      <c r="FEC42" s="1207"/>
      <c r="FED42" s="1207"/>
      <c r="FEE42" s="1207"/>
      <c r="FEF42" s="515"/>
      <c r="FEG42" s="1207"/>
      <c r="FEH42" s="1207"/>
      <c r="FEI42" s="1207"/>
      <c r="FEJ42" s="1207"/>
      <c r="FEK42" s="1207"/>
      <c r="FEL42" s="1207"/>
      <c r="FEM42" s="1207"/>
      <c r="FEN42" s="1207"/>
      <c r="FEO42" s="1207"/>
      <c r="FEP42" s="1207"/>
      <c r="FEQ42" s="515"/>
      <c r="FER42" s="1207"/>
      <c r="FES42" s="1207"/>
      <c r="FET42" s="1207"/>
      <c r="FEU42" s="1207"/>
      <c r="FEV42" s="1207"/>
      <c r="FEW42" s="1207"/>
      <c r="FEX42" s="1207"/>
      <c r="FEY42" s="1207"/>
      <c r="FEZ42" s="1207"/>
      <c r="FFA42" s="1207"/>
      <c r="FFB42" s="515"/>
      <c r="FFC42" s="1207"/>
      <c r="FFD42" s="1207"/>
      <c r="FFE42" s="1207"/>
      <c r="FFF42" s="1207"/>
      <c r="FFG42" s="1207"/>
      <c r="FFH42" s="1207"/>
      <c r="FFI42" s="1207"/>
      <c r="FFJ42" s="1207"/>
      <c r="FFK42" s="1207"/>
      <c r="FFL42" s="1207"/>
      <c r="FFM42" s="515"/>
      <c r="FFN42" s="1207"/>
      <c r="FFO42" s="1207"/>
      <c r="FFP42" s="1207"/>
      <c r="FFQ42" s="1207"/>
      <c r="FFR42" s="1207"/>
      <c r="FFS42" s="1207"/>
      <c r="FFT42" s="1207"/>
      <c r="FFU42" s="1207"/>
      <c r="FFV42" s="1207"/>
      <c r="FFW42" s="1207"/>
      <c r="FFX42" s="515"/>
      <c r="FFY42" s="1207"/>
      <c r="FFZ42" s="1207"/>
      <c r="FGA42" s="1207"/>
      <c r="FGB42" s="1207"/>
      <c r="FGC42" s="1207"/>
      <c r="FGD42" s="1207"/>
      <c r="FGE42" s="1207"/>
      <c r="FGF42" s="1207"/>
      <c r="FGG42" s="1207"/>
      <c r="FGH42" s="1207"/>
      <c r="FGI42" s="515"/>
      <c r="FGJ42" s="1207"/>
      <c r="FGK42" s="1207"/>
      <c r="FGL42" s="1207"/>
      <c r="FGM42" s="1207"/>
      <c r="FGN42" s="1207"/>
      <c r="FGO42" s="1207"/>
      <c r="FGP42" s="1207"/>
      <c r="FGQ42" s="1207"/>
      <c r="FGR42" s="1207"/>
      <c r="FGS42" s="1207"/>
      <c r="FGT42" s="515"/>
      <c r="FGU42" s="1207"/>
      <c r="FGV42" s="1207"/>
      <c r="FGW42" s="1207"/>
      <c r="FGX42" s="1207"/>
      <c r="FGY42" s="1207"/>
      <c r="FGZ42" s="1207"/>
      <c r="FHA42" s="1207"/>
      <c r="FHB42" s="1207"/>
      <c r="FHC42" s="1207"/>
      <c r="FHD42" s="1207"/>
      <c r="FHE42" s="515"/>
      <c r="FHF42" s="1207"/>
      <c r="FHG42" s="1207"/>
      <c r="FHH42" s="1207"/>
      <c r="FHI42" s="1207"/>
      <c r="FHJ42" s="1207"/>
      <c r="FHK42" s="1207"/>
      <c r="FHL42" s="1207"/>
      <c r="FHM42" s="1207"/>
      <c r="FHN42" s="1207"/>
      <c r="FHO42" s="1207"/>
      <c r="FHP42" s="515"/>
      <c r="FHQ42" s="1207"/>
      <c r="FHR42" s="1207"/>
      <c r="FHS42" s="1207"/>
      <c r="FHT42" s="1207"/>
      <c r="FHU42" s="1207"/>
      <c r="FHV42" s="1207"/>
      <c r="FHW42" s="1207"/>
      <c r="FHX42" s="1207"/>
      <c r="FHY42" s="1207"/>
      <c r="FHZ42" s="1207"/>
      <c r="FIA42" s="515"/>
      <c r="FIB42" s="1207"/>
      <c r="FIC42" s="1207"/>
      <c r="FID42" s="1207"/>
      <c r="FIE42" s="1207"/>
      <c r="FIF42" s="1207"/>
      <c r="FIG42" s="1207"/>
      <c r="FIH42" s="1207"/>
      <c r="FII42" s="1207"/>
      <c r="FIJ42" s="1207"/>
      <c r="FIK42" s="1207"/>
      <c r="FIL42" s="515"/>
      <c r="FIM42" s="1207"/>
      <c r="FIN42" s="1207"/>
      <c r="FIO42" s="1207"/>
      <c r="FIP42" s="1207"/>
      <c r="FIQ42" s="1207"/>
      <c r="FIR42" s="1207"/>
      <c r="FIS42" s="1207"/>
      <c r="FIT42" s="1207"/>
      <c r="FIU42" s="1207"/>
      <c r="FIV42" s="1207"/>
      <c r="FIW42" s="515"/>
      <c r="FIX42" s="1207"/>
      <c r="FIY42" s="1207"/>
      <c r="FIZ42" s="1207"/>
      <c r="FJA42" s="1207"/>
      <c r="FJB42" s="1207"/>
      <c r="FJC42" s="1207"/>
      <c r="FJD42" s="1207"/>
      <c r="FJE42" s="1207"/>
      <c r="FJF42" s="1207"/>
      <c r="FJG42" s="1207"/>
      <c r="FJH42" s="515"/>
      <c r="FJI42" s="1207"/>
      <c r="FJJ42" s="1207"/>
      <c r="FJK42" s="1207"/>
      <c r="FJL42" s="1207"/>
      <c r="FJM42" s="1207"/>
      <c r="FJN42" s="1207"/>
      <c r="FJO42" s="1207"/>
      <c r="FJP42" s="1207"/>
      <c r="FJQ42" s="1207"/>
      <c r="FJR42" s="1207"/>
      <c r="FJS42" s="515"/>
      <c r="FJT42" s="1207"/>
      <c r="FJU42" s="1207"/>
      <c r="FJV42" s="1207"/>
      <c r="FJW42" s="1207"/>
      <c r="FJX42" s="1207"/>
      <c r="FJY42" s="1207"/>
      <c r="FJZ42" s="1207"/>
      <c r="FKA42" s="1207"/>
      <c r="FKB42" s="1207"/>
      <c r="FKC42" s="1207"/>
      <c r="FKD42" s="515"/>
      <c r="FKE42" s="1207"/>
      <c r="FKF42" s="1207"/>
      <c r="FKG42" s="1207"/>
      <c r="FKH42" s="1207"/>
      <c r="FKI42" s="1207"/>
      <c r="FKJ42" s="1207"/>
      <c r="FKK42" s="1207"/>
      <c r="FKL42" s="1207"/>
      <c r="FKM42" s="1207"/>
      <c r="FKN42" s="1207"/>
      <c r="FKO42" s="515"/>
      <c r="FKP42" s="1207"/>
      <c r="FKQ42" s="1207"/>
      <c r="FKR42" s="1207"/>
      <c r="FKS42" s="1207"/>
      <c r="FKT42" s="1207"/>
      <c r="FKU42" s="1207"/>
      <c r="FKV42" s="1207"/>
      <c r="FKW42" s="1207"/>
      <c r="FKX42" s="1207"/>
      <c r="FKY42" s="1207"/>
      <c r="FKZ42" s="515"/>
      <c r="FLA42" s="1207"/>
      <c r="FLB42" s="1207"/>
      <c r="FLC42" s="1207"/>
      <c r="FLD42" s="1207"/>
      <c r="FLE42" s="1207"/>
      <c r="FLF42" s="1207"/>
      <c r="FLG42" s="1207"/>
      <c r="FLH42" s="1207"/>
      <c r="FLI42" s="1207"/>
      <c r="FLJ42" s="1207"/>
      <c r="FLK42" s="515"/>
      <c r="FLL42" s="1207"/>
      <c r="FLM42" s="1207"/>
      <c r="FLN42" s="1207"/>
      <c r="FLO42" s="1207"/>
      <c r="FLP42" s="1207"/>
      <c r="FLQ42" s="1207"/>
      <c r="FLR42" s="1207"/>
      <c r="FLS42" s="1207"/>
      <c r="FLT42" s="1207"/>
      <c r="FLU42" s="1207"/>
      <c r="FLV42" s="515"/>
      <c r="FLW42" s="1207"/>
      <c r="FLX42" s="1207"/>
      <c r="FLY42" s="1207"/>
      <c r="FLZ42" s="1207"/>
      <c r="FMA42" s="1207"/>
      <c r="FMB42" s="1207"/>
      <c r="FMC42" s="1207"/>
      <c r="FMD42" s="1207"/>
      <c r="FME42" s="1207"/>
      <c r="FMF42" s="1207"/>
      <c r="FMG42" s="515"/>
      <c r="FMH42" s="1207"/>
      <c r="FMI42" s="1207"/>
      <c r="FMJ42" s="1207"/>
      <c r="FMK42" s="1207"/>
      <c r="FML42" s="1207"/>
      <c r="FMM42" s="1207"/>
      <c r="FMN42" s="1207"/>
      <c r="FMO42" s="1207"/>
      <c r="FMP42" s="1207"/>
      <c r="FMQ42" s="1207"/>
      <c r="FMR42" s="515"/>
      <c r="FMS42" s="1207"/>
      <c r="FMT42" s="1207"/>
      <c r="FMU42" s="1207"/>
      <c r="FMV42" s="1207"/>
      <c r="FMW42" s="1207"/>
      <c r="FMX42" s="1207"/>
      <c r="FMY42" s="1207"/>
      <c r="FMZ42" s="1207"/>
      <c r="FNA42" s="1207"/>
      <c r="FNB42" s="1207"/>
      <c r="FNC42" s="515"/>
      <c r="FND42" s="1207"/>
      <c r="FNE42" s="1207"/>
      <c r="FNF42" s="1207"/>
      <c r="FNG42" s="1207"/>
      <c r="FNH42" s="1207"/>
      <c r="FNI42" s="1207"/>
      <c r="FNJ42" s="1207"/>
      <c r="FNK42" s="1207"/>
      <c r="FNL42" s="1207"/>
      <c r="FNM42" s="1207"/>
      <c r="FNN42" s="515"/>
      <c r="FNO42" s="1207"/>
      <c r="FNP42" s="1207"/>
      <c r="FNQ42" s="1207"/>
      <c r="FNR42" s="1207"/>
      <c r="FNS42" s="1207"/>
      <c r="FNT42" s="1207"/>
      <c r="FNU42" s="1207"/>
      <c r="FNV42" s="1207"/>
      <c r="FNW42" s="1207"/>
      <c r="FNX42" s="1207"/>
      <c r="FNY42" s="515"/>
      <c r="FNZ42" s="1207"/>
      <c r="FOA42" s="1207"/>
      <c r="FOB42" s="1207"/>
      <c r="FOC42" s="1207"/>
      <c r="FOD42" s="1207"/>
      <c r="FOE42" s="1207"/>
      <c r="FOF42" s="1207"/>
      <c r="FOG42" s="1207"/>
      <c r="FOH42" s="1207"/>
      <c r="FOI42" s="1207"/>
      <c r="FOJ42" s="515"/>
      <c r="FOK42" s="1207"/>
      <c r="FOL42" s="1207"/>
      <c r="FOM42" s="1207"/>
      <c r="FON42" s="1207"/>
      <c r="FOO42" s="1207"/>
      <c r="FOP42" s="1207"/>
      <c r="FOQ42" s="1207"/>
      <c r="FOR42" s="1207"/>
      <c r="FOS42" s="1207"/>
      <c r="FOT42" s="1207"/>
      <c r="FOU42" s="515"/>
      <c r="FOV42" s="1207"/>
      <c r="FOW42" s="1207"/>
      <c r="FOX42" s="1207"/>
      <c r="FOY42" s="1207"/>
      <c r="FOZ42" s="1207"/>
      <c r="FPA42" s="1207"/>
      <c r="FPB42" s="1207"/>
      <c r="FPC42" s="1207"/>
      <c r="FPD42" s="1207"/>
      <c r="FPE42" s="1207"/>
      <c r="FPF42" s="515"/>
      <c r="FPG42" s="1207"/>
      <c r="FPH42" s="1207"/>
      <c r="FPI42" s="1207"/>
      <c r="FPJ42" s="1207"/>
      <c r="FPK42" s="1207"/>
      <c r="FPL42" s="1207"/>
      <c r="FPM42" s="1207"/>
      <c r="FPN42" s="1207"/>
      <c r="FPO42" s="1207"/>
      <c r="FPP42" s="1207"/>
      <c r="FPQ42" s="515"/>
      <c r="FPR42" s="1207"/>
      <c r="FPS42" s="1207"/>
      <c r="FPT42" s="1207"/>
      <c r="FPU42" s="1207"/>
      <c r="FPV42" s="1207"/>
      <c r="FPW42" s="1207"/>
      <c r="FPX42" s="1207"/>
      <c r="FPY42" s="1207"/>
      <c r="FPZ42" s="1207"/>
      <c r="FQA42" s="1207"/>
      <c r="FQB42" s="515"/>
      <c r="FQC42" s="1207"/>
      <c r="FQD42" s="1207"/>
      <c r="FQE42" s="1207"/>
      <c r="FQF42" s="1207"/>
      <c r="FQG42" s="1207"/>
      <c r="FQH42" s="1207"/>
      <c r="FQI42" s="1207"/>
      <c r="FQJ42" s="1207"/>
      <c r="FQK42" s="1207"/>
      <c r="FQL42" s="1207"/>
      <c r="FQM42" s="515"/>
      <c r="FQN42" s="1207"/>
      <c r="FQO42" s="1207"/>
      <c r="FQP42" s="1207"/>
      <c r="FQQ42" s="1207"/>
      <c r="FQR42" s="1207"/>
      <c r="FQS42" s="1207"/>
      <c r="FQT42" s="1207"/>
      <c r="FQU42" s="1207"/>
      <c r="FQV42" s="1207"/>
      <c r="FQW42" s="1207"/>
      <c r="FQX42" s="515"/>
      <c r="FQY42" s="1207"/>
      <c r="FQZ42" s="1207"/>
      <c r="FRA42" s="1207"/>
      <c r="FRB42" s="1207"/>
      <c r="FRC42" s="1207"/>
      <c r="FRD42" s="1207"/>
      <c r="FRE42" s="1207"/>
      <c r="FRF42" s="1207"/>
      <c r="FRG42" s="1207"/>
      <c r="FRH42" s="1207"/>
      <c r="FRI42" s="515"/>
      <c r="FRJ42" s="1207"/>
      <c r="FRK42" s="1207"/>
      <c r="FRL42" s="1207"/>
      <c r="FRM42" s="1207"/>
      <c r="FRN42" s="1207"/>
      <c r="FRO42" s="1207"/>
      <c r="FRP42" s="1207"/>
      <c r="FRQ42" s="1207"/>
      <c r="FRR42" s="1207"/>
      <c r="FRS42" s="1207"/>
      <c r="FRT42" s="515"/>
      <c r="FRU42" s="1207"/>
      <c r="FRV42" s="1207"/>
      <c r="FRW42" s="1207"/>
      <c r="FRX42" s="1207"/>
      <c r="FRY42" s="1207"/>
      <c r="FRZ42" s="1207"/>
      <c r="FSA42" s="1207"/>
      <c r="FSB42" s="1207"/>
      <c r="FSC42" s="1207"/>
      <c r="FSD42" s="1207"/>
      <c r="FSE42" s="515"/>
      <c r="FSF42" s="1207"/>
      <c r="FSG42" s="1207"/>
      <c r="FSH42" s="1207"/>
      <c r="FSI42" s="1207"/>
      <c r="FSJ42" s="1207"/>
      <c r="FSK42" s="1207"/>
      <c r="FSL42" s="1207"/>
      <c r="FSM42" s="1207"/>
      <c r="FSN42" s="1207"/>
      <c r="FSO42" s="1207"/>
      <c r="FSP42" s="515"/>
      <c r="FSQ42" s="1207"/>
      <c r="FSR42" s="1207"/>
      <c r="FSS42" s="1207"/>
      <c r="FST42" s="1207"/>
      <c r="FSU42" s="1207"/>
      <c r="FSV42" s="1207"/>
      <c r="FSW42" s="1207"/>
      <c r="FSX42" s="1207"/>
      <c r="FSY42" s="1207"/>
      <c r="FSZ42" s="1207"/>
      <c r="FTA42" s="515"/>
      <c r="FTB42" s="1207"/>
      <c r="FTC42" s="1207"/>
      <c r="FTD42" s="1207"/>
      <c r="FTE42" s="1207"/>
      <c r="FTF42" s="1207"/>
      <c r="FTG42" s="1207"/>
      <c r="FTH42" s="1207"/>
      <c r="FTI42" s="1207"/>
      <c r="FTJ42" s="1207"/>
      <c r="FTK42" s="1207"/>
      <c r="FTL42" s="515"/>
      <c r="FTM42" s="1207"/>
      <c r="FTN42" s="1207"/>
      <c r="FTO42" s="1207"/>
      <c r="FTP42" s="1207"/>
      <c r="FTQ42" s="1207"/>
      <c r="FTR42" s="1207"/>
      <c r="FTS42" s="1207"/>
      <c r="FTT42" s="1207"/>
      <c r="FTU42" s="1207"/>
      <c r="FTV42" s="1207"/>
      <c r="FTW42" s="515"/>
      <c r="FTX42" s="1207"/>
      <c r="FTY42" s="1207"/>
      <c r="FTZ42" s="1207"/>
      <c r="FUA42" s="1207"/>
      <c r="FUB42" s="1207"/>
      <c r="FUC42" s="1207"/>
      <c r="FUD42" s="1207"/>
      <c r="FUE42" s="1207"/>
      <c r="FUF42" s="1207"/>
      <c r="FUG42" s="1207"/>
      <c r="FUH42" s="515"/>
      <c r="FUI42" s="1207"/>
      <c r="FUJ42" s="1207"/>
      <c r="FUK42" s="1207"/>
      <c r="FUL42" s="1207"/>
      <c r="FUM42" s="1207"/>
      <c r="FUN42" s="1207"/>
      <c r="FUO42" s="1207"/>
      <c r="FUP42" s="1207"/>
      <c r="FUQ42" s="1207"/>
      <c r="FUR42" s="1207"/>
      <c r="FUS42" s="515"/>
      <c r="FUT42" s="1207"/>
      <c r="FUU42" s="1207"/>
      <c r="FUV42" s="1207"/>
      <c r="FUW42" s="1207"/>
      <c r="FUX42" s="1207"/>
      <c r="FUY42" s="1207"/>
      <c r="FUZ42" s="1207"/>
      <c r="FVA42" s="1207"/>
      <c r="FVB42" s="1207"/>
      <c r="FVC42" s="1207"/>
      <c r="FVD42" s="515"/>
      <c r="FVE42" s="1207"/>
      <c r="FVF42" s="1207"/>
      <c r="FVG42" s="1207"/>
      <c r="FVH42" s="1207"/>
      <c r="FVI42" s="1207"/>
      <c r="FVJ42" s="1207"/>
      <c r="FVK42" s="1207"/>
      <c r="FVL42" s="1207"/>
      <c r="FVM42" s="1207"/>
      <c r="FVN42" s="1207"/>
      <c r="FVO42" s="515"/>
      <c r="FVP42" s="1207"/>
      <c r="FVQ42" s="1207"/>
      <c r="FVR42" s="1207"/>
      <c r="FVS42" s="1207"/>
      <c r="FVT42" s="1207"/>
      <c r="FVU42" s="1207"/>
      <c r="FVV42" s="1207"/>
      <c r="FVW42" s="1207"/>
      <c r="FVX42" s="1207"/>
      <c r="FVY42" s="1207"/>
      <c r="FVZ42" s="515"/>
      <c r="FWA42" s="1207"/>
      <c r="FWB42" s="1207"/>
      <c r="FWC42" s="1207"/>
      <c r="FWD42" s="1207"/>
      <c r="FWE42" s="1207"/>
      <c r="FWF42" s="1207"/>
      <c r="FWG42" s="1207"/>
      <c r="FWH42" s="1207"/>
      <c r="FWI42" s="1207"/>
      <c r="FWJ42" s="1207"/>
      <c r="FWK42" s="515"/>
      <c r="FWL42" s="1207"/>
      <c r="FWM42" s="1207"/>
      <c r="FWN42" s="1207"/>
      <c r="FWO42" s="1207"/>
      <c r="FWP42" s="1207"/>
      <c r="FWQ42" s="1207"/>
      <c r="FWR42" s="1207"/>
      <c r="FWS42" s="1207"/>
      <c r="FWT42" s="1207"/>
      <c r="FWU42" s="1207"/>
      <c r="FWV42" s="515"/>
      <c r="FWW42" s="1207"/>
      <c r="FWX42" s="1207"/>
      <c r="FWY42" s="1207"/>
      <c r="FWZ42" s="1207"/>
      <c r="FXA42" s="1207"/>
      <c r="FXB42" s="1207"/>
      <c r="FXC42" s="1207"/>
      <c r="FXD42" s="1207"/>
      <c r="FXE42" s="1207"/>
      <c r="FXF42" s="1207"/>
      <c r="FXG42" s="515"/>
      <c r="FXH42" s="1207"/>
      <c r="FXI42" s="1207"/>
      <c r="FXJ42" s="1207"/>
      <c r="FXK42" s="1207"/>
      <c r="FXL42" s="1207"/>
      <c r="FXM42" s="1207"/>
      <c r="FXN42" s="1207"/>
      <c r="FXO42" s="1207"/>
      <c r="FXP42" s="1207"/>
      <c r="FXQ42" s="1207"/>
      <c r="FXR42" s="515"/>
      <c r="FXS42" s="1207"/>
      <c r="FXT42" s="1207"/>
      <c r="FXU42" s="1207"/>
      <c r="FXV42" s="1207"/>
      <c r="FXW42" s="1207"/>
      <c r="FXX42" s="1207"/>
      <c r="FXY42" s="1207"/>
      <c r="FXZ42" s="1207"/>
      <c r="FYA42" s="1207"/>
      <c r="FYB42" s="1207"/>
      <c r="FYC42" s="515"/>
      <c r="FYD42" s="1207"/>
      <c r="FYE42" s="1207"/>
      <c r="FYF42" s="1207"/>
      <c r="FYG42" s="1207"/>
      <c r="FYH42" s="1207"/>
      <c r="FYI42" s="1207"/>
      <c r="FYJ42" s="1207"/>
      <c r="FYK42" s="1207"/>
      <c r="FYL42" s="1207"/>
      <c r="FYM42" s="1207"/>
      <c r="FYN42" s="515"/>
      <c r="FYO42" s="1207"/>
      <c r="FYP42" s="1207"/>
      <c r="FYQ42" s="1207"/>
      <c r="FYR42" s="1207"/>
      <c r="FYS42" s="1207"/>
      <c r="FYT42" s="1207"/>
      <c r="FYU42" s="1207"/>
      <c r="FYV42" s="1207"/>
      <c r="FYW42" s="1207"/>
      <c r="FYX42" s="1207"/>
      <c r="FYY42" s="515"/>
      <c r="FYZ42" s="1207"/>
      <c r="FZA42" s="1207"/>
      <c r="FZB42" s="1207"/>
      <c r="FZC42" s="1207"/>
      <c r="FZD42" s="1207"/>
      <c r="FZE42" s="1207"/>
      <c r="FZF42" s="1207"/>
      <c r="FZG42" s="1207"/>
      <c r="FZH42" s="1207"/>
      <c r="FZI42" s="1207"/>
      <c r="FZJ42" s="515"/>
      <c r="FZK42" s="1207"/>
      <c r="FZL42" s="1207"/>
      <c r="FZM42" s="1207"/>
      <c r="FZN42" s="1207"/>
      <c r="FZO42" s="1207"/>
      <c r="FZP42" s="1207"/>
      <c r="FZQ42" s="1207"/>
      <c r="FZR42" s="1207"/>
      <c r="FZS42" s="1207"/>
      <c r="FZT42" s="1207"/>
      <c r="FZU42" s="515"/>
      <c r="FZV42" s="1207"/>
      <c r="FZW42" s="1207"/>
      <c r="FZX42" s="1207"/>
      <c r="FZY42" s="1207"/>
      <c r="FZZ42" s="1207"/>
      <c r="GAA42" s="1207"/>
      <c r="GAB42" s="1207"/>
      <c r="GAC42" s="1207"/>
      <c r="GAD42" s="1207"/>
      <c r="GAE42" s="1207"/>
      <c r="GAF42" s="515"/>
      <c r="GAG42" s="1207"/>
      <c r="GAH42" s="1207"/>
      <c r="GAI42" s="1207"/>
      <c r="GAJ42" s="1207"/>
      <c r="GAK42" s="1207"/>
      <c r="GAL42" s="1207"/>
      <c r="GAM42" s="1207"/>
      <c r="GAN42" s="1207"/>
      <c r="GAO42" s="1207"/>
      <c r="GAP42" s="1207"/>
      <c r="GAQ42" s="515"/>
      <c r="GAR42" s="1207"/>
      <c r="GAS42" s="1207"/>
      <c r="GAT42" s="1207"/>
      <c r="GAU42" s="1207"/>
      <c r="GAV42" s="1207"/>
      <c r="GAW42" s="1207"/>
      <c r="GAX42" s="1207"/>
      <c r="GAY42" s="1207"/>
      <c r="GAZ42" s="1207"/>
      <c r="GBA42" s="1207"/>
      <c r="GBB42" s="515"/>
      <c r="GBC42" s="1207"/>
      <c r="GBD42" s="1207"/>
      <c r="GBE42" s="1207"/>
      <c r="GBF42" s="1207"/>
      <c r="GBG42" s="1207"/>
      <c r="GBH42" s="1207"/>
      <c r="GBI42" s="1207"/>
      <c r="GBJ42" s="1207"/>
      <c r="GBK42" s="1207"/>
      <c r="GBL42" s="1207"/>
      <c r="GBM42" s="515"/>
      <c r="GBN42" s="1207"/>
      <c r="GBO42" s="1207"/>
      <c r="GBP42" s="1207"/>
      <c r="GBQ42" s="1207"/>
      <c r="GBR42" s="1207"/>
      <c r="GBS42" s="1207"/>
      <c r="GBT42" s="1207"/>
      <c r="GBU42" s="1207"/>
      <c r="GBV42" s="1207"/>
      <c r="GBW42" s="1207"/>
      <c r="GBX42" s="515"/>
      <c r="GBY42" s="1207"/>
      <c r="GBZ42" s="1207"/>
      <c r="GCA42" s="1207"/>
      <c r="GCB42" s="1207"/>
      <c r="GCC42" s="1207"/>
      <c r="GCD42" s="1207"/>
      <c r="GCE42" s="1207"/>
      <c r="GCF42" s="1207"/>
      <c r="GCG42" s="1207"/>
      <c r="GCH42" s="1207"/>
      <c r="GCI42" s="515"/>
      <c r="GCJ42" s="1207"/>
      <c r="GCK42" s="1207"/>
      <c r="GCL42" s="1207"/>
      <c r="GCM42" s="1207"/>
      <c r="GCN42" s="1207"/>
      <c r="GCO42" s="1207"/>
      <c r="GCP42" s="1207"/>
      <c r="GCQ42" s="1207"/>
      <c r="GCR42" s="1207"/>
      <c r="GCS42" s="1207"/>
      <c r="GCT42" s="515"/>
      <c r="GCU42" s="1207"/>
      <c r="GCV42" s="1207"/>
      <c r="GCW42" s="1207"/>
      <c r="GCX42" s="1207"/>
      <c r="GCY42" s="1207"/>
      <c r="GCZ42" s="1207"/>
      <c r="GDA42" s="1207"/>
      <c r="GDB42" s="1207"/>
      <c r="GDC42" s="1207"/>
      <c r="GDD42" s="1207"/>
      <c r="GDE42" s="515"/>
      <c r="GDF42" s="1207"/>
      <c r="GDG42" s="1207"/>
      <c r="GDH42" s="1207"/>
      <c r="GDI42" s="1207"/>
      <c r="GDJ42" s="1207"/>
      <c r="GDK42" s="1207"/>
      <c r="GDL42" s="1207"/>
      <c r="GDM42" s="1207"/>
      <c r="GDN42" s="1207"/>
      <c r="GDO42" s="1207"/>
      <c r="GDP42" s="515"/>
      <c r="GDQ42" s="1207"/>
      <c r="GDR42" s="1207"/>
      <c r="GDS42" s="1207"/>
      <c r="GDT42" s="1207"/>
      <c r="GDU42" s="1207"/>
      <c r="GDV42" s="1207"/>
      <c r="GDW42" s="1207"/>
      <c r="GDX42" s="1207"/>
      <c r="GDY42" s="1207"/>
      <c r="GDZ42" s="1207"/>
      <c r="GEA42" s="515"/>
      <c r="GEB42" s="1207"/>
      <c r="GEC42" s="1207"/>
      <c r="GED42" s="1207"/>
      <c r="GEE42" s="1207"/>
      <c r="GEF42" s="1207"/>
      <c r="GEG42" s="1207"/>
      <c r="GEH42" s="1207"/>
      <c r="GEI42" s="1207"/>
      <c r="GEJ42" s="1207"/>
      <c r="GEK42" s="1207"/>
      <c r="GEL42" s="515"/>
      <c r="GEM42" s="1207"/>
      <c r="GEN42" s="1207"/>
      <c r="GEO42" s="1207"/>
      <c r="GEP42" s="1207"/>
      <c r="GEQ42" s="1207"/>
      <c r="GER42" s="1207"/>
      <c r="GES42" s="1207"/>
      <c r="GET42" s="1207"/>
      <c r="GEU42" s="1207"/>
      <c r="GEV42" s="1207"/>
      <c r="GEW42" s="515"/>
      <c r="GEX42" s="1207"/>
      <c r="GEY42" s="1207"/>
      <c r="GEZ42" s="1207"/>
      <c r="GFA42" s="1207"/>
      <c r="GFB42" s="1207"/>
      <c r="GFC42" s="1207"/>
      <c r="GFD42" s="1207"/>
      <c r="GFE42" s="1207"/>
      <c r="GFF42" s="1207"/>
      <c r="GFG42" s="1207"/>
      <c r="GFH42" s="515"/>
      <c r="GFI42" s="1207"/>
      <c r="GFJ42" s="1207"/>
      <c r="GFK42" s="1207"/>
      <c r="GFL42" s="1207"/>
      <c r="GFM42" s="1207"/>
      <c r="GFN42" s="1207"/>
      <c r="GFO42" s="1207"/>
      <c r="GFP42" s="1207"/>
      <c r="GFQ42" s="1207"/>
      <c r="GFR42" s="1207"/>
      <c r="GFS42" s="515"/>
      <c r="GFT42" s="1207"/>
      <c r="GFU42" s="1207"/>
      <c r="GFV42" s="1207"/>
      <c r="GFW42" s="1207"/>
      <c r="GFX42" s="1207"/>
      <c r="GFY42" s="1207"/>
      <c r="GFZ42" s="1207"/>
      <c r="GGA42" s="1207"/>
      <c r="GGB42" s="1207"/>
      <c r="GGC42" s="1207"/>
      <c r="GGD42" s="515"/>
      <c r="GGE42" s="1207"/>
      <c r="GGF42" s="1207"/>
      <c r="GGG42" s="1207"/>
      <c r="GGH42" s="1207"/>
      <c r="GGI42" s="1207"/>
      <c r="GGJ42" s="1207"/>
      <c r="GGK42" s="1207"/>
      <c r="GGL42" s="1207"/>
      <c r="GGM42" s="1207"/>
      <c r="GGN42" s="1207"/>
      <c r="GGO42" s="515"/>
      <c r="GGP42" s="1207"/>
      <c r="GGQ42" s="1207"/>
      <c r="GGR42" s="1207"/>
      <c r="GGS42" s="1207"/>
      <c r="GGT42" s="1207"/>
      <c r="GGU42" s="1207"/>
      <c r="GGV42" s="1207"/>
      <c r="GGW42" s="1207"/>
      <c r="GGX42" s="1207"/>
      <c r="GGY42" s="1207"/>
      <c r="GGZ42" s="515"/>
      <c r="GHA42" s="1207"/>
      <c r="GHB42" s="1207"/>
      <c r="GHC42" s="1207"/>
      <c r="GHD42" s="1207"/>
      <c r="GHE42" s="1207"/>
      <c r="GHF42" s="1207"/>
      <c r="GHG42" s="1207"/>
      <c r="GHH42" s="1207"/>
      <c r="GHI42" s="1207"/>
      <c r="GHJ42" s="1207"/>
      <c r="GHK42" s="515"/>
      <c r="GHL42" s="1207"/>
      <c r="GHM42" s="1207"/>
      <c r="GHN42" s="1207"/>
      <c r="GHO42" s="1207"/>
      <c r="GHP42" s="1207"/>
      <c r="GHQ42" s="1207"/>
      <c r="GHR42" s="1207"/>
      <c r="GHS42" s="1207"/>
      <c r="GHT42" s="1207"/>
      <c r="GHU42" s="1207"/>
      <c r="GHV42" s="515"/>
      <c r="GHW42" s="1207"/>
      <c r="GHX42" s="1207"/>
      <c r="GHY42" s="1207"/>
      <c r="GHZ42" s="1207"/>
      <c r="GIA42" s="1207"/>
      <c r="GIB42" s="1207"/>
      <c r="GIC42" s="1207"/>
      <c r="GID42" s="1207"/>
      <c r="GIE42" s="1207"/>
      <c r="GIF42" s="1207"/>
      <c r="GIG42" s="515"/>
      <c r="GIH42" s="1207"/>
      <c r="GII42" s="1207"/>
      <c r="GIJ42" s="1207"/>
      <c r="GIK42" s="1207"/>
      <c r="GIL42" s="1207"/>
      <c r="GIM42" s="1207"/>
      <c r="GIN42" s="1207"/>
      <c r="GIO42" s="1207"/>
      <c r="GIP42" s="1207"/>
      <c r="GIQ42" s="1207"/>
      <c r="GIR42" s="515"/>
      <c r="GIS42" s="1207"/>
      <c r="GIT42" s="1207"/>
      <c r="GIU42" s="1207"/>
      <c r="GIV42" s="1207"/>
      <c r="GIW42" s="1207"/>
      <c r="GIX42" s="1207"/>
      <c r="GIY42" s="1207"/>
      <c r="GIZ42" s="1207"/>
      <c r="GJA42" s="1207"/>
      <c r="GJB42" s="1207"/>
      <c r="GJC42" s="515"/>
      <c r="GJD42" s="1207"/>
      <c r="GJE42" s="1207"/>
      <c r="GJF42" s="1207"/>
      <c r="GJG42" s="1207"/>
      <c r="GJH42" s="1207"/>
      <c r="GJI42" s="1207"/>
      <c r="GJJ42" s="1207"/>
      <c r="GJK42" s="1207"/>
      <c r="GJL42" s="1207"/>
      <c r="GJM42" s="1207"/>
      <c r="GJN42" s="515"/>
      <c r="GJO42" s="1207"/>
      <c r="GJP42" s="1207"/>
      <c r="GJQ42" s="1207"/>
      <c r="GJR42" s="1207"/>
      <c r="GJS42" s="1207"/>
      <c r="GJT42" s="1207"/>
      <c r="GJU42" s="1207"/>
      <c r="GJV42" s="1207"/>
      <c r="GJW42" s="1207"/>
      <c r="GJX42" s="1207"/>
      <c r="GJY42" s="515"/>
      <c r="GJZ42" s="1207"/>
      <c r="GKA42" s="1207"/>
      <c r="GKB42" s="1207"/>
      <c r="GKC42" s="1207"/>
      <c r="GKD42" s="1207"/>
      <c r="GKE42" s="1207"/>
      <c r="GKF42" s="1207"/>
      <c r="GKG42" s="1207"/>
      <c r="GKH42" s="1207"/>
      <c r="GKI42" s="1207"/>
      <c r="GKJ42" s="515"/>
      <c r="GKK42" s="1207"/>
      <c r="GKL42" s="1207"/>
      <c r="GKM42" s="1207"/>
      <c r="GKN42" s="1207"/>
      <c r="GKO42" s="1207"/>
      <c r="GKP42" s="1207"/>
      <c r="GKQ42" s="1207"/>
      <c r="GKR42" s="1207"/>
      <c r="GKS42" s="1207"/>
      <c r="GKT42" s="1207"/>
      <c r="GKU42" s="515"/>
      <c r="GKV42" s="1207"/>
      <c r="GKW42" s="1207"/>
      <c r="GKX42" s="1207"/>
      <c r="GKY42" s="1207"/>
      <c r="GKZ42" s="1207"/>
      <c r="GLA42" s="1207"/>
      <c r="GLB42" s="1207"/>
      <c r="GLC42" s="1207"/>
      <c r="GLD42" s="1207"/>
      <c r="GLE42" s="1207"/>
      <c r="GLF42" s="515"/>
      <c r="GLG42" s="1207"/>
      <c r="GLH42" s="1207"/>
      <c r="GLI42" s="1207"/>
      <c r="GLJ42" s="1207"/>
      <c r="GLK42" s="1207"/>
      <c r="GLL42" s="1207"/>
      <c r="GLM42" s="1207"/>
      <c r="GLN42" s="1207"/>
      <c r="GLO42" s="1207"/>
      <c r="GLP42" s="1207"/>
      <c r="GLQ42" s="515"/>
      <c r="GLR42" s="1207"/>
      <c r="GLS42" s="1207"/>
      <c r="GLT42" s="1207"/>
      <c r="GLU42" s="1207"/>
      <c r="GLV42" s="1207"/>
      <c r="GLW42" s="1207"/>
      <c r="GLX42" s="1207"/>
      <c r="GLY42" s="1207"/>
      <c r="GLZ42" s="1207"/>
      <c r="GMA42" s="1207"/>
      <c r="GMB42" s="515"/>
      <c r="GMC42" s="1207"/>
      <c r="GMD42" s="1207"/>
      <c r="GME42" s="1207"/>
      <c r="GMF42" s="1207"/>
      <c r="GMG42" s="1207"/>
      <c r="GMH42" s="1207"/>
      <c r="GMI42" s="1207"/>
      <c r="GMJ42" s="1207"/>
      <c r="GMK42" s="1207"/>
      <c r="GML42" s="1207"/>
      <c r="GMM42" s="515"/>
      <c r="GMN42" s="1207"/>
      <c r="GMO42" s="1207"/>
      <c r="GMP42" s="1207"/>
      <c r="GMQ42" s="1207"/>
      <c r="GMR42" s="1207"/>
      <c r="GMS42" s="1207"/>
      <c r="GMT42" s="1207"/>
      <c r="GMU42" s="1207"/>
      <c r="GMV42" s="1207"/>
      <c r="GMW42" s="1207"/>
      <c r="GMX42" s="515"/>
      <c r="GMY42" s="1207"/>
      <c r="GMZ42" s="1207"/>
      <c r="GNA42" s="1207"/>
      <c r="GNB42" s="1207"/>
      <c r="GNC42" s="1207"/>
      <c r="GND42" s="1207"/>
      <c r="GNE42" s="1207"/>
      <c r="GNF42" s="1207"/>
      <c r="GNG42" s="1207"/>
      <c r="GNH42" s="1207"/>
      <c r="GNI42" s="515"/>
      <c r="GNJ42" s="1207"/>
      <c r="GNK42" s="1207"/>
      <c r="GNL42" s="1207"/>
      <c r="GNM42" s="1207"/>
      <c r="GNN42" s="1207"/>
      <c r="GNO42" s="1207"/>
      <c r="GNP42" s="1207"/>
      <c r="GNQ42" s="1207"/>
      <c r="GNR42" s="1207"/>
      <c r="GNS42" s="1207"/>
      <c r="GNT42" s="515"/>
      <c r="GNU42" s="1207"/>
      <c r="GNV42" s="1207"/>
      <c r="GNW42" s="1207"/>
      <c r="GNX42" s="1207"/>
      <c r="GNY42" s="1207"/>
      <c r="GNZ42" s="1207"/>
      <c r="GOA42" s="1207"/>
      <c r="GOB42" s="1207"/>
      <c r="GOC42" s="1207"/>
      <c r="GOD42" s="1207"/>
      <c r="GOE42" s="515"/>
      <c r="GOF42" s="1207"/>
      <c r="GOG42" s="1207"/>
      <c r="GOH42" s="1207"/>
      <c r="GOI42" s="1207"/>
      <c r="GOJ42" s="1207"/>
      <c r="GOK42" s="1207"/>
      <c r="GOL42" s="1207"/>
      <c r="GOM42" s="1207"/>
      <c r="GON42" s="1207"/>
      <c r="GOO42" s="1207"/>
      <c r="GOP42" s="515"/>
      <c r="GOQ42" s="1207"/>
      <c r="GOR42" s="1207"/>
      <c r="GOS42" s="1207"/>
      <c r="GOT42" s="1207"/>
      <c r="GOU42" s="1207"/>
      <c r="GOV42" s="1207"/>
      <c r="GOW42" s="1207"/>
      <c r="GOX42" s="1207"/>
      <c r="GOY42" s="1207"/>
      <c r="GOZ42" s="1207"/>
      <c r="GPA42" s="515"/>
      <c r="GPB42" s="1207"/>
      <c r="GPC42" s="1207"/>
      <c r="GPD42" s="1207"/>
      <c r="GPE42" s="1207"/>
      <c r="GPF42" s="1207"/>
      <c r="GPG42" s="1207"/>
      <c r="GPH42" s="1207"/>
      <c r="GPI42" s="1207"/>
      <c r="GPJ42" s="1207"/>
      <c r="GPK42" s="1207"/>
      <c r="GPL42" s="515"/>
      <c r="GPM42" s="1207"/>
      <c r="GPN42" s="1207"/>
      <c r="GPO42" s="1207"/>
      <c r="GPP42" s="1207"/>
      <c r="GPQ42" s="1207"/>
      <c r="GPR42" s="1207"/>
      <c r="GPS42" s="1207"/>
      <c r="GPT42" s="1207"/>
      <c r="GPU42" s="1207"/>
      <c r="GPV42" s="1207"/>
      <c r="GPW42" s="515"/>
      <c r="GPX42" s="1207"/>
      <c r="GPY42" s="1207"/>
      <c r="GPZ42" s="1207"/>
      <c r="GQA42" s="1207"/>
      <c r="GQB42" s="1207"/>
      <c r="GQC42" s="1207"/>
      <c r="GQD42" s="1207"/>
      <c r="GQE42" s="1207"/>
      <c r="GQF42" s="1207"/>
      <c r="GQG42" s="1207"/>
      <c r="GQH42" s="515"/>
      <c r="GQI42" s="1207"/>
      <c r="GQJ42" s="1207"/>
      <c r="GQK42" s="1207"/>
      <c r="GQL42" s="1207"/>
      <c r="GQM42" s="1207"/>
      <c r="GQN42" s="1207"/>
      <c r="GQO42" s="1207"/>
      <c r="GQP42" s="1207"/>
      <c r="GQQ42" s="1207"/>
      <c r="GQR42" s="1207"/>
      <c r="GQS42" s="515"/>
      <c r="GQT42" s="1207"/>
      <c r="GQU42" s="1207"/>
      <c r="GQV42" s="1207"/>
      <c r="GQW42" s="1207"/>
      <c r="GQX42" s="1207"/>
      <c r="GQY42" s="1207"/>
      <c r="GQZ42" s="1207"/>
      <c r="GRA42" s="1207"/>
      <c r="GRB42" s="1207"/>
      <c r="GRC42" s="1207"/>
      <c r="GRD42" s="515"/>
      <c r="GRE42" s="1207"/>
      <c r="GRF42" s="1207"/>
      <c r="GRG42" s="1207"/>
      <c r="GRH42" s="1207"/>
      <c r="GRI42" s="1207"/>
      <c r="GRJ42" s="1207"/>
      <c r="GRK42" s="1207"/>
      <c r="GRL42" s="1207"/>
      <c r="GRM42" s="1207"/>
      <c r="GRN42" s="1207"/>
      <c r="GRO42" s="515"/>
      <c r="GRP42" s="1207"/>
      <c r="GRQ42" s="1207"/>
      <c r="GRR42" s="1207"/>
      <c r="GRS42" s="1207"/>
      <c r="GRT42" s="1207"/>
      <c r="GRU42" s="1207"/>
      <c r="GRV42" s="1207"/>
      <c r="GRW42" s="1207"/>
      <c r="GRX42" s="1207"/>
      <c r="GRY42" s="1207"/>
      <c r="GRZ42" s="515"/>
      <c r="GSA42" s="1207"/>
      <c r="GSB42" s="1207"/>
      <c r="GSC42" s="1207"/>
      <c r="GSD42" s="1207"/>
      <c r="GSE42" s="1207"/>
      <c r="GSF42" s="1207"/>
      <c r="GSG42" s="1207"/>
      <c r="GSH42" s="1207"/>
      <c r="GSI42" s="1207"/>
      <c r="GSJ42" s="1207"/>
      <c r="GSK42" s="515"/>
      <c r="GSL42" s="1207"/>
      <c r="GSM42" s="1207"/>
      <c r="GSN42" s="1207"/>
      <c r="GSO42" s="1207"/>
      <c r="GSP42" s="1207"/>
      <c r="GSQ42" s="1207"/>
      <c r="GSR42" s="1207"/>
      <c r="GSS42" s="1207"/>
      <c r="GST42" s="1207"/>
      <c r="GSU42" s="1207"/>
      <c r="GSV42" s="515"/>
      <c r="GSW42" s="1207"/>
      <c r="GSX42" s="1207"/>
      <c r="GSY42" s="1207"/>
      <c r="GSZ42" s="1207"/>
      <c r="GTA42" s="1207"/>
      <c r="GTB42" s="1207"/>
      <c r="GTC42" s="1207"/>
      <c r="GTD42" s="1207"/>
      <c r="GTE42" s="1207"/>
      <c r="GTF42" s="1207"/>
      <c r="GTG42" s="515"/>
      <c r="GTH42" s="1207"/>
      <c r="GTI42" s="1207"/>
      <c r="GTJ42" s="1207"/>
      <c r="GTK42" s="1207"/>
      <c r="GTL42" s="1207"/>
      <c r="GTM42" s="1207"/>
      <c r="GTN42" s="1207"/>
      <c r="GTO42" s="1207"/>
      <c r="GTP42" s="1207"/>
      <c r="GTQ42" s="1207"/>
      <c r="GTR42" s="515"/>
      <c r="GTS42" s="1207"/>
      <c r="GTT42" s="1207"/>
      <c r="GTU42" s="1207"/>
      <c r="GTV42" s="1207"/>
      <c r="GTW42" s="1207"/>
      <c r="GTX42" s="1207"/>
      <c r="GTY42" s="1207"/>
      <c r="GTZ42" s="1207"/>
      <c r="GUA42" s="1207"/>
      <c r="GUB42" s="1207"/>
      <c r="GUC42" s="515"/>
      <c r="GUD42" s="1207"/>
      <c r="GUE42" s="1207"/>
      <c r="GUF42" s="1207"/>
      <c r="GUG42" s="1207"/>
      <c r="GUH42" s="1207"/>
      <c r="GUI42" s="1207"/>
      <c r="GUJ42" s="1207"/>
      <c r="GUK42" s="1207"/>
      <c r="GUL42" s="1207"/>
      <c r="GUM42" s="1207"/>
      <c r="GUN42" s="515"/>
      <c r="GUO42" s="1207"/>
      <c r="GUP42" s="1207"/>
      <c r="GUQ42" s="1207"/>
      <c r="GUR42" s="1207"/>
      <c r="GUS42" s="1207"/>
      <c r="GUT42" s="1207"/>
      <c r="GUU42" s="1207"/>
      <c r="GUV42" s="1207"/>
      <c r="GUW42" s="1207"/>
      <c r="GUX42" s="1207"/>
      <c r="GUY42" s="515"/>
      <c r="GUZ42" s="1207"/>
      <c r="GVA42" s="1207"/>
      <c r="GVB42" s="1207"/>
      <c r="GVC42" s="1207"/>
      <c r="GVD42" s="1207"/>
      <c r="GVE42" s="1207"/>
      <c r="GVF42" s="1207"/>
      <c r="GVG42" s="1207"/>
      <c r="GVH42" s="1207"/>
      <c r="GVI42" s="1207"/>
      <c r="GVJ42" s="515"/>
      <c r="GVK42" s="1207"/>
      <c r="GVL42" s="1207"/>
      <c r="GVM42" s="1207"/>
      <c r="GVN42" s="1207"/>
      <c r="GVO42" s="1207"/>
      <c r="GVP42" s="1207"/>
      <c r="GVQ42" s="1207"/>
      <c r="GVR42" s="1207"/>
      <c r="GVS42" s="1207"/>
      <c r="GVT42" s="1207"/>
      <c r="GVU42" s="515"/>
      <c r="GVV42" s="1207"/>
      <c r="GVW42" s="1207"/>
      <c r="GVX42" s="1207"/>
      <c r="GVY42" s="1207"/>
      <c r="GVZ42" s="1207"/>
      <c r="GWA42" s="1207"/>
      <c r="GWB42" s="1207"/>
      <c r="GWC42" s="1207"/>
      <c r="GWD42" s="1207"/>
      <c r="GWE42" s="1207"/>
      <c r="GWF42" s="515"/>
      <c r="GWG42" s="1207"/>
      <c r="GWH42" s="1207"/>
      <c r="GWI42" s="1207"/>
      <c r="GWJ42" s="1207"/>
      <c r="GWK42" s="1207"/>
      <c r="GWL42" s="1207"/>
      <c r="GWM42" s="1207"/>
      <c r="GWN42" s="1207"/>
      <c r="GWO42" s="1207"/>
      <c r="GWP42" s="1207"/>
      <c r="GWQ42" s="515"/>
      <c r="GWR42" s="1207"/>
      <c r="GWS42" s="1207"/>
      <c r="GWT42" s="1207"/>
      <c r="GWU42" s="1207"/>
      <c r="GWV42" s="1207"/>
      <c r="GWW42" s="1207"/>
      <c r="GWX42" s="1207"/>
      <c r="GWY42" s="1207"/>
      <c r="GWZ42" s="1207"/>
      <c r="GXA42" s="1207"/>
      <c r="GXB42" s="515"/>
      <c r="GXC42" s="1207"/>
      <c r="GXD42" s="1207"/>
      <c r="GXE42" s="1207"/>
      <c r="GXF42" s="1207"/>
      <c r="GXG42" s="1207"/>
      <c r="GXH42" s="1207"/>
      <c r="GXI42" s="1207"/>
      <c r="GXJ42" s="1207"/>
      <c r="GXK42" s="1207"/>
      <c r="GXL42" s="1207"/>
      <c r="GXM42" s="515"/>
      <c r="GXN42" s="1207"/>
      <c r="GXO42" s="1207"/>
      <c r="GXP42" s="1207"/>
      <c r="GXQ42" s="1207"/>
      <c r="GXR42" s="1207"/>
      <c r="GXS42" s="1207"/>
      <c r="GXT42" s="1207"/>
      <c r="GXU42" s="1207"/>
      <c r="GXV42" s="1207"/>
      <c r="GXW42" s="1207"/>
      <c r="GXX42" s="515"/>
      <c r="GXY42" s="1207"/>
      <c r="GXZ42" s="1207"/>
      <c r="GYA42" s="1207"/>
      <c r="GYB42" s="1207"/>
      <c r="GYC42" s="1207"/>
      <c r="GYD42" s="1207"/>
      <c r="GYE42" s="1207"/>
      <c r="GYF42" s="1207"/>
      <c r="GYG42" s="1207"/>
      <c r="GYH42" s="1207"/>
      <c r="GYI42" s="515"/>
      <c r="GYJ42" s="1207"/>
      <c r="GYK42" s="1207"/>
      <c r="GYL42" s="1207"/>
      <c r="GYM42" s="1207"/>
      <c r="GYN42" s="1207"/>
      <c r="GYO42" s="1207"/>
      <c r="GYP42" s="1207"/>
      <c r="GYQ42" s="1207"/>
      <c r="GYR42" s="1207"/>
      <c r="GYS42" s="1207"/>
      <c r="GYT42" s="515"/>
      <c r="GYU42" s="1207"/>
      <c r="GYV42" s="1207"/>
      <c r="GYW42" s="1207"/>
      <c r="GYX42" s="1207"/>
      <c r="GYY42" s="1207"/>
      <c r="GYZ42" s="1207"/>
      <c r="GZA42" s="1207"/>
      <c r="GZB42" s="1207"/>
      <c r="GZC42" s="1207"/>
      <c r="GZD42" s="1207"/>
      <c r="GZE42" s="515"/>
      <c r="GZF42" s="1207"/>
      <c r="GZG42" s="1207"/>
      <c r="GZH42" s="1207"/>
      <c r="GZI42" s="1207"/>
      <c r="GZJ42" s="1207"/>
      <c r="GZK42" s="1207"/>
      <c r="GZL42" s="1207"/>
      <c r="GZM42" s="1207"/>
      <c r="GZN42" s="1207"/>
      <c r="GZO42" s="1207"/>
      <c r="GZP42" s="515"/>
      <c r="GZQ42" s="1207"/>
      <c r="GZR42" s="1207"/>
      <c r="GZS42" s="1207"/>
      <c r="GZT42" s="1207"/>
      <c r="GZU42" s="1207"/>
      <c r="GZV42" s="1207"/>
      <c r="GZW42" s="1207"/>
      <c r="GZX42" s="1207"/>
      <c r="GZY42" s="1207"/>
      <c r="GZZ42" s="1207"/>
      <c r="HAA42" s="515"/>
      <c r="HAB42" s="1207"/>
      <c r="HAC42" s="1207"/>
      <c r="HAD42" s="1207"/>
      <c r="HAE42" s="1207"/>
      <c r="HAF42" s="1207"/>
      <c r="HAG42" s="1207"/>
      <c r="HAH42" s="1207"/>
      <c r="HAI42" s="1207"/>
      <c r="HAJ42" s="1207"/>
      <c r="HAK42" s="1207"/>
      <c r="HAL42" s="515"/>
      <c r="HAM42" s="1207"/>
      <c r="HAN42" s="1207"/>
      <c r="HAO42" s="1207"/>
      <c r="HAP42" s="1207"/>
      <c r="HAQ42" s="1207"/>
      <c r="HAR42" s="1207"/>
      <c r="HAS42" s="1207"/>
      <c r="HAT42" s="1207"/>
      <c r="HAU42" s="1207"/>
      <c r="HAV42" s="1207"/>
      <c r="HAW42" s="515"/>
      <c r="HAX42" s="1207"/>
      <c r="HAY42" s="1207"/>
      <c r="HAZ42" s="1207"/>
      <c r="HBA42" s="1207"/>
      <c r="HBB42" s="1207"/>
      <c r="HBC42" s="1207"/>
      <c r="HBD42" s="1207"/>
      <c r="HBE42" s="1207"/>
      <c r="HBF42" s="1207"/>
      <c r="HBG42" s="1207"/>
      <c r="HBH42" s="515"/>
      <c r="HBI42" s="1207"/>
      <c r="HBJ42" s="1207"/>
      <c r="HBK42" s="1207"/>
      <c r="HBL42" s="1207"/>
      <c r="HBM42" s="1207"/>
      <c r="HBN42" s="1207"/>
      <c r="HBO42" s="1207"/>
      <c r="HBP42" s="1207"/>
      <c r="HBQ42" s="1207"/>
      <c r="HBR42" s="1207"/>
      <c r="HBS42" s="515"/>
      <c r="HBT42" s="1207"/>
      <c r="HBU42" s="1207"/>
      <c r="HBV42" s="1207"/>
      <c r="HBW42" s="1207"/>
      <c r="HBX42" s="1207"/>
      <c r="HBY42" s="1207"/>
      <c r="HBZ42" s="1207"/>
      <c r="HCA42" s="1207"/>
      <c r="HCB42" s="1207"/>
      <c r="HCC42" s="1207"/>
      <c r="HCD42" s="515"/>
      <c r="HCE42" s="1207"/>
      <c r="HCF42" s="1207"/>
      <c r="HCG42" s="1207"/>
      <c r="HCH42" s="1207"/>
      <c r="HCI42" s="1207"/>
      <c r="HCJ42" s="1207"/>
      <c r="HCK42" s="1207"/>
      <c r="HCL42" s="1207"/>
      <c r="HCM42" s="1207"/>
      <c r="HCN42" s="1207"/>
      <c r="HCO42" s="515"/>
      <c r="HCP42" s="1207"/>
      <c r="HCQ42" s="1207"/>
      <c r="HCR42" s="1207"/>
      <c r="HCS42" s="1207"/>
      <c r="HCT42" s="1207"/>
      <c r="HCU42" s="1207"/>
      <c r="HCV42" s="1207"/>
      <c r="HCW42" s="1207"/>
      <c r="HCX42" s="1207"/>
      <c r="HCY42" s="1207"/>
      <c r="HCZ42" s="515"/>
      <c r="HDA42" s="1207"/>
      <c r="HDB42" s="1207"/>
      <c r="HDC42" s="1207"/>
      <c r="HDD42" s="1207"/>
      <c r="HDE42" s="1207"/>
      <c r="HDF42" s="1207"/>
      <c r="HDG42" s="1207"/>
      <c r="HDH42" s="1207"/>
      <c r="HDI42" s="1207"/>
      <c r="HDJ42" s="1207"/>
      <c r="HDK42" s="515"/>
      <c r="HDL42" s="1207"/>
      <c r="HDM42" s="1207"/>
      <c r="HDN42" s="1207"/>
      <c r="HDO42" s="1207"/>
      <c r="HDP42" s="1207"/>
      <c r="HDQ42" s="1207"/>
      <c r="HDR42" s="1207"/>
      <c r="HDS42" s="1207"/>
      <c r="HDT42" s="1207"/>
      <c r="HDU42" s="1207"/>
      <c r="HDV42" s="515"/>
      <c r="HDW42" s="1207"/>
      <c r="HDX42" s="1207"/>
      <c r="HDY42" s="1207"/>
      <c r="HDZ42" s="1207"/>
      <c r="HEA42" s="1207"/>
      <c r="HEB42" s="1207"/>
      <c r="HEC42" s="1207"/>
      <c r="HED42" s="1207"/>
      <c r="HEE42" s="1207"/>
      <c r="HEF42" s="1207"/>
      <c r="HEG42" s="515"/>
      <c r="HEH42" s="1207"/>
      <c r="HEI42" s="1207"/>
      <c r="HEJ42" s="1207"/>
      <c r="HEK42" s="1207"/>
      <c r="HEL42" s="1207"/>
      <c r="HEM42" s="1207"/>
      <c r="HEN42" s="1207"/>
      <c r="HEO42" s="1207"/>
      <c r="HEP42" s="1207"/>
      <c r="HEQ42" s="1207"/>
      <c r="HER42" s="515"/>
      <c r="HES42" s="1207"/>
      <c r="HET42" s="1207"/>
      <c r="HEU42" s="1207"/>
      <c r="HEV42" s="1207"/>
      <c r="HEW42" s="1207"/>
      <c r="HEX42" s="1207"/>
      <c r="HEY42" s="1207"/>
      <c r="HEZ42" s="1207"/>
      <c r="HFA42" s="1207"/>
      <c r="HFB42" s="1207"/>
      <c r="HFC42" s="515"/>
      <c r="HFD42" s="1207"/>
      <c r="HFE42" s="1207"/>
      <c r="HFF42" s="1207"/>
      <c r="HFG42" s="1207"/>
      <c r="HFH42" s="1207"/>
      <c r="HFI42" s="1207"/>
      <c r="HFJ42" s="1207"/>
      <c r="HFK42" s="1207"/>
      <c r="HFL42" s="1207"/>
      <c r="HFM42" s="1207"/>
      <c r="HFN42" s="515"/>
      <c r="HFO42" s="1207"/>
      <c r="HFP42" s="1207"/>
      <c r="HFQ42" s="1207"/>
      <c r="HFR42" s="1207"/>
      <c r="HFS42" s="1207"/>
      <c r="HFT42" s="1207"/>
      <c r="HFU42" s="1207"/>
      <c r="HFV42" s="1207"/>
      <c r="HFW42" s="1207"/>
      <c r="HFX42" s="1207"/>
      <c r="HFY42" s="515"/>
      <c r="HFZ42" s="1207"/>
      <c r="HGA42" s="1207"/>
      <c r="HGB42" s="1207"/>
      <c r="HGC42" s="1207"/>
      <c r="HGD42" s="1207"/>
      <c r="HGE42" s="1207"/>
      <c r="HGF42" s="1207"/>
      <c r="HGG42" s="1207"/>
      <c r="HGH42" s="1207"/>
      <c r="HGI42" s="1207"/>
      <c r="HGJ42" s="515"/>
      <c r="HGK42" s="1207"/>
      <c r="HGL42" s="1207"/>
      <c r="HGM42" s="1207"/>
      <c r="HGN42" s="1207"/>
      <c r="HGO42" s="1207"/>
      <c r="HGP42" s="1207"/>
      <c r="HGQ42" s="1207"/>
      <c r="HGR42" s="1207"/>
      <c r="HGS42" s="1207"/>
      <c r="HGT42" s="1207"/>
      <c r="HGU42" s="515"/>
      <c r="HGV42" s="1207"/>
      <c r="HGW42" s="1207"/>
      <c r="HGX42" s="1207"/>
      <c r="HGY42" s="1207"/>
      <c r="HGZ42" s="1207"/>
      <c r="HHA42" s="1207"/>
      <c r="HHB42" s="1207"/>
      <c r="HHC42" s="1207"/>
      <c r="HHD42" s="1207"/>
      <c r="HHE42" s="1207"/>
      <c r="HHF42" s="515"/>
      <c r="HHG42" s="1207"/>
      <c r="HHH42" s="1207"/>
      <c r="HHI42" s="1207"/>
      <c r="HHJ42" s="1207"/>
      <c r="HHK42" s="1207"/>
      <c r="HHL42" s="1207"/>
      <c r="HHM42" s="1207"/>
      <c r="HHN42" s="1207"/>
      <c r="HHO42" s="1207"/>
      <c r="HHP42" s="1207"/>
      <c r="HHQ42" s="515"/>
      <c r="HHR42" s="1207"/>
      <c r="HHS42" s="1207"/>
      <c r="HHT42" s="1207"/>
      <c r="HHU42" s="1207"/>
      <c r="HHV42" s="1207"/>
      <c r="HHW42" s="1207"/>
      <c r="HHX42" s="1207"/>
      <c r="HHY42" s="1207"/>
      <c r="HHZ42" s="1207"/>
      <c r="HIA42" s="1207"/>
      <c r="HIB42" s="515"/>
      <c r="HIC42" s="1207"/>
      <c r="HID42" s="1207"/>
      <c r="HIE42" s="1207"/>
      <c r="HIF42" s="1207"/>
      <c r="HIG42" s="1207"/>
      <c r="HIH42" s="1207"/>
      <c r="HII42" s="1207"/>
      <c r="HIJ42" s="1207"/>
      <c r="HIK42" s="1207"/>
      <c r="HIL42" s="1207"/>
      <c r="HIM42" s="515"/>
      <c r="HIN42" s="1207"/>
      <c r="HIO42" s="1207"/>
      <c r="HIP42" s="1207"/>
      <c r="HIQ42" s="1207"/>
      <c r="HIR42" s="1207"/>
      <c r="HIS42" s="1207"/>
      <c r="HIT42" s="1207"/>
      <c r="HIU42" s="1207"/>
      <c r="HIV42" s="1207"/>
      <c r="HIW42" s="1207"/>
      <c r="HIX42" s="515"/>
      <c r="HIY42" s="1207"/>
      <c r="HIZ42" s="1207"/>
      <c r="HJA42" s="1207"/>
      <c r="HJB42" s="1207"/>
      <c r="HJC42" s="1207"/>
      <c r="HJD42" s="1207"/>
      <c r="HJE42" s="1207"/>
      <c r="HJF42" s="1207"/>
      <c r="HJG42" s="1207"/>
      <c r="HJH42" s="1207"/>
      <c r="HJI42" s="515"/>
      <c r="HJJ42" s="1207"/>
      <c r="HJK42" s="1207"/>
      <c r="HJL42" s="1207"/>
      <c r="HJM42" s="1207"/>
      <c r="HJN42" s="1207"/>
      <c r="HJO42" s="1207"/>
      <c r="HJP42" s="1207"/>
      <c r="HJQ42" s="1207"/>
      <c r="HJR42" s="1207"/>
      <c r="HJS42" s="1207"/>
      <c r="HJT42" s="515"/>
      <c r="HJU42" s="1207"/>
      <c r="HJV42" s="1207"/>
      <c r="HJW42" s="1207"/>
      <c r="HJX42" s="1207"/>
      <c r="HJY42" s="1207"/>
      <c r="HJZ42" s="1207"/>
      <c r="HKA42" s="1207"/>
      <c r="HKB42" s="1207"/>
      <c r="HKC42" s="1207"/>
      <c r="HKD42" s="1207"/>
      <c r="HKE42" s="515"/>
      <c r="HKF42" s="1207"/>
      <c r="HKG42" s="1207"/>
      <c r="HKH42" s="1207"/>
      <c r="HKI42" s="1207"/>
      <c r="HKJ42" s="1207"/>
      <c r="HKK42" s="1207"/>
      <c r="HKL42" s="1207"/>
      <c r="HKM42" s="1207"/>
      <c r="HKN42" s="1207"/>
      <c r="HKO42" s="1207"/>
      <c r="HKP42" s="515"/>
      <c r="HKQ42" s="1207"/>
      <c r="HKR42" s="1207"/>
      <c r="HKS42" s="1207"/>
      <c r="HKT42" s="1207"/>
      <c r="HKU42" s="1207"/>
      <c r="HKV42" s="1207"/>
      <c r="HKW42" s="1207"/>
      <c r="HKX42" s="1207"/>
      <c r="HKY42" s="1207"/>
      <c r="HKZ42" s="1207"/>
      <c r="HLA42" s="515"/>
      <c r="HLB42" s="1207"/>
      <c r="HLC42" s="1207"/>
      <c r="HLD42" s="1207"/>
      <c r="HLE42" s="1207"/>
      <c r="HLF42" s="1207"/>
      <c r="HLG42" s="1207"/>
      <c r="HLH42" s="1207"/>
      <c r="HLI42" s="1207"/>
      <c r="HLJ42" s="1207"/>
      <c r="HLK42" s="1207"/>
      <c r="HLL42" s="515"/>
      <c r="HLM42" s="1207"/>
      <c r="HLN42" s="1207"/>
      <c r="HLO42" s="1207"/>
      <c r="HLP42" s="1207"/>
      <c r="HLQ42" s="1207"/>
      <c r="HLR42" s="1207"/>
      <c r="HLS42" s="1207"/>
      <c r="HLT42" s="1207"/>
      <c r="HLU42" s="1207"/>
      <c r="HLV42" s="1207"/>
      <c r="HLW42" s="515"/>
      <c r="HLX42" s="1207"/>
      <c r="HLY42" s="1207"/>
      <c r="HLZ42" s="1207"/>
      <c r="HMA42" s="1207"/>
      <c r="HMB42" s="1207"/>
      <c r="HMC42" s="1207"/>
      <c r="HMD42" s="1207"/>
      <c r="HME42" s="1207"/>
      <c r="HMF42" s="1207"/>
      <c r="HMG42" s="1207"/>
      <c r="HMH42" s="515"/>
      <c r="HMI42" s="1207"/>
      <c r="HMJ42" s="1207"/>
      <c r="HMK42" s="1207"/>
      <c r="HML42" s="1207"/>
      <c r="HMM42" s="1207"/>
      <c r="HMN42" s="1207"/>
      <c r="HMO42" s="1207"/>
      <c r="HMP42" s="1207"/>
      <c r="HMQ42" s="1207"/>
      <c r="HMR42" s="1207"/>
      <c r="HMS42" s="515"/>
      <c r="HMT42" s="1207"/>
      <c r="HMU42" s="1207"/>
      <c r="HMV42" s="1207"/>
      <c r="HMW42" s="1207"/>
      <c r="HMX42" s="1207"/>
      <c r="HMY42" s="1207"/>
      <c r="HMZ42" s="1207"/>
      <c r="HNA42" s="1207"/>
      <c r="HNB42" s="1207"/>
      <c r="HNC42" s="1207"/>
      <c r="HND42" s="515"/>
      <c r="HNE42" s="1207"/>
      <c r="HNF42" s="1207"/>
      <c r="HNG42" s="1207"/>
      <c r="HNH42" s="1207"/>
      <c r="HNI42" s="1207"/>
      <c r="HNJ42" s="1207"/>
      <c r="HNK42" s="1207"/>
      <c r="HNL42" s="1207"/>
      <c r="HNM42" s="1207"/>
      <c r="HNN42" s="1207"/>
      <c r="HNO42" s="515"/>
      <c r="HNP42" s="1207"/>
      <c r="HNQ42" s="1207"/>
      <c r="HNR42" s="1207"/>
      <c r="HNS42" s="1207"/>
      <c r="HNT42" s="1207"/>
      <c r="HNU42" s="1207"/>
      <c r="HNV42" s="1207"/>
      <c r="HNW42" s="1207"/>
      <c r="HNX42" s="1207"/>
      <c r="HNY42" s="1207"/>
      <c r="HNZ42" s="515"/>
      <c r="HOA42" s="1207"/>
      <c r="HOB42" s="1207"/>
      <c r="HOC42" s="1207"/>
      <c r="HOD42" s="1207"/>
      <c r="HOE42" s="1207"/>
      <c r="HOF42" s="1207"/>
      <c r="HOG42" s="1207"/>
      <c r="HOH42" s="1207"/>
      <c r="HOI42" s="1207"/>
      <c r="HOJ42" s="1207"/>
      <c r="HOK42" s="515"/>
      <c r="HOL42" s="1207"/>
      <c r="HOM42" s="1207"/>
      <c r="HON42" s="1207"/>
      <c r="HOO42" s="1207"/>
      <c r="HOP42" s="1207"/>
      <c r="HOQ42" s="1207"/>
      <c r="HOR42" s="1207"/>
      <c r="HOS42" s="1207"/>
      <c r="HOT42" s="1207"/>
      <c r="HOU42" s="1207"/>
      <c r="HOV42" s="515"/>
      <c r="HOW42" s="1207"/>
      <c r="HOX42" s="1207"/>
      <c r="HOY42" s="1207"/>
      <c r="HOZ42" s="1207"/>
      <c r="HPA42" s="1207"/>
      <c r="HPB42" s="1207"/>
      <c r="HPC42" s="1207"/>
      <c r="HPD42" s="1207"/>
      <c r="HPE42" s="1207"/>
      <c r="HPF42" s="1207"/>
      <c r="HPG42" s="515"/>
      <c r="HPH42" s="1207"/>
      <c r="HPI42" s="1207"/>
      <c r="HPJ42" s="1207"/>
      <c r="HPK42" s="1207"/>
      <c r="HPL42" s="1207"/>
      <c r="HPM42" s="1207"/>
      <c r="HPN42" s="1207"/>
      <c r="HPO42" s="1207"/>
      <c r="HPP42" s="1207"/>
      <c r="HPQ42" s="1207"/>
      <c r="HPR42" s="515"/>
      <c r="HPS42" s="1207"/>
      <c r="HPT42" s="1207"/>
      <c r="HPU42" s="1207"/>
      <c r="HPV42" s="1207"/>
      <c r="HPW42" s="1207"/>
      <c r="HPX42" s="1207"/>
      <c r="HPY42" s="1207"/>
      <c r="HPZ42" s="1207"/>
      <c r="HQA42" s="1207"/>
      <c r="HQB42" s="1207"/>
      <c r="HQC42" s="515"/>
      <c r="HQD42" s="1207"/>
      <c r="HQE42" s="1207"/>
      <c r="HQF42" s="1207"/>
      <c r="HQG42" s="1207"/>
      <c r="HQH42" s="1207"/>
      <c r="HQI42" s="1207"/>
      <c r="HQJ42" s="1207"/>
      <c r="HQK42" s="1207"/>
      <c r="HQL42" s="1207"/>
      <c r="HQM42" s="1207"/>
      <c r="HQN42" s="515"/>
      <c r="HQO42" s="1207"/>
      <c r="HQP42" s="1207"/>
      <c r="HQQ42" s="1207"/>
      <c r="HQR42" s="1207"/>
      <c r="HQS42" s="1207"/>
      <c r="HQT42" s="1207"/>
      <c r="HQU42" s="1207"/>
      <c r="HQV42" s="1207"/>
      <c r="HQW42" s="1207"/>
      <c r="HQX42" s="1207"/>
      <c r="HQY42" s="515"/>
      <c r="HQZ42" s="1207"/>
      <c r="HRA42" s="1207"/>
      <c r="HRB42" s="1207"/>
      <c r="HRC42" s="1207"/>
      <c r="HRD42" s="1207"/>
      <c r="HRE42" s="1207"/>
      <c r="HRF42" s="1207"/>
      <c r="HRG42" s="1207"/>
      <c r="HRH42" s="1207"/>
      <c r="HRI42" s="1207"/>
      <c r="HRJ42" s="515"/>
      <c r="HRK42" s="1207"/>
      <c r="HRL42" s="1207"/>
      <c r="HRM42" s="1207"/>
      <c r="HRN42" s="1207"/>
      <c r="HRO42" s="1207"/>
      <c r="HRP42" s="1207"/>
      <c r="HRQ42" s="1207"/>
      <c r="HRR42" s="1207"/>
      <c r="HRS42" s="1207"/>
      <c r="HRT42" s="1207"/>
      <c r="HRU42" s="515"/>
      <c r="HRV42" s="1207"/>
      <c r="HRW42" s="1207"/>
      <c r="HRX42" s="1207"/>
      <c r="HRY42" s="1207"/>
      <c r="HRZ42" s="1207"/>
      <c r="HSA42" s="1207"/>
      <c r="HSB42" s="1207"/>
      <c r="HSC42" s="1207"/>
      <c r="HSD42" s="1207"/>
      <c r="HSE42" s="1207"/>
      <c r="HSF42" s="515"/>
      <c r="HSG42" s="1207"/>
      <c r="HSH42" s="1207"/>
      <c r="HSI42" s="1207"/>
      <c r="HSJ42" s="1207"/>
      <c r="HSK42" s="1207"/>
      <c r="HSL42" s="1207"/>
      <c r="HSM42" s="1207"/>
      <c r="HSN42" s="1207"/>
      <c r="HSO42" s="1207"/>
      <c r="HSP42" s="1207"/>
      <c r="HSQ42" s="515"/>
      <c r="HSR42" s="1207"/>
      <c r="HSS42" s="1207"/>
      <c r="HST42" s="1207"/>
      <c r="HSU42" s="1207"/>
      <c r="HSV42" s="1207"/>
      <c r="HSW42" s="1207"/>
      <c r="HSX42" s="1207"/>
      <c r="HSY42" s="1207"/>
      <c r="HSZ42" s="1207"/>
      <c r="HTA42" s="1207"/>
      <c r="HTB42" s="515"/>
      <c r="HTC42" s="1207"/>
      <c r="HTD42" s="1207"/>
      <c r="HTE42" s="1207"/>
      <c r="HTF42" s="1207"/>
      <c r="HTG42" s="1207"/>
      <c r="HTH42" s="1207"/>
      <c r="HTI42" s="1207"/>
      <c r="HTJ42" s="1207"/>
      <c r="HTK42" s="1207"/>
      <c r="HTL42" s="1207"/>
      <c r="HTM42" s="515"/>
      <c r="HTN42" s="1207"/>
      <c r="HTO42" s="1207"/>
      <c r="HTP42" s="1207"/>
      <c r="HTQ42" s="1207"/>
      <c r="HTR42" s="1207"/>
      <c r="HTS42" s="1207"/>
      <c r="HTT42" s="1207"/>
      <c r="HTU42" s="1207"/>
      <c r="HTV42" s="1207"/>
      <c r="HTW42" s="1207"/>
      <c r="HTX42" s="515"/>
      <c r="HTY42" s="1207"/>
      <c r="HTZ42" s="1207"/>
      <c r="HUA42" s="1207"/>
      <c r="HUB42" s="1207"/>
      <c r="HUC42" s="1207"/>
      <c r="HUD42" s="1207"/>
      <c r="HUE42" s="1207"/>
      <c r="HUF42" s="1207"/>
      <c r="HUG42" s="1207"/>
      <c r="HUH42" s="1207"/>
      <c r="HUI42" s="515"/>
      <c r="HUJ42" s="1207"/>
      <c r="HUK42" s="1207"/>
      <c r="HUL42" s="1207"/>
      <c r="HUM42" s="1207"/>
      <c r="HUN42" s="1207"/>
      <c r="HUO42" s="1207"/>
      <c r="HUP42" s="1207"/>
      <c r="HUQ42" s="1207"/>
      <c r="HUR42" s="1207"/>
      <c r="HUS42" s="1207"/>
      <c r="HUT42" s="515"/>
      <c r="HUU42" s="1207"/>
      <c r="HUV42" s="1207"/>
      <c r="HUW42" s="1207"/>
      <c r="HUX42" s="1207"/>
      <c r="HUY42" s="1207"/>
      <c r="HUZ42" s="1207"/>
      <c r="HVA42" s="1207"/>
      <c r="HVB42" s="1207"/>
      <c r="HVC42" s="1207"/>
      <c r="HVD42" s="1207"/>
      <c r="HVE42" s="515"/>
      <c r="HVF42" s="1207"/>
      <c r="HVG42" s="1207"/>
      <c r="HVH42" s="1207"/>
      <c r="HVI42" s="1207"/>
      <c r="HVJ42" s="1207"/>
      <c r="HVK42" s="1207"/>
      <c r="HVL42" s="1207"/>
      <c r="HVM42" s="1207"/>
      <c r="HVN42" s="1207"/>
      <c r="HVO42" s="1207"/>
      <c r="HVP42" s="515"/>
      <c r="HVQ42" s="1207"/>
      <c r="HVR42" s="1207"/>
      <c r="HVS42" s="1207"/>
      <c r="HVT42" s="1207"/>
      <c r="HVU42" s="1207"/>
      <c r="HVV42" s="1207"/>
      <c r="HVW42" s="1207"/>
      <c r="HVX42" s="1207"/>
      <c r="HVY42" s="1207"/>
      <c r="HVZ42" s="1207"/>
      <c r="HWA42" s="515"/>
      <c r="HWB42" s="1207"/>
      <c r="HWC42" s="1207"/>
      <c r="HWD42" s="1207"/>
      <c r="HWE42" s="1207"/>
      <c r="HWF42" s="1207"/>
      <c r="HWG42" s="1207"/>
      <c r="HWH42" s="1207"/>
      <c r="HWI42" s="1207"/>
      <c r="HWJ42" s="1207"/>
      <c r="HWK42" s="1207"/>
      <c r="HWL42" s="515"/>
      <c r="HWM42" s="1207"/>
      <c r="HWN42" s="1207"/>
      <c r="HWO42" s="1207"/>
      <c r="HWP42" s="1207"/>
      <c r="HWQ42" s="1207"/>
      <c r="HWR42" s="1207"/>
      <c r="HWS42" s="1207"/>
      <c r="HWT42" s="1207"/>
      <c r="HWU42" s="1207"/>
      <c r="HWV42" s="1207"/>
      <c r="HWW42" s="515"/>
      <c r="HWX42" s="1207"/>
      <c r="HWY42" s="1207"/>
      <c r="HWZ42" s="1207"/>
      <c r="HXA42" s="1207"/>
      <c r="HXB42" s="1207"/>
      <c r="HXC42" s="1207"/>
      <c r="HXD42" s="1207"/>
      <c r="HXE42" s="1207"/>
      <c r="HXF42" s="1207"/>
      <c r="HXG42" s="1207"/>
      <c r="HXH42" s="515"/>
      <c r="HXI42" s="1207"/>
      <c r="HXJ42" s="1207"/>
      <c r="HXK42" s="1207"/>
      <c r="HXL42" s="1207"/>
      <c r="HXM42" s="1207"/>
      <c r="HXN42" s="1207"/>
      <c r="HXO42" s="1207"/>
      <c r="HXP42" s="1207"/>
      <c r="HXQ42" s="1207"/>
      <c r="HXR42" s="1207"/>
      <c r="HXS42" s="515"/>
      <c r="HXT42" s="1207"/>
      <c r="HXU42" s="1207"/>
      <c r="HXV42" s="1207"/>
      <c r="HXW42" s="1207"/>
      <c r="HXX42" s="1207"/>
      <c r="HXY42" s="1207"/>
      <c r="HXZ42" s="1207"/>
      <c r="HYA42" s="1207"/>
      <c r="HYB42" s="1207"/>
      <c r="HYC42" s="1207"/>
      <c r="HYD42" s="515"/>
      <c r="HYE42" s="1207"/>
      <c r="HYF42" s="1207"/>
      <c r="HYG42" s="1207"/>
      <c r="HYH42" s="1207"/>
      <c r="HYI42" s="1207"/>
      <c r="HYJ42" s="1207"/>
      <c r="HYK42" s="1207"/>
      <c r="HYL42" s="1207"/>
      <c r="HYM42" s="1207"/>
      <c r="HYN42" s="1207"/>
      <c r="HYO42" s="515"/>
      <c r="HYP42" s="1207"/>
      <c r="HYQ42" s="1207"/>
      <c r="HYR42" s="1207"/>
      <c r="HYS42" s="1207"/>
      <c r="HYT42" s="1207"/>
      <c r="HYU42" s="1207"/>
      <c r="HYV42" s="1207"/>
      <c r="HYW42" s="1207"/>
      <c r="HYX42" s="1207"/>
      <c r="HYY42" s="1207"/>
      <c r="HYZ42" s="515"/>
      <c r="HZA42" s="1207"/>
      <c r="HZB42" s="1207"/>
      <c r="HZC42" s="1207"/>
      <c r="HZD42" s="1207"/>
      <c r="HZE42" s="1207"/>
      <c r="HZF42" s="1207"/>
      <c r="HZG42" s="1207"/>
      <c r="HZH42" s="1207"/>
      <c r="HZI42" s="1207"/>
      <c r="HZJ42" s="1207"/>
      <c r="HZK42" s="515"/>
      <c r="HZL42" s="1207"/>
      <c r="HZM42" s="1207"/>
      <c r="HZN42" s="1207"/>
      <c r="HZO42" s="1207"/>
      <c r="HZP42" s="1207"/>
      <c r="HZQ42" s="1207"/>
      <c r="HZR42" s="1207"/>
      <c r="HZS42" s="1207"/>
      <c r="HZT42" s="1207"/>
      <c r="HZU42" s="1207"/>
      <c r="HZV42" s="515"/>
      <c r="HZW42" s="1207"/>
      <c r="HZX42" s="1207"/>
      <c r="HZY42" s="1207"/>
      <c r="HZZ42" s="1207"/>
      <c r="IAA42" s="1207"/>
      <c r="IAB42" s="1207"/>
      <c r="IAC42" s="1207"/>
      <c r="IAD42" s="1207"/>
      <c r="IAE42" s="1207"/>
      <c r="IAF42" s="1207"/>
      <c r="IAG42" s="515"/>
      <c r="IAH42" s="1207"/>
      <c r="IAI42" s="1207"/>
      <c r="IAJ42" s="1207"/>
      <c r="IAK42" s="1207"/>
      <c r="IAL42" s="1207"/>
      <c r="IAM42" s="1207"/>
      <c r="IAN42" s="1207"/>
      <c r="IAO42" s="1207"/>
      <c r="IAP42" s="1207"/>
      <c r="IAQ42" s="1207"/>
      <c r="IAR42" s="515"/>
      <c r="IAS42" s="1207"/>
      <c r="IAT42" s="1207"/>
      <c r="IAU42" s="1207"/>
      <c r="IAV42" s="1207"/>
      <c r="IAW42" s="1207"/>
      <c r="IAX42" s="1207"/>
      <c r="IAY42" s="1207"/>
      <c r="IAZ42" s="1207"/>
      <c r="IBA42" s="1207"/>
      <c r="IBB42" s="1207"/>
      <c r="IBC42" s="515"/>
      <c r="IBD42" s="1207"/>
      <c r="IBE42" s="1207"/>
      <c r="IBF42" s="1207"/>
      <c r="IBG42" s="1207"/>
      <c r="IBH42" s="1207"/>
      <c r="IBI42" s="1207"/>
      <c r="IBJ42" s="1207"/>
      <c r="IBK42" s="1207"/>
      <c r="IBL42" s="1207"/>
      <c r="IBM42" s="1207"/>
      <c r="IBN42" s="515"/>
      <c r="IBO42" s="1207"/>
      <c r="IBP42" s="1207"/>
      <c r="IBQ42" s="1207"/>
      <c r="IBR42" s="1207"/>
      <c r="IBS42" s="1207"/>
      <c r="IBT42" s="1207"/>
      <c r="IBU42" s="1207"/>
      <c r="IBV42" s="1207"/>
      <c r="IBW42" s="1207"/>
      <c r="IBX42" s="1207"/>
      <c r="IBY42" s="515"/>
      <c r="IBZ42" s="1207"/>
      <c r="ICA42" s="1207"/>
      <c r="ICB42" s="1207"/>
      <c r="ICC42" s="1207"/>
      <c r="ICD42" s="1207"/>
      <c r="ICE42" s="1207"/>
      <c r="ICF42" s="1207"/>
      <c r="ICG42" s="1207"/>
      <c r="ICH42" s="1207"/>
      <c r="ICI42" s="1207"/>
      <c r="ICJ42" s="515"/>
      <c r="ICK42" s="1207"/>
      <c r="ICL42" s="1207"/>
      <c r="ICM42" s="1207"/>
      <c r="ICN42" s="1207"/>
      <c r="ICO42" s="1207"/>
      <c r="ICP42" s="1207"/>
      <c r="ICQ42" s="1207"/>
      <c r="ICR42" s="1207"/>
      <c r="ICS42" s="1207"/>
      <c r="ICT42" s="1207"/>
      <c r="ICU42" s="515"/>
      <c r="ICV42" s="1207"/>
      <c r="ICW42" s="1207"/>
      <c r="ICX42" s="1207"/>
      <c r="ICY42" s="1207"/>
      <c r="ICZ42" s="1207"/>
      <c r="IDA42" s="1207"/>
      <c r="IDB42" s="1207"/>
      <c r="IDC42" s="1207"/>
      <c r="IDD42" s="1207"/>
      <c r="IDE42" s="1207"/>
      <c r="IDF42" s="515"/>
      <c r="IDG42" s="1207"/>
      <c r="IDH42" s="1207"/>
      <c r="IDI42" s="1207"/>
      <c r="IDJ42" s="1207"/>
      <c r="IDK42" s="1207"/>
      <c r="IDL42" s="1207"/>
      <c r="IDM42" s="1207"/>
      <c r="IDN42" s="1207"/>
      <c r="IDO42" s="1207"/>
      <c r="IDP42" s="1207"/>
      <c r="IDQ42" s="515"/>
      <c r="IDR42" s="1207"/>
      <c r="IDS42" s="1207"/>
      <c r="IDT42" s="1207"/>
      <c r="IDU42" s="1207"/>
      <c r="IDV42" s="1207"/>
      <c r="IDW42" s="1207"/>
      <c r="IDX42" s="1207"/>
      <c r="IDY42" s="1207"/>
      <c r="IDZ42" s="1207"/>
      <c r="IEA42" s="1207"/>
      <c r="IEB42" s="515"/>
      <c r="IEC42" s="1207"/>
      <c r="IED42" s="1207"/>
      <c r="IEE42" s="1207"/>
      <c r="IEF42" s="1207"/>
      <c r="IEG42" s="1207"/>
      <c r="IEH42" s="1207"/>
      <c r="IEI42" s="1207"/>
      <c r="IEJ42" s="1207"/>
      <c r="IEK42" s="1207"/>
      <c r="IEL42" s="1207"/>
      <c r="IEM42" s="515"/>
      <c r="IEN42" s="1207"/>
      <c r="IEO42" s="1207"/>
      <c r="IEP42" s="1207"/>
      <c r="IEQ42" s="1207"/>
      <c r="IER42" s="1207"/>
      <c r="IES42" s="1207"/>
      <c r="IET42" s="1207"/>
      <c r="IEU42" s="1207"/>
      <c r="IEV42" s="1207"/>
      <c r="IEW42" s="1207"/>
      <c r="IEX42" s="515"/>
      <c r="IEY42" s="1207"/>
      <c r="IEZ42" s="1207"/>
      <c r="IFA42" s="1207"/>
      <c r="IFB42" s="1207"/>
      <c r="IFC42" s="1207"/>
      <c r="IFD42" s="1207"/>
      <c r="IFE42" s="1207"/>
      <c r="IFF42" s="1207"/>
      <c r="IFG42" s="1207"/>
      <c r="IFH42" s="1207"/>
      <c r="IFI42" s="515"/>
      <c r="IFJ42" s="1207"/>
      <c r="IFK42" s="1207"/>
      <c r="IFL42" s="1207"/>
      <c r="IFM42" s="1207"/>
      <c r="IFN42" s="1207"/>
      <c r="IFO42" s="1207"/>
      <c r="IFP42" s="1207"/>
      <c r="IFQ42" s="1207"/>
      <c r="IFR42" s="1207"/>
      <c r="IFS42" s="1207"/>
      <c r="IFT42" s="515"/>
      <c r="IFU42" s="1207"/>
      <c r="IFV42" s="1207"/>
      <c r="IFW42" s="1207"/>
      <c r="IFX42" s="1207"/>
      <c r="IFY42" s="1207"/>
      <c r="IFZ42" s="1207"/>
      <c r="IGA42" s="1207"/>
      <c r="IGB42" s="1207"/>
      <c r="IGC42" s="1207"/>
      <c r="IGD42" s="1207"/>
      <c r="IGE42" s="515"/>
      <c r="IGF42" s="1207"/>
      <c r="IGG42" s="1207"/>
      <c r="IGH42" s="1207"/>
      <c r="IGI42" s="1207"/>
      <c r="IGJ42" s="1207"/>
      <c r="IGK42" s="1207"/>
      <c r="IGL42" s="1207"/>
      <c r="IGM42" s="1207"/>
      <c r="IGN42" s="1207"/>
      <c r="IGO42" s="1207"/>
      <c r="IGP42" s="515"/>
      <c r="IGQ42" s="1207"/>
      <c r="IGR42" s="1207"/>
      <c r="IGS42" s="1207"/>
      <c r="IGT42" s="1207"/>
      <c r="IGU42" s="1207"/>
      <c r="IGV42" s="1207"/>
      <c r="IGW42" s="1207"/>
      <c r="IGX42" s="1207"/>
      <c r="IGY42" s="1207"/>
      <c r="IGZ42" s="1207"/>
      <c r="IHA42" s="515"/>
      <c r="IHB42" s="1207"/>
      <c r="IHC42" s="1207"/>
      <c r="IHD42" s="1207"/>
      <c r="IHE42" s="1207"/>
      <c r="IHF42" s="1207"/>
      <c r="IHG42" s="1207"/>
      <c r="IHH42" s="1207"/>
      <c r="IHI42" s="1207"/>
      <c r="IHJ42" s="1207"/>
      <c r="IHK42" s="1207"/>
      <c r="IHL42" s="515"/>
      <c r="IHM42" s="1207"/>
      <c r="IHN42" s="1207"/>
      <c r="IHO42" s="1207"/>
      <c r="IHP42" s="1207"/>
      <c r="IHQ42" s="1207"/>
      <c r="IHR42" s="1207"/>
      <c r="IHS42" s="1207"/>
      <c r="IHT42" s="1207"/>
      <c r="IHU42" s="1207"/>
      <c r="IHV42" s="1207"/>
      <c r="IHW42" s="515"/>
      <c r="IHX42" s="1207"/>
      <c r="IHY42" s="1207"/>
      <c r="IHZ42" s="1207"/>
      <c r="IIA42" s="1207"/>
      <c r="IIB42" s="1207"/>
      <c r="IIC42" s="1207"/>
      <c r="IID42" s="1207"/>
      <c r="IIE42" s="1207"/>
      <c r="IIF42" s="1207"/>
      <c r="IIG42" s="1207"/>
      <c r="IIH42" s="515"/>
      <c r="III42" s="1207"/>
      <c r="IIJ42" s="1207"/>
      <c r="IIK42" s="1207"/>
      <c r="IIL42" s="1207"/>
      <c r="IIM42" s="1207"/>
      <c r="IIN42" s="1207"/>
      <c r="IIO42" s="1207"/>
      <c r="IIP42" s="1207"/>
      <c r="IIQ42" s="1207"/>
      <c r="IIR42" s="1207"/>
      <c r="IIS42" s="515"/>
      <c r="IIT42" s="1207"/>
      <c r="IIU42" s="1207"/>
      <c r="IIV42" s="1207"/>
      <c r="IIW42" s="1207"/>
      <c r="IIX42" s="1207"/>
      <c r="IIY42" s="1207"/>
      <c r="IIZ42" s="1207"/>
      <c r="IJA42" s="1207"/>
      <c r="IJB42" s="1207"/>
      <c r="IJC42" s="1207"/>
      <c r="IJD42" s="515"/>
      <c r="IJE42" s="1207"/>
      <c r="IJF42" s="1207"/>
      <c r="IJG42" s="1207"/>
      <c r="IJH42" s="1207"/>
      <c r="IJI42" s="1207"/>
      <c r="IJJ42" s="1207"/>
      <c r="IJK42" s="1207"/>
      <c r="IJL42" s="1207"/>
      <c r="IJM42" s="1207"/>
      <c r="IJN42" s="1207"/>
      <c r="IJO42" s="515"/>
      <c r="IJP42" s="1207"/>
      <c r="IJQ42" s="1207"/>
      <c r="IJR42" s="1207"/>
      <c r="IJS42" s="1207"/>
      <c r="IJT42" s="1207"/>
      <c r="IJU42" s="1207"/>
      <c r="IJV42" s="1207"/>
      <c r="IJW42" s="1207"/>
      <c r="IJX42" s="1207"/>
      <c r="IJY42" s="1207"/>
      <c r="IJZ42" s="515"/>
      <c r="IKA42" s="1207"/>
      <c r="IKB42" s="1207"/>
      <c r="IKC42" s="1207"/>
      <c r="IKD42" s="1207"/>
      <c r="IKE42" s="1207"/>
      <c r="IKF42" s="1207"/>
      <c r="IKG42" s="1207"/>
      <c r="IKH42" s="1207"/>
      <c r="IKI42" s="1207"/>
      <c r="IKJ42" s="1207"/>
      <c r="IKK42" s="515"/>
      <c r="IKL42" s="1207"/>
      <c r="IKM42" s="1207"/>
      <c r="IKN42" s="1207"/>
      <c r="IKO42" s="1207"/>
      <c r="IKP42" s="1207"/>
      <c r="IKQ42" s="1207"/>
      <c r="IKR42" s="1207"/>
      <c r="IKS42" s="1207"/>
      <c r="IKT42" s="1207"/>
      <c r="IKU42" s="1207"/>
      <c r="IKV42" s="515"/>
      <c r="IKW42" s="1207"/>
      <c r="IKX42" s="1207"/>
      <c r="IKY42" s="1207"/>
      <c r="IKZ42" s="1207"/>
      <c r="ILA42" s="1207"/>
      <c r="ILB42" s="1207"/>
      <c r="ILC42" s="1207"/>
      <c r="ILD42" s="1207"/>
      <c r="ILE42" s="1207"/>
      <c r="ILF42" s="1207"/>
      <c r="ILG42" s="515"/>
      <c r="ILH42" s="1207"/>
      <c r="ILI42" s="1207"/>
      <c r="ILJ42" s="1207"/>
      <c r="ILK42" s="1207"/>
      <c r="ILL42" s="1207"/>
      <c r="ILM42" s="1207"/>
      <c r="ILN42" s="1207"/>
      <c r="ILO42" s="1207"/>
      <c r="ILP42" s="1207"/>
      <c r="ILQ42" s="1207"/>
      <c r="ILR42" s="515"/>
      <c r="ILS42" s="1207"/>
      <c r="ILT42" s="1207"/>
      <c r="ILU42" s="1207"/>
      <c r="ILV42" s="1207"/>
      <c r="ILW42" s="1207"/>
      <c r="ILX42" s="1207"/>
      <c r="ILY42" s="1207"/>
      <c r="ILZ42" s="1207"/>
      <c r="IMA42" s="1207"/>
      <c r="IMB42" s="1207"/>
      <c r="IMC42" s="515"/>
      <c r="IMD42" s="1207"/>
      <c r="IME42" s="1207"/>
      <c r="IMF42" s="1207"/>
      <c r="IMG42" s="1207"/>
      <c r="IMH42" s="1207"/>
      <c r="IMI42" s="1207"/>
      <c r="IMJ42" s="1207"/>
      <c r="IMK42" s="1207"/>
      <c r="IML42" s="1207"/>
      <c r="IMM42" s="1207"/>
      <c r="IMN42" s="515"/>
      <c r="IMO42" s="1207"/>
      <c r="IMP42" s="1207"/>
      <c r="IMQ42" s="1207"/>
      <c r="IMR42" s="1207"/>
      <c r="IMS42" s="1207"/>
      <c r="IMT42" s="1207"/>
      <c r="IMU42" s="1207"/>
      <c r="IMV42" s="1207"/>
      <c r="IMW42" s="1207"/>
      <c r="IMX42" s="1207"/>
      <c r="IMY42" s="515"/>
      <c r="IMZ42" s="1207"/>
      <c r="INA42" s="1207"/>
      <c r="INB42" s="1207"/>
      <c r="INC42" s="1207"/>
      <c r="IND42" s="1207"/>
      <c r="INE42" s="1207"/>
      <c r="INF42" s="1207"/>
      <c r="ING42" s="1207"/>
      <c r="INH42" s="1207"/>
      <c r="INI42" s="1207"/>
      <c r="INJ42" s="515"/>
      <c r="INK42" s="1207"/>
      <c r="INL42" s="1207"/>
      <c r="INM42" s="1207"/>
      <c r="INN42" s="1207"/>
      <c r="INO42" s="1207"/>
      <c r="INP42" s="1207"/>
      <c r="INQ42" s="1207"/>
      <c r="INR42" s="1207"/>
      <c r="INS42" s="1207"/>
      <c r="INT42" s="1207"/>
      <c r="INU42" s="515"/>
      <c r="INV42" s="1207"/>
      <c r="INW42" s="1207"/>
      <c r="INX42" s="1207"/>
      <c r="INY42" s="1207"/>
      <c r="INZ42" s="1207"/>
      <c r="IOA42" s="1207"/>
      <c r="IOB42" s="1207"/>
      <c r="IOC42" s="1207"/>
      <c r="IOD42" s="1207"/>
      <c r="IOE42" s="1207"/>
      <c r="IOF42" s="515"/>
      <c r="IOG42" s="1207"/>
      <c r="IOH42" s="1207"/>
      <c r="IOI42" s="1207"/>
      <c r="IOJ42" s="1207"/>
      <c r="IOK42" s="1207"/>
      <c r="IOL42" s="1207"/>
      <c r="IOM42" s="1207"/>
      <c r="ION42" s="1207"/>
      <c r="IOO42" s="1207"/>
      <c r="IOP42" s="1207"/>
      <c r="IOQ42" s="515"/>
      <c r="IOR42" s="1207"/>
      <c r="IOS42" s="1207"/>
      <c r="IOT42" s="1207"/>
      <c r="IOU42" s="1207"/>
      <c r="IOV42" s="1207"/>
      <c r="IOW42" s="1207"/>
      <c r="IOX42" s="1207"/>
      <c r="IOY42" s="1207"/>
      <c r="IOZ42" s="1207"/>
      <c r="IPA42" s="1207"/>
      <c r="IPB42" s="515"/>
      <c r="IPC42" s="1207"/>
      <c r="IPD42" s="1207"/>
      <c r="IPE42" s="1207"/>
      <c r="IPF42" s="1207"/>
      <c r="IPG42" s="1207"/>
      <c r="IPH42" s="1207"/>
      <c r="IPI42" s="1207"/>
      <c r="IPJ42" s="1207"/>
      <c r="IPK42" s="1207"/>
      <c r="IPL42" s="1207"/>
      <c r="IPM42" s="515"/>
      <c r="IPN42" s="1207"/>
      <c r="IPO42" s="1207"/>
      <c r="IPP42" s="1207"/>
      <c r="IPQ42" s="1207"/>
      <c r="IPR42" s="1207"/>
      <c r="IPS42" s="1207"/>
      <c r="IPT42" s="1207"/>
      <c r="IPU42" s="1207"/>
      <c r="IPV42" s="1207"/>
      <c r="IPW42" s="1207"/>
      <c r="IPX42" s="515"/>
      <c r="IPY42" s="1207"/>
      <c r="IPZ42" s="1207"/>
      <c r="IQA42" s="1207"/>
      <c r="IQB42" s="1207"/>
      <c r="IQC42" s="1207"/>
      <c r="IQD42" s="1207"/>
      <c r="IQE42" s="1207"/>
      <c r="IQF42" s="1207"/>
      <c r="IQG42" s="1207"/>
      <c r="IQH42" s="1207"/>
      <c r="IQI42" s="515"/>
      <c r="IQJ42" s="1207"/>
      <c r="IQK42" s="1207"/>
      <c r="IQL42" s="1207"/>
      <c r="IQM42" s="1207"/>
      <c r="IQN42" s="1207"/>
      <c r="IQO42" s="1207"/>
      <c r="IQP42" s="1207"/>
      <c r="IQQ42" s="1207"/>
      <c r="IQR42" s="1207"/>
      <c r="IQS42" s="1207"/>
      <c r="IQT42" s="515"/>
      <c r="IQU42" s="1207"/>
      <c r="IQV42" s="1207"/>
      <c r="IQW42" s="1207"/>
      <c r="IQX42" s="1207"/>
      <c r="IQY42" s="1207"/>
      <c r="IQZ42" s="1207"/>
      <c r="IRA42" s="1207"/>
      <c r="IRB42" s="1207"/>
      <c r="IRC42" s="1207"/>
      <c r="IRD42" s="1207"/>
      <c r="IRE42" s="515"/>
      <c r="IRF42" s="1207"/>
      <c r="IRG42" s="1207"/>
      <c r="IRH42" s="1207"/>
      <c r="IRI42" s="1207"/>
      <c r="IRJ42" s="1207"/>
      <c r="IRK42" s="1207"/>
      <c r="IRL42" s="1207"/>
      <c r="IRM42" s="1207"/>
      <c r="IRN42" s="1207"/>
      <c r="IRO42" s="1207"/>
      <c r="IRP42" s="515"/>
      <c r="IRQ42" s="1207"/>
      <c r="IRR42" s="1207"/>
      <c r="IRS42" s="1207"/>
      <c r="IRT42" s="1207"/>
      <c r="IRU42" s="1207"/>
      <c r="IRV42" s="1207"/>
      <c r="IRW42" s="1207"/>
      <c r="IRX42" s="1207"/>
      <c r="IRY42" s="1207"/>
      <c r="IRZ42" s="1207"/>
      <c r="ISA42" s="515"/>
      <c r="ISB42" s="1207"/>
      <c r="ISC42" s="1207"/>
      <c r="ISD42" s="1207"/>
      <c r="ISE42" s="1207"/>
      <c r="ISF42" s="1207"/>
      <c r="ISG42" s="1207"/>
      <c r="ISH42" s="1207"/>
      <c r="ISI42" s="1207"/>
      <c r="ISJ42" s="1207"/>
      <c r="ISK42" s="1207"/>
      <c r="ISL42" s="515"/>
      <c r="ISM42" s="1207"/>
      <c r="ISN42" s="1207"/>
      <c r="ISO42" s="1207"/>
      <c r="ISP42" s="1207"/>
      <c r="ISQ42" s="1207"/>
      <c r="ISR42" s="1207"/>
      <c r="ISS42" s="1207"/>
      <c r="IST42" s="1207"/>
      <c r="ISU42" s="1207"/>
      <c r="ISV42" s="1207"/>
      <c r="ISW42" s="515"/>
      <c r="ISX42" s="1207"/>
      <c r="ISY42" s="1207"/>
      <c r="ISZ42" s="1207"/>
      <c r="ITA42" s="1207"/>
      <c r="ITB42" s="1207"/>
      <c r="ITC42" s="1207"/>
      <c r="ITD42" s="1207"/>
      <c r="ITE42" s="1207"/>
      <c r="ITF42" s="1207"/>
      <c r="ITG42" s="1207"/>
      <c r="ITH42" s="515"/>
      <c r="ITI42" s="1207"/>
      <c r="ITJ42" s="1207"/>
      <c r="ITK42" s="1207"/>
      <c r="ITL42" s="1207"/>
      <c r="ITM42" s="1207"/>
      <c r="ITN42" s="1207"/>
      <c r="ITO42" s="1207"/>
      <c r="ITP42" s="1207"/>
      <c r="ITQ42" s="1207"/>
      <c r="ITR42" s="1207"/>
      <c r="ITS42" s="515"/>
      <c r="ITT42" s="1207"/>
      <c r="ITU42" s="1207"/>
      <c r="ITV42" s="1207"/>
      <c r="ITW42" s="1207"/>
      <c r="ITX42" s="1207"/>
      <c r="ITY42" s="1207"/>
      <c r="ITZ42" s="1207"/>
      <c r="IUA42" s="1207"/>
      <c r="IUB42" s="1207"/>
      <c r="IUC42" s="1207"/>
      <c r="IUD42" s="515"/>
      <c r="IUE42" s="1207"/>
      <c r="IUF42" s="1207"/>
      <c r="IUG42" s="1207"/>
      <c r="IUH42" s="1207"/>
      <c r="IUI42" s="1207"/>
      <c r="IUJ42" s="1207"/>
      <c r="IUK42" s="1207"/>
      <c r="IUL42" s="1207"/>
      <c r="IUM42" s="1207"/>
      <c r="IUN42" s="1207"/>
      <c r="IUO42" s="515"/>
      <c r="IUP42" s="1207"/>
      <c r="IUQ42" s="1207"/>
      <c r="IUR42" s="1207"/>
      <c r="IUS42" s="1207"/>
      <c r="IUT42" s="1207"/>
      <c r="IUU42" s="1207"/>
      <c r="IUV42" s="1207"/>
      <c r="IUW42" s="1207"/>
      <c r="IUX42" s="1207"/>
      <c r="IUY42" s="1207"/>
      <c r="IUZ42" s="515"/>
      <c r="IVA42" s="1207"/>
      <c r="IVB42" s="1207"/>
      <c r="IVC42" s="1207"/>
      <c r="IVD42" s="1207"/>
      <c r="IVE42" s="1207"/>
      <c r="IVF42" s="1207"/>
      <c r="IVG42" s="1207"/>
      <c r="IVH42" s="1207"/>
      <c r="IVI42" s="1207"/>
      <c r="IVJ42" s="1207"/>
      <c r="IVK42" s="515"/>
      <c r="IVL42" s="1207"/>
      <c r="IVM42" s="1207"/>
      <c r="IVN42" s="1207"/>
      <c r="IVO42" s="1207"/>
      <c r="IVP42" s="1207"/>
      <c r="IVQ42" s="1207"/>
      <c r="IVR42" s="1207"/>
      <c r="IVS42" s="1207"/>
      <c r="IVT42" s="1207"/>
      <c r="IVU42" s="1207"/>
      <c r="IVV42" s="515"/>
      <c r="IVW42" s="1207"/>
      <c r="IVX42" s="1207"/>
      <c r="IVY42" s="1207"/>
      <c r="IVZ42" s="1207"/>
      <c r="IWA42" s="1207"/>
      <c r="IWB42" s="1207"/>
      <c r="IWC42" s="1207"/>
      <c r="IWD42" s="1207"/>
      <c r="IWE42" s="1207"/>
      <c r="IWF42" s="1207"/>
      <c r="IWG42" s="515"/>
      <c r="IWH42" s="1207"/>
      <c r="IWI42" s="1207"/>
      <c r="IWJ42" s="1207"/>
      <c r="IWK42" s="1207"/>
      <c r="IWL42" s="1207"/>
      <c r="IWM42" s="1207"/>
      <c r="IWN42" s="1207"/>
      <c r="IWO42" s="1207"/>
      <c r="IWP42" s="1207"/>
      <c r="IWQ42" s="1207"/>
      <c r="IWR42" s="515"/>
      <c r="IWS42" s="1207"/>
      <c r="IWT42" s="1207"/>
      <c r="IWU42" s="1207"/>
      <c r="IWV42" s="1207"/>
      <c r="IWW42" s="1207"/>
      <c r="IWX42" s="1207"/>
      <c r="IWY42" s="1207"/>
      <c r="IWZ42" s="1207"/>
      <c r="IXA42" s="1207"/>
      <c r="IXB42" s="1207"/>
      <c r="IXC42" s="515"/>
      <c r="IXD42" s="1207"/>
      <c r="IXE42" s="1207"/>
      <c r="IXF42" s="1207"/>
      <c r="IXG42" s="1207"/>
      <c r="IXH42" s="1207"/>
      <c r="IXI42" s="1207"/>
      <c r="IXJ42" s="1207"/>
      <c r="IXK42" s="1207"/>
      <c r="IXL42" s="1207"/>
      <c r="IXM42" s="1207"/>
      <c r="IXN42" s="515"/>
      <c r="IXO42" s="1207"/>
      <c r="IXP42" s="1207"/>
      <c r="IXQ42" s="1207"/>
      <c r="IXR42" s="1207"/>
      <c r="IXS42" s="1207"/>
      <c r="IXT42" s="1207"/>
      <c r="IXU42" s="1207"/>
      <c r="IXV42" s="1207"/>
      <c r="IXW42" s="1207"/>
      <c r="IXX42" s="1207"/>
      <c r="IXY42" s="515"/>
      <c r="IXZ42" s="1207"/>
      <c r="IYA42" s="1207"/>
      <c r="IYB42" s="1207"/>
      <c r="IYC42" s="1207"/>
      <c r="IYD42" s="1207"/>
      <c r="IYE42" s="1207"/>
      <c r="IYF42" s="1207"/>
      <c r="IYG42" s="1207"/>
      <c r="IYH42" s="1207"/>
      <c r="IYI42" s="1207"/>
      <c r="IYJ42" s="515"/>
      <c r="IYK42" s="1207"/>
      <c r="IYL42" s="1207"/>
      <c r="IYM42" s="1207"/>
      <c r="IYN42" s="1207"/>
      <c r="IYO42" s="1207"/>
      <c r="IYP42" s="1207"/>
      <c r="IYQ42" s="1207"/>
      <c r="IYR42" s="1207"/>
      <c r="IYS42" s="1207"/>
      <c r="IYT42" s="1207"/>
      <c r="IYU42" s="515"/>
      <c r="IYV42" s="1207"/>
      <c r="IYW42" s="1207"/>
      <c r="IYX42" s="1207"/>
      <c r="IYY42" s="1207"/>
      <c r="IYZ42" s="1207"/>
      <c r="IZA42" s="1207"/>
      <c r="IZB42" s="1207"/>
      <c r="IZC42" s="1207"/>
      <c r="IZD42" s="1207"/>
      <c r="IZE42" s="1207"/>
      <c r="IZF42" s="515"/>
      <c r="IZG42" s="1207"/>
      <c r="IZH42" s="1207"/>
      <c r="IZI42" s="1207"/>
      <c r="IZJ42" s="1207"/>
      <c r="IZK42" s="1207"/>
      <c r="IZL42" s="1207"/>
      <c r="IZM42" s="1207"/>
      <c r="IZN42" s="1207"/>
      <c r="IZO42" s="1207"/>
      <c r="IZP42" s="1207"/>
      <c r="IZQ42" s="515"/>
      <c r="IZR42" s="1207"/>
      <c r="IZS42" s="1207"/>
      <c r="IZT42" s="1207"/>
      <c r="IZU42" s="1207"/>
      <c r="IZV42" s="1207"/>
      <c r="IZW42" s="1207"/>
      <c r="IZX42" s="1207"/>
      <c r="IZY42" s="1207"/>
      <c r="IZZ42" s="1207"/>
      <c r="JAA42" s="1207"/>
      <c r="JAB42" s="515"/>
      <c r="JAC42" s="1207"/>
      <c r="JAD42" s="1207"/>
      <c r="JAE42" s="1207"/>
      <c r="JAF42" s="1207"/>
      <c r="JAG42" s="1207"/>
      <c r="JAH42" s="1207"/>
      <c r="JAI42" s="1207"/>
      <c r="JAJ42" s="1207"/>
      <c r="JAK42" s="1207"/>
      <c r="JAL42" s="1207"/>
      <c r="JAM42" s="515"/>
      <c r="JAN42" s="1207"/>
      <c r="JAO42" s="1207"/>
      <c r="JAP42" s="1207"/>
      <c r="JAQ42" s="1207"/>
      <c r="JAR42" s="1207"/>
      <c r="JAS42" s="1207"/>
      <c r="JAT42" s="1207"/>
      <c r="JAU42" s="1207"/>
      <c r="JAV42" s="1207"/>
      <c r="JAW42" s="1207"/>
      <c r="JAX42" s="515"/>
      <c r="JAY42" s="1207"/>
      <c r="JAZ42" s="1207"/>
      <c r="JBA42" s="1207"/>
      <c r="JBB42" s="1207"/>
      <c r="JBC42" s="1207"/>
      <c r="JBD42" s="1207"/>
      <c r="JBE42" s="1207"/>
      <c r="JBF42" s="1207"/>
      <c r="JBG42" s="1207"/>
      <c r="JBH42" s="1207"/>
      <c r="JBI42" s="515"/>
      <c r="JBJ42" s="1207"/>
      <c r="JBK42" s="1207"/>
      <c r="JBL42" s="1207"/>
      <c r="JBM42" s="1207"/>
      <c r="JBN42" s="1207"/>
      <c r="JBO42" s="1207"/>
      <c r="JBP42" s="1207"/>
      <c r="JBQ42" s="1207"/>
      <c r="JBR42" s="1207"/>
      <c r="JBS42" s="1207"/>
      <c r="JBT42" s="515"/>
      <c r="JBU42" s="1207"/>
      <c r="JBV42" s="1207"/>
      <c r="JBW42" s="1207"/>
      <c r="JBX42" s="1207"/>
      <c r="JBY42" s="1207"/>
      <c r="JBZ42" s="1207"/>
      <c r="JCA42" s="1207"/>
      <c r="JCB42" s="1207"/>
      <c r="JCC42" s="1207"/>
      <c r="JCD42" s="1207"/>
      <c r="JCE42" s="515"/>
      <c r="JCF42" s="1207"/>
      <c r="JCG42" s="1207"/>
      <c r="JCH42" s="1207"/>
      <c r="JCI42" s="1207"/>
      <c r="JCJ42" s="1207"/>
      <c r="JCK42" s="1207"/>
      <c r="JCL42" s="1207"/>
      <c r="JCM42" s="1207"/>
      <c r="JCN42" s="1207"/>
      <c r="JCO42" s="1207"/>
      <c r="JCP42" s="515"/>
      <c r="JCQ42" s="1207"/>
      <c r="JCR42" s="1207"/>
      <c r="JCS42" s="1207"/>
      <c r="JCT42" s="1207"/>
      <c r="JCU42" s="1207"/>
      <c r="JCV42" s="1207"/>
      <c r="JCW42" s="1207"/>
      <c r="JCX42" s="1207"/>
      <c r="JCY42" s="1207"/>
      <c r="JCZ42" s="1207"/>
      <c r="JDA42" s="515"/>
      <c r="JDB42" s="1207"/>
      <c r="JDC42" s="1207"/>
      <c r="JDD42" s="1207"/>
      <c r="JDE42" s="1207"/>
      <c r="JDF42" s="1207"/>
      <c r="JDG42" s="1207"/>
      <c r="JDH42" s="1207"/>
      <c r="JDI42" s="1207"/>
      <c r="JDJ42" s="1207"/>
      <c r="JDK42" s="1207"/>
      <c r="JDL42" s="515"/>
      <c r="JDM42" s="1207"/>
      <c r="JDN42" s="1207"/>
      <c r="JDO42" s="1207"/>
      <c r="JDP42" s="1207"/>
      <c r="JDQ42" s="1207"/>
      <c r="JDR42" s="1207"/>
      <c r="JDS42" s="1207"/>
      <c r="JDT42" s="1207"/>
      <c r="JDU42" s="1207"/>
      <c r="JDV42" s="1207"/>
      <c r="JDW42" s="515"/>
      <c r="JDX42" s="1207"/>
      <c r="JDY42" s="1207"/>
      <c r="JDZ42" s="1207"/>
      <c r="JEA42" s="1207"/>
      <c r="JEB42" s="1207"/>
      <c r="JEC42" s="1207"/>
      <c r="JED42" s="1207"/>
      <c r="JEE42" s="1207"/>
      <c r="JEF42" s="1207"/>
      <c r="JEG42" s="1207"/>
      <c r="JEH42" s="515"/>
      <c r="JEI42" s="1207"/>
      <c r="JEJ42" s="1207"/>
      <c r="JEK42" s="1207"/>
      <c r="JEL42" s="1207"/>
      <c r="JEM42" s="1207"/>
      <c r="JEN42" s="1207"/>
      <c r="JEO42" s="1207"/>
      <c r="JEP42" s="1207"/>
      <c r="JEQ42" s="1207"/>
      <c r="JER42" s="1207"/>
      <c r="JES42" s="515"/>
      <c r="JET42" s="1207"/>
      <c r="JEU42" s="1207"/>
      <c r="JEV42" s="1207"/>
      <c r="JEW42" s="1207"/>
      <c r="JEX42" s="1207"/>
      <c r="JEY42" s="1207"/>
      <c r="JEZ42" s="1207"/>
      <c r="JFA42" s="1207"/>
      <c r="JFB42" s="1207"/>
      <c r="JFC42" s="1207"/>
      <c r="JFD42" s="515"/>
      <c r="JFE42" s="1207"/>
      <c r="JFF42" s="1207"/>
      <c r="JFG42" s="1207"/>
      <c r="JFH42" s="1207"/>
      <c r="JFI42" s="1207"/>
      <c r="JFJ42" s="1207"/>
      <c r="JFK42" s="1207"/>
      <c r="JFL42" s="1207"/>
      <c r="JFM42" s="1207"/>
      <c r="JFN42" s="1207"/>
      <c r="JFO42" s="515"/>
      <c r="JFP42" s="1207"/>
      <c r="JFQ42" s="1207"/>
      <c r="JFR42" s="1207"/>
      <c r="JFS42" s="1207"/>
      <c r="JFT42" s="1207"/>
      <c r="JFU42" s="1207"/>
      <c r="JFV42" s="1207"/>
      <c r="JFW42" s="1207"/>
      <c r="JFX42" s="1207"/>
      <c r="JFY42" s="1207"/>
      <c r="JFZ42" s="515"/>
      <c r="JGA42" s="1207"/>
      <c r="JGB42" s="1207"/>
      <c r="JGC42" s="1207"/>
      <c r="JGD42" s="1207"/>
      <c r="JGE42" s="1207"/>
      <c r="JGF42" s="1207"/>
      <c r="JGG42" s="1207"/>
      <c r="JGH42" s="1207"/>
      <c r="JGI42" s="1207"/>
      <c r="JGJ42" s="1207"/>
      <c r="JGK42" s="515"/>
      <c r="JGL42" s="1207"/>
      <c r="JGM42" s="1207"/>
      <c r="JGN42" s="1207"/>
      <c r="JGO42" s="1207"/>
      <c r="JGP42" s="1207"/>
      <c r="JGQ42" s="1207"/>
      <c r="JGR42" s="1207"/>
      <c r="JGS42" s="1207"/>
      <c r="JGT42" s="1207"/>
      <c r="JGU42" s="1207"/>
      <c r="JGV42" s="515"/>
      <c r="JGW42" s="1207"/>
      <c r="JGX42" s="1207"/>
      <c r="JGY42" s="1207"/>
      <c r="JGZ42" s="1207"/>
      <c r="JHA42" s="1207"/>
      <c r="JHB42" s="1207"/>
      <c r="JHC42" s="1207"/>
      <c r="JHD42" s="1207"/>
      <c r="JHE42" s="1207"/>
      <c r="JHF42" s="1207"/>
      <c r="JHG42" s="515"/>
      <c r="JHH42" s="1207"/>
      <c r="JHI42" s="1207"/>
      <c r="JHJ42" s="1207"/>
      <c r="JHK42" s="1207"/>
      <c r="JHL42" s="1207"/>
      <c r="JHM42" s="1207"/>
      <c r="JHN42" s="1207"/>
      <c r="JHO42" s="1207"/>
      <c r="JHP42" s="1207"/>
      <c r="JHQ42" s="1207"/>
      <c r="JHR42" s="515"/>
      <c r="JHS42" s="1207"/>
      <c r="JHT42" s="1207"/>
      <c r="JHU42" s="1207"/>
      <c r="JHV42" s="1207"/>
      <c r="JHW42" s="1207"/>
      <c r="JHX42" s="1207"/>
      <c r="JHY42" s="1207"/>
      <c r="JHZ42" s="1207"/>
      <c r="JIA42" s="1207"/>
      <c r="JIB42" s="1207"/>
      <c r="JIC42" s="515"/>
      <c r="JID42" s="1207"/>
      <c r="JIE42" s="1207"/>
      <c r="JIF42" s="1207"/>
      <c r="JIG42" s="1207"/>
      <c r="JIH42" s="1207"/>
      <c r="JII42" s="1207"/>
      <c r="JIJ42" s="1207"/>
      <c r="JIK42" s="1207"/>
      <c r="JIL42" s="1207"/>
      <c r="JIM42" s="1207"/>
      <c r="JIN42" s="515"/>
      <c r="JIO42" s="1207"/>
      <c r="JIP42" s="1207"/>
      <c r="JIQ42" s="1207"/>
      <c r="JIR42" s="1207"/>
      <c r="JIS42" s="1207"/>
      <c r="JIT42" s="1207"/>
      <c r="JIU42" s="1207"/>
      <c r="JIV42" s="1207"/>
      <c r="JIW42" s="1207"/>
      <c r="JIX42" s="1207"/>
      <c r="JIY42" s="515"/>
      <c r="JIZ42" s="1207"/>
      <c r="JJA42" s="1207"/>
      <c r="JJB42" s="1207"/>
      <c r="JJC42" s="1207"/>
      <c r="JJD42" s="1207"/>
      <c r="JJE42" s="1207"/>
      <c r="JJF42" s="1207"/>
      <c r="JJG42" s="1207"/>
      <c r="JJH42" s="1207"/>
      <c r="JJI42" s="1207"/>
      <c r="JJJ42" s="515"/>
      <c r="JJK42" s="1207"/>
      <c r="JJL42" s="1207"/>
      <c r="JJM42" s="1207"/>
      <c r="JJN42" s="1207"/>
      <c r="JJO42" s="1207"/>
      <c r="JJP42" s="1207"/>
      <c r="JJQ42" s="1207"/>
      <c r="JJR42" s="1207"/>
      <c r="JJS42" s="1207"/>
      <c r="JJT42" s="1207"/>
      <c r="JJU42" s="515"/>
      <c r="JJV42" s="1207"/>
      <c r="JJW42" s="1207"/>
      <c r="JJX42" s="1207"/>
      <c r="JJY42" s="1207"/>
      <c r="JJZ42" s="1207"/>
      <c r="JKA42" s="1207"/>
      <c r="JKB42" s="1207"/>
      <c r="JKC42" s="1207"/>
      <c r="JKD42" s="1207"/>
      <c r="JKE42" s="1207"/>
      <c r="JKF42" s="515"/>
      <c r="JKG42" s="1207"/>
      <c r="JKH42" s="1207"/>
      <c r="JKI42" s="1207"/>
      <c r="JKJ42" s="1207"/>
      <c r="JKK42" s="1207"/>
      <c r="JKL42" s="1207"/>
      <c r="JKM42" s="1207"/>
      <c r="JKN42" s="1207"/>
      <c r="JKO42" s="1207"/>
      <c r="JKP42" s="1207"/>
      <c r="JKQ42" s="515"/>
      <c r="JKR42" s="1207"/>
      <c r="JKS42" s="1207"/>
      <c r="JKT42" s="1207"/>
      <c r="JKU42" s="1207"/>
      <c r="JKV42" s="1207"/>
      <c r="JKW42" s="1207"/>
      <c r="JKX42" s="1207"/>
      <c r="JKY42" s="1207"/>
      <c r="JKZ42" s="1207"/>
      <c r="JLA42" s="1207"/>
      <c r="JLB42" s="515"/>
      <c r="JLC42" s="1207"/>
      <c r="JLD42" s="1207"/>
      <c r="JLE42" s="1207"/>
      <c r="JLF42" s="1207"/>
      <c r="JLG42" s="1207"/>
      <c r="JLH42" s="1207"/>
      <c r="JLI42" s="1207"/>
      <c r="JLJ42" s="1207"/>
      <c r="JLK42" s="1207"/>
      <c r="JLL42" s="1207"/>
      <c r="JLM42" s="515"/>
      <c r="JLN42" s="1207"/>
      <c r="JLO42" s="1207"/>
      <c r="JLP42" s="1207"/>
      <c r="JLQ42" s="1207"/>
      <c r="JLR42" s="1207"/>
      <c r="JLS42" s="1207"/>
      <c r="JLT42" s="1207"/>
      <c r="JLU42" s="1207"/>
      <c r="JLV42" s="1207"/>
      <c r="JLW42" s="1207"/>
      <c r="JLX42" s="515"/>
      <c r="JLY42" s="1207"/>
      <c r="JLZ42" s="1207"/>
      <c r="JMA42" s="1207"/>
      <c r="JMB42" s="1207"/>
      <c r="JMC42" s="1207"/>
      <c r="JMD42" s="1207"/>
      <c r="JME42" s="1207"/>
      <c r="JMF42" s="1207"/>
      <c r="JMG42" s="1207"/>
      <c r="JMH42" s="1207"/>
      <c r="JMI42" s="515"/>
      <c r="JMJ42" s="1207"/>
      <c r="JMK42" s="1207"/>
      <c r="JML42" s="1207"/>
      <c r="JMM42" s="1207"/>
      <c r="JMN42" s="1207"/>
      <c r="JMO42" s="1207"/>
      <c r="JMP42" s="1207"/>
      <c r="JMQ42" s="1207"/>
      <c r="JMR42" s="1207"/>
      <c r="JMS42" s="1207"/>
      <c r="JMT42" s="515"/>
      <c r="JMU42" s="1207"/>
      <c r="JMV42" s="1207"/>
      <c r="JMW42" s="1207"/>
      <c r="JMX42" s="1207"/>
      <c r="JMY42" s="1207"/>
      <c r="JMZ42" s="1207"/>
      <c r="JNA42" s="1207"/>
      <c r="JNB42" s="1207"/>
      <c r="JNC42" s="1207"/>
      <c r="JND42" s="1207"/>
      <c r="JNE42" s="515"/>
      <c r="JNF42" s="1207"/>
      <c r="JNG42" s="1207"/>
      <c r="JNH42" s="1207"/>
      <c r="JNI42" s="1207"/>
      <c r="JNJ42" s="1207"/>
      <c r="JNK42" s="1207"/>
      <c r="JNL42" s="1207"/>
      <c r="JNM42" s="1207"/>
      <c r="JNN42" s="1207"/>
      <c r="JNO42" s="1207"/>
      <c r="JNP42" s="515"/>
      <c r="JNQ42" s="1207"/>
      <c r="JNR42" s="1207"/>
      <c r="JNS42" s="1207"/>
      <c r="JNT42" s="1207"/>
      <c r="JNU42" s="1207"/>
      <c r="JNV42" s="1207"/>
      <c r="JNW42" s="1207"/>
      <c r="JNX42" s="1207"/>
      <c r="JNY42" s="1207"/>
      <c r="JNZ42" s="1207"/>
      <c r="JOA42" s="515"/>
      <c r="JOB42" s="1207"/>
      <c r="JOC42" s="1207"/>
      <c r="JOD42" s="1207"/>
      <c r="JOE42" s="1207"/>
      <c r="JOF42" s="1207"/>
      <c r="JOG42" s="1207"/>
      <c r="JOH42" s="1207"/>
      <c r="JOI42" s="1207"/>
      <c r="JOJ42" s="1207"/>
      <c r="JOK42" s="1207"/>
      <c r="JOL42" s="515"/>
      <c r="JOM42" s="1207"/>
      <c r="JON42" s="1207"/>
      <c r="JOO42" s="1207"/>
      <c r="JOP42" s="1207"/>
      <c r="JOQ42" s="1207"/>
      <c r="JOR42" s="1207"/>
      <c r="JOS42" s="1207"/>
      <c r="JOT42" s="1207"/>
      <c r="JOU42" s="1207"/>
      <c r="JOV42" s="1207"/>
      <c r="JOW42" s="515"/>
      <c r="JOX42" s="1207"/>
      <c r="JOY42" s="1207"/>
      <c r="JOZ42" s="1207"/>
      <c r="JPA42" s="1207"/>
      <c r="JPB42" s="1207"/>
      <c r="JPC42" s="1207"/>
      <c r="JPD42" s="1207"/>
      <c r="JPE42" s="1207"/>
      <c r="JPF42" s="1207"/>
      <c r="JPG42" s="1207"/>
      <c r="JPH42" s="515"/>
      <c r="JPI42" s="1207"/>
      <c r="JPJ42" s="1207"/>
      <c r="JPK42" s="1207"/>
      <c r="JPL42" s="1207"/>
      <c r="JPM42" s="1207"/>
      <c r="JPN42" s="1207"/>
      <c r="JPO42" s="1207"/>
      <c r="JPP42" s="1207"/>
      <c r="JPQ42" s="1207"/>
      <c r="JPR42" s="1207"/>
      <c r="JPS42" s="515"/>
      <c r="JPT42" s="1207"/>
      <c r="JPU42" s="1207"/>
      <c r="JPV42" s="1207"/>
      <c r="JPW42" s="1207"/>
      <c r="JPX42" s="1207"/>
      <c r="JPY42" s="1207"/>
      <c r="JPZ42" s="1207"/>
      <c r="JQA42" s="1207"/>
      <c r="JQB42" s="1207"/>
      <c r="JQC42" s="1207"/>
      <c r="JQD42" s="515"/>
      <c r="JQE42" s="1207"/>
      <c r="JQF42" s="1207"/>
      <c r="JQG42" s="1207"/>
      <c r="JQH42" s="1207"/>
      <c r="JQI42" s="1207"/>
      <c r="JQJ42" s="1207"/>
      <c r="JQK42" s="1207"/>
      <c r="JQL42" s="1207"/>
      <c r="JQM42" s="1207"/>
      <c r="JQN42" s="1207"/>
      <c r="JQO42" s="515"/>
      <c r="JQP42" s="1207"/>
      <c r="JQQ42" s="1207"/>
      <c r="JQR42" s="1207"/>
      <c r="JQS42" s="1207"/>
      <c r="JQT42" s="1207"/>
      <c r="JQU42" s="1207"/>
      <c r="JQV42" s="1207"/>
      <c r="JQW42" s="1207"/>
      <c r="JQX42" s="1207"/>
      <c r="JQY42" s="1207"/>
      <c r="JQZ42" s="515"/>
      <c r="JRA42" s="1207"/>
      <c r="JRB42" s="1207"/>
      <c r="JRC42" s="1207"/>
      <c r="JRD42" s="1207"/>
      <c r="JRE42" s="1207"/>
      <c r="JRF42" s="1207"/>
      <c r="JRG42" s="1207"/>
      <c r="JRH42" s="1207"/>
      <c r="JRI42" s="1207"/>
      <c r="JRJ42" s="1207"/>
      <c r="JRK42" s="515"/>
      <c r="JRL42" s="1207"/>
      <c r="JRM42" s="1207"/>
      <c r="JRN42" s="1207"/>
      <c r="JRO42" s="1207"/>
      <c r="JRP42" s="1207"/>
      <c r="JRQ42" s="1207"/>
      <c r="JRR42" s="1207"/>
      <c r="JRS42" s="1207"/>
      <c r="JRT42" s="1207"/>
      <c r="JRU42" s="1207"/>
      <c r="JRV42" s="515"/>
      <c r="JRW42" s="1207"/>
      <c r="JRX42" s="1207"/>
      <c r="JRY42" s="1207"/>
      <c r="JRZ42" s="1207"/>
      <c r="JSA42" s="1207"/>
      <c r="JSB42" s="1207"/>
      <c r="JSC42" s="1207"/>
      <c r="JSD42" s="1207"/>
      <c r="JSE42" s="1207"/>
      <c r="JSF42" s="1207"/>
      <c r="JSG42" s="515"/>
      <c r="JSH42" s="1207"/>
      <c r="JSI42" s="1207"/>
      <c r="JSJ42" s="1207"/>
      <c r="JSK42" s="1207"/>
      <c r="JSL42" s="1207"/>
      <c r="JSM42" s="1207"/>
      <c r="JSN42" s="1207"/>
      <c r="JSO42" s="1207"/>
      <c r="JSP42" s="1207"/>
      <c r="JSQ42" s="1207"/>
      <c r="JSR42" s="515"/>
      <c r="JSS42" s="1207"/>
      <c r="JST42" s="1207"/>
      <c r="JSU42" s="1207"/>
      <c r="JSV42" s="1207"/>
      <c r="JSW42" s="1207"/>
      <c r="JSX42" s="1207"/>
      <c r="JSY42" s="1207"/>
      <c r="JSZ42" s="1207"/>
      <c r="JTA42" s="1207"/>
      <c r="JTB42" s="1207"/>
      <c r="JTC42" s="515"/>
      <c r="JTD42" s="1207"/>
      <c r="JTE42" s="1207"/>
      <c r="JTF42" s="1207"/>
      <c r="JTG42" s="1207"/>
      <c r="JTH42" s="1207"/>
      <c r="JTI42" s="1207"/>
      <c r="JTJ42" s="1207"/>
      <c r="JTK42" s="1207"/>
      <c r="JTL42" s="1207"/>
      <c r="JTM42" s="1207"/>
      <c r="JTN42" s="515"/>
      <c r="JTO42" s="1207"/>
      <c r="JTP42" s="1207"/>
      <c r="JTQ42" s="1207"/>
      <c r="JTR42" s="1207"/>
      <c r="JTS42" s="1207"/>
      <c r="JTT42" s="1207"/>
      <c r="JTU42" s="1207"/>
      <c r="JTV42" s="1207"/>
      <c r="JTW42" s="1207"/>
      <c r="JTX42" s="1207"/>
      <c r="JTY42" s="515"/>
      <c r="JTZ42" s="1207"/>
      <c r="JUA42" s="1207"/>
      <c r="JUB42" s="1207"/>
      <c r="JUC42" s="1207"/>
      <c r="JUD42" s="1207"/>
      <c r="JUE42" s="1207"/>
      <c r="JUF42" s="1207"/>
      <c r="JUG42" s="1207"/>
      <c r="JUH42" s="1207"/>
      <c r="JUI42" s="1207"/>
      <c r="JUJ42" s="515"/>
      <c r="JUK42" s="1207"/>
      <c r="JUL42" s="1207"/>
      <c r="JUM42" s="1207"/>
      <c r="JUN42" s="1207"/>
      <c r="JUO42" s="1207"/>
      <c r="JUP42" s="1207"/>
      <c r="JUQ42" s="1207"/>
      <c r="JUR42" s="1207"/>
      <c r="JUS42" s="1207"/>
      <c r="JUT42" s="1207"/>
      <c r="JUU42" s="515"/>
      <c r="JUV42" s="1207"/>
      <c r="JUW42" s="1207"/>
      <c r="JUX42" s="1207"/>
      <c r="JUY42" s="1207"/>
      <c r="JUZ42" s="1207"/>
      <c r="JVA42" s="1207"/>
      <c r="JVB42" s="1207"/>
      <c r="JVC42" s="1207"/>
      <c r="JVD42" s="1207"/>
      <c r="JVE42" s="1207"/>
      <c r="JVF42" s="515"/>
      <c r="JVG42" s="1207"/>
      <c r="JVH42" s="1207"/>
      <c r="JVI42" s="1207"/>
      <c r="JVJ42" s="1207"/>
      <c r="JVK42" s="1207"/>
      <c r="JVL42" s="1207"/>
      <c r="JVM42" s="1207"/>
      <c r="JVN42" s="1207"/>
      <c r="JVO42" s="1207"/>
      <c r="JVP42" s="1207"/>
      <c r="JVQ42" s="515"/>
      <c r="JVR42" s="1207"/>
      <c r="JVS42" s="1207"/>
      <c r="JVT42" s="1207"/>
      <c r="JVU42" s="1207"/>
      <c r="JVV42" s="1207"/>
      <c r="JVW42" s="1207"/>
      <c r="JVX42" s="1207"/>
      <c r="JVY42" s="1207"/>
      <c r="JVZ42" s="1207"/>
      <c r="JWA42" s="1207"/>
      <c r="JWB42" s="515"/>
      <c r="JWC42" s="1207"/>
      <c r="JWD42" s="1207"/>
      <c r="JWE42" s="1207"/>
      <c r="JWF42" s="1207"/>
      <c r="JWG42" s="1207"/>
      <c r="JWH42" s="1207"/>
      <c r="JWI42" s="1207"/>
      <c r="JWJ42" s="1207"/>
      <c r="JWK42" s="1207"/>
      <c r="JWL42" s="1207"/>
      <c r="JWM42" s="515"/>
      <c r="JWN42" s="1207"/>
      <c r="JWO42" s="1207"/>
      <c r="JWP42" s="1207"/>
      <c r="JWQ42" s="1207"/>
      <c r="JWR42" s="1207"/>
      <c r="JWS42" s="1207"/>
      <c r="JWT42" s="1207"/>
      <c r="JWU42" s="1207"/>
      <c r="JWV42" s="1207"/>
      <c r="JWW42" s="1207"/>
      <c r="JWX42" s="515"/>
      <c r="JWY42" s="1207"/>
      <c r="JWZ42" s="1207"/>
      <c r="JXA42" s="1207"/>
      <c r="JXB42" s="1207"/>
      <c r="JXC42" s="1207"/>
      <c r="JXD42" s="1207"/>
      <c r="JXE42" s="1207"/>
      <c r="JXF42" s="1207"/>
      <c r="JXG42" s="1207"/>
      <c r="JXH42" s="1207"/>
      <c r="JXI42" s="515"/>
      <c r="JXJ42" s="1207"/>
      <c r="JXK42" s="1207"/>
      <c r="JXL42" s="1207"/>
      <c r="JXM42" s="1207"/>
      <c r="JXN42" s="1207"/>
      <c r="JXO42" s="1207"/>
      <c r="JXP42" s="1207"/>
      <c r="JXQ42" s="1207"/>
      <c r="JXR42" s="1207"/>
      <c r="JXS42" s="1207"/>
      <c r="JXT42" s="515"/>
      <c r="JXU42" s="1207"/>
      <c r="JXV42" s="1207"/>
      <c r="JXW42" s="1207"/>
      <c r="JXX42" s="1207"/>
      <c r="JXY42" s="1207"/>
      <c r="JXZ42" s="1207"/>
      <c r="JYA42" s="1207"/>
      <c r="JYB42" s="1207"/>
      <c r="JYC42" s="1207"/>
      <c r="JYD42" s="1207"/>
      <c r="JYE42" s="515"/>
      <c r="JYF42" s="1207"/>
      <c r="JYG42" s="1207"/>
      <c r="JYH42" s="1207"/>
      <c r="JYI42" s="1207"/>
      <c r="JYJ42" s="1207"/>
      <c r="JYK42" s="1207"/>
      <c r="JYL42" s="1207"/>
      <c r="JYM42" s="1207"/>
      <c r="JYN42" s="1207"/>
      <c r="JYO42" s="1207"/>
      <c r="JYP42" s="515"/>
      <c r="JYQ42" s="1207"/>
      <c r="JYR42" s="1207"/>
      <c r="JYS42" s="1207"/>
      <c r="JYT42" s="1207"/>
      <c r="JYU42" s="1207"/>
      <c r="JYV42" s="1207"/>
      <c r="JYW42" s="1207"/>
      <c r="JYX42" s="1207"/>
      <c r="JYY42" s="1207"/>
      <c r="JYZ42" s="1207"/>
      <c r="JZA42" s="515"/>
      <c r="JZB42" s="1207"/>
      <c r="JZC42" s="1207"/>
      <c r="JZD42" s="1207"/>
      <c r="JZE42" s="1207"/>
      <c r="JZF42" s="1207"/>
      <c r="JZG42" s="1207"/>
      <c r="JZH42" s="1207"/>
      <c r="JZI42" s="1207"/>
      <c r="JZJ42" s="1207"/>
      <c r="JZK42" s="1207"/>
      <c r="JZL42" s="515"/>
      <c r="JZM42" s="1207"/>
      <c r="JZN42" s="1207"/>
      <c r="JZO42" s="1207"/>
      <c r="JZP42" s="1207"/>
      <c r="JZQ42" s="1207"/>
      <c r="JZR42" s="1207"/>
      <c r="JZS42" s="1207"/>
      <c r="JZT42" s="1207"/>
      <c r="JZU42" s="1207"/>
      <c r="JZV42" s="1207"/>
      <c r="JZW42" s="515"/>
      <c r="JZX42" s="1207"/>
      <c r="JZY42" s="1207"/>
      <c r="JZZ42" s="1207"/>
      <c r="KAA42" s="1207"/>
      <c r="KAB42" s="1207"/>
      <c r="KAC42" s="1207"/>
      <c r="KAD42" s="1207"/>
      <c r="KAE42" s="1207"/>
      <c r="KAF42" s="1207"/>
      <c r="KAG42" s="1207"/>
      <c r="KAH42" s="515"/>
      <c r="KAI42" s="1207"/>
      <c r="KAJ42" s="1207"/>
      <c r="KAK42" s="1207"/>
      <c r="KAL42" s="1207"/>
      <c r="KAM42" s="1207"/>
      <c r="KAN42" s="1207"/>
      <c r="KAO42" s="1207"/>
      <c r="KAP42" s="1207"/>
      <c r="KAQ42" s="1207"/>
      <c r="KAR42" s="1207"/>
      <c r="KAS42" s="515"/>
      <c r="KAT42" s="1207"/>
      <c r="KAU42" s="1207"/>
      <c r="KAV42" s="1207"/>
      <c r="KAW42" s="1207"/>
      <c r="KAX42" s="1207"/>
      <c r="KAY42" s="1207"/>
      <c r="KAZ42" s="1207"/>
      <c r="KBA42" s="1207"/>
      <c r="KBB42" s="1207"/>
      <c r="KBC42" s="1207"/>
      <c r="KBD42" s="515"/>
      <c r="KBE42" s="1207"/>
      <c r="KBF42" s="1207"/>
      <c r="KBG42" s="1207"/>
      <c r="KBH42" s="1207"/>
      <c r="KBI42" s="1207"/>
      <c r="KBJ42" s="1207"/>
      <c r="KBK42" s="1207"/>
      <c r="KBL42" s="1207"/>
      <c r="KBM42" s="1207"/>
      <c r="KBN42" s="1207"/>
      <c r="KBO42" s="515"/>
      <c r="KBP42" s="1207"/>
      <c r="KBQ42" s="1207"/>
      <c r="KBR42" s="1207"/>
      <c r="KBS42" s="1207"/>
      <c r="KBT42" s="1207"/>
      <c r="KBU42" s="1207"/>
      <c r="KBV42" s="1207"/>
      <c r="KBW42" s="1207"/>
      <c r="KBX42" s="1207"/>
      <c r="KBY42" s="1207"/>
      <c r="KBZ42" s="515"/>
      <c r="KCA42" s="1207"/>
      <c r="KCB42" s="1207"/>
      <c r="KCC42" s="1207"/>
      <c r="KCD42" s="1207"/>
      <c r="KCE42" s="1207"/>
      <c r="KCF42" s="1207"/>
      <c r="KCG42" s="1207"/>
      <c r="KCH42" s="1207"/>
      <c r="KCI42" s="1207"/>
      <c r="KCJ42" s="1207"/>
      <c r="KCK42" s="515"/>
      <c r="KCL42" s="1207"/>
      <c r="KCM42" s="1207"/>
      <c r="KCN42" s="1207"/>
      <c r="KCO42" s="1207"/>
      <c r="KCP42" s="1207"/>
      <c r="KCQ42" s="1207"/>
      <c r="KCR42" s="1207"/>
      <c r="KCS42" s="1207"/>
      <c r="KCT42" s="1207"/>
      <c r="KCU42" s="1207"/>
      <c r="KCV42" s="515"/>
      <c r="KCW42" s="1207"/>
      <c r="KCX42" s="1207"/>
      <c r="KCY42" s="1207"/>
      <c r="KCZ42" s="1207"/>
      <c r="KDA42" s="1207"/>
      <c r="KDB42" s="1207"/>
      <c r="KDC42" s="1207"/>
      <c r="KDD42" s="1207"/>
      <c r="KDE42" s="1207"/>
      <c r="KDF42" s="1207"/>
      <c r="KDG42" s="515"/>
      <c r="KDH42" s="1207"/>
      <c r="KDI42" s="1207"/>
      <c r="KDJ42" s="1207"/>
      <c r="KDK42" s="1207"/>
      <c r="KDL42" s="1207"/>
      <c r="KDM42" s="1207"/>
      <c r="KDN42" s="1207"/>
      <c r="KDO42" s="1207"/>
      <c r="KDP42" s="1207"/>
      <c r="KDQ42" s="1207"/>
      <c r="KDR42" s="515"/>
      <c r="KDS42" s="1207"/>
      <c r="KDT42" s="1207"/>
      <c r="KDU42" s="1207"/>
      <c r="KDV42" s="1207"/>
      <c r="KDW42" s="1207"/>
      <c r="KDX42" s="1207"/>
      <c r="KDY42" s="1207"/>
      <c r="KDZ42" s="1207"/>
      <c r="KEA42" s="1207"/>
      <c r="KEB42" s="1207"/>
      <c r="KEC42" s="515"/>
      <c r="KED42" s="1207"/>
      <c r="KEE42" s="1207"/>
      <c r="KEF42" s="1207"/>
      <c r="KEG42" s="1207"/>
      <c r="KEH42" s="1207"/>
      <c r="KEI42" s="1207"/>
      <c r="KEJ42" s="1207"/>
      <c r="KEK42" s="1207"/>
      <c r="KEL42" s="1207"/>
      <c r="KEM42" s="1207"/>
      <c r="KEN42" s="515"/>
      <c r="KEO42" s="1207"/>
      <c r="KEP42" s="1207"/>
      <c r="KEQ42" s="1207"/>
      <c r="KER42" s="1207"/>
      <c r="KES42" s="1207"/>
      <c r="KET42" s="1207"/>
      <c r="KEU42" s="1207"/>
      <c r="KEV42" s="1207"/>
      <c r="KEW42" s="1207"/>
      <c r="KEX42" s="1207"/>
      <c r="KEY42" s="515"/>
      <c r="KEZ42" s="1207"/>
      <c r="KFA42" s="1207"/>
      <c r="KFB42" s="1207"/>
      <c r="KFC42" s="1207"/>
      <c r="KFD42" s="1207"/>
      <c r="KFE42" s="1207"/>
      <c r="KFF42" s="1207"/>
      <c r="KFG42" s="1207"/>
      <c r="KFH42" s="1207"/>
      <c r="KFI42" s="1207"/>
      <c r="KFJ42" s="515"/>
      <c r="KFK42" s="1207"/>
      <c r="KFL42" s="1207"/>
      <c r="KFM42" s="1207"/>
      <c r="KFN42" s="1207"/>
      <c r="KFO42" s="1207"/>
      <c r="KFP42" s="1207"/>
      <c r="KFQ42" s="1207"/>
      <c r="KFR42" s="1207"/>
      <c r="KFS42" s="1207"/>
      <c r="KFT42" s="1207"/>
      <c r="KFU42" s="515"/>
      <c r="KFV42" s="1207"/>
      <c r="KFW42" s="1207"/>
      <c r="KFX42" s="1207"/>
      <c r="KFY42" s="1207"/>
      <c r="KFZ42" s="1207"/>
      <c r="KGA42" s="1207"/>
      <c r="KGB42" s="1207"/>
      <c r="KGC42" s="1207"/>
      <c r="KGD42" s="1207"/>
      <c r="KGE42" s="1207"/>
      <c r="KGF42" s="515"/>
      <c r="KGG42" s="1207"/>
      <c r="KGH42" s="1207"/>
      <c r="KGI42" s="1207"/>
      <c r="KGJ42" s="1207"/>
      <c r="KGK42" s="1207"/>
      <c r="KGL42" s="1207"/>
      <c r="KGM42" s="1207"/>
      <c r="KGN42" s="1207"/>
      <c r="KGO42" s="1207"/>
      <c r="KGP42" s="1207"/>
      <c r="KGQ42" s="515"/>
      <c r="KGR42" s="1207"/>
      <c r="KGS42" s="1207"/>
      <c r="KGT42" s="1207"/>
      <c r="KGU42" s="1207"/>
      <c r="KGV42" s="1207"/>
      <c r="KGW42" s="1207"/>
      <c r="KGX42" s="1207"/>
      <c r="KGY42" s="1207"/>
      <c r="KGZ42" s="1207"/>
      <c r="KHA42" s="1207"/>
      <c r="KHB42" s="515"/>
      <c r="KHC42" s="1207"/>
      <c r="KHD42" s="1207"/>
      <c r="KHE42" s="1207"/>
      <c r="KHF42" s="1207"/>
      <c r="KHG42" s="1207"/>
      <c r="KHH42" s="1207"/>
      <c r="KHI42" s="1207"/>
      <c r="KHJ42" s="1207"/>
      <c r="KHK42" s="1207"/>
      <c r="KHL42" s="1207"/>
      <c r="KHM42" s="515"/>
      <c r="KHN42" s="1207"/>
      <c r="KHO42" s="1207"/>
      <c r="KHP42" s="1207"/>
      <c r="KHQ42" s="1207"/>
      <c r="KHR42" s="1207"/>
      <c r="KHS42" s="1207"/>
      <c r="KHT42" s="1207"/>
      <c r="KHU42" s="1207"/>
      <c r="KHV42" s="1207"/>
      <c r="KHW42" s="1207"/>
      <c r="KHX42" s="515"/>
      <c r="KHY42" s="1207"/>
      <c r="KHZ42" s="1207"/>
      <c r="KIA42" s="1207"/>
      <c r="KIB42" s="1207"/>
      <c r="KIC42" s="1207"/>
      <c r="KID42" s="1207"/>
      <c r="KIE42" s="1207"/>
      <c r="KIF42" s="1207"/>
      <c r="KIG42" s="1207"/>
      <c r="KIH42" s="1207"/>
      <c r="KII42" s="515"/>
      <c r="KIJ42" s="1207"/>
      <c r="KIK42" s="1207"/>
      <c r="KIL42" s="1207"/>
      <c r="KIM42" s="1207"/>
      <c r="KIN42" s="1207"/>
      <c r="KIO42" s="1207"/>
      <c r="KIP42" s="1207"/>
      <c r="KIQ42" s="1207"/>
      <c r="KIR42" s="1207"/>
      <c r="KIS42" s="1207"/>
      <c r="KIT42" s="515"/>
      <c r="KIU42" s="1207"/>
      <c r="KIV42" s="1207"/>
      <c r="KIW42" s="1207"/>
      <c r="KIX42" s="1207"/>
      <c r="KIY42" s="1207"/>
      <c r="KIZ42" s="1207"/>
      <c r="KJA42" s="1207"/>
      <c r="KJB42" s="1207"/>
      <c r="KJC42" s="1207"/>
      <c r="KJD42" s="1207"/>
      <c r="KJE42" s="515"/>
      <c r="KJF42" s="1207"/>
      <c r="KJG42" s="1207"/>
      <c r="KJH42" s="1207"/>
      <c r="KJI42" s="1207"/>
      <c r="KJJ42" s="1207"/>
      <c r="KJK42" s="1207"/>
      <c r="KJL42" s="1207"/>
      <c r="KJM42" s="1207"/>
      <c r="KJN42" s="1207"/>
      <c r="KJO42" s="1207"/>
      <c r="KJP42" s="515"/>
      <c r="KJQ42" s="1207"/>
      <c r="KJR42" s="1207"/>
      <c r="KJS42" s="1207"/>
      <c r="KJT42" s="1207"/>
      <c r="KJU42" s="1207"/>
      <c r="KJV42" s="1207"/>
      <c r="KJW42" s="1207"/>
      <c r="KJX42" s="1207"/>
      <c r="KJY42" s="1207"/>
      <c r="KJZ42" s="1207"/>
      <c r="KKA42" s="515"/>
      <c r="KKB42" s="1207"/>
      <c r="KKC42" s="1207"/>
      <c r="KKD42" s="1207"/>
      <c r="KKE42" s="1207"/>
      <c r="KKF42" s="1207"/>
      <c r="KKG42" s="1207"/>
      <c r="KKH42" s="1207"/>
      <c r="KKI42" s="1207"/>
      <c r="KKJ42" s="1207"/>
      <c r="KKK42" s="1207"/>
      <c r="KKL42" s="515"/>
      <c r="KKM42" s="1207"/>
      <c r="KKN42" s="1207"/>
      <c r="KKO42" s="1207"/>
      <c r="KKP42" s="1207"/>
      <c r="KKQ42" s="1207"/>
      <c r="KKR42" s="1207"/>
      <c r="KKS42" s="1207"/>
      <c r="KKT42" s="1207"/>
      <c r="KKU42" s="1207"/>
      <c r="KKV42" s="1207"/>
      <c r="KKW42" s="515"/>
      <c r="KKX42" s="1207"/>
      <c r="KKY42" s="1207"/>
      <c r="KKZ42" s="1207"/>
      <c r="KLA42" s="1207"/>
      <c r="KLB42" s="1207"/>
      <c r="KLC42" s="1207"/>
      <c r="KLD42" s="1207"/>
      <c r="KLE42" s="1207"/>
      <c r="KLF42" s="1207"/>
      <c r="KLG42" s="1207"/>
      <c r="KLH42" s="515"/>
      <c r="KLI42" s="1207"/>
      <c r="KLJ42" s="1207"/>
      <c r="KLK42" s="1207"/>
      <c r="KLL42" s="1207"/>
      <c r="KLM42" s="1207"/>
      <c r="KLN42" s="1207"/>
      <c r="KLO42" s="1207"/>
      <c r="KLP42" s="1207"/>
      <c r="KLQ42" s="1207"/>
      <c r="KLR42" s="1207"/>
      <c r="KLS42" s="515"/>
      <c r="KLT42" s="1207"/>
      <c r="KLU42" s="1207"/>
      <c r="KLV42" s="1207"/>
      <c r="KLW42" s="1207"/>
      <c r="KLX42" s="1207"/>
      <c r="KLY42" s="1207"/>
      <c r="KLZ42" s="1207"/>
      <c r="KMA42" s="1207"/>
      <c r="KMB42" s="1207"/>
      <c r="KMC42" s="1207"/>
      <c r="KMD42" s="515"/>
      <c r="KME42" s="1207"/>
      <c r="KMF42" s="1207"/>
      <c r="KMG42" s="1207"/>
      <c r="KMH42" s="1207"/>
      <c r="KMI42" s="1207"/>
      <c r="KMJ42" s="1207"/>
      <c r="KMK42" s="1207"/>
      <c r="KML42" s="1207"/>
      <c r="KMM42" s="1207"/>
      <c r="KMN42" s="1207"/>
      <c r="KMO42" s="515"/>
      <c r="KMP42" s="1207"/>
      <c r="KMQ42" s="1207"/>
      <c r="KMR42" s="1207"/>
      <c r="KMS42" s="1207"/>
      <c r="KMT42" s="1207"/>
      <c r="KMU42" s="1207"/>
      <c r="KMV42" s="1207"/>
      <c r="KMW42" s="1207"/>
      <c r="KMX42" s="1207"/>
      <c r="KMY42" s="1207"/>
      <c r="KMZ42" s="515"/>
      <c r="KNA42" s="1207"/>
      <c r="KNB42" s="1207"/>
      <c r="KNC42" s="1207"/>
      <c r="KND42" s="1207"/>
      <c r="KNE42" s="1207"/>
      <c r="KNF42" s="1207"/>
      <c r="KNG42" s="1207"/>
      <c r="KNH42" s="1207"/>
      <c r="KNI42" s="1207"/>
      <c r="KNJ42" s="1207"/>
      <c r="KNK42" s="515"/>
      <c r="KNL42" s="1207"/>
      <c r="KNM42" s="1207"/>
      <c r="KNN42" s="1207"/>
      <c r="KNO42" s="1207"/>
      <c r="KNP42" s="1207"/>
      <c r="KNQ42" s="1207"/>
      <c r="KNR42" s="1207"/>
      <c r="KNS42" s="1207"/>
      <c r="KNT42" s="1207"/>
      <c r="KNU42" s="1207"/>
      <c r="KNV42" s="515"/>
      <c r="KNW42" s="1207"/>
      <c r="KNX42" s="1207"/>
      <c r="KNY42" s="1207"/>
      <c r="KNZ42" s="1207"/>
      <c r="KOA42" s="1207"/>
      <c r="KOB42" s="1207"/>
      <c r="KOC42" s="1207"/>
      <c r="KOD42" s="1207"/>
      <c r="KOE42" s="1207"/>
      <c r="KOF42" s="1207"/>
      <c r="KOG42" s="515"/>
      <c r="KOH42" s="1207"/>
      <c r="KOI42" s="1207"/>
      <c r="KOJ42" s="1207"/>
      <c r="KOK42" s="1207"/>
      <c r="KOL42" s="1207"/>
      <c r="KOM42" s="1207"/>
      <c r="KON42" s="1207"/>
      <c r="KOO42" s="1207"/>
      <c r="KOP42" s="1207"/>
      <c r="KOQ42" s="1207"/>
      <c r="KOR42" s="515"/>
      <c r="KOS42" s="1207"/>
      <c r="KOT42" s="1207"/>
      <c r="KOU42" s="1207"/>
      <c r="KOV42" s="1207"/>
      <c r="KOW42" s="1207"/>
      <c r="KOX42" s="1207"/>
      <c r="KOY42" s="1207"/>
      <c r="KOZ42" s="1207"/>
      <c r="KPA42" s="1207"/>
      <c r="KPB42" s="1207"/>
      <c r="KPC42" s="515"/>
      <c r="KPD42" s="1207"/>
      <c r="KPE42" s="1207"/>
      <c r="KPF42" s="1207"/>
      <c r="KPG42" s="1207"/>
      <c r="KPH42" s="1207"/>
      <c r="KPI42" s="1207"/>
      <c r="KPJ42" s="1207"/>
      <c r="KPK42" s="1207"/>
      <c r="KPL42" s="1207"/>
      <c r="KPM42" s="1207"/>
      <c r="KPN42" s="515"/>
      <c r="KPO42" s="1207"/>
      <c r="KPP42" s="1207"/>
      <c r="KPQ42" s="1207"/>
      <c r="KPR42" s="1207"/>
      <c r="KPS42" s="1207"/>
      <c r="KPT42" s="1207"/>
      <c r="KPU42" s="1207"/>
      <c r="KPV42" s="1207"/>
      <c r="KPW42" s="1207"/>
      <c r="KPX42" s="1207"/>
      <c r="KPY42" s="515"/>
      <c r="KPZ42" s="1207"/>
      <c r="KQA42" s="1207"/>
      <c r="KQB42" s="1207"/>
      <c r="KQC42" s="1207"/>
      <c r="KQD42" s="1207"/>
      <c r="KQE42" s="1207"/>
      <c r="KQF42" s="1207"/>
      <c r="KQG42" s="1207"/>
      <c r="KQH42" s="1207"/>
      <c r="KQI42" s="1207"/>
      <c r="KQJ42" s="515"/>
      <c r="KQK42" s="1207"/>
      <c r="KQL42" s="1207"/>
      <c r="KQM42" s="1207"/>
      <c r="KQN42" s="1207"/>
      <c r="KQO42" s="1207"/>
      <c r="KQP42" s="1207"/>
      <c r="KQQ42" s="1207"/>
      <c r="KQR42" s="1207"/>
      <c r="KQS42" s="1207"/>
      <c r="KQT42" s="1207"/>
      <c r="KQU42" s="515"/>
      <c r="KQV42" s="1207"/>
      <c r="KQW42" s="1207"/>
      <c r="KQX42" s="1207"/>
      <c r="KQY42" s="1207"/>
      <c r="KQZ42" s="1207"/>
      <c r="KRA42" s="1207"/>
      <c r="KRB42" s="1207"/>
      <c r="KRC42" s="1207"/>
      <c r="KRD42" s="1207"/>
      <c r="KRE42" s="1207"/>
      <c r="KRF42" s="515"/>
      <c r="KRG42" s="1207"/>
      <c r="KRH42" s="1207"/>
      <c r="KRI42" s="1207"/>
      <c r="KRJ42" s="1207"/>
      <c r="KRK42" s="1207"/>
      <c r="KRL42" s="1207"/>
      <c r="KRM42" s="1207"/>
      <c r="KRN42" s="1207"/>
      <c r="KRO42" s="1207"/>
      <c r="KRP42" s="1207"/>
      <c r="KRQ42" s="515"/>
      <c r="KRR42" s="1207"/>
      <c r="KRS42" s="1207"/>
      <c r="KRT42" s="1207"/>
      <c r="KRU42" s="1207"/>
      <c r="KRV42" s="1207"/>
      <c r="KRW42" s="1207"/>
      <c r="KRX42" s="1207"/>
      <c r="KRY42" s="1207"/>
      <c r="KRZ42" s="1207"/>
      <c r="KSA42" s="1207"/>
      <c r="KSB42" s="515"/>
      <c r="KSC42" s="1207"/>
      <c r="KSD42" s="1207"/>
      <c r="KSE42" s="1207"/>
      <c r="KSF42" s="1207"/>
      <c r="KSG42" s="1207"/>
      <c r="KSH42" s="1207"/>
      <c r="KSI42" s="1207"/>
      <c r="KSJ42" s="1207"/>
      <c r="KSK42" s="1207"/>
      <c r="KSL42" s="1207"/>
      <c r="KSM42" s="515"/>
      <c r="KSN42" s="1207"/>
      <c r="KSO42" s="1207"/>
      <c r="KSP42" s="1207"/>
      <c r="KSQ42" s="1207"/>
      <c r="KSR42" s="1207"/>
      <c r="KSS42" s="1207"/>
      <c r="KST42" s="1207"/>
      <c r="KSU42" s="1207"/>
      <c r="KSV42" s="1207"/>
      <c r="KSW42" s="1207"/>
      <c r="KSX42" s="515"/>
      <c r="KSY42" s="1207"/>
      <c r="KSZ42" s="1207"/>
      <c r="KTA42" s="1207"/>
      <c r="KTB42" s="1207"/>
      <c r="KTC42" s="1207"/>
      <c r="KTD42" s="1207"/>
      <c r="KTE42" s="1207"/>
      <c r="KTF42" s="1207"/>
      <c r="KTG42" s="1207"/>
      <c r="KTH42" s="1207"/>
      <c r="KTI42" s="515"/>
      <c r="KTJ42" s="1207"/>
      <c r="KTK42" s="1207"/>
      <c r="KTL42" s="1207"/>
      <c r="KTM42" s="1207"/>
      <c r="KTN42" s="1207"/>
      <c r="KTO42" s="1207"/>
      <c r="KTP42" s="1207"/>
      <c r="KTQ42" s="1207"/>
      <c r="KTR42" s="1207"/>
      <c r="KTS42" s="1207"/>
      <c r="KTT42" s="515"/>
      <c r="KTU42" s="1207"/>
      <c r="KTV42" s="1207"/>
      <c r="KTW42" s="1207"/>
      <c r="KTX42" s="1207"/>
      <c r="KTY42" s="1207"/>
      <c r="KTZ42" s="1207"/>
      <c r="KUA42" s="1207"/>
      <c r="KUB42" s="1207"/>
      <c r="KUC42" s="1207"/>
      <c r="KUD42" s="1207"/>
      <c r="KUE42" s="515"/>
      <c r="KUF42" s="1207"/>
      <c r="KUG42" s="1207"/>
      <c r="KUH42" s="1207"/>
      <c r="KUI42" s="1207"/>
      <c r="KUJ42" s="1207"/>
      <c r="KUK42" s="1207"/>
      <c r="KUL42" s="1207"/>
      <c r="KUM42" s="1207"/>
      <c r="KUN42" s="1207"/>
      <c r="KUO42" s="1207"/>
      <c r="KUP42" s="515"/>
      <c r="KUQ42" s="1207"/>
      <c r="KUR42" s="1207"/>
      <c r="KUS42" s="1207"/>
      <c r="KUT42" s="1207"/>
      <c r="KUU42" s="1207"/>
      <c r="KUV42" s="1207"/>
      <c r="KUW42" s="1207"/>
      <c r="KUX42" s="1207"/>
      <c r="KUY42" s="1207"/>
      <c r="KUZ42" s="1207"/>
      <c r="KVA42" s="515"/>
      <c r="KVB42" s="1207"/>
      <c r="KVC42" s="1207"/>
      <c r="KVD42" s="1207"/>
      <c r="KVE42" s="1207"/>
      <c r="KVF42" s="1207"/>
      <c r="KVG42" s="1207"/>
      <c r="KVH42" s="1207"/>
      <c r="KVI42" s="1207"/>
      <c r="KVJ42" s="1207"/>
      <c r="KVK42" s="1207"/>
      <c r="KVL42" s="515"/>
      <c r="KVM42" s="1207"/>
      <c r="KVN42" s="1207"/>
      <c r="KVO42" s="1207"/>
      <c r="KVP42" s="1207"/>
      <c r="KVQ42" s="1207"/>
      <c r="KVR42" s="1207"/>
      <c r="KVS42" s="1207"/>
      <c r="KVT42" s="1207"/>
      <c r="KVU42" s="1207"/>
      <c r="KVV42" s="1207"/>
      <c r="KVW42" s="515"/>
      <c r="KVX42" s="1207"/>
      <c r="KVY42" s="1207"/>
      <c r="KVZ42" s="1207"/>
      <c r="KWA42" s="1207"/>
      <c r="KWB42" s="1207"/>
      <c r="KWC42" s="1207"/>
      <c r="KWD42" s="1207"/>
      <c r="KWE42" s="1207"/>
      <c r="KWF42" s="1207"/>
      <c r="KWG42" s="1207"/>
      <c r="KWH42" s="515"/>
      <c r="KWI42" s="1207"/>
      <c r="KWJ42" s="1207"/>
      <c r="KWK42" s="1207"/>
      <c r="KWL42" s="1207"/>
      <c r="KWM42" s="1207"/>
      <c r="KWN42" s="1207"/>
      <c r="KWO42" s="1207"/>
      <c r="KWP42" s="1207"/>
      <c r="KWQ42" s="1207"/>
      <c r="KWR42" s="1207"/>
      <c r="KWS42" s="515"/>
      <c r="KWT42" s="1207"/>
      <c r="KWU42" s="1207"/>
      <c r="KWV42" s="1207"/>
      <c r="KWW42" s="1207"/>
      <c r="KWX42" s="1207"/>
      <c r="KWY42" s="1207"/>
      <c r="KWZ42" s="1207"/>
      <c r="KXA42" s="1207"/>
      <c r="KXB42" s="1207"/>
      <c r="KXC42" s="1207"/>
      <c r="KXD42" s="515"/>
      <c r="KXE42" s="1207"/>
      <c r="KXF42" s="1207"/>
      <c r="KXG42" s="1207"/>
      <c r="KXH42" s="1207"/>
      <c r="KXI42" s="1207"/>
      <c r="KXJ42" s="1207"/>
      <c r="KXK42" s="1207"/>
      <c r="KXL42" s="1207"/>
      <c r="KXM42" s="1207"/>
      <c r="KXN42" s="1207"/>
      <c r="KXO42" s="515"/>
      <c r="KXP42" s="1207"/>
      <c r="KXQ42" s="1207"/>
      <c r="KXR42" s="1207"/>
      <c r="KXS42" s="1207"/>
      <c r="KXT42" s="1207"/>
      <c r="KXU42" s="1207"/>
      <c r="KXV42" s="1207"/>
      <c r="KXW42" s="1207"/>
      <c r="KXX42" s="1207"/>
      <c r="KXY42" s="1207"/>
      <c r="KXZ42" s="515"/>
      <c r="KYA42" s="1207"/>
      <c r="KYB42" s="1207"/>
      <c r="KYC42" s="1207"/>
      <c r="KYD42" s="1207"/>
      <c r="KYE42" s="1207"/>
      <c r="KYF42" s="1207"/>
      <c r="KYG42" s="1207"/>
      <c r="KYH42" s="1207"/>
      <c r="KYI42" s="1207"/>
      <c r="KYJ42" s="1207"/>
      <c r="KYK42" s="515"/>
      <c r="KYL42" s="1207"/>
      <c r="KYM42" s="1207"/>
      <c r="KYN42" s="1207"/>
      <c r="KYO42" s="1207"/>
      <c r="KYP42" s="1207"/>
      <c r="KYQ42" s="1207"/>
      <c r="KYR42" s="1207"/>
      <c r="KYS42" s="1207"/>
      <c r="KYT42" s="1207"/>
      <c r="KYU42" s="1207"/>
      <c r="KYV42" s="515"/>
      <c r="KYW42" s="1207"/>
      <c r="KYX42" s="1207"/>
      <c r="KYY42" s="1207"/>
      <c r="KYZ42" s="1207"/>
      <c r="KZA42" s="1207"/>
      <c r="KZB42" s="1207"/>
      <c r="KZC42" s="1207"/>
      <c r="KZD42" s="1207"/>
      <c r="KZE42" s="1207"/>
      <c r="KZF42" s="1207"/>
      <c r="KZG42" s="515"/>
      <c r="KZH42" s="1207"/>
      <c r="KZI42" s="1207"/>
      <c r="KZJ42" s="1207"/>
      <c r="KZK42" s="1207"/>
      <c r="KZL42" s="1207"/>
      <c r="KZM42" s="1207"/>
      <c r="KZN42" s="1207"/>
      <c r="KZO42" s="1207"/>
      <c r="KZP42" s="1207"/>
      <c r="KZQ42" s="1207"/>
      <c r="KZR42" s="515"/>
      <c r="KZS42" s="1207"/>
      <c r="KZT42" s="1207"/>
      <c r="KZU42" s="1207"/>
      <c r="KZV42" s="1207"/>
      <c r="KZW42" s="1207"/>
      <c r="KZX42" s="1207"/>
      <c r="KZY42" s="1207"/>
      <c r="KZZ42" s="1207"/>
      <c r="LAA42" s="1207"/>
      <c r="LAB42" s="1207"/>
      <c r="LAC42" s="515"/>
      <c r="LAD42" s="1207"/>
      <c r="LAE42" s="1207"/>
      <c r="LAF42" s="1207"/>
      <c r="LAG42" s="1207"/>
      <c r="LAH42" s="1207"/>
      <c r="LAI42" s="1207"/>
      <c r="LAJ42" s="1207"/>
      <c r="LAK42" s="1207"/>
      <c r="LAL42" s="1207"/>
      <c r="LAM42" s="1207"/>
      <c r="LAN42" s="515"/>
      <c r="LAO42" s="1207"/>
      <c r="LAP42" s="1207"/>
      <c r="LAQ42" s="1207"/>
      <c r="LAR42" s="1207"/>
      <c r="LAS42" s="1207"/>
      <c r="LAT42" s="1207"/>
      <c r="LAU42" s="1207"/>
      <c r="LAV42" s="1207"/>
      <c r="LAW42" s="1207"/>
      <c r="LAX42" s="1207"/>
      <c r="LAY42" s="515"/>
      <c r="LAZ42" s="1207"/>
      <c r="LBA42" s="1207"/>
      <c r="LBB42" s="1207"/>
      <c r="LBC42" s="1207"/>
      <c r="LBD42" s="1207"/>
      <c r="LBE42" s="1207"/>
      <c r="LBF42" s="1207"/>
      <c r="LBG42" s="1207"/>
      <c r="LBH42" s="1207"/>
      <c r="LBI42" s="1207"/>
      <c r="LBJ42" s="515"/>
      <c r="LBK42" s="1207"/>
      <c r="LBL42" s="1207"/>
      <c r="LBM42" s="1207"/>
      <c r="LBN42" s="1207"/>
      <c r="LBO42" s="1207"/>
      <c r="LBP42" s="1207"/>
      <c r="LBQ42" s="1207"/>
      <c r="LBR42" s="1207"/>
      <c r="LBS42" s="1207"/>
      <c r="LBT42" s="1207"/>
      <c r="LBU42" s="515"/>
      <c r="LBV42" s="1207"/>
      <c r="LBW42" s="1207"/>
      <c r="LBX42" s="1207"/>
      <c r="LBY42" s="1207"/>
      <c r="LBZ42" s="1207"/>
      <c r="LCA42" s="1207"/>
      <c r="LCB42" s="1207"/>
      <c r="LCC42" s="1207"/>
      <c r="LCD42" s="1207"/>
      <c r="LCE42" s="1207"/>
      <c r="LCF42" s="515"/>
      <c r="LCG42" s="1207"/>
      <c r="LCH42" s="1207"/>
      <c r="LCI42" s="1207"/>
      <c r="LCJ42" s="1207"/>
      <c r="LCK42" s="1207"/>
      <c r="LCL42" s="1207"/>
      <c r="LCM42" s="1207"/>
      <c r="LCN42" s="1207"/>
      <c r="LCO42" s="1207"/>
      <c r="LCP42" s="1207"/>
      <c r="LCQ42" s="515"/>
      <c r="LCR42" s="1207"/>
      <c r="LCS42" s="1207"/>
      <c r="LCT42" s="1207"/>
      <c r="LCU42" s="1207"/>
      <c r="LCV42" s="1207"/>
      <c r="LCW42" s="1207"/>
      <c r="LCX42" s="1207"/>
      <c r="LCY42" s="1207"/>
      <c r="LCZ42" s="1207"/>
      <c r="LDA42" s="1207"/>
      <c r="LDB42" s="515"/>
      <c r="LDC42" s="1207"/>
      <c r="LDD42" s="1207"/>
      <c r="LDE42" s="1207"/>
      <c r="LDF42" s="1207"/>
      <c r="LDG42" s="1207"/>
      <c r="LDH42" s="1207"/>
      <c r="LDI42" s="1207"/>
      <c r="LDJ42" s="1207"/>
      <c r="LDK42" s="1207"/>
      <c r="LDL42" s="1207"/>
      <c r="LDM42" s="515"/>
      <c r="LDN42" s="1207"/>
      <c r="LDO42" s="1207"/>
      <c r="LDP42" s="1207"/>
      <c r="LDQ42" s="1207"/>
      <c r="LDR42" s="1207"/>
      <c r="LDS42" s="1207"/>
      <c r="LDT42" s="1207"/>
      <c r="LDU42" s="1207"/>
      <c r="LDV42" s="1207"/>
      <c r="LDW42" s="1207"/>
      <c r="LDX42" s="515"/>
      <c r="LDY42" s="1207"/>
      <c r="LDZ42" s="1207"/>
      <c r="LEA42" s="1207"/>
      <c r="LEB42" s="1207"/>
      <c r="LEC42" s="1207"/>
      <c r="LED42" s="1207"/>
      <c r="LEE42" s="1207"/>
      <c r="LEF42" s="1207"/>
      <c r="LEG42" s="1207"/>
      <c r="LEH42" s="1207"/>
      <c r="LEI42" s="515"/>
      <c r="LEJ42" s="1207"/>
      <c r="LEK42" s="1207"/>
      <c r="LEL42" s="1207"/>
      <c r="LEM42" s="1207"/>
      <c r="LEN42" s="1207"/>
      <c r="LEO42" s="1207"/>
      <c r="LEP42" s="1207"/>
      <c r="LEQ42" s="1207"/>
      <c r="LER42" s="1207"/>
      <c r="LES42" s="1207"/>
      <c r="LET42" s="515"/>
      <c r="LEU42" s="1207"/>
      <c r="LEV42" s="1207"/>
      <c r="LEW42" s="1207"/>
      <c r="LEX42" s="1207"/>
      <c r="LEY42" s="1207"/>
      <c r="LEZ42" s="1207"/>
      <c r="LFA42" s="1207"/>
      <c r="LFB42" s="1207"/>
      <c r="LFC42" s="1207"/>
      <c r="LFD42" s="1207"/>
      <c r="LFE42" s="515"/>
      <c r="LFF42" s="1207"/>
      <c r="LFG42" s="1207"/>
      <c r="LFH42" s="1207"/>
      <c r="LFI42" s="1207"/>
      <c r="LFJ42" s="1207"/>
      <c r="LFK42" s="1207"/>
      <c r="LFL42" s="1207"/>
      <c r="LFM42" s="1207"/>
      <c r="LFN42" s="1207"/>
      <c r="LFO42" s="1207"/>
      <c r="LFP42" s="515"/>
      <c r="LFQ42" s="1207"/>
      <c r="LFR42" s="1207"/>
      <c r="LFS42" s="1207"/>
      <c r="LFT42" s="1207"/>
      <c r="LFU42" s="1207"/>
      <c r="LFV42" s="1207"/>
      <c r="LFW42" s="1207"/>
      <c r="LFX42" s="1207"/>
      <c r="LFY42" s="1207"/>
      <c r="LFZ42" s="1207"/>
      <c r="LGA42" s="515"/>
      <c r="LGB42" s="1207"/>
      <c r="LGC42" s="1207"/>
      <c r="LGD42" s="1207"/>
      <c r="LGE42" s="1207"/>
      <c r="LGF42" s="1207"/>
      <c r="LGG42" s="1207"/>
      <c r="LGH42" s="1207"/>
      <c r="LGI42" s="1207"/>
      <c r="LGJ42" s="1207"/>
      <c r="LGK42" s="1207"/>
      <c r="LGL42" s="515"/>
      <c r="LGM42" s="1207"/>
      <c r="LGN42" s="1207"/>
      <c r="LGO42" s="1207"/>
      <c r="LGP42" s="1207"/>
      <c r="LGQ42" s="1207"/>
      <c r="LGR42" s="1207"/>
      <c r="LGS42" s="1207"/>
      <c r="LGT42" s="1207"/>
      <c r="LGU42" s="1207"/>
      <c r="LGV42" s="1207"/>
      <c r="LGW42" s="515"/>
      <c r="LGX42" s="1207"/>
      <c r="LGY42" s="1207"/>
      <c r="LGZ42" s="1207"/>
      <c r="LHA42" s="1207"/>
      <c r="LHB42" s="1207"/>
      <c r="LHC42" s="1207"/>
      <c r="LHD42" s="1207"/>
      <c r="LHE42" s="1207"/>
      <c r="LHF42" s="1207"/>
      <c r="LHG42" s="1207"/>
      <c r="LHH42" s="515"/>
      <c r="LHI42" s="1207"/>
      <c r="LHJ42" s="1207"/>
      <c r="LHK42" s="1207"/>
      <c r="LHL42" s="1207"/>
      <c r="LHM42" s="1207"/>
      <c r="LHN42" s="1207"/>
      <c r="LHO42" s="1207"/>
      <c r="LHP42" s="1207"/>
      <c r="LHQ42" s="1207"/>
      <c r="LHR42" s="1207"/>
      <c r="LHS42" s="515"/>
      <c r="LHT42" s="1207"/>
      <c r="LHU42" s="1207"/>
      <c r="LHV42" s="1207"/>
      <c r="LHW42" s="1207"/>
      <c r="LHX42" s="1207"/>
      <c r="LHY42" s="1207"/>
      <c r="LHZ42" s="1207"/>
      <c r="LIA42" s="1207"/>
      <c r="LIB42" s="1207"/>
      <c r="LIC42" s="1207"/>
      <c r="LID42" s="515"/>
      <c r="LIE42" s="1207"/>
      <c r="LIF42" s="1207"/>
      <c r="LIG42" s="1207"/>
      <c r="LIH42" s="1207"/>
      <c r="LII42" s="1207"/>
      <c r="LIJ42" s="1207"/>
      <c r="LIK42" s="1207"/>
      <c r="LIL42" s="1207"/>
      <c r="LIM42" s="1207"/>
      <c r="LIN42" s="1207"/>
      <c r="LIO42" s="515"/>
      <c r="LIP42" s="1207"/>
      <c r="LIQ42" s="1207"/>
      <c r="LIR42" s="1207"/>
      <c r="LIS42" s="1207"/>
      <c r="LIT42" s="1207"/>
      <c r="LIU42" s="1207"/>
      <c r="LIV42" s="1207"/>
      <c r="LIW42" s="1207"/>
      <c r="LIX42" s="1207"/>
      <c r="LIY42" s="1207"/>
      <c r="LIZ42" s="515"/>
      <c r="LJA42" s="1207"/>
      <c r="LJB42" s="1207"/>
      <c r="LJC42" s="1207"/>
      <c r="LJD42" s="1207"/>
      <c r="LJE42" s="1207"/>
      <c r="LJF42" s="1207"/>
      <c r="LJG42" s="1207"/>
      <c r="LJH42" s="1207"/>
      <c r="LJI42" s="1207"/>
      <c r="LJJ42" s="1207"/>
      <c r="LJK42" s="515"/>
      <c r="LJL42" s="1207"/>
      <c r="LJM42" s="1207"/>
      <c r="LJN42" s="1207"/>
      <c r="LJO42" s="1207"/>
      <c r="LJP42" s="1207"/>
      <c r="LJQ42" s="1207"/>
      <c r="LJR42" s="1207"/>
      <c r="LJS42" s="1207"/>
      <c r="LJT42" s="1207"/>
      <c r="LJU42" s="1207"/>
      <c r="LJV42" s="515"/>
      <c r="LJW42" s="1207"/>
      <c r="LJX42" s="1207"/>
      <c r="LJY42" s="1207"/>
      <c r="LJZ42" s="1207"/>
      <c r="LKA42" s="1207"/>
      <c r="LKB42" s="1207"/>
      <c r="LKC42" s="1207"/>
      <c r="LKD42" s="1207"/>
      <c r="LKE42" s="1207"/>
      <c r="LKF42" s="1207"/>
      <c r="LKG42" s="515"/>
      <c r="LKH42" s="1207"/>
      <c r="LKI42" s="1207"/>
      <c r="LKJ42" s="1207"/>
      <c r="LKK42" s="1207"/>
      <c r="LKL42" s="1207"/>
      <c r="LKM42" s="1207"/>
      <c r="LKN42" s="1207"/>
      <c r="LKO42" s="1207"/>
      <c r="LKP42" s="1207"/>
      <c r="LKQ42" s="1207"/>
      <c r="LKR42" s="515"/>
      <c r="LKS42" s="1207"/>
      <c r="LKT42" s="1207"/>
      <c r="LKU42" s="1207"/>
      <c r="LKV42" s="1207"/>
      <c r="LKW42" s="1207"/>
      <c r="LKX42" s="1207"/>
      <c r="LKY42" s="1207"/>
      <c r="LKZ42" s="1207"/>
      <c r="LLA42" s="1207"/>
      <c r="LLB42" s="1207"/>
      <c r="LLC42" s="515"/>
      <c r="LLD42" s="1207"/>
      <c r="LLE42" s="1207"/>
      <c r="LLF42" s="1207"/>
      <c r="LLG42" s="1207"/>
      <c r="LLH42" s="1207"/>
      <c r="LLI42" s="1207"/>
      <c r="LLJ42" s="1207"/>
      <c r="LLK42" s="1207"/>
      <c r="LLL42" s="1207"/>
      <c r="LLM42" s="1207"/>
      <c r="LLN42" s="515"/>
      <c r="LLO42" s="1207"/>
      <c r="LLP42" s="1207"/>
      <c r="LLQ42" s="1207"/>
      <c r="LLR42" s="1207"/>
      <c r="LLS42" s="1207"/>
      <c r="LLT42" s="1207"/>
      <c r="LLU42" s="1207"/>
      <c r="LLV42" s="1207"/>
      <c r="LLW42" s="1207"/>
      <c r="LLX42" s="1207"/>
      <c r="LLY42" s="515"/>
      <c r="LLZ42" s="1207"/>
      <c r="LMA42" s="1207"/>
      <c r="LMB42" s="1207"/>
      <c r="LMC42" s="1207"/>
      <c r="LMD42" s="1207"/>
      <c r="LME42" s="1207"/>
      <c r="LMF42" s="1207"/>
      <c r="LMG42" s="1207"/>
      <c r="LMH42" s="1207"/>
      <c r="LMI42" s="1207"/>
      <c r="LMJ42" s="515"/>
      <c r="LMK42" s="1207"/>
      <c r="LML42" s="1207"/>
      <c r="LMM42" s="1207"/>
      <c r="LMN42" s="1207"/>
      <c r="LMO42" s="1207"/>
      <c r="LMP42" s="1207"/>
      <c r="LMQ42" s="1207"/>
      <c r="LMR42" s="1207"/>
      <c r="LMS42" s="1207"/>
      <c r="LMT42" s="1207"/>
      <c r="LMU42" s="515"/>
      <c r="LMV42" s="1207"/>
      <c r="LMW42" s="1207"/>
      <c r="LMX42" s="1207"/>
      <c r="LMY42" s="1207"/>
      <c r="LMZ42" s="1207"/>
      <c r="LNA42" s="1207"/>
      <c r="LNB42" s="1207"/>
      <c r="LNC42" s="1207"/>
      <c r="LND42" s="1207"/>
      <c r="LNE42" s="1207"/>
      <c r="LNF42" s="515"/>
      <c r="LNG42" s="1207"/>
      <c r="LNH42" s="1207"/>
      <c r="LNI42" s="1207"/>
      <c r="LNJ42" s="1207"/>
      <c r="LNK42" s="1207"/>
      <c r="LNL42" s="1207"/>
      <c r="LNM42" s="1207"/>
      <c r="LNN42" s="1207"/>
      <c r="LNO42" s="1207"/>
      <c r="LNP42" s="1207"/>
      <c r="LNQ42" s="515"/>
      <c r="LNR42" s="1207"/>
      <c r="LNS42" s="1207"/>
      <c r="LNT42" s="1207"/>
      <c r="LNU42" s="1207"/>
      <c r="LNV42" s="1207"/>
      <c r="LNW42" s="1207"/>
      <c r="LNX42" s="1207"/>
      <c r="LNY42" s="1207"/>
      <c r="LNZ42" s="1207"/>
      <c r="LOA42" s="1207"/>
      <c r="LOB42" s="515"/>
      <c r="LOC42" s="1207"/>
      <c r="LOD42" s="1207"/>
      <c r="LOE42" s="1207"/>
      <c r="LOF42" s="1207"/>
      <c r="LOG42" s="1207"/>
      <c r="LOH42" s="1207"/>
      <c r="LOI42" s="1207"/>
      <c r="LOJ42" s="1207"/>
      <c r="LOK42" s="1207"/>
      <c r="LOL42" s="1207"/>
      <c r="LOM42" s="515"/>
      <c r="LON42" s="1207"/>
      <c r="LOO42" s="1207"/>
      <c r="LOP42" s="1207"/>
      <c r="LOQ42" s="1207"/>
      <c r="LOR42" s="1207"/>
      <c r="LOS42" s="1207"/>
      <c r="LOT42" s="1207"/>
      <c r="LOU42" s="1207"/>
      <c r="LOV42" s="1207"/>
      <c r="LOW42" s="1207"/>
      <c r="LOX42" s="515"/>
      <c r="LOY42" s="1207"/>
      <c r="LOZ42" s="1207"/>
      <c r="LPA42" s="1207"/>
      <c r="LPB42" s="1207"/>
      <c r="LPC42" s="1207"/>
      <c r="LPD42" s="1207"/>
      <c r="LPE42" s="1207"/>
      <c r="LPF42" s="1207"/>
      <c r="LPG42" s="1207"/>
      <c r="LPH42" s="1207"/>
      <c r="LPI42" s="515"/>
      <c r="LPJ42" s="1207"/>
      <c r="LPK42" s="1207"/>
      <c r="LPL42" s="1207"/>
      <c r="LPM42" s="1207"/>
      <c r="LPN42" s="1207"/>
      <c r="LPO42" s="1207"/>
      <c r="LPP42" s="1207"/>
      <c r="LPQ42" s="1207"/>
      <c r="LPR42" s="1207"/>
      <c r="LPS42" s="1207"/>
      <c r="LPT42" s="515"/>
      <c r="LPU42" s="1207"/>
      <c r="LPV42" s="1207"/>
      <c r="LPW42" s="1207"/>
      <c r="LPX42" s="1207"/>
      <c r="LPY42" s="1207"/>
      <c r="LPZ42" s="1207"/>
      <c r="LQA42" s="1207"/>
      <c r="LQB42" s="1207"/>
      <c r="LQC42" s="1207"/>
      <c r="LQD42" s="1207"/>
      <c r="LQE42" s="515"/>
      <c r="LQF42" s="1207"/>
      <c r="LQG42" s="1207"/>
      <c r="LQH42" s="1207"/>
      <c r="LQI42" s="1207"/>
      <c r="LQJ42" s="1207"/>
      <c r="LQK42" s="1207"/>
      <c r="LQL42" s="1207"/>
      <c r="LQM42" s="1207"/>
      <c r="LQN42" s="1207"/>
      <c r="LQO42" s="1207"/>
      <c r="LQP42" s="515"/>
      <c r="LQQ42" s="1207"/>
      <c r="LQR42" s="1207"/>
      <c r="LQS42" s="1207"/>
      <c r="LQT42" s="1207"/>
      <c r="LQU42" s="1207"/>
      <c r="LQV42" s="1207"/>
      <c r="LQW42" s="1207"/>
      <c r="LQX42" s="1207"/>
      <c r="LQY42" s="1207"/>
      <c r="LQZ42" s="1207"/>
      <c r="LRA42" s="515"/>
      <c r="LRB42" s="1207"/>
      <c r="LRC42" s="1207"/>
      <c r="LRD42" s="1207"/>
      <c r="LRE42" s="1207"/>
      <c r="LRF42" s="1207"/>
      <c r="LRG42" s="1207"/>
      <c r="LRH42" s="1207"/>
      <c r="LRI42" s="1207"/>
      <c r="LRJ42" s="1207"/>
      <c r="LRK42" s="1207"/>
      <c r="LRL42" s="515"/>
      <c r="LRM42" s="1207"/>
      <c r="LRN42" s="1207"/>
      <c r="LRO42" s="1207"/>
      <c r="LRP42" s="1207"/>
      <c r="LRQ42" s="1207"/>
      <c r="LRR42" s="1207"/>
      <c r="LRS42" s="1207"/>
      <c r="LRT42" s="1207"/>
      <c r="LRU42" s="1207"/>
      <c r="LRV42" s="1207"/>
      <c r="LRW42" s="515"/>
      <c r="LRX42" s="1207"/>
      <c r="LRY42" s="1207"/>
      <c r="LRZ42" s="1207"/>
      <c r="LSA42" s="1207"/>
      <c r="LSB42" s="1207"/>
      <c r="LSC42" s="1207"/>
      <c r="LSD42" s="1207"/>
      <c r="LSE42" s="1207"/>
      <c r="LSF42" s="1207"/>
      <c r="LSG42" s="1207"/>
      <c r="LSH42" s="515"/>
      <c r="LSI42" s="1207"/>
      <c r="LSJ42" s="1207"/>
      <c r="LSK42" s="1207"/>
      <c r="LSL42" s="1207"/>
      <c r="LSM42" s="1207"/>
      <c r="LSN42" s="1207"/>
      <c r="LSO42" s="1207"/>
      <c r="LSP42" s="1207"/>
      <c r="LSQ42" s="1207"/>
      <c r="LSR42" s="1207"/>
      <c r="LSS42" s="515"/>
      <c r="LST42" s="1207"/>
      <c r="LSU42" s="1207"/>
      <c r="LSV42" s="1207"/>
      <c r="LSW42" s="1207"/>
      <c r="LSX42" s="1207"/>
      <c r="LSY42" s="1207"/>
      <c r="LSZ42" s="1207"/>
      <c r="LTA42" s="1207"/>
      <c r="LTB42" s="1207"/>
      <c r="LTC42" s="1207"/>
      <c r="LTD42" s="515"/>
      <c r="LTE42" s="1207"/>
      <c r="LTF42" s="1207"/>
      <c r="LTG42" s="1207"/>
      <c r="LTH42" s="1207"/>
      <c r="LTI42" s="1207"/>
      <c r="LTJ42" s="1207"/>
      <c r="LTK42" s="1207"/>
      <c r="LTL42" s="1207"/>
      <c r="LTM42" s="1207"/>
      <c r="LTN42" s="1207"/>
      <c r="LTO42" s="515"/>
      <c r="LTP42" s="1207"/>
      <c r="LTQ42" s="1207"/>
      <c r="LTR42" s="1207"/>
      <c r="LTS42" s="1207"/>
      <c r="LTT42" s="1207"/>
      <c r="LTU42" s="1207"/>
      <c r="LTV42" s="1207"/>
      <c r="LTW42" s="1207"/>
      <c r="LTX42" s="1207"/>
      <c r="LTY42" s="1207"/>
      <c r="LTZ42" s="515"/>
      <c r="LUA42" s="1207"/>
      <c r="LUB42" s="1207"/>
      <c r="LUC42" s="1207"/>
      <c r="LUD42" s="1207"/>
      <c r="LUE42" s="1207"/>
      <c r="LUF42" s="1207"/>
      <c r="LUG42" s="1207"/>
      <c r="LUH42" s="1207"/>
      <c r="LUI42" s="1207"/>
      <c r="LUJ42" s="1207"/>
      <c r="LUK42" s="515"/>
      <c r="LUL42" s="1207"/>
      <c r="LUM42" s="1207"/>
      <c r="LUN42" s="1207"/>
      <c r="LUO42" s="1207"/>
      <c r="LUP42" s="1207"/>
      <c r="LUQ42" s="1207"/>
      <c r="LUR42" s="1207"/>
      <c r="LUS42" s="1207"/>
      <c r="LUT42" s="1207"/>
      <c r="LUU42" s="1207"/>
      <c r="LUV42" s="515"/>
      <c r="LUW42" s="1207"/>
      <c r="LUX42" s="1207"/>
      <c r="LUY42" s="1207"/>
      <c r="LUZ42" s="1207"/>
      <c r="LVA42" s="1207"/>
      <c r="LVB42" s="1207"/>
      <c r="LVC42" s="1207"/>
      <c r="LVD42" s="1207"/>
      <c r="LVE42" s="1207"/>
      <c r="LVF42" s="1207"/>
      <c r="LVG42" s="515"/>
      <c r="LVH42" s="1207"/>
      <c r="LVI42" s="1207"/>
      <c r="LVJ42" s="1207"/>
      <c r="LVK42" s="1207"/>
      <c r="LVL42" s="1207"/>
      <c r="LVM42" s="1207"/>
      <c r="LVN42" s="1207"/>
      <c r="LVO42" s="1207"/>
      <c r="LVP42" s="1207"/>
      <c r="LVQ42" s="1207"/>
      <c r="LVR42" s="515"/>
      <c r="LVS42" s="1207"/>
      <c r="LVT42" s="1207"/>
      <c r="LVU42" s="1207"/>
      <c r="LVV42" s="1207"/>
      <c r="LVW42" s="1207"/>
      <c r="LVX42" s="1207"/>
      <c r="LVY42" s="1207"/>
      <c r="LVZ42" s="1207"/>
      <c r="LWA42" s="1207"/>
      <c r="LWB42" s="1207"/>
      <c r="LWC42" s="515"/>
      <c r="LWD42" s="1207"/>
      <c r="LWE42" s="1207"/>
      <c r="LWF42" s="1207"/>
      <c r="LWG42" s="1207"/>
      <c r="LWH42" s="1207"/>
      <c r="LWI42" s="1207"/>
      <c r="LWJ42" s="1207"/>
      <c r="LWK42" s="1207"/>
      <c r="LWL42" s="1207"/>
      <c r="LWM42" s="1207"/>
      <c r="LWN42" s="515"/>
      <c r="LWO42" s="1207"/>
      <c r="LWP42" s="1207"/>
      <c r="LWQ42" s="1207"/>
      <c r="LWR42" s="1207"/>
      <c r="LWS42" s="1207"/>
      <c r="LWT42" s="1207"/>
      <c r="LWU42" s="1207"/>
      <c r="LWV42" s="1207"/>
      <c r="LWW42" s="1207"/>
      <c r="LWX42" s="1207"/>
      <c r="LWY42" s="515"/>
      <c r="LWZ42" s="1207"/>
      <c r="LXA42" s="1207"/>
      <c r="LXB42" s="1207"/>
      <c r="LXC42" s="1207"/>
      <c r="LXD42" s="1207"/>
      <c r="LXE42" s="1207"/>
      <c r="LXF42" s="1207"/>
      <c r="LXG42" s="1207"/>
      <c r="LXH42" s="1207"/>
      <c r="LXI42" s="1207"/>
      <c r="LXJ42" s="515"/>
      <c r="LXK42" s="1207"/>
      <c r="LXL42" s="1207"/>
      <c r="LXM42" s="1207"/>
      <c r="LXN42" s="1207"/>
      <c r="LXO42" s="1207"/>
      <c r="LXP42" s="1207"/>
      <c r="LXQ42" s="1207"/>
      <c r="LXR42" s="1207"/>
      <c r="LXS42" s="1207"/>
      <c r="LXT42" s="1207"/>
      <c r="LXU42" s="515"/>
      <c r="LXV42" s="1207"/>
      <c r="LXW42" s="1207"/>
      <c r="LXX42" s="1207"/>
      <c r="LXY42" s="1207"/>
      <c r="LXZ42" s="1207"/>
      <c r="LYA42" s="1207"/>
      <c r="LYB42" s="1207"/>
      <c r="LYC42" s="1207"/>
      <c r="LYD42" s="1207"/>
      <c r="LYE42" s="1207"/>
      <c r="LYF42" s="515"/>
      <c r="LYG42" s="1207"/>
      <c r="LYH42" s="1207"/>
      <c r="LYI42" s="1207"/>
      <c r="LYJ42" s="1207"/>
      <c r="LYK42" s="1207"/>
      <c r="LYL42" s="1207"/>
      <c r="LYM42" s="1207"/>
      <c r="LYN42" s="1207"/>
      <c r="LYO42" s="1207"/>
      <c r="LYP42" s="1207"/>
      <c r="LYQ42" s="515"/>
      <c r="LYR42" s="1207"/>
      <c r="LYS42" s="1207"/>
      <c r="LYT42" s="1207"/>
      <c r="LYU42" s="1207"/>
      <c r="LYV42" s="1207"/>
      <c r="LYW42" s="1207"/>
      <c r="LYX42" s="1207"/>
      <c r="LYY42" s="1207"/>
      <c r="LYZ42" s="1207"/>
      <c r="LZA42" s="1207"/>
      <c r="LZB42" s="515"/>
      <c r="LZC42" s="1207"/>
      <c r="LZD42" s="1207"/>
      <c r="LZE42" s="1207"/>
      <c r="LZF42" s="1207"/>
      <c r="LZG42" s="1207"/>
      <c r="LZH42" s="1207"/>
      <c r="LZI42" s="1207"/>
      <c r="LZJ42" s="1207"/>
      <c r="LZK42" s="1207"/>
      <c r="LZL42" s="1207"/>
      <c r="LZM42" s="515"/>
      <c r="LZN42" s="1207"/>
      <c r="LZO42" s="1207"/>
      <c r="LZP42" s="1207"/>
      <c r="LZQ42" s="1207"/>
      <c r="LZR42" s="1207"/>
      <c r="LZS42" s="1207"/>
      <c r="LZT42" s="1207"/>
      <c r="LZU42" s="1207"/>
      <c r="LZV42" s="1207"/>
      <c r="LZW42" s="1207"/>
      <c r="LZX42" s="515"/>
      <c r="LZY42" s="1207"/>
      <c r="LZZ42" s="1207"/>
      <c r="MAA42" s="1207"/>
      <c r="MAB42" s="1207"/>
      <c r="MAC42" s="1207"/>
      <c r="MAD42" s="1207"/>
      <c r="MAE42" s="1207"/>
      <c r="MAF42" s="1207"/>
      <c r="MAG42" s="1207"/>
      <c r="MAH42" s="1207"/>
      <c r="MAI42" s="515"/>
      <c r="MAJ42" s="1207"/>
      <c r="MAK42" s="1207"/>
      <c r="MAL42" s="1207"/>
      <c r="MAM42" s="1207"/>
      <c r="MAN42" s="1207"/>
      <c r="MAO42" s="1207"/>
      <c r="MAP42" s="1207"/>
      <c r="MAQ42" s="1207"/>
      <c r="MAR42" s="1207"/>
      <c r="MAS42" s="1207"/>
      <c r="MAT42" s="515"/>
      <c r="MAU42" s="1207"/>
      <c r="MAV42" s="1207"/>
      <c r="MAW42" s="1207"/>
      <c r="MAX42" s="1207"/>
      <c r="MAY42" s="1207"/>
      <c r="MAZ42" s="1207"/>
      <c r="MBA42" s="1207"/>
      <c r="MBB42" s="1207"/>
      <c r="MBC42" s="1207"/>
      <c r="MBD42" s="1207"/>
      <c r="MBE42" s="515"/>
      <c r="MBF42" s="1207"/>
      <c r="MBG42" s="1207"/>
      <c r="MBH42" s="1207"/>
      <c r="MBI42" s="1207"/>
      <c r="MBJ42" s="1207"/>
      <c r="MBK42" s="1207"/>
      <c r="MBL42" s="1207"/>
      <c r="MBM42" s="1207"/>
      <c r="MBN42" s="1207"/>
      <c r="MBO42" s="1207"/>
      <c r="MBP42" s="515"/>
      <c r="MBQ42" s="1207"/>
      <c r="MBR42" s="1207"/>
      <c r="MBS42" s="1207"/>
      <c r="MBT42" s="1207"/>
      <c r="MBU42" s="1207"/>
      <c r="MBV42" s="1207"/>
      <c r="MBW42" s="1207"/>
      <c r="MBX42" s="1207"/>
      <c r="MBY42" s="1207"/>
      <c r="MBZ42" s="1207"/>
      <c r="MCA42" s="515"/>
      <c r="MCB42" s="1207"/>
      <c r="MCC42" s="1207"/>
      <c r="MCD42" s="1207"/>
      <c r="MCE42" s="1207"/>
      <c r="MCF42" s="1207"/>
      <c r="MCG42" s="1207"/>
      <c r="MCH42" s="1207"/>
      <c r="MCI42" s="1207"/>
      <c r="MCJ42" s="1207"/>
      <c r="MCK42" s="1207"/>
      <c r="MCL42" s="515"/>
      <c r="MCM42" s="1207"/>
      <c r="MCN42" s="1207"/>
      <c r="MCO42" s="1207"/>
      <c r="MCP42" s="1207"/>
      <c r="MCQ42" s="1207"/>
      <c r="MCR42" s="1207"/>
      <c r="MCS42" s="1207"/>
      <c r="MCT42" s="1207"/>
      <c r="MCU42" s="1207"/>
      <c r="MCV42" s="1207"/>
      <c r="MCW42" s="515"/>
      <c r="MCX42" s="1207"/>
      <c r="MCY42" s="1207"/>
      <c r="MCZ42" s="1207"/>
      <c r="MDA42" s="1207"/>
      <c r="MDB42" s="1207"/>
      <c r="MDC42" s="1207"/>
      <c r="MDD42" s="1207"/>
      <c r="MDE42" s="1207"/>
      <c r="MDF42" s="1207"/>
      <c r="MDG42" s="1207"/>
      <c r="MDH42" s="515"/>
      <c r="MDI42" s="1207"/>
      <c r="MDJ42" s="1207"/>
      <c r="MDK42" s="1207"/>
      <c r="MDL42" s="1207"/>
      <c r="MDM42" s="1207"/>
      <c r="MDN42" s="1207"/>
      <c r="MDO42" s="1207"/>
      <c r="MDP42" s="1207"/>
      <c r="MDQ42" s="1207"/>
      <c r="MDR42" s="1207"/>
      <c r="MDS42" s="515"/>
      <c r="MDT42" s="1207"/>
      <c r="MDU42" s="1207"/>
      <c r="MDV42" s="1207"/>
      <c r="MDW42" s="1207"/>
      <c r="MDX42" s="1207"/>
      <c r="MDY42" s="1207"/>
      <c r="MDZ42" s="1207"/>
      <c r="MEA42" s="1207"/>
      <c r="MEB42" s="1207"/>
      <c r="MEC42" s="1207"/>
      <c r="MED42" s="515"/>
      <c r="MEE42" s="1207"/>
      <c r="MEF42" s="1207"/>
      <c r="MEG42" s="1207"/>
      <c r="MEH42" s="1207"/>
      <c r="MEI42" s="1207"/>
      <c r="MEJ42" s="1207"/>
      <c r="MEK42" s="1207"/>
      <c r="MEL42" s="1207"/>
      <c r="MEM42" s="1207"/>
      <c r="MEN42" s="1207"/>
      <c r="MEO42" s="515"/>
      <c r="MEP42" s="1207"/>
      <c r="MEQ42" s="1207"/>
      <c r="MER42" s="1207"/>
      <c r="MES42" s="1207"/>
      <c r="MET42" s="1207"/>
      <c r="MEU42" s="1207"/>
      <c r="MEV42" s="1207"/>
      <c r="MEW42" s="1207"/>
      <c r="MEX42" s="1207"/>
      <c r="MEY42" s="1207"/>
      <c r="MEZ42" s="515"/>
      <c r="MFA42" s="1207"/>
      <c r="MFB42" s="1207"/>
      <c r="MFC42" s="1207"/>
      <c r="MFD42" s="1207"/>
      <c r="MFE42" s="1207"/>
      <c r="MFF42" s="1207"/>
      <c r="MFG42" s="1207"/>
      <c r="MFH42" s="1207"/>
      <c r="MFI42" s="1207"/>
      <c r="MFJ42" s="1207"/>
      <c r="MFK42" s="515"/>
      <c r="MFL42" s="1207"/>
      <c r="MFM42" s="1207"/>
      <c r="MFN42" s="1207"/>
      <c r="MFO42" s="1207"/>
      <c r="MFP42" s="1207"/>
      <c r="MFQ42" s="1207"/>
      <c r="MFR42" s="1207"/>
      <c r="MFS42" s="1207"/>
      <c r="MFT42" s="1207"/>
      <c r="MFU42" s="1207"/>
      <c r="MFV42" s="515"/>
      <c r="MFW42" s="1207"/>
      <c r="MFX42" s="1207"/>
      <c r="MFY42" s="1207"/>
      <c r="MFZ42" s="1207"/>
      <c r="MGA42" s="1207"/>
      <c r="MGB42" s="1207"/>
      <c r="MGC42" s="1207"/>
      <c r="MGD42" s="1207"/>
      <c r="MGE42" s="1207"/>
      <c r="MGF42" s="1207"/>
      <c r="MGG42" s="515"/>
      <c r="MGH42" s="1207"/>
      <c r="MGI42" s="1207"/>
      <c r="MGJ42" s="1207"/>
      <c r="MGK42" s="1207"/>
      <c r="MGL42" s="1207"/>
      <c r="MGM42" s="1207"/>
      <c r="MGN42" s="1207"/>
      <c r="MGO42" s="1207"/>
      <c r="MGP42" s="1207"/>
      <c r="MGQ42" s="1207"/>
      <c r="MGR42" s="515"/>
      <c r="MGS42" s="1207"/>
      <c r="MGT42" s="1207"/>
      <c r="MGU42" s="1207"/>
      <c r="MGV42" s="1207"/>
      <c r="MGW42" s="1207"/>
      <c r="MGX42" s="1207"/>
      <c r="MGY42" s="1207"/>
      <c r="MGZ42" s="1207"/>
      <c r="MHA42" s="1207"/>
      <c r="MHB42" s="1207"/>
      <c r="MHC42" s="515"/>
      <c r="MHD42" s="1207"/>
      <c r="MHE42" s="1207"/>
      <c r="MHF42" s="1207"/>
      <c r="MHG42" s="1207"/>
      <c r="MHH42" s="1207"/>
      <c r="MHI42" s="1207"/>
      <c r="MHJ42" s="1207"/>
      <c r="MHK42" s="1207"/>
      <c r="MHL42" s="1207"/>
      <c r="MHM42" s="1207"/>
      <c r="MHN42" s="515"/>
      <c r="MHO42" s="1207"/>
      <c r="MHP42" s="1207"/>
      <c r="MHQ42" s="1207"/>
      <c r="MHR42" s="1207"/>
      <c r="MHS42" s="1207"/>
      <c r="MHT42" s="1207"/>
      <c r="MHU42" s="1207"/>
      <c r="MHV42" s="1207"/>
      <c r="MHW42" s="1207"/>
      <c r="MHX42" s="1207"/>
      <c r="MHY42" s="515"/>
      <c r="MHZ42" s="1207"/>
      <c r="MIA42" s="1207"/>
      <c r="MIB42" s="1207"/>
      <c r="MIC42" s="1207"/>
      <c r="MID42" s="1207"/>
      <c r="MIE42" s="1207"/>
      <c r="MIF42" s="1207"/>
      <c r="MIG42" s="1207"/>
      <c r="MIH42" s="1207"/>
      <c r="MII42" s="1207"/>
      <c r="MIJ42" s="515"/>
      <c r="MIK42" s="1207"/>
      <c r="MIL42" s="1207"/>
      <c r="MIM42" s="1207"/>
      <c r="MIN42" s="1207"/>
      <c r="MIO42" s="1207"/>
      <c r="MIP42" s="1207"/>
      <c r="MIQ42" s="1207"/>
      <c r="MIR42" s="1207"/>
      <c r="MIS42" s="1207"/>
      <c r="MIT42" s="1207"/>
      <c r="MIU42" s="515"/>
      <c r="MIV42" s="1207"/>
      <c r="MIW42" s="1207"/>
      <c r="MIX42" s="1207"/>
      <c r="MIY42" s="1207"/>
      <c r="MIZ42" s="1207"/>
      <c r="MJA42" s="1207"/>
      <c r="MJB42" s="1207"/>
      <c r="MJC42" s="1207"/>
      <c r="MJD42" s="1207"/>
      <c r="MJE42" s="1207"/>
      <c r="MJF42" s="515"/>
      <c r="MJG42" s="1207"/>
      <c r="MJH42" s="1207"/>
      <c r="MJI42" s="1207"/>
      <c r="MJJ42" s="1207"/>
      <c r="MJK42" s="1207"/>
      <c r="MJL42" s="1207"/>
      <c r="MJM42" s="1207"/>
      <c r="MJN42" s="1207"/>
      <c r="MJO42" s="1207"/>
      <c r="MJP42" s="1207"/>
      <c r="MJQ42" s="515"/>
      <c r="MJR42" s="1207"/>
      <c r="MJS42" s="1207"/>
      <c r="MJT42" s="1207"/>
      <c r="MJU42" s="1207"/>
      <c r="MJV42" s="1207"/>
      <c r="MJW42" s="1207"/>
      <c r="MJX42" s="1207"/>
      <c r="MJY42" s="1207"/>
      <c r="MJZ42" s="1207"/>
      <c r="MKA42" s="1207"/>
      <c r="MKB42" s="515"/>
      <c r="MKC42" s="1207"/>
      <c r="MKD42" s="1207"/>
      <c r="MKE42" s="1207"/>
      <c r="MKF42" s="1207"/>
      <c r="MKG42" s="1207"/>
      <c r="MKH42" s="1207"/>
      <c r="MKI42" s="1207"/>
      <c r="MKJ42" s="1207"/>
      <c r="MKK42" s="1207"/>
      <c r="MKL42" s="1207"/>
      <c r="MKM42" s="515"/>
      <c r="MKN42" s="1207"/>
      <c r="MKO42" s="1207"/>
      <c r="MKP42" s="1207"/>
      <c r="MKQ42" s="1207"/>
      <c r="MKR42" s="1207"/>
      <c r="MKS42" s="1207"/>
      <c r="MKT42" s="1207"/>
      <c r="MKU42" s="1207"/>
      <c r="MKV42" s="1207"/>
      <c r="MKW42" s="1207"/>
      <c r="MKX42" s="515"/>
      <c r="MKY42" s="1207"/>
      <c r="MKZ42" s="1207"/>
      <c r="MLA42" s="1207"/>
      <c r="MLB42" s="1207"/>
      <c r="MLC42" s="1207"/>
      <c r="MLD42" s="1207"/>
      <c r="MLE42" s="1207"/>
      <c r="MLF42" s="1207"/>
      <c r="MLG42" s="1207"/>
      <c r="MLH42" s="1207"/>
      <c r="MLI42" s="515"/>
      <c r="MLJ42" s="1207"/>
      <c r="MLK42" s="1207"/>
      <c r="MLL42" s="1207"/>
      <c r="MLM42" s="1207"/>
      <c r="MLN42" s="1207"/>
      <c r="MLO42" s="1207"/>
      <c r="MLP42" s="1207"/>
      <c r="MLQ42" s="1207"/>
      <c r="MLR42" s="1207"/>
      <c r="MLS42" s="1207"/>
      <c r="MLT42" s="515"/>
      <c r="MLU42" s="1207"/>
      <c r="MLV42" s="1207"/>
      <c r="MLW42" s="1207"/>
      <c r="MLX42" s="1207"/>
      <c r="MLY42" s="1207"/>
      <c r="MLZ42" s="1207"/>
      <c r="MMA42" s="1207"/>
      <c r="MMB42" s="1207"/>
      <c r="MMC42" s="1207"/>
      <c r="MMD42" s="1207"/>
      <c r="MME42" s="515"/>
      <c r="MMF42" s="1207"/>
      <c r="MMG42" s="1207"/>
      <c r="MMH42" s="1207"/>
      <c r="MMI42" s="1207"/>
      <c r="MMJ42" s="1207"/>
      <c r="MMK42" s="1207"/>
      <c r="MML42" s="1207"/>
      <c r="MMM42" s="1207"/>
      <c r="MMN42" s="1207"/>
      <c r="MMO42" s="1207"/>
      <c r="MMP42" s="515"/>
      <c r="MMQ42" s="1207"/>
      <c r="MMR42" s="1207"/>
      <c r="MMS42" s="1207"/>
      <c r="MMT42" s="1207"/>
      <c r="MMU42" s="1207"/>
      <c r="MMV42" s="1207"/>
      <c r="MMW42" s="1207"/>
      <c r="MMX42" s="1207"/>
      <c r="MMY42" s="1207"/>
      <c r="MMZ42" s="1207"/>
      <c r="MNA42" s="515"/>
      <c r="MNB42" s="1207"/>
      <c r="MNC42" s="1207"/>
      <c r="MND42" s="1207"/>
      <c r="MNE42" s="1207"/>
      <c r="MNF42" s="1207"/>
      <c r="MNG42" s="1207"/>
      <c r="MNH42" s="1207"/>
      <c r="MNI42" s="1207"/>
      <c r="MNJ42" s="1207"/>
      <c r="MNK42" s="1207"/>
      <c r="MNL42" s="515"/>
      <c r="MNM42" s="1207"/>
      <c r="MNN42" s="1207"/>
      <c r="MNO42" s="1207"/>
      <c r="MNP42" s="1207"/>
      <c r="MNQ42" s="1207"/>
      <c r="MNR42" s="1207"/>
      <c r="MNS42" s="1207"/>
      <c r="MNT42" s="1207"/>
      <c r="MNU42" s="1207"/>
      <c r="MNV42" s="1207"/>
      <c r="MNW42" s="515"/>
      <c r="MNX42" s="1207"/>
      <c r="MNY42" s="1207"/>
      <c r="MNZ42" s="1207"/>
      <c r="MOA42" s="1207"/>
      <c r="MOB42" s="1207"/>
      <c r="MOC42" s="1207"/>
      <c r="MOD42" s="1207"/>
      <c r="MOE42" s="1207"/>
      <c r="MOF42" s="1207"/>
      <c r="MOG42" s="1207"/>
      <c r="MOH42" s="515"/>
      <c r="MOI42" s="1207"/>
      <c r="MOJ42" s="1207"/>
      <c r="MOK42" s="1207"/>
      <c r="MOL42" s="1207"/>
      <c r="MOM42" s="1207"/>
      <c r="MON42" s="1207"/>
      <c r="MOO42" s="1207"/>
      <c r="MOP42" s="1207"/>
      <c r="MOQ42" s="1207"/>
      <c r="MOR42" s="1207"/>
      <c r="MOS42" s="515"/>
      <c r="MOT42" s="1207"/>
      <c r="MOU42" s="1207"/>
      <c r="MOV42" s="1207"/>
      <c r="MOW42" s="1207"/>
      <c r="MOX42" s="1207"/>
      <c r="MOY42" s="1207"/>
      <c r="MOZ42" s="1207"/>
      <c r="MPA42" s="1207"/>
      <c r="MPB42" s="1207"/>
      <c r="MPC42" s="1207"/>
      <c r="MPD42" s="515"/>
      <c r="MPE42" s="1207"/>
      <c r="MPF42" s="1207"/>
      <c r="MPG42" s="1207"/>
      <c r="MPH42" s="1207"/>
      <c r="MPI42" s="1207"/>
      <c r="MPJ42" s="1207"/>
      <c r="MPK42" s="1207"/>
      <c r="MPL42" s="1207"/>
      <c r="MPM42" s="1207"/>
      <c r="MPN42" s="1207"/>
      <c r="MPO42" s="515"/>
      <c r="MPP42" s="1207"/>
      <c r="MPQ42" s="1207"/>
      <c r="MPR42" s="1207"/>
      <c r="MPS42" s="1207"/>
      <c r="MPT42" s="1207"/>
      <c r="MPU42" s="1207"/>
      <c r="MPV42" s="1207"/>
      <c r="MPW42" s="1207"/>
      <c r="MPX42" s="1207"/>
      <c r="MPY42" s="1207"/>
      <c r="MPZ42" s="515"/>
      <c r="MQA42" s="1207"/>
      <c r="MQB42" s="1207"/>
      <c r="MQC42" s="1207"/>
      <c r="MQD42" s="1207"/>
      <c r="MQE42" s="1207"/>
      <c r="MQF42" s="1207"/>
      <c r="MQG42" s="1207"/>
      <c r="MQH42" s="1207"/>
      <c r="MQI42" s="1207"/>
      <c r="MQJ42" s="1207"/>
      <c r="MQK42" s="515"/>
      <c r="MQL42" s="1207"/>
      <c r="MQM42" s="1207"/>
      <c r="MQN42" s="1207"/>
      <c r="MQO42" s="1207"/>
      <c r="MQP42" s="1207"/>
      <c r="MQQ42" s="1207"/>
      <c r="MQR42" s="1207"/>
      <c r="MQS42" s="1207"/>
      <c r="MQT42" s="1207"/>
      <c r="MQU42" s="1207"/>
      <c r="MQV42" s="515"/>
      <c r="MQW42" s="1207"/>
      <c r="MQX42" s="1207"/>
      <c r="MQY42" s="1207"/>
      <c r="MQZ42" s="1207"/>
      <c r="MRA42" s="1207"/>
      <c r="MRB42" s="1207"/>
      <c r="MRC42" s="1207"/>
      <c r="MRD42" s="1207"/>
      <c r="MRE42" s="1207"/>
      <c r="MRF42" s="1207"/>
      <c r="MRG42" s="515"/>
      <c r="MRH42" s="1207"/>
      <c r="MRI42" s="1207"/>
      <c r="MRJ42" s="1207"/>
      <c r="MRK42" s="1207"/>
      <c r="MRL42" s="1207"/>
      <c r="MRM42" s="1207"/>
      <c r="MRN42" s="1207"/>
      <c r="MRO42" s="1207"/>
      <c r="MRP42" s="1207"/>
      <c r="MRQ42" s="1207"/>
      <c r="MRR42" s="515"/>
      <c r="MRS42" s="1207"/>
      <c r="MRT42" s="1207"/>
      <c r="MRU42" s="1207"/>
      <c r="MRV42" s="1207"/>
      <c r="MRW42" s="1207"/>
      <c r="MRX42" s="1207"/>
      <c r="MRY42" s="1207"/>
      <c r="MRZ42" s="1207"/>
      <c r="MSA42" s="1207"/>
      <c r="MSB42" s="1207"/>
      <c r="MSC42" s="515"/>
      <c r="MSD42" s="1207"/>
      <c r="MSE42" s="1207"/>
      <c r="MSF42" s="1207"/>
      <c r="MSG42" s="1207"/>
      <c r="MSH42" s="1207"/>
      <c r="MSI42" s="1207"/>
      <c r="MSJ42" s="1207"/>
      <c r="MSK42" s="1207"/>
      <c r="MSL42" s="1207"/>
      <c r="MSM42" s="1207"/>
      <c r="MSN42" s="515"/>
      <c r="MSO42" s="1207"/>
      <c r="MSP42" s="1207"/>
      <c r="MSQ42" s="1207"/>
      <c r="MSR42" s="1207"/>
      <c r="MSS42" s="1207"/>
      <c r="MST42" s="1207"/>
      <c r="MSU42" s="1207"/>
      <c r="MSV42" s="1207"/>
      <c r="MSW42" s="1207"/>
      <c r="MSX42" s="1207"/>
      <c r="MSY42" s="515"/>
      <c r="MSZ42" s="1207"/>
      <c r="MTA42" s="1207"/>
      <c r="MTB42" s="1207"/>
      <c r="MTC42" s="1207"/>
      <c r="MTD42" s="1207"/>
      <c r="MTE42" s="1207"/>
      <c r="MTF42" s="1207"/>
      <c r="MTG42" s="1207"/>
      <c r="MTH42" s="1207"/>
      <c r="MTI42" s="1207"/>
      <c r="MTJ42" s="515"/>
      <c r="MTK42" s="1207"/>
      <c r="MTL42" s="1207"/>
      <c r="MTM42" s="1207"/>
      <c r="MTN42" s="1207"/>
      <c r="MTO42" s="1207"/>
      <c r="MTP42" s="1207"/>
      <c r="MTQ42" s="1207"/>
      <c r="MTR42" s="1207"/>
      <c r="MTS42" s="1207"/>
      <c r="MTT42" s="1207"/>
      <c r="MTU42" s="515"/>
      <c r="MTV42" s="1207"/>
      <c r="MTW42" s="1207"/>
      <c r="MTX42" s="1207"/>
      <c r="MTY42" s="1207"/>
      <c r="MTZ42" s="1207"/>
      <c r="MUA42" s="1207"/>
      <c r="MUB42" s="1207"/>
      <c r="MUC42" s="1207"/>
      <c r="MUD42" s="1207"/>
      <c r="MUE42" s="1207"/>
      <c r="MUF42" s="515"/>
      <c r="MUG42" s="1207"/>
      <c r="MUH42" s="1207"/>
      <c r="MUI42" s="1207"/>
      <c r="MUJ42" s="1207"/>
      <c r="MUK42" s="1207"/>
      <c r="MUL42" s="1207"/>
      <c r="MUM42" s="1207"/>
      <c r="MUN42" s="1207"/>
      <c r="MUO42" s="1207"/>
      <c r="MUP42" s="1207"/>
      <c r="MUQ42" s="515"/>
      <c r="MUR42" s="1207"/>
      <c r="MUS42" s="1207"/>
      <c r="MUT42" s="1207"/>
      <c r="MUU42" s="1207"/>
      <c r="MUV42" s="1207"/>
      <c r="MUW42" s="1207"/>
      <c r="MUX42" s="1207"/>
      <c r="MUY42" s="1207"/>
      <c r="MUZ42" s="1207"/>
      <c r="MVA42" s="1207"/>
      <c r="MVB42" s="515"/>
      <c r="MVC42" s="1207"/>
      <c r="MVD42" s="1207"/>
      <c r="MVE42" s="1207"/>
      <c r="MVF42" s="1207"/>
      <c r="MVG42" s="1207"/>
      <c r="MVH42" s="1207"/>
      <c r="MVI42" s="1207"/>
      <c r="MVJ42" s="1207"/>
      <c r="MVK42" s="1207"/>
      <c r="MVL42" s="1207"/>
      <c r="MVM42" s="515"/>
      <c r="MVN42" s="1207"/>
      <c r="MVO42" s="1207"/>
      <c r="MVP42" s="1207"/>
      <c r="MVQ42" s="1207"/>
      <c r="MVR42" s="1207"/>
      <c r="MVS42" s="1207"/>
      <c r="MVT42" s="1207"/>
      <c r="MVU42" s="1207"/>
      <c r="MVV42" s="1207"/>
      <c r="MVW42" s="1207"/>
      <c r="MVX42" s="515"/>
      <c r="MVY42" s="1207"/>
      <c r="MVZ42" s="1207"/>
      <c r="MWA42" s="1207"/>
      <c r="MWB42" s="1207"/>
      <c r="MWC42" s="1207"/>
      <c r="MWD42" s="1207"/>
      <c r="MWE42" s="1207"/>
      <c r="MWF42" s="1207"/>
      <c r="MWG42" s="1207"/>
      <c r="MWH42" s="1207"/>
      <c r="MWI42" s="515"/>
      <c r="MWJ42" s="1207"/>
      <c r="MWK42" s="1207"/>
      <c r="MWL42" s="1207"/>
      <c r="MWM42" s="1207"/>
      <c r="MWN42" s="1207"/>
      <c r="MWO42" s="1207"/>
      <c r="MWP42" s="1207"/>
      <c r="MWQ42" s="1207"/>
      <c r="MWR42" s="1207"/>
      <c r="MWS42" s="1207"/>
      <c r="MWT42" s="515"/>
      <c r="MWU42" s="1207"/>
      <c r="MWV42" s="1207"/>
      <c r="MWW42" s="1207"/>
      <c r="MWX42" s="1207"/>
      <c r="MWY42" s="1207"/>
      <c r="MWZ42" s="1207"/>
      <c r="MXA42" s="1207"/>
      <c r="MXB42" s="1207"/>
      <c r="MXC42" s="1207"/>
      <c r="MXD42" s="1207"/>
      <c r="MXE42" s="515"/>
      <c r="MXF42" s="1207"/>
      <c r="MXG42" s="1207"/>
      <c r="MXH42" s="1207"/>
      <c r="MXI42" s="1207"/>
      <c r="MXJ42" s="1207"/>
      <c r="MXK42" s="1207"/>
      <c r="MXL42" s="1207"/>
      <c r="MXM42" s="1207"/>
      <c r="MXN42" s="1207"/>
      <c r="MXO42" s="1207"/>
      <c r="MXP42" s="515"/>
      <c r="MXQ42" s="1207"/>
      <c r="MXR42" s="1207"/>
      <c r="MXS42" s="1207"/>
      <c r="MXT42" s="1207"/>
      <c r="MXU42" s="1207"/>
      <c r="MXV42" s="1207"/>
      <c r="MXW42" s="1207"/>
      <c r="MXX42" s="1207"/>
      <c r="MXY42" s="1207"/>
      <c r="MXZ42" s="1207"/>
      <c r="MYA42" s="515"/>
      <c r="MYB42" s="1207"/>
      <c r="MYC42" s="1207"/>
      <c r="MYD42" s="1207"/>
      <c r="MYE42" s="1207"/>
      <c r="MYF42" s="1207"/>
      <c r="MYG42" s="1207"/>
      <c r="MYH42" s="1207"/>
      <c r="MYI42" s="1207"/>
      <c r="MYJ42" s="1207"/>
      <c r="MYK42" s="1207"/>
      <c r="MYL42" s="515"/>
      <c r="MYM42" s="1207"/>
      <c r="MYN42" s="1207"/>
      <c r="MYO42" s="1207"/>
      <c r="MYP42" s="1207"/>
      <c r="MYQ42" s="1207"/>
      <c r="MYR42" s="1207"/>
      <c r="MYS42" s="1207"/>
      <c r="MYT42" s="1207"/>
      <c r="MYU42" s="1207"/>
      <c r="MYV42" s="1207"/>
      <c r="MYW42" s="515"/>
      <c r="MYX42" s="1207"/>
      <c r="MYY42" s="1207"/>
      <c r="MYZ42" s="1207"/>
      <c r="MZA42" s="1207"/>
      <c r="MZB42" s="1207"/>
      <c r="MZC42" s="1207"/>
      <c r="MZD42" s="1207"/>
      <c r="MZE42" s="1207"/>
      <c r="MZF42" s="1207"/>
      <c r="MZG42" s="1207"/>
      <c r="MZH42" s="515"/>
      <c r="MZI42" s="1207"/>
      <c r="MZJ42" s="1207"/>
      <c r="MZK42" s="1207"/>
      <c r="MZL42" s="1207"/>
      <c r="MZM42" s="1207"/>
      <c r="MZN42" s="1207"/>
      <c r="MZO42" s="1207"/>
      <c r="MZP42" s="1207"/>
      <c r="MZQ42" s="1207"/>
      <c r="MZR42" s="1207"/>
      <c r="MZS42" s="515"/>
      <c r="MZT42" s="1207"/>
      <c r="MZU42" s="1207"/>
      <c r="MZV42" s="1207"/>
      <c r="MZW42" s="1207"/>
      <c r="MZX42" s="1207"/>
      <c r="MZY42" s="1207"/>
      <c r="MZZ42" s="1207"/>
      <c r="NAA42" s="1207"/>
      <c r="NAB42" s="1207"/>
      <c r="NAC42" s="1207"/>
      <c r="NAD42" s="515"/>
      <c r="NAE42" s="1207"/>
      <c r="NAF42" s="1207"/>
      <c r="NAG42" s="1207"/>
      <c r="NAH42" s="1207"/>
      <c r="NAI42" s="1207"/>
      <c r="NAJ42" s="1207"/>
      <c r="NAK42" s="1207"/>
      <c r="NAL42" s="1207"/>
      <c r="NAM42" s="1207"/>
      <c r="NAN42" s="1207"/>
      <c r="NAO42" s="515"/>
      <c r="NAP42" s="1207"/>
      <c r="NAQ42" s="1207"/>
      <c r="NAR42" s="1207"/>
      <c r="NAS42" s="1207"/>
      <c r="NAT42" s="1207"/>
      <c r="NAU42" s="1207"/>
      <c r="NAV42" s="1207"/>
      <c r="NAW42" s="1207"/>
      <c r="NAX42" s="1207"/>
      <c r="NAY42" s="1207"/>
      <c r="NAZ42" s="515"/>
      <c r="NBA42" s="1207"/>
      <c r="NBB42" s="1207"/>
      <c r="NBC42" s="1207"/>
      <c r="NBD42" s="1207"/>
      <c r="NBE42" s="1207"/>
      <c r="NBF42" s="1207"/>
      <c r="NBG42" s="1207"/>
      <c r="NBH42" s="1207"/>
      <c r="NBI42" s="1207"/>
      <c r="NBJ42" s="1207"/>
      <c r="NBK42" s="515"/>
      <c r="NBL42" s="1207"/>
      <c r="NBM42" s="1207"/>
      <c r="NBN42" s="1207"/>
      <c r="NBO42" s="1207"/>
      <c r="NBP42" s="1207"/>
      <c r="NBQ42" s="1207"/>
      <c r="NBR42" s="1207"/>
      <c r="NBS42" s="1207"/>
      <c r="NBT42" s="1207"/>
      <c r="NBU42" s="1207"/>
      <c r="NBV42" s="515"/>
      <c r="NBW42" s="1207"/>
      <c r="NBX42" s="1207"/>
      <c r="NBY42" s="1207"/>
      <c r="NBZ42" s="1207"/>
      <c r="NCA42" s="1207"/>
      <c r="NCB42" s="1207"/>
      <c r="NCC42" s="1207"/>
      <c r="NCD42" s="1207"/>
      <c r="NCE42" s="1207"/>
      <c r="NCF42" s="1207"/>
      <c r="NCG42" s="515"/>
      <c r="NCH42" s="1207"/>
      <c r="NCI42" s="1207"/>
      <c r="NCJ42" s="1207"/>
      <c r="NCK42" s="1207"/>
      <c r="NCL42" s="1207"/>
      <c r="NCM42" s="1207"/>
      <c r="NCN42" s="1207"/>
      <c r="NCO42" s="1207"/>
      <c r="NCP42" s="1207"/>
      <c r="NCQ42" s="1207"/>
      <c r="NCR42" s="515"/>
      <c r="NCS42" s="1207"/>
      <c r="NCT42" s="1207"/>
      <c r="NCU42" s="1207"/>
      <c r="NCV42" s="1207"/>
      <c r="NCW42" s="1207"/>
      <c r="NCX42" s="1207"/>
      <c r="NCY42" s="1207"/>
      <c r="NCZ42" s="1207"/>
      <c r="NDA42" s="1207"/>
      <c r="NDB42" s="1207"/>
      <c r="NDC42" s="515"/>
      <c r="NDD42" s="1207"/>
      <c r="NDE42" s="1207"/>
      <c r="NDF42" s="1207"/>
      <c r="NDG42" s="1207"/>
      <c r="NDH42" s="1207"/>
      <c r="NDI42" s="1207"/>
      <c r="NDJ42" s="1207"/>
      <c r="NDK42" s="1207"/>
      <c r="NDL42" s="1207"/>
      <c r="NDM42" s="1207"/>
      <c r="NDN42" s="515"/>
      <c r="NDO42" s="1207"/>
      <c r="NDP42" s="1207"/>
      <c r="NDQ42" s="1207"/>
      <c r="NDR42" s="1207"/>
      <c r="NDS42" s="1207"/>
      <c r="NDT42" s="1207"/>
      <c r="NDU42" s="1207"/>
      <c r="NDV42" s="1207"/>
      <c r="NDW42" s="1207"/>
      <c r="NDX42" s="1207"/>
      <c r="NDY42" s="515"/>
      <c r="NDZ42" s="1207"/>
      <c r="NEA42" s="1207"/>
      <c r="NEB42" s="1207"/>
      <c r="NEC42" s="1207"/>
      <c r="NED42" s="1207"/>
      <c r="NEE42" s="1207"/>
      <c r="NEF42" s="1207"/>
      <c r="NEG42" s="1207"/>
      <c r="NEH42" s="1207"/>
      <c r="NEI42" s="1207"/>
      <c r="NEJ42" s="515"/>
      <c r="NEK42" s="1207"/>
      <c r="NEL42" s="1207"/>
      <c r="NEM42" s="1207"/>
      <c r="NEN42" s="1207"/>
      <c r="NEO42" s="1207"/>
      <c r="NEP42" s="1207"/>
      <c r="NEQ42" s="1207"/>
      <c r="NER42" s="1207"/>
      <c r="NES42" s="1207"/>
      <c r="NET42" s="1207"/>
      <c r="NEU42" s="515"/>
      <c r="NEV42" s="1207"/>
      <c r="NEW42" s="1207"/>
      <c r="NEX42" s="1207"/>
      <c r="NEY42" s="1207"/>
      <c r="NEZ42" s="1207"/>
      <c r="NFA42" s="1207"/>
      <c r="NFB42" s="1207"/>
      <c r="NFC42" s="1207"/>
      <c r="NFD42" s="1207"/>
      <c r="NFE42" s="1207"/>
      <c r="NFF42" s="515"/>
      <c r="NFG42" s="1207"/>
      <c r="NFH42" s="1207"/>
      <c r="NFI42" s="1207"/>
      <c r="NFJ42" s="1207"/>
      <c r="NFK42" s="1207"/>
      <c r="NFL42" s="1207"/>
      <c r="NFM42" s="1207"/>
      <c r="NFN42" s="1207"/>
      <c r="NFO42" s="1207"/>
      <c r="NFP42" s="1207"/>
      <c r="NFQ42" s="515"/>
      <c r="NFR42" s="1207"/>
      <c r="NFS42" s="1207"/>
      <c r="NFT42" s="1207"/>
      <c r="NFU42" s="1207"/>
      <c r="NFV42" s="1207"/>
      <c r="NFW42" s="1207"/>
      <c r="NFX42" s="1207"/>
      <c r="NFY42" s="1207"/>
      <c r="NFZ42" s="1207"/>
      <c r="NGA42" s="1207"/>
      <c r="NGB42" s="515"/>
      <c r="NGC42" s="1207"/>
      <c r="NGD42" s="1207"/>
      <c r="NGE42" s="1207"/>
      <c r="NGF42" s="1207"/>
      <c r="NGG42" s="1207"/>
      <c r="NGH42" s="1207"/>
      <c r="NGI42" s="1207"/>
      <c r="NGJ42" s="1207"/>
      <c r="NGK42" s="1207"/>
      <c r="NGL42" s="1207"/>
      <c r="NGM42" s="515"/>
      <c r="NGN42" s="1207"/>
      <c r="NGO42" s="1207"/>
      <c r="NGP42" s="1207"/>
      <c r="NGQ42" s="1207"/>
      <c r="NGR42" s="1207"/>
      <c r="NGS42" s="1207"/>
      <c r="NGT42" s="1207"/>
      <c r="NGU42" s="1207"/>
      <c r="NGV42" s="1207"/>
      <c r="NGW42" s="1207"/>
      <c r="NGX42" s="515"/>
      <c r="NGY42" s="1207"/>
      <c r="NGZ42" s="1207"/>
      <c r="NHA42" s="1207"/>
      <c r="NHB42" s="1207"/>
      <c r="NHC42" s="1207"/>
      <c r="NHD42" s="1207"/>
      <c r="NHE42" s="1207"/>
      <c r="NHF42" s="1207"/>
      <c r="NHG42" s="1207"/>
      <c r="NHH42" s="1207"/>
      <c r="NHI42" s="515"/>
      <c r="NHJ42" s="1207"/>
      <c r="NHK42" s="1207"/>
      <c r="NHL42" s="1207"/>
      <c r="NHM42" s="1207"/>
      <c r="NHN42" s="1207"/>
      <c r="NHO42" s="1207"/>
      <c r="NHP42" s="1207"/>
      <c r="NHQ42" s="1207"/>
      <c r="NHR42" s="1207"/>
      <c r="NHS42" s="1207"/>
      <c r="NHT42" s="515"/>
      <c r="NHU42" s="1207"/>
      <c r="NHV42" s="1207"/>
      <c r="NHW42" s="1207"/>
      <c r="NHX42" s="1207"/>
      <c r="NHY42" s="1207"/>
      <c r="NHZ42" s="1207"/>
      <c r="NIA42" s="1207"/>
      <c r="NIB42" s="1207"/>
      <c r="NIC42" s="1207"/>
      <c r="NID42" s="1207"/>
      <c r="NIE42" s="515"/>
      <c r="NIF42" s="1207"/>
      <c r="NIG42" s="1207"/>
      <c r="NIH42" s="1207"/>
      <c r="NII42" s="1207"/>
      <c r="NIJ42" s="1207"/>
      <c r="NIK42" s="1207"/>
      <c r="NIL42" s="1207"/>
      <c r="NIM42" s="1207"/>
      <c r="NIN42" s="1207"/>
      <c r="NIO42" s="1207"/>
      <c r="NIP42" s="515"/>
      <c r="NIQ42" s="1207"/>
      <c r="NIR42" s="1207"/>
      <c r="NIS42" s="1207"/>
      <c r="NIT42" s="1207"/>
      <c r="NIU42" s="1207"/>
      <c r="NIV42" s="1207"/>
      <c r="NIW42" s="1207"/>
      <c r="NIX42" s="1207"/>
      <c r="NIY42" s="1207"/>
      <c r="NIZ42" s="1207"/>
      <c r="NJA42" s="515"/>
      <c r="NJB42" s="1207"/>
      <c r="NJC42" s="1207"/>
      <c r="NJD42" s="1207"/>
      <c r="NJE42" s="1207"/>
      <c r="NJF42" s="1207"/>
      <c r="NJG42" s="1207"/>
      <c r="NJH42" s="1207"/>
      <c r="NJI42" s="1207"/>
      <c r="NJJ42" s="1207"/>
      <c r="NJK42" s="1207"/>
      <c r="NJL42" s="515"/>
      <c r="NJM42" s="1207"/>
      <c r="NJN42" s="1207"/>
      <c r="NJO42" s="1207"/>
      <c r="NJP42" s="1207"/>
      <c r="NJQ42" s="1207"/>
      <c r="NJR42" s="1207"/>
      <c r="NJS42" s="1207"/>
      <c r="NJT42" s="1207"/>
      <c r="NJU42" s="1207"/>
      <c r="NJV42" s="1207"/>
      <c r="NJW42" s="515"/>
      <c r="NJX42" s="1207"/>
      <c r="NJY42" s="1207"/>
      <c r="NJZ42" s="1207"/>
      <c r="NKA42" s="1207"/>
      <c r="NKB42" s="1207"/>
      <c r="NKC42" s="1207"/>
      <c r="NKD42" s="1207"/>
      <c r="NKE42" s="1207"/>
      <c r="NKF42" s="1207"/>
      <c r="NKG42" s="1207"/>
      <c r="NKH42" s="515"/>
      <c r="NKI42" s="1207"/>
      <c r="NKJ42" s="1207"/>
      <c r="NKK42" s="1207"/>
      <c r="NKL42" s="1207"/>
      <c r="NKM42" s="1207"/>
      <c r="NKN42" s="1207"/>
      <c r="NKO42" s="1207"/>
      <c r="NKP42" s="1207"/>
      <c r="NKQ42" s="1207"/>
      <c r="NKR42" s="1207"/>
      <c r="NKS42" s="515"/>
      <c r="NKT42" s="1207"/>
      <c r="NKU42" s="1207"/>
      <c r="NKV42" s="1207"/>
      <c r="NKW42" s="1207"/>
      <c r="NKX42" s="1207"/>
      <c r="NKY42" s="1207"/>
      <c r="NKZ42" s="1207"/>
      <c r="NLA42" s="1207"/>
      <c r="NLB42" s="1207"/>
      <c r="NLC42" s="1207"/>
      <c r="NLD42" s="515"/>
      <c r="NLE42" s="1207"/>
      <c r="NLF42" s="1207"/>
      <c r="NLG42" s="1207"/>
      <c r="NLH42" s="1207"/>
      <c r="NLI42" s="1207"/>
      <c r="NLJ42" s="1207"/>
      <c r="NLK42" s="1207"/>
      <c r="NLL42" s="1207"/>
      <c r="NLM42" s="1207"/>
      <c r="NLN42" s="1207"/>
      <c r="NLO42" s="515"/>
      <c r="NLP42" s="1207"/>
      <c r="NLQ42" s="1207"/>
      <c r="NLR42" s="1207"/>
      <c r="NLS42" s="1207"/>
      <c r="NLT42" s="1207"/>
      <c r="NLU42" s="1207"/>
      <c r="NLV42" s="1207"/>
      <c r="NLW42" s="1207"/>
      <c r="NLX42" s="1207"/>
      <c r="NLY42" s="1207"/>
      <c r="NLZ42" s="515"/>
      <c r="NMA42" s="1207"/>
      <c r="NMB42" s="1207"/>
      <c r="NMC42" s="1207"/>
      <c r="NMD42" s="1207"/>
      <c r="NME42" s="1207"/>
      <c r="NMF42" s="1207"/>
      <c r="NMG42" s="1207"/>
      <c r="NMH42" s="1207"/>
      <c r="NMI42" s="1207"/>
      <c r="NMJ42" s="1207"/>
      <c r="NMK42" s="515"/>
      <c r="NML42" s="1207"/>
      <c r="NMM42" s="1207"/>
      <c r="NMN42" s="1207"/>
      <c r="NMO42" s="1207"/>
      <c r="NMP42" s="1207"/>
      <c r="NMQ42" s="1207"/>
      <c r="NMR42" s="1207"/>
      <c r="NMS42" s="1207"/>
      <c r="NMT42" s="1207"/>
      <c r="NMU42" s="1207"/>
      <c r="NMV42" s="515"/>
      <c r="NMW42" s="1207"/>
      <c r="NMX42" s="1207"/>
      <c r="NMY42" s="1207"/>
      <c r="NMZ42" s="1207"/>
      <c r="NNA42" s="1207"/>
      <c r="NNB42" s="1207"/>
      <c r="NNC42" s="1207"/>
      <c r="NND42" s="1207"/>
      <c r="NNE42" s="1207"/>
      <c r="NNF42" s="1207"/>
      <c r="NNG42" s="515"/>
      <c r="NNH42" s="1207"/>
      <c r="NNI42" s="1207"/>
      <c r="NNJ42" s="1207"/>
      <c r="NNK42" s="1207"/>
      <c r="NNL42" s="1207"/>
      <c r="NNM42" s="1207"/>
      <c r="NNN42" s="1207"/>
      <c r="NNO42" s="1207"/>
      <c r="NNP42" s="1207"/>
      <c r="NNQ42" s="1207"/>
      <c r="NNR42" s="515"/>
      <c r="NNS42" s="1207"/>
      <c r="NNT42" s="1207"/>
      <c r="NNU42" s="1207"/>
      <c r="NNV42" s="1207"/>
      <c r="NNW42" s="1207"/>
      <c r="NNX42" s="1207"/>
      <c r="NNY42" s="1207"/>
      <c r="NNZ42" s="1207"/>
      <c r="NOA42" s="1207"/>
      <c r="NOB42" s="1207"/>
      <c r="NOC42" s="515"/>
      <c r="NOD42" s="1207"/>
      <c r="NOE42" s="1207"/>
      <c r="NOF42" s="1207"/>
      <c r="NOG42" s="1207"/>
      <c r="NOH42" s="1207"/>
      <c r="NOI42" s="1207"/>
      <c r="NOJ42" s="1207"/>
      <c r="NOK42" s="1207"/>
      <c r="NOL42" s="1207"/>
      <c r="NOM42" s="1207"/>
      <c r="NON42" s="515"/>
      <c r="NOO42" s="1207"/>
      <c r="NOP42" s="1207"/>
      <c r="NOQ42" s="1207"/>
      <c r="NOR42" s="1207"/>
      <c r="NOS42" s="1207"/>
      <c r="NOT42" s="1207"/>
      <c r="NOU42" s="1207"/>
      <c r="NOV42" s="1207"/>
      <c r="NOW42" s="1207"/>
      <c r="NOX42" s="1207"/>
      <c r="NOY42" s="515"/>
      <c r="NOZ42" s="1207"/>
      <c r="NPA42" s="1207"/>
      <c r="NPB42" s="1207"/>
      <c r="NPC42" s="1207"/>
      <c r="NPD42" s="1207"/>
      <c r="NPE42" s="1207"/>
      <c r="NPF42" s="1207"/>
      <c r="NPG42" s="1207"/>
      <c r="NPH42" s="1207"/>
      <c r="NPI42" s="1207"/>
      <c r="NPJ42" s="515"/>
      <c r="NPK42" s="1207"/>
      <c r="NPL42" s="1207"/>
      <c r="NPM42" s="1207"/>
      <c r="NPN42" s="1207"/>
      <c r="NPO42" s="1207"/>
      <c r="NPP42" s="1207"/>
      <c r="NPQ42" s="1207"/>
      <c r="NPR42" s="1207"/>
      <c r="NPS42" s="1207"/>
      <c r="NPT42" s="1207"/>
      <c r="NPU42" s="515"/>
      <c r="NPV42" s="1207"/>
      <c r="NPW42" s="1207"/>
      <c r="NPX42" s="1207"/>
      <c r="NPY42" s="1207"/>
      <c r="NPZ42" s="1207"/>
      <c r="NQA42" s="1207"/>
      <c r="NQB42" s="1207"/>
      <c r="NQC42" s="1207"/>
      <c r="NQD42" s="1207"/>
      <c r="NQE42" s="1207"/>
      <c r="NQF42" s="515"/>
      <c r="NQG42" s="1207"/>
      <c r="NQH42" s="1207"/>
      <c r="NQI42" s="1207"/>
      <c r="NQJ42" s="1207"/>
      <c r="NQK42" s="1207"/>
      <c r="NQL42" s="1207"/>
      <c r="NQM42" s="1207"/>
      <c r="NQN42" s="1207"/>
      <c r="NQO42" s="1207"/>
      <c r="NQP42" s="1207"/>
      <c r="NQQ42" s="515"/>
      <c r="NQR42" s="1207"/>
      <c r="NQS42" s="1207"/>
      <c r="NQT42" s="1207"/>
      <c r="NQU42" s="1207"/>
      <c r="NQV42" s="1207"/>
      <c r="NQW42" s="1207"/>
      <c r="NQX42" s="1207"/>
      <c r="NQY42" s="1207"/>
      <c r="NQZ42" s="1207"/>
      <c r="NRA42" s="1207"/>
      <c r="NRB42" s="515"/>
      <c r="NRC42" s="1207"/>
      <c r="NRD42" s="1207"/>
      <c r="NRE42" s="1207"/>
      <c r="NRF42" s="1207"/>
      <c r="NRG42" s="1207"/>
      <c r="NRH42" s="1207"/>
      <c r="NRI42" s="1207"/>
      <c r="NRJ42" s="1207"/>
      <c r="NRK42" s="1207"/>
      <c r="NRL42" s="1207"/>
      <c r="NRM42" s="515"/>
      <c r="NRN42" s="1207"/>
      <c r="NRO42" s="1207"/>
      <c r="NRP42" s="1207"/>
      <c r="NRQ42" s="1207"/>
      <c r="NRR42" s="1207"/>
      <c r="NRS42" s="1207"/>
      <c r="NRT42" s="1207"/>
      <c r="NRU42" s="1207"/>
      <c r="NRV42" s="1207"/>
      <c r="NRW42" s="1207"/>
      <c r="NRX42" s="515"/>
      <c r="NRY42" s="1207"/>
      <c r="NRZ42" s="1207"/>
      <c r="NSA42" s="1207"/>
      <c r="NSB42" s="1207"/>
      <c r="NSC42" s="1207"/>
      <c r="NSD42" s="1207"/>
      <c r="NSE42" s="1207"/>
      <c r="NSF42" s="1207"/>
      <c r="NSG42" s="1207"/>
      <c r="NSH42" s="1207"/>
      <c r="NSI42" s="515"/>
      <c r="NSJ42" s="1207"/>
      <c r="NSK42" s="1207"/>
      <c r="NSL42" s="1207"/>
      <c r="NSM42" s="1207"/>
      <c r="NSN42" s="1207"/>
      <c r="NSO42" s="1207"/>
      <c r="NSP42" s="1207"/>
      <c r="NSQ42" s="1207"/>
      <c r="NSR42" s="1207"/>
      <c r="NSS42" s="1207"/>
      <c r="NST42" s="515"/>
      <c r="NSU42" s="1207"/>
      <c r="NSV42" s="1207"/>
      <c r="NSW42" s="1207"/>
      <c r="NSX42" s="1207"/>
      <c r="NSY42" s="1207"/>
      <c r="NSZ42" s="1207"/>
      <c r="NTA42" s="1207"/>
      <c r="NTB42" s="1207"/>
      <c r="NTC42" s="1207"/>
      <c r="NTD42" s="1207"/>
      <c r="NTE42" s="515"/>
      <c r="NTF42" s="1207"/>
      <c r="NTG42" s="1207"/>
      <c r="NTH42" s="1207"/>
      <c r="NTI42" s="1207"/>
      <c r="NTJ42" s="1207"/>
      <c r="NTK42" s="1207"/>
      <c r="NTL42" s="1207"/>
      <c r="NTM42" s="1207"/>
      <c r="NTN42" s="1207"/>
      <c r="NTO42" s="1207"/>
      <c r="NTP42" s="515"/>
      <c r="NTQ42" s="1207"/>
      <c r="NTR42" s="1207"/>
      <c r="NTS42" s="1207"/>
      <c r="NTT42" s="1207"/>
      <c r="NTU42" s="1207"/>
      <c r="NTV42" s="1207"/>
      <c r="NTW42" s="1207"/>
      <c r="NTX42" s="1207"/>
      <c r="NTY42" s="1207"/>
      <c r="NTZ42" s="1207"/>
      <c r="NUA42" s="515"/>
      <c r="NUB42" s="1207"/>
      <c r="NUC42" s="1207"/>
      <c r="NUD42" s="1207"/>
      <c r="NUE42" s="1207"/>
      <c r="NUF42" s="1207"/>
      <c r="NUG42" s="1207"/>
      <c r="NUH42" s="1207"/>
      <c r="NUI42" s="1207"/>
      <c r="NUJ42" s="1207"/>
      <c r="NUK42" s="1207"/>
      <c r="NUL42" s="515"/>
      <c r="NUM42" s="1207"/>
      <c r="NUN42" s="1207"/>
      <c r="NUO42" s="1207"/>
      <c r="NUP42" s="1207"/>
      <c r="NUQ42" s="1207"/>
      <c r="NUR42" s="1207"/>
      <c r="NUS42" s="1207"/>
      <c r="NUT42" s="1207"/>
      <c r="NUU42" s="1207"/>
      <c r="NUV42" s="1207"/>
      <c r="NUW42" s="515"/>
      <c r="NUX42" s="1207"/>
      <c r="NUY42" s="1207"/>
      <c r="NUZ42" s="1207"/>
      <c r="NVA42" s="1207"/>
      <c r="NVB42" s="1207"/>
      <c r="NVC42" s="1207"/>
      <c r="NVD42" s="1207"/>
      <c r="NVE42" s="1207"/>
      <c r="NVF42" s="1207"/>
      <c r="NVG42" s="1207"/>
      <c r="NVH42" s="515"/>
      <c r="NVI42" s="1207"/>
      <c r="NVJ42" s="1207"/>
      <c r="NVK42" s="1207"/>
      <c r="NVL42" s="1207"/>
      <c r="NVM42" s="1207"/>
      <c r="NVN42" s="1207"/>
      <c r="NVO42" s="1207"/>
      <c r="NVP42" s="1207"/>
      <c r="NVQ42" s="1207"/>
      <c r="NVR42" s="1207"/>
      <c r="NVS42" s="515"/>
      <c r="NVT42" s="1207"/>
      <c r="NVU42" s="1207"/>
      <c r="NVV42" s="1207"/>
      <c r="NVW42" s="1207"/>
      <c r="NVX42" s="1207"/>
      <c r="NVY42" s="1207"/>
      <c r="NVZ42" s="1207"/>
      <c r="NWA42" s="1207"/>
      <c r="NWB42" s="1207"/>
      <c r="NWC42" s="1207"/>
      <c r="NWD42" s="515"/>
      <c r="NWE42" s="1207"/>
      <c r="NWF42" s="1207"/>
      <c r="NWG42" s="1207"/>
      <c r="NWH42" s="1207"/>
      <c r="NWI42" s="1207"/>
      <c r="NWJ42" s="1207"/>
      <c r="NWK42" s="1207"/>
      <c r="NWL42" s="1207"/>
      <c r="NWM42" s="1207"/>
      <c r="NWN42" s="1207"/>
      <c r="NWO42" s="515"/>
      <c r="NWP42" s="1207"/>
      <c r="NWQ42" s="1207"/>
      <c r="NWR42" s="1207"/>
      <c r="NWS42" s="1207"/>
      <c r="NWT42" s="1207"/>
      <c r="NWU42" s="1207"/>
      <c r="NWV42" s="1207"/>
      <c r="NWW42" s="1207"/>
      <c r="NWX42" s="1207"/>
      <c r="NWY42" s="1207"/>
      <c r="NWZ42" s="515"/>
      <c r="NXA42" s="1207"/>
      <c r="NXB42" s="1207"/>
      <c r="NXC42" s="1207"/>
      <c r="NXD42" s="1207"/>
      <c r="NXE42" s="1207"/>
      <c r="NXF42" s="1207"/>
      <c r="NXG42" s="1207"/>
      <c r="NXH42" s="1207"/>
      <c r="NXI42" s="1207"/>
      <c r="NXJ42" s="1207"/>
      <c r="NXK42" s="515"/>
      <c r="NXL42" s="1207"/>
      <c r="NXM42" s="1207"/>
      <c r="NXN42" s="1207"/>
      <c r="NXO42" s="1207"/>
      <c r="NXP42" s="1207"/>
      <c r="NXQ42" s="1207"/>
      <c r="NXR42" s="1207"/>
      <c r="NXS42" s="1207"/>
      <c r="NXT42" s="1207"/>
      <c r="NXU42" s="1207"/>
      <c r="NXV42" s="515"/>
      <c r="NXW42" s="1207"/>
      <c r="NXX42" s="1207"/>
      <c r="NXY42" s="1207"/>
      <c r="NXZ42" s="1207"/>
      <c r="NYA42" s="1207"/>
      <c r="NYB42" s="1207"/>
      <c r="NYC42" s="1207"/>
      <c r="NYD42" s="1207"/>
      <c r="NYE42" s="1207"/>
      <c r="NYF42" s="1207"/>
      <c r="NYG42" s="515"/>
      <c r="NYH42" s="1207"/>
      <c r="NYI42" s="1207"/>
      <c r="NYJ42" s="1207"/>
      <c r="NYK42" s="1207"/>
      <c r="NYL42" s="1207"/>
      <c r="NYM42" s="1207"/>
      <c r="NYN42" s="1207"/>
      <c r="NYO42" s="1207"/>
      <c r="NYP42" s="1207"/>
      <c r="NYQ42" s="1207"/>
      <c r="NYR42" s="515"/>
      <c r="NYS42" s="1207"/>
      <c r="NYT42" s="1207"/>
      <c r="NYU42" s="1207"/>
      <c r="NYV42" s="1207"/>
      <c r="NYW42" s="1207"/>
      <c r="NYX42" s="1207"/>
      <c r="NYY42" s="1207"/>
      <c r="NYZ42" s="1207"/>
      <c r="NZA42" s="1207"/>
      <c r="NZB42" s="1207"/>
      <c r="NZC42" s="515"/>
      <c r="NZD42" s="1207"/>
      <c r="NZE42" s="1207"/>
      <c r="NZF42" s="1207"/>
      <c r="NZG42" s="1207"/>
      <c r="NZH42" s="1207"/>
      <c r="NZI42" s="1207"/>
      <c r="NZJ42" s="1207"/>
      <c r="NZK42" s="1207"/>
      <c r="NZL42" s="1207"/>
      <c r="NZM42" s="1207"/>
      <c r="NZN42" s="515"/>
      <c r="NZO42" s="1207"/>
      <c r="NZP42" s="1207"/>
      <c r="NZQ42" s="1207"/>
      <c r="NZR42" s="1207"/>
      <c r="NZS42" s="1207"/>
      <c r="NZT42" s="1207"/>
      <c r="NZU42" s="1207"/>
      <c r="NZV42" s="1207"/>
      <c r="NZW42" s="1207"/>
      <c r="NZX42" s="1207"/>
      <c r="NZY42" s="515"/>
      <c r="NZZ42" s="1207"/>
      <c r="OAA42" s="1207"/>
      <c r="OAB42" s="1207"/>
      <c r="OAC42" s="1207"/>
      <c r="OAD42" s="1207"/>
      <c r="OAE42" s="1207"/>
      <c r="OAF42" s="1207"/>
      <c r="OAG42" s="1207"/>
      <c r="OAH42" s="1207"/>
      <c r="OAI42" s="1207"/>
      <c r="OAJ42" s="515"/>
      <c r="OAK42" s="1207"/>
      <c r="OAL42" s="1207"/>
      <c r="OAM42" s="1207"/>
      <c r="OAN42" s="1207"/>
      <c r="OAO42" s="1207"/>
      <c r="OAP42" s="1207"/>
      <c r="OAQ42" s="1207"/>
      <c r="OAR42" s="1207"/>
      <c r="OAS42" s="1207"/>
      <c r="OAT42" s="1207"/>
      <c r="OAU42" s="515"/>
      <c r="OAV42" s="1207"/>
      <c r="OAW42" s="1207"/>
      <c r="OAX42" s="1207"/>
      <c r="OAY42" s="1207"/>
      <c r="OAZ42" s="1207"/>
      <c r="OBA42" s="1207"/>
      <c r="OBB42" s="1207"/>
      <c r="OBC42" s="1207"/>
      <c r="OBD42" s="1207"/>
      <c r="OBE42" s="1207"/>
      <c r="OBF42" s="515"/>
      <c r="OBG42" s="1207"/>
      <c r="OBH42" s="1207"/>
      <c r="OBI42" s="1207"/>
      <c r="OBJ42" s="1207"/>
      <c r="OBK42" s="1207"/>
      <c r="OBL42" s="1207"/>
      <c r="OBM42" s="1207"/>
      <c r="OBN42" s="1207"/>
      <c r="OBO42" s="1207"/>
      <c r="OBP42" s="1207"/>
      <c r="OBQ42" s="515"/>
      <c r="OBR42" s="1207"/>
      <c r="OBS42" s="1207"/>
      <c r="OBT42" s="1207"/>
      <c r="OBU42" s="1207"/>
      <c r="OBV42" s="1207"/>
      <c r="OBW42" s="1207"/>
      <c r="OBX42" s="1207"/>
      <c r="OBY42" s="1207"/>
      <c r="OBZ42" s="1207"/>
      <c r="OCA42" s="1207"/>
      <c r="OCB42" s="515"/>
      <c r="OCC42" s="1207"/>
      <c r="OCD42" s="1207"/>
      <c r="OCE42" s="1207"/>
      <c r="OCF42" s="1207"/>
      <c r="OCG42" s="1207"/>
      <c r="OCH42" s="1207"/>
      <c r="OCI42" s="1207"/>
      <c r="OCJ42" s="1207"/>
      <c r="OCK42" s="1207"/>
      <c r="OCL42" s="1207"/>
      <c r="OCM42" s="515"/>
      <c r="OCN42" s="1207"/>
      <c r="OCO42" s="1207"/>
      <c r="OCP42" s="1207"/>
      <c r="OCQ42" s="1207"/>
      <c r="OCR42" s="1207"/>
      <c r="OCS42" s="1207"/>
      <c r="OCT42" s="1207"/>
      <c r="OCU42" s="1207"/>
      <c r="OCV42" s="1207"/>
      <c r="OCW42" s="1207"/>
      <c r="OCX42" s="515"/>
      <c r="OCY42" s="1207"/>
      <c r="OCZ42" s="1207"/>
      <c r="ODA42" s="1207"/>
      <c r="ODB42" s="1207"/>
      <c r="ODC42" s="1207"/>
      <c r="ODD42" s="1207"/>
      <c r="ODE42" s="1207"/>
      <c r="ODF42" s="1207"/>
      <c r="ODG42" s="1207"/>
      <c r="ODH42" s="1207"/>
      <c r="ODI42" s="515"/>
      <c r="ODJ42" s="1207"/>
      <c r="ODK42" s="1207"/>
      <c r="ODL42" s="1207"/>
      <c r="ODM42" s="1207"/>
      <c r="ODN42" s="1207"/>
      <c r="ODO42" s="1207"/>
      <c r="ODP42" s="1207"/>
      <c r="ODQ42" s="1207"/>
      <c r="ODR42" s="1207"/>
      <c r="ODS42" s="1207"/>
      <c r="ODT42" s="515"/>
      <c r="ODU42" s="1207"/>
      <c r="ODV42" s="1207"/>
      <c r="ODW42" s="1207"/>
      <c r="ODX42" s="1207"/>
      <c r="ODY42" s="1207"/>
      <c r="ODZ42" s="1207"/>
      <c r="OEA42" s="1207"/>
      <c r="OEB42" s="1207"/>
      <c r="OEC42" s="1207"/>
      <c r="OED42" s="1207"/>
      <c r="OEE42" s="515"/>
      <c r="OEF42" s="1207"/>
      <c r="OEG42" s="1207"/>
      <c r="OEH42" s="1207"/>
      <c r="OEI42" s="1207"/>
      <c r="OEJ42" s="1207"/>
      <c r="OEK42" s="1207"/>
      <c r="OEL42" s="1207"/>
      <c r="OEM42" s="1207"/>
      <c r="OEN42" s="1207"/>
      <c r="OEO42" s="1207"/>
      <c r="OEP42" s="515"/>
      <c r="OEQ42" s="1207"/>
      <c r="OER42" s="1207"/>
      <c r="OES42" s="1207"/>
      <c r="OET42" s="1207"/>
      <c r="OEU42" s="1207"/>
      <c r="OEV42" s="1207"/>
      <c r="OEW42" s="1207"/>
      <c r="OEX42" s="1207"/>
      <c r="OEY42" s="1207"/>
      <c r="OEZ42" s="1207"/>
      <c r="OFA42" s="515"/>
      <c r="OFB42" s="1207"/>
      <c r="OFC42" s="1207"/>
      <c r="OFD42" s="1207"/>
      <c r="OFE42" s="1207"/>
      <c r="OFF42" s="1207"/>
      <c r="OFG42" s="1207"/>
      <c r="OFH42" s="1207"/>
      <c r="OFI42" s="1207"/>
      <c r="OFJ42" s="1207"/>
      <c r="OFK42" s="1207"/>
      <c r="OFL42" s="515"/>
      <c r="OFM42" s="1207"/>
      <c r="OFN42" s="1207"/>
      <c r="OFO42" s="1207"/>
      <c r="OFP42" s="1207"/>
      <c r="OFQ42" s="1207"/>
      <c r="OFR42" s="1207"/>
      <c r="OFS42" s="1207"/>
      <c r="OFT42" s="1207"/>
      <c r="OFU42" s="1207"/>
      <c r="OFV42" s="1207"/>
      <c r="OFW42" s="515"/>
      <c r="OFX42" s="1207"/>
      <c r="OFY42" s="1207"/>
      <c r="OFZ42" s="1207"/>
      <c r="OGA42" s="1207"/>
      <c r="OGB42" s="1207"/>
      <c r="OGC42" s="1207"/>
      <c r="OGD42" s="1207"/>
      <c r="OGE42" s="1207"/>
      <c r="OGF42" s="1207"/>
      <c r="OGG42" s="1207"/>
      <c r="OGH42" s="515"/>
      <c r="OGI42" s="1207"/>
      <c r="OGJ42" s="1207"/>
      <c r="OGK42" s="1207"/>
      <c r="OGL42" s="1207"/>
      <c r="OGM42" s="1207"/>
      <c r="OGN42" s="1207"/>
      <c r="OGO42" s="1207"/>
      <c r="OGP42" s="1207"/>
      <c r="OGQ42" s="1207"/>
      <c r="OGR42" s="1207"/>
      <c r="OGS42" s="515"/>
      <c r="OGT42" s="1207"/>
      <c r="OGU42" s="1207"/>
      <c r="OGV42" s="1207"/>
      <c r="OGW42" s="1207"/>
      <c r="OGX42" s="1207"/>
      <c r="OGY42" s="1207"/>
      <c r="OGZ42" s="1207"/>
      <c r="OHA42" s="1207"/>
      <c r="OHB42" s="1207"/>
      <c r="OHC42" s="1207"/>
      <c r="OHD42" s="515"/>
      <c r="OHE42" s="1207"/>
      <c r="OHF42" s="1207"/>
      <c r="OHG42" s="1207"/>
      <c r="OHH42" s="1207"/>
      <c r="OHI42" s="1207"/>
      <c r="OHJ42" s="1207"/>
      <c r="OHK42" s="1207"/>
      <c r="OHL42" s="1207"/>
      <c r="OHM42" s="1207"/>
      <c r="OHN42" s="1207"/>
      <c r="OHO42" s="515"/>
      <c r="OHP42" s="1207"/>
      <c r="OHQ42" s="1207"/>
      <c r="OHR42" s="1207"/>
      <c r="OHS42" s="1207"/>
      <c r="OHT42" s="1207"/>
      <c r="OHU42" s="1207"/>
      <c r="OHV42" s="1207"/>
      <c r="OHW42" s="1207"/>
      <c r="OHX42" s="1207"/>
      <c r="OHY42" s="1207"/>
      <c r="OHZ42" s="515"/>
      <c r="OIA42" s="1207"/>
      <c r="OIB42" s="1207"/>
      <c r="OIC42" s="1207"/>
      <c r="OID42" s="1207"/>
      <c r="OIE42" s="1207"/>
      <c r="OIF42" s="1207"/>
      <c r="OIG42" s="1207"/>
      <c r="OIH42" s="1207"/>
      <c r="OII42" s="1207"/>
      <c r="OIJ42" s="1207"/>
      <c r="OIK42" s="515"/>
      <c r="OIL42" s="1207"/>
      <c r="OIM42" s="1207"/>
      <c r="OIN42" s="1207"/>
      <c r="OIO42" s="1207"/>
      <c r="OIP42" s="1207"/>
      <c r="OIQ42" s="1207"/>
      <c r="OIR42" s="1207"/>
      <c r="OIS42" s="1207"/>
      <c r="OIT42" s="1207"/>
      <c r="OIU42" s="1207"/>
      <c r="OIV42" s="515"/>
      <c r="OIW42" s="1207"/>
      <c r="OIX42" s="1207"/>
      <c r="OIY42" s="1207"/>
      <c r="OIZ42" s="1207"/>
      <c r="OJA42" s="1207"/>
      <c r="OJB42" s="1207"/>
      <c r="OJC42" s="1207"/>
      <c r="OJD42" s="1207"/>
      <c r="OJE42" s="1207"/>
      <c r="OJF42" s="1207"/>
      <c r="OJG42" s="515"/>
      <c r="OJH42" s="1207"/>
      <c r="OJI42" s="1207"/>
      <c r="OJJ42" s="1207"/>
      <c r="OJK42" s="1207"/>
      <c r="OJL42" s="1207"/>
      <c r="OJM42" s="1207"/>
      <c r="OJN42" s="1207"/>
      <c r="OJO42" s="1207"/>
      <c r="OJP42" s="1207"/>
      <c r="OJQ42" s="1207"/>
      <c r="OJR42" s="515"/>
      <c r="OJS42" s="1207"/>
      <c r="OJT42" s="1207"/>
      <c r="OJU42" s="1207"/>
      <c r="OJV42" s="1207"/>
      <c r="OJW42" s="1207"/>
      <c r="OJX42" s="1207"/>
      <c r="OJY42" s="1207"/>
      <c r="OJZ42" s="1207"/>
      <c r="OKA42" s="1207"/>
      <c r="OKB42" s="1207"/>
      <c r="OKC42" s="515"/>
      <c r="OKD42" s="1207"/>
      <c r="OKE42" s="1207"/>
      <c r="OKF42" s="1207"/>
      <c r="OKG42" s="1207"/>
      <c r="OKH42" s="1207"/>
      <c r="OKI42" s="1207"/>
      <c r="OKJ42" s="1207"/>
      <c r="OKK42" s="1207"/>
      <c r="OKL42" s="1207"/>
      <c r="OKM42" s="1207"/>
      <c r="OKN42" s="515"/>
      <c r="OKO42" s="1207"/>
      <c r="OKP42" s="1207"/>
      <c r="OKQ42" s="1207"/>
      <c r="OKR42" s="1207"/>
      <c r="OKS42" s="1207"/>
      <c r="OKT42" s="1207"/>
      <c r="OKU42" s="1207"/>
      <c r="OKV42" s="1207"/>
      <c r="OKW42" s="1207"/>
      <c r="OKX42" s="1207"/>
      <c r="OKY42" s="515"/>
      <c r="OKZ42" s="1207"/>
      <c r="OLA42" s="1207"/>
      <c r="OLB42" s="1207"/>
      <c r="OLC42" s="1207"/>
      <c r="OLD42" s="1207"/>
      <c r="OLE42" s="1207"/>
      <c r="OLF42" s="1207"/>
      <c r="OLG42" s="1207"/>
      <c r="OLH42" s="1207"/>
      <c r="OLI42" s="1207"/>
      <c r="OLJ42" s="515"/>
      <c r="OLK42" s="1207"/>
      <c r="OLL42" s="1207"/>
      <c r="OLM42" s="1207"/>
      <c r="OLN42" s="1207"/>
      <c r="OLO42" s="1207"/>
      <c r="OLP42" s="1207"/>
      <c r="OLQ42" s="1207"/>
      <c r="OLR42" s="1207"/>
      <c r="OLS42" s="1207"/>
      <c r="OLT42" s="1207"/>
      <c r="OLU42" s="515"/>
      <c r="OLV42" s="1207"/>
      <c r="OLW42" s="1207"/>
      <c r="OLX42" s="1207"/>
      <c r="OLY42" s="1207"/>
      <c r="OLZ42" s="1207"/>
      <c r="OMA42" s="1207"/>
      <c r="OMB42" s="1207"/>
      <c r="OMC42" s="1207"/>
      <c r="OMD42" s="1207"/>
      <c r="OME42" s="1207"/>
      <c r="OMF42" s="515"/>
      <c r="OMG42" s="1207"/>
      <c r="OMH42" s="1207"/>
      <c r="OMI42" s="1207"/>
      <c r="OMJ42" s="1207"/>
      <c r="OMK42" s="1207"/>
      <c r="OML42" s="1207"/>
      <c r="OMM42" s="1207"/>
      <c r="OMN42" s="1207"/>
      <c r="OMO42" s="1207"/>
      <c r="OMP42" s="1207"/>
      <c r="OMQ42" s="515"/>
      <c r="OMR42" s="1207"/>
      <c r="OMS42" s="1207"/>
      <c r="OMT42" s="1207"/>
      <c r="OMU42" s="1207"/>
      <c r="OMV42" s="1207"/>
      <c r="OMW42" s="1207"/>
      <c r="OMX42" s="1207"/>
      <c r="OMY42" s="1207"/>
      <c r="OMZ42" s="1207"/>
      <c r="ONA42" s="1207"/>
      <c r="ONB42" s="515"/>
      <c r="ONC42" s="1207"/>
      <c r="OND42" s="1207"/>
      <c r="ONE42" s="1207"/>
      <c r="ONF42" s="1207"/>
      <c r="ONG42" s="1207"/>
      <c r="ONH42" s="1207"/>
      <c r="ONI42" s="1207"/>
      <c r="ONJ42" s="1207"/>
      <c r="ONK42" s="1207"/>
      <c r="ONL42" s="1207"/>
      <c r="ONM42" s="515"/>
      <c r="ONN42" s="1207"/>
      <c r="ONO42" s="1207"/>
      <c r="ONP42" s="1207"/>
      <c r="ONQ42" s="1207"/>
      <c r="ONR42" s="1207"/>
      <c r="ONS42" s="1207"/>
      <c r="ONT42" s="1207"/>
      <c r="ONU42" s="1207"/>
      <c r="ONV42" s="1207"/>
      <c r="ONW42" s="1207"/>
      <c r="ONX42" s="515"/>
      <c r="ONY42" s="1207"/>
      <c r="ONZ42" s="1207"/>
      <c r="OOA42" s="1207"/>
      <c r="OOB42" s="1207"/>
      <c r="OOC42" s="1207"/>
      <c r="OOD42" s="1207"/>
      <c r="OOE42" s="1207"/>
      <c r="OOF42" s="1207"/>
      <c r="OOG42" s="1207"/>
      <c r="OOH42" s="1207"/>
      <c r="OOI42" s="515"/>
      <c r="OOJ42" s="1207"/>
      <c r="OOK42" s="1207"/>
      <c r="OOL42" s="1207"/>
      <c r="OOM42" s="1207"/>
      <c r="OON42" s="1207"/>
      <c r="OOO42" s="1207"/>
      <c r="OOP42" s="1207"/>
      <c r="OOQ42" s="1207"/>
      <c r="OOR42" s="1207"/>
      <c r="OOS42" s="1207"/>
      <c r="OOT42" s="515"/>
      <c r="OOU42" s="1207"/>
      <c r="OOV42" s="1207"/>
      <c r="OOW42" s="1207"/>
      <c r="OOX42" s="1207"/>
      <c r="OOY42" s="1207"/>
      <c r="OOZ42" s="1207"/>
      <c r="OPA42" s="1207"/>
      <c r="OPB42" s="1207"/>
      <c r="OPC42" s="1207"/>
      <c r="OPD42" s="1207"/>
      <c r="OPE42" s="515"/>
      <c r="OPF42" s="1207"/>
      <c r="OPG42" s="1207"/>
      <c r="OPH42" s="1207"/>
      <c r="OPI42" s="1207"/>
      <c r="OPJ42" s="1207"/>
      <c r="OPK42" s="1207"/>
      <c r="OPL42" s="1207"/>
      <c r="OPM42" s="1207"/>
      <c r="OPN42" s="1207"/>
      <c r="OPO42" s="1207"/>
      <c r="OPP42" s="515"/>
      <c r="OPQ42" s="1207"/>
      <c r="OPR42" s="1207"/>
      <c r="OPS42" s="1207"/>
      <c r="OPT42" s="1207"/>
      <c r="OPU42" s="1207"/>
      <c r="OPV42" s="1207"/>
      <c r="OPW42" s="1207"/>
      <c r="OPX42" s="1207"/>
      <c r="OPY42" s="1207"/>
      <c r="OPZ42" s="1207"/>
      <c r="OQA42" s="515"/>
      <c r="OQB42" s="1207"/>
      <c r="OQC42" s="1207"/>
      <c r="OQD42" s="1207"/>
      <c r="OQE42" s="1207"/>
      <c r="OQF42" s="1207"/>
      <c r="OQG42" s="1207"/>
      <c r="OQH42" s="1207"/>
      <c r="OQI42" s="1207"/>
      <c r="OQJ42" s="1207"/>
      <c r="OQK42" s="1207"/>
      <c r="OQL42" s="515"/>
      <c r="OQM42" s="1207"/>
      <c r="OQN42" s="1207"/>
      <c r="OQO42" s="1207"/>
      <c r="OQP42" s="1207"/>
      <c r="OQQ42" s="1207"/>
      <c r="OQR42" s="1207"/>
      <c r="OQS42" s="1207"/>
      <c r="OQT42" s="1207"/>
      <c r="OQU42" s="1207"/>
      <c r="OQV42" s="1207"/>
      <c r="OQW42" s="515"/>
      <c r="OQX42" s="1207"/>
      <c r="OQY42" s="1207"/>
      <c r="OQZ42" s="1207"/>
      <c r="ORA42" s="1207"/>
      <c r="ORB42" s="1207"/>
      <c r="ORC42" s="1207"/>
      <c r="ORD42" s="1207"/>
      <c r="ORE42" s="1207"/>
      <c r="ORF42" s="1207"/>
      <c r="ORG42" s="1207"/>
      <c r="ORH42" s="515"/>
      <c r="ORI42" s="1207"/>
      <c r="ORJ42" s="1207"/>
      <c r="ORK42" s="1207"/>
      <c r="ORL42" s="1207"/>
      <c r="ORM42" s="1207"/>
      <c r="ORN42" s="1207"/>
      <c r="ORO42" s="1207"/>
      <c r="ORP42" s="1207"/>
      <c r="ORQ42" s="1207"/>
      <c r="ORR42" s="1207"/>
      <c r="ORS42" s="515"/>
      <c r="ORT42" s="1207"/>
      <c r="ORU42" s="1207"/>
      <c r="ORV42" s="1207"/>
      <c r="ORW42" s="1207"/>
      <c r="ORX42" s="1207"/>
      <c r="ORY42" s="1207"/>
      <c r="ORZ42" s="1207"/>
      <c r="OSA42" s="1207"/>
      <c r="OSB42" s="1207"/>
      <c r="OSC42" s="1207"/>
      <c r="OSD42" s="515"/>
      <c r="OSE42" s="1207"/>
      <c r="OSF42" s="1207"/>
      <c r="OSG42" s="1207"/>
      <c r="OSH42" s="1207"/>
      <c r="OSI42" s="1207"/>
      <c r="OSJ42" s="1207"/>
      <c r="OSK42" s="1207"/>
      <c r="OSL42" s="1207"/>
      <c r="OSM42" s="1207"/>
      <c r="OSN42" s="1207"/>
      <c r="OSO42" s="515"/>
      <c r="OSP42" s="1207"/>
      <c r="OSQ42" s="1207"/>
      <c r="OSR42" s="1207"/>
      <c r="OSS42" s="1207"/>
      <c r="OST42" s="1207"/>
      <c r="OSU42" s="1207"/>
      <c r="OSV42" s="1207"/>
      <c r="OSW42" s="1207"/>
      <c r="OSX42" s="1207"/>
      <c r="OSY42" s="1207"/>
      <c r="OSZ42" s="515"/>
      <c r="OTA42" s="1207"/>
      <c r="OTB42" s="1207"/>
      <c r="OTC42" s="1207"/>
      <c r="OTD42" s="1207"/>
      <c r="OTE42" s="1207"/>
      <c r="OTF42" s="1207"/>
      <c r="OTG42" s="1207"/>
      <c r="OTH42" s="1207"/>
      <c r="OTI42" s="1207"/>
      <c r="OTJ42" s="1207"/>
      <c r="OTK42" s="515"/>
      <c r="OTL42" s="1207"/>
      <c r="OTM42" s="1207"/>
      <c r="OTN42" s="1207"/>
      <c r="OTO42" s="1207"/>
      <c r="OTP42" s="1207"/>
      <c r="OTQ42" s="1207"/>
      <c r="OTR42" s="1207"/>
      <c r="OTS42" s="1207"/>
      <c r="OTT42" s="1207"/>
      <c r="OTU42" s="1207"/>
      <c r="OTV42" s="515"/>
      <c r="OTW42" s="1207"/>
      <c r="OTX42" s="1207"/>
      <c r="OTY42" s="1207"/>
      <c r="OTZ42" s="1207"/>
      <c r="OUA42" s="1207"/>
      <c r="OUB42" s="1207"/>
      <c r="OUC42" s="1207"/>
      <c r="OUD42" s="1207"/>
      <c r="OUE42" s="1207"/>
      <c r="OUF42" s="1207"/>
      <c r="OUG42" s="515"/>
      <c r="OUH42" s="1207"/>
      <c r="OUI42" s="1207"/>
      <c r="OUJ42" s="1207"/>
      <c r="OUK42" s="1207"/>
      <c r="OUL42" s="1207"/>
      <c r="OUM42" s="1207"/>
      <c r="OUN42" s="1207"/>
      <c r="OUO42" s="1207"/>
      <c r="OUP42" s="1207"/>
      <c r="OUQ42" s="1207"/>
      <c r="OUR42" s="515"/>
      <c r="OUS42" s="1207"/>
      <c r="OUT42" s="1207"/>
      <c r="OUU42" s="1207"/>
      <c r="OUV42" s="1207"/>
      <c r="OUW42" s="1207"/>
      <c r="OUX42" s="1207"/>
      <c r="OUY42" s="1207"/>
      <c r="OUZ42" s="1207"/>
      <c r="OVA42" s="1207"/>
      <c r="OVB42" s="1207"/>
      <c r="OVC42" s="515"/>
      <c r="OVD42" s="1207"/>
      <c r="OVE42" s="1207"/>
      <c r="OVF42" s="1207"/>
      <c r="OVG42" s="1207"/>
      <c r="OVH42" s="1207"/>
      <c r="OVI42" s="1207"/>
      <c r="OVJ42" s="1207"/>
      <c r="OVK42" s="1207"/>
      <c r="OVL42" s="1207"/>
      <c r="OVM42" s="1207"/>
      <c r="OVN42" s="515"/>
      <c r="OVO42" s="1207"/>
      <c r="OVP42" s="1207"/>
      <c r="OVQ42" s="1207"/>
      <c r="OVR42" s="1207"/>
      <c r="OVS42" s="1207"/>
      <c r="OVT42" s="1207"/>
      <c r="OVU42" s="1207"/>
      <c r="OVV42" s="1207"/>
      <c r="OVW42" s="1207"/>
      <c r="OVX42" s="1207"/>
      <c r="OVY42" s="515"/>
      <c r="OVZ42" s="1207"/>
      <c r="OWA42" s="1207"/>
      <c r="OWB42" s="1207"/>
      <c r="OWC42" s="1207"/>
      <c r="OWD42" s="1207"/>
      <c r="OWE42" s="1207"/>
      <c r="OWF42" s="1207"/>
      <c r="OWG42" s="1207"/>
      <c r="OWH42" s="1207"/>
      <c r="OWI42" s="1207"/>
      <c r="OWJ42" s="515"/>
      <c r="OWK42" s="1207"/>
      <c r="OWL42" s="1207"/>
      <c r="OWM42" s="1207"/>
      <c r="OWN42" s="1207"/>
      <c r="OWO42" s="1207"/>
      <c r="OWP42" s="1207"/>
      <c r="OWQ42" s="1207"/>
      <c r="OWR42" s="1207"/>
      <c r="OWS42" s="1207"/>
      <c r="OWT42" s="1207"/>
      <c r="OWU42" s="515"/>
      <c r="OWV42" s="1207"/>
      <c r="OWW42" s="1207"/>
      <c r="OWX42" s="1207"/>
      <c r="OWY42" s="1207"/>
      <c r="OWZ42" s="1207"/>
      <c r="OXA42" s="1207"/>
      <c r="OXB42" s="1207"/>
      <c r="OXC42" s="1207"/>
      <c r="OXD42" s="1207"/>
      <c r="OXE42" s="1207"/>
      <c r="OXF42" s="515"/>
      <c r="OXG42" s="1207"/>
      <c r="OXH42" s="1207"/>
      <c r="OXI42" s="1207"/>
      <c r="OXJ42" s="1207"/>
      <c r="OXK42" s="1207"/>
      <c r="OXL42" s="1207"/>
      <c r="OXM42" s="1207"/>
      <c r="OXN42" s="1207"/>
      <c r="OXO42" s="1207"/>
      <c r="OXP42" s="1207"/>
      <c r="OXQ42" s="515"/>
      <c r="OXR42" s="1207"/>
      <c r="OXS42" s="1207"/>
      <c r="OXT42" s="1207"/>
      <c r="OXU42" s="1207"/>
      <c r="OXV42" s="1207"/>
      <c r="OXW42" s="1207"/>
      <c r="OXX42" s="1207"/>
      <c r="OXY42" s="1207"/>
      <c r="OXZ42" s="1207"/>
      <c r="OYA42" s="1207"/>
      <c r="OYB42" s="515"/>
      <c r="OYC42" s="1207"/>
      <c r="OYD42" s="1207"/>
      <c r="OYE42" s="1207"/>
      <c r="OYF42" s="1207"/>
      <c r="OYG42" s="1207"/>
      <c r="OYH42" s="1207"/>
      <c r="OYI42" s="1207"/>
      <c r="OYJ42" s="1207"/>
      <c r="OYK42" s="1207"/>
      <c r="OYL42" s="1207"/>
      <c r="OYM42" s="515"/>
      <c r="OYN42" s="1207"/>
      <c r="OYO42" s="1207"/>
      <c r="OYP42" s="1207"/>
      <c r="OYQ42" s="1207"/>
      <c r="OYR42" s="1207"/>
      <c r="OYS42" s="1207"/>
      <c r="OYT42" s="1207"/>
      <c r="OYU42" s="1207"/>
      <c r="OYV42" s="1207"/>
      <c r="OYW42" s="1207"/>
      <c r="OYX42" s="515"/>
      <c r="OYY42" s="1207"/>
      <c r="OYZ42" s="1207"/>
      <c r="OZA42" s="1207"/>
      <c r="OZB42" s="1207"/>
      <c r="OZC42" s="1207"/>
      <c r="OZD42" s="1207"/>
      <c r="OZE42" s="1207"/>
      <c r="OZF42" s="1207"/>
      <c r="OZG42" s="1207"/>
      <c r="OZH42" s="1207"/>
      <c r="OZI42" s="515"/>
      <c r="OZJ42" s="1207"/>
      <c r="OZK42" s="1207"/>
      <c r="OZL42" s="1207"/>
      <c r="OZM42" s="1207"/>
      <c r="OZN42" s="1207"/>
      <c r="OZO42" s="1207"/>
      <c r="OZP42" s="1207"/>
      <c r="OZQ42" s="1207"/>
      <c r="OZR42" s="1207"/>
      <c r="OZS42" s="1207"/>
      <c r="OZT42" s="515"/>
      <c r="OZU42" s="1207"/>
      <c r="OZV42" s="1207"/>
      <c r="OZW42" s="1207"/>
      <c r="OZX42" s="1207"/>
      <c r="OZY42" s="1207"/>
      <c r="OZZ42" s="1207"/>
      <c r="PAA42" s="1207"/>
      <c r="PAB42" s="1207"/>
      <c r="PAC42" s="1207"/>
      <c r="PAD42" s="1207"/>
      <c r="PAE42" s="515"/>
      <c r="PAF42" s="1207"/>
      <c r="PAG42" s="1207"/>
      <c r="PAH42" s="1207"/>
      <c r="PAI42" s="1207"/>
      <c r="PAJ42" s="1207"/>
      <c r="PAK42" s="1207"/>
      <c r="PAL42" s="1207"/>
      <c r="PAM42" s="1207"/>
      <c r="PAN42" s="1207"/>
      <c r="PAO42" s="1207"/>
      <c r="PAP42" s="515"/>
      <c r="PAQ42" s="1207"/>
      <c r="PAR42" s="1207"/>
      <c r="PAS42" s="1207"/>
      <c r="PAT42" s="1207"/>
      <c r="PAU42" s="1207"/>
      <c r="PAV42" s="1207"/>
      <c r="PAW42" s="1207"/>
      <c r="PAX42" s="1207"/>
      <c r="PAY42" s="1207"/>
      <c r="PAZ42" s="1207"/>
      <c r="PBA42" s="515"/>
      <c r="PBB42" s="1207"/>
      <c r="PBC42" s="1207"/>
      <c r="PBD42" s="1207"/>
      <c r="PBE42" s="1207"/>
      <c r="PBF42" s="1207"/>
      <c r="PBG42" s="1207"/>
      <c r="PBH42" s="1207"/>
      <c r="PBI42" s="1207"/>
      <c r="PBJ42" s="1207"/>
      <c r="PBK42" s="1207"/>
      <c r="PBL42" s="515"/>
      <c r="PBM42" s="1207"/>
      <c r="PBN42" s="1207"/>
      <c r="PBO42" s="1207"/>
      <c r="PBP42" s="1207"/>
      <c r="PBQ42" s="1207"/>
      <c r="PBR42" s="1207"/>
      <c r="PBS42" s="1207"/>
      <c r="PBT42" s="1207"/>
      <c r="PBU42" s="1207"/>
      <c r="PBV42" s="1207"/>
      <c r="PBW42" s="515"/>
      <c r="PBX42" s="1207"/>
      <c r="PBY42" s="1207"/>
      <c r="PBZ42" s="1207"/>
      <c r="PCA42" s="1207"/>
      <c r="PCB42" s="1207"/>
      <c r="PCC42" s="1207"/>
      <c r="PCD42" s="1207"/>
      <c r="PCE42" s="1207"/>
      <c r="PCF42" s="1207"/>
      <c r="PCG42" s="1207"/>
      <c r="PCH42" s="515"/>
      <c r="PCI42" s="1207"/>
      <c r="PCJ42" s="1207"/>
      <c r="PCK42" s="1207"/>
      <c r="PCL42" s="1207"/>
      <c r="PCM42" s="1207"/>
      <c r="PCN42" s="1207"/>
      <c r="PCO42" s="1207"/>
      <c r="PCP42" s="1207"/>
      <c r="PCQ42" s="1207"/>
      <c r="PCR42" s="1207"/>
      <c r="PCS42" s="515"/>
      <c r="PCT42" s="1207"/>
      <c r="PCU42" s="1207"/>
      <c r="PCV42" s="1207"/>
      <c r="PCW42" s="1207"/>
      <c r="PCX42" s="1207"/>
      <c r="PCY42" s="1207"/>
      <c r="PCZ42" s="1207"/>
      <c r="PDA42" s="1207"/>
      <c r="PDB42" s="1207"/>
      <c r="PDC42" s="1207"/>
      <c r="PDD42" s="515"/>
      <c r="PDE42" s="1207"/>
      <c r="PDF42" s="1207"/>
      <c r="PDG42" s="1207"/>
      <c r="PDH42" s="1207"/>
      <c r="PDI42" s="1207"/>
      <c r="PDJ42" s="1207"/>
      <c r="PDK42" s="1207"/>
      <c r="PDL42" s="1207"/>
      <c r="PDM42" s="1207"/>
      <c r="PDN42" s="1207"/>
      <c r="PDO42" s="515"/>
      <c r="PDP42" s="1207"/>
      <c r="PDQ42" s="1207"/>
      <c r="PDR42" s="1207"/>
      <c r="PDS42" s="1207"/>
      <c r="PDT42" s="1207"/>
      <c r="PDU42" s="1207"/>
      <c r="PDV42" s="1207"/>
      <c r="PDW42" s="1207"/>
      <c r="PDX42" s="1207"/>
      <c r="PDY42" s="1207"/>
      <c r="PDZ42" s="515"/>
      <c r="PEA42" s="1207"/>
      <c r="PEB42" s="1207"/>
      <c r="PEC42" s="1207"/>
      <c r="PED42" s="1207"/>
      <c r="PEE42" s="1207"/>
      <c r="PEF42" s="1207"/>
      <c r="PEG42" s="1207"/>
      <c r="PEH42" s="1207"/>
      <c r="PEI42" s="1207"/>
      <c r="PEJ42" s="1207"/>
      <c r="PEK42" s="515"/>
      <c r="PEL42" s="1207"/>
      <c r="PEM42" s="1207"/>
      <c r="PEN42" s="1207"/>
      <c r="PEO42" s="1207"/>
      <c r="PEP42" s="1207"/>
      <c r="PEQ42" s="1207"/>
      <c r="PER42" s="1207"/>
      <c r="PES42" s="1207"/>
      <c r="PET42" s="1207"/>
      <c r="PEU42" s="1207"/>
      <c r="PEV42" s="515"/>
      <c r="PEW42" s="1207"/>
      <c r="PEX42" s="1207"/>
      <c r="PEY42" s="1207"/>
      <c r="PEZ42" s="1207"/>
      <c r="PFA42" s="1207"/>
      <c r="PFB42" s="1207"/>
      <c r="PFC42" s="1207"/>
      <c r="PFD42" s="1207"/>
      <c r="PFE42" s="1207"/>
      <c r="PFF42" s="1207"/>
      <c r="PFG42" s="515"/>
      <c r="PFH42" s="1207"/>
      <c r="PFI42" s="1207"/>
      <c r="PFJ42" s="1207"/>
      <c r="PFK42" s="1207"/>
      <c r="PFL42" s="1207"/>
      <c r="PFM42" s="1207"/>
      <c r="PFN42" s="1207"/>
      <c r="PFO42" s="1207"/>
      <c r="PFP42" s="1207"/>
      <c r="PFQ42" s="1207"/>
      <c r="PFR42" s="515"/>
      <c r="PFS42" s="1207"/>
      <c r="PFT42" s="1207"/>
      <c r="PFU42" s="1207"/>
      <c r="PFV42" s="1207"/>
      <c r="PFW42" s="1207"/>
      <c r="PFX42" s="1207"/>
      <c r="PFY42" s="1207"/>
      <c r="PFZ42" s="1207"/>
      <c r="PGA42" s="1207"/>
      <c r="PGB42" s="1207"/>
      <c r="PGC42" s="515"/>
      <c r="PGD42" s="1207"/>
      <c r="PGE42" s="1207"/>
      <c r="PGF42" s="1207"/>
      <c r="PGG42" s="1207"/>
      <c r="PGH42" s="1207"/>
      <c r="PGI42" s="1207"/>
      <c r="PGJ42" s="1207"/>
      <c r="PGK42" s="1207"/>
      <c r="PGL42" s="1207"/>
      <c r="PGM42" s="1207"/>
      <c r="PGN42" s="515"/>
      <c r="PGO42" s="1207"/>
      <c r="PGP42" s="1207"/>
      <c r="PGQ42" s="1207"/>
      <c r="PGR42" s="1207"/>
      <c r="PGS42" s="1207"/>
      <c r="PGT42" s="1207"/>
      <c r="PGU42" s="1207"/>
      <c r="PGV42" s="1207"/>
      <c r="PGW42" s="1207"/>
      <c r="PGX42" s="1207"/>
      <c r="PGY42" s="515"/>
      <c r="PGZ42" s="1207"/>
      <c r="PHA42" s="1207"/>
      <c r="PHB42" s="1207"/>
      <c r="PHC42" s="1207"/>
      <c r="PHD42" s="1207"/>
      <c r="PHE42" s="1207"/>
      <c r="PHF42" s="1207"/>
      <c r="PHG42" s="1207"/>
      <c r="PHH42" s="1207"/>
      <c r="PHI42" s="1207"/>
      <c r="PHJ42" s="515"/>
      <c r="PHK42" s="1207"/>
      <c r="PHL42" s="1207"/>
      <c r="PHM42" s="1207"/>
      <c r="PHN42" s="1207"/>
      <c r="PHO42" s="1207"/>
      <c r="PHP42" s="1207"/>
      <c r="PHQ42" s="1207"/>
      <c r="PHR42" s="1207"/>
      <c r="PHS42" s="1207"/>
      <c r="PHT42" s="1207"/>
      <c r="PHU42" s="515"/>
      <c r="PHV42" s="1207"/>
      <c r="PHW42" s="1207"/>
      <c r="PHX42" s="1207"/>
      <c r="PHY42" s="1207"/>
      <c r="PHZ42" s="1207"/>
      <c r="PIA42" s="1207"/>
      <c r="PIB42" s="1207"/>
      <c r="PIC42" s="1207"/>
      <c r="PID42" s="1207"/>
      <c r="PIE42" s="1207"/>
      <c r="PIF42" s="515"/>
      <c r="PIG42" s="1207"/>
      <c r="PIH42" s="1207"/>
      <c r="PII42" s="1207"/>
      <c r="PIJ42" s="1207"/>
      <c r="PIK42" s="1207"/>
      <c r="PIL42" s="1207"/>
      <c r="PIM42" s="1207"/>
      <c r="PIN42" s="1207"/>
      <c r="PIO42" s="1207"/>
      <c r="PIP42" s="1207"/>
      <c r="PIQ42" s="515"/>
      <c r="PIR42" s="1207"/>
      <c r="PIS42" s="1207"/>
      <c r="PIT42" s="1207"/>
      <c r="PIU42" s="1207"/>
      <c r="PIV42" s="1207"/>
      <c r="PIW42" s="1207"/>
      <c r="PIX42" s="1207"/>
      <c r="PIY42" s="1207"/>
      <c r="PIZ42" s="1207"/>
      <c r="PJA42" s="1207"/>
      <c r="PJB42" s="515"/>
      <c r="PJC42" s="1207"/>
      <c r="PJD42" s="1207"/>
      <c r="PJE42" s="1207"/>
      <c r="PJF42" s="1207"/>
      <c r="PJG42" s="1207"/>
      <c r="PJH42" s="1207"/>
      <c r="PJI42" s="1207"/>
      <c r="PJJ42" s="1207"/>
      <c r="PJK42" s="1207"/>
      <c r="PJL42" s="1207"/>
      <c r="PJM42" s="515"/>
      <c r="PJN42" s="1207"/>
      <c r="PJO42" s="1207"/>
      <c r="PJP42" s="1207"/>
      <c r="PJQ42" s="1207"/>
      <c r="PJR42" s="1207"/>
      <c r="PJS42" s="1207"/>
      <c r="PJT42" s="1207"/>
      <c r="PJU42" s="1207"/>
      <c r="PJV42" s="1207"/>
      <c r="PJW42" s="1207"/>
      <c r="PJX42" s="515"/>
      <c r="PJY42" s="1207"/>
      <c r="PJZ42" s="1207"/>
      <c r="PKA42" s="1207"/>
      <c r="PKB42" s="1207"/>
      <c r="PKC42" s="1207"/>
      <c r="PKD42" s="1207"/>
      <c r="PKE42" s="1207"/>
      <c r="PKF42" s="1207"/>
      <c r="PKG42" s="1207"/>
      <c r="PKH42" s="1207"/>
      <c r="PKI42" s="515"/>
      <c r="PKJ42" s="1207"/>
      <c r="PKK42" s="1207"/>
      <c r="PKL42" s="1207"/>
      <c r="PKM42" s="1207"/>
      <c r="PKN42" s="1207"/>
      <c r="PKO42" s="1207"/>
      <c r="PKP42" s="1207"/>
      <c r="PKQ42" s="1207"/>
      <c r="PKR42" s="1207"/>
      <c r="PKS42" s="1207"/>
      <c r="PKT42" s="515"/>
      <c r="PKU42" s="1207"/>
      <c r="PKV42" s="1207"/>
      <c r="PKW42" s="1207"/>
      <c r="PKX42" s="1207"/>
      <c r="PKY42" s="1207"/>
      <c r="PKZ42" s="1207"/>
      <c r="PLA42" s="1207"/>
      <c r="PLB42" s="1207"/>
      <c r="PLC42" s="1207"/>
      <c r="PLD42" s="1207"/>
      <c r="PLE42" s="515"/>
      <c r="PLF42" s="1207"/>
      <c r="PLG42" s="1207"/>
      <c r="PLH42" s="1207"/>
      <c r="PLI42" s="1207"/>
      <c r="PLJ42" s="1207"/>
      <c r="PLK42" s="1207"/>
      <c r="PLL42" s="1207"/>
      <c r="PLM42" s="1207"/>
      <c r="PLN42" s="1207"/>
      <c r="PLO42" s="1207"/>
      <c r="PLP42" s="515"/>
      <c r="PLQ42" s="1207"/>
      <c r="PLR42" s="1207"/>
      <c r="PLS42" s="1207"/>
      <c r="PLT42" s="1207"/>
      <c r="PLU42" s="1207"/>
      <c r="PLV42" s="1207"/>
      <c r="PLW42" s="1207"/>
      <c r="PLX42" s="1207"/>
      <c r="PLY42" s="1207"/>
      <c r="PLZ42" s="1207"/>
      <c r="PMA42" s="515"/>
      <c r="PMB42" s="1207"/>
      <c r="PMC42" s="1207"/>
      <c r="PMD42" s="1207"/>
      <c r="PME42" s="1207"/>
      <c r="PMF42" s="1207"/>
      <c r="PMG42" s="1207"/>
      <c r="PMH42" s="1207"/>
      <c r="PMI42" s="1207"/>
      <c r="PMJ42" s="1207"/>
      <c r="PMK42" s="1207"/>
      <c r="PML42" s="515"/>
      <c r="PMM42" s="1207"/>
      <c r="PMN42" s="1207"/>
      <c r="PMO42" s="1207"/>
      <c r="PMP42" s="1207"/>
      <c r="PMQ42" s="1207"/>
      <c r="PMR42" s="1207"/>
      <c r="PMS42" s="1207"/>
      <c r="PMT42" s="1207"/>
      <c r="PMU42" s="1207"/>
      <c r="PMV42" s="1207"/>
      <c r="PMW42" s="515"/>
      <c r="PMX42" s="1207"/>
      <c r="PMY42" s="1207"/>
      <c r="PMZ42" s="1207"/>
      <c r="PNA42" s="1207"/>
      <c r="PNB42" s="1207"/>
      <c r="PNC42" s="1207"/>
      <c r="PND42" s="1207"/>
      <c r="PNE42" s="1207"/>
      <c r="PNF42" s="1207"/>
      <c r="PNG42" s="1207"/>
      <c r="PNH42" s="515"/>
      <c r="PNI42" s="1207"/>
      <c r="PNJ42" s="1207"/>
      <c r="PNK42" s="1207"/>
      <c r="PNL42" s="1207"/>
      <c r="PNM42" s="1207"/>
      <c r="PNN42" s="1207"/>
      <c r="PNO42" s="1207"/>
      <c r="PNP42" s="1207"/>
      <c r="PNQ42" s="1207"/>
      <c r="PNR42" s="1207"/>
      <c r="PNS42" s="515"/>
      <c r="PNT42" s="1207"/>
      <c r="PNU42" s="1207"/>
      <c r="PNV42" s="1207"/>
      <c r="PNW42" s="1207"/>
      <c r="PNX42" s="1207"/>
      <c r="PNY42" s="1207"/>
      <c r="PNZ42" s="1207"/>
      <c r="POA42" s="1207"/>
      <c r="POB42" s="1207"/>
      <c r="POC42" s="1207"/>
      <c r="POD42" s="515"/>
      <c r="POE42" s="1207"/>
      <c r="POF42" s="1207"/>
      <c r="POG42" s="1207"/>
      <c r="POH42" s="1207"/>
      <c r="POI42" s="1207"/>
      <c r="POJ42" s="1207"/>
      <c r="POK42" s="1207"/>
      <c r="POL42" s="1207"/>
      <c r="POM42" s="1207"/>
      <c r="PON42" s="1207"/>
      <c r="POO42" s="515"/>
      <c r="POP42" s="1207"/>
      <c r="POQ42" s="1207"/>
      <c r="POR42" s="1207"/>
      <c r="POS42" s="1207"/>
      <c r="POT42" s="1207"/>
      <c r="POU42" s="1207"/>
      <c r="POV42" s="1207"/>
      <c r="POW42" s="1207"/>
      <c r="POX42" s="1207"/>
      <c r="POY42" s="1207"/>
      <c r="POZ42" s="515"/>
      <c r="PPA42" s="1207"/>
      <c r="PPB42" s="1207"/>
      <c r="PPC42" s="1207"/>
      <c r="PPD42" s="1207"/>
      <c r="PPE42" s="1207"/>
      <c r="PPF42" s="1207"/>
      <c r="PPG42" s="1207"/>
      <c r="PPH42" s="1207"/>
      <c r="PPI42" s="1207"/>
      <c r="PPJ42" s="1207"/>
      <c r="PPK42" s="515"/>
      <c r="PPL42" s="1207"/>
      <c r="PPM42" s="1207"/>
      <c r="PPN42" s="1207"/>
      <c r="PPO42" s="1207"/>
      <c r="PPP42" s="1207"/>
      <c r="PPQ42" s="1207"/>
      <c r="PPR42" s="1207"/>
      <c r="PPS42" s="1207"/>
      <c r="PPT42" s="1207"/>
      <c r="PPU42" s="1207"/>
      <c r="PPV42" s="515"/>
      <c r="PPW42" s="1207"/>
      <c r="PPX42" s="1207"/>
      <c r="PPY42" s="1207"/>
      <c r="PPZ42" s="1207"/>
      <c r="PQA42" s="1207"/>
      <c r="PQB42" s="1207"/>
      <c r="PQC42" s="1207"/>
      <c r="PQD42" s="1207"/>
      <c r="PQE42" s="1207"/>
      <c r="PQF42" s="1207"/>
      <c r="PQG42" s="515"/>
      <c r="PQH42" s="1207"/>
      <c r="PQI42" s="1207"/>
      <c r="PQJ42" s="1207"/>
      <c r="PQK42" s="1207"/>
      <c r="PQL42" s="1207"/>
      <c r="PQM42" s="1207"/>
      <c r="PQN42" s="1207"/>
      <c r="PQO42" s="1207"/>
      <c r="PQP42" s="1207"/>
      <c r="PQQ42" s="1207"/>
      <c r="PQR42" s="515"/>
      <c r="PQS42" s="1207"/>
      <c r="PQT42" s="1207"/>
      <c r="PQU42" s="1207"/>
      <c r="PQV42" s="1207"/>
      <c r="PQW42" s="1207"/>
      <c r="PQX42" s="1207"/>
      <c r="PQY42" s="1207"/>
      <c r="PQZ42" s="1207"/>
      <c r="PRA42" s="1207"/>
      <c r="PRB42" s="1207"/>
      <c r="PRC42" s="515"/>
      <c r="PRD42" s="1207"/>
      <c r="PRE42" s="1207"/>
      <c r="PRF42" s="1207"/>
      <c r="PRG42" s="1207"/>
      <c r="PRH42" s="1207"/>
      <c r="PRI42" s="1207"/>
      <c r="PRJ42" s="1207"/>
      <c r="PRK42" s="1207"/>
      <c r="PRL42" s="1207"/>
      <c r="PRM42" s="1207"/>
      <c r="PRN42" s="515"/>
      <c r="PRO42" s="1207"/>
      <c r="PRP42" s="1207"/>
      <c r="PRQ42" s="1207"/>
      <c r="PRR42" s="1207"/>
      <c r="PRS42" s="1207"/>
      <c r="PRT42" s="1207"/>
      <c r="PRU42" s="1207"/>
      <c r="PRV42" s="1207"/>
      <c r="PRW42" s="1207"/>
      <c r="PRX42" s="1207"/>
      <c r="PRY42" s="515"/>
      <c r="PRZ42" s="1207"/>
      <c r="PSA42" s="1207"/>
      <c r="PSB42" s="1207"/>
      <c r="PSC42" s="1207"/>
      <c r="PSD42" s="1207"/>
      <c r="PSE42" s="1207"/>
      <c r="PSF42" s="1207"/>
      <c r="PSG42" s="1207"/>
      <c r="PSH42" s="1207"/>
      <c r="PSI42" s="1207"/>
      <c r="PSJ42" s="515"/>
      <c r="PSK42" s="1207"/>
      <c r="PSL42" s="1207"/>
      <c r="PSM42" s="1207"/>
      <c r="PSN42" s="1207"/>
      <c r="PSO42" s="1207"/>
      <c r="PSP42" s="1207"/>
      <c r="PSQ42" s="1207"/>
      <c r="PSR42" s="1207"/>
      <c r="PSS42" s="1207"/>
      <c r="PST42" s="1207"/>
      <c r="PSU42" s="515"/>
      <c r="PSV42" s="1207"/>
      <c r="PSW42" s="1207"/>
      <c r="PSX42" s="1207"/>
      <c r="PSY42" s="1207"/>
      <c r="PSZ42" s="1207"/>
      <c r="PTA42" s="1207"/>
      <c r="PTB42" s="1207"/>
      <c r="PTC42" s="1207"/>
      <c r="PTD42" s="1207"/>
      <c r="PTE42" s="1207"/>
      <c r="PTF42" s="515"/>
      <c r="PTG42" s="1207"/>
      <c r="PTH42" s="1207"/>
      <c r="PTI42" s="1207"/>
      <c r="PTJ42" s="1207"/>
      <c r="PTK42" s="1207"/>
      <c r="PTL42" s="1207"/>
      <c r="PTM42" s="1207"/>
      <c r="PTN42" s="1207"/>
      <c r="PTO42" s="1207"/>
      <c r="PTP42" s="1207"/>
      <c r="PTQ42" s="515"/>
      <c r="PTR42" s="1207"/>
      <c r="PTS42" s="1207"/>
      <c r="PTT42" s="1207"/>
      <c r="PTU42" s="1207"/>
      <c r="PTV42" s="1207"/>
      <c r="PTW42" s="1207"/>
      <c r="PTX42" s="1207"/>
      <c r="PTY42" s="1207"/>
      <c r="PTZ42" s="1207"/>
      <c r="PUA42" s="1207"/>
      <c r="PUB42" s="515"/>
      <c r="PUC42" s="1207"/>
      <c r="PUD42" s="1207"/>
      <c r="PUE42" s="1207"/>
      <c r="PUF42" s="1207"/>
      <c r="PUG42" s="1207"/>
      <c r="PUH42" s="1207"/>
      <c r="PUI42" s="1207"/>
      <c r="PUJ42" s="1207"/>
      <c r="PUK42" s="1207"/>
      <c r="PUL42" s="1207"/>
      <c r="PUM42" s="515"/>
      <c r="PUN42" s="1207"/>
      <c r="PUO42" s="1207"/>
      <c r="PUP42" s="1207"/>
      <c r="PUQ42" s="1207"/>
      <c r="PUR42" s="1207"/>
      <c r="PUS42" s="1207"/>
      <c r="PUT42" s="1207"/>
      <c r="PUU42" s="1207"/>
      <c r="PUV42" s="1207"/>
      <c r="PUW42" s="1207"/>
      <c r="PUX42" s="515"/>
      <c r="PUY42" s="1207"/>
      <c r="PUZ42" s="1207"/>
      <c r="PVA42" s="1207"/>
      <c r="PVB42" s="1207"/>
      <c r="PVC42" s="1207"/>
      <c r="PVD42" s="1207"/>
      <c r="PVE42" s="1207"/>
      <c r="PVF42" s="1207"/>
      <c r="PVG42" s="1207"/>
      <c r="PVH42" s="1207"/>
      <c r="PVI42" s="515"/>
      <c r="PVJ42" s="1207"/>
      <c r="PVK42" s="1207"/>
      <c r="PVL42" s="1207"/>
      <c r="PVM42" s="1207"/>
      <c r="PVN42" s="1207"/>
      <c r="PVO42" s="1207"/>
      <c r="PVP42" s="1207"/>
      <c r="PVQ42" s="1207"/>
      <c r="PVR42" s="1207"/>
      <c r="PVS42" s="1207"/>
      <c r="PVT42" s="515"/>
      <c r="PVU42" s="1207"/>
      <c r="PVV42" s="1207"/>
      <c r="PVW42" s="1207"/>
      <c r="PVX42" s="1207"/>
      <c r="PVY42" s="1207"/>
      <c r="PVZ42" s="1207"/>
      <c r="PWA42" s="1207"/>
      <c r="PWB42" s="1207"/>
      <c r="PWC42" s="1207"/>
      <c r="PWD42" s="1207"/>
      <c r="PWE42" s="515"/>
      <c r="PWF42" s="1207"/>
      <c r="PWG42" s="1207"/>
      <c r="PWH42" s="1207"/>
      <c r="PWI42" s="1207"/>
      <c r="PWJ42" s="1207"/>
      <c r="PWK42" s="1207"/>
      <c r="PWL42" s="1207"/>
      <c r="PWM42" s="1207"/>
      <c r="PWN42" s="1207"/>
      <c r="PWO42" s="1207"/>
      <c r="PWP42" s="515"/>
      <c r="PWQ42" s="1207"/>
      <c r="PWR42" s="1207"/>
      <c r="PWS42" s="1207"/>
      <c r="PWT42" s="1207"/>
      <c r="PWU42" s="1207"/>
      <c r="PWV42" s="1207"/>
      <c r="PWW42" s="1207"/>
      <c r="PWX42" s="1207"/>
      <c r="PWY42" s="1207"/>
      <c r="PWZ42" s="1207"/>
      <c r="PXA42" s="515"/>
      <c r="PXB42" s="1207"/>
      <c r="PXC42" s="1207"/>
      <c r="PXD42" s="1207"/>
      <c r="PXE42" s="1207"/>
      <c r="PXF42" s="1207"/>
      <c r="PXG42" s="1207"/>
      <c r="PXH42" s="1207"/>
      <c r="PXI42" s="1207"/>
      <c r="PXJ42" s="1207"/>
      <c r="PXK42" s="1207"/>
      <c r="PXL42" s="515"/>
      <c r="PXM42" s="1207"/>
      <c r="PXN42" s="1207"/>
      <c r="PXO42" s="1207"/>
      <c r="PXP42" s="1207"/>
      <c r="PXQ42" s="1207"/>
      <c r="PXR42" s="1207"/>
      <c r="PXS42" s="1207"/>
      <c r="PXT42" s="1207"/>
      <c r="PXU42" s="1207"/>
      <c r="PXV42" s="1207"/>
      <c r="PXW42" s="515"/>
      <c r="PXX42" s="1207"/>
      <c r="PXY42" s="1207"/>
      <c r="PXZ42" s="1207"/>
      <c r="PYA42" s="1207"/>
      <c r="PYB42" s="1207"/>
      <c r="PYC42" s="1207"/>
      <c r="PYD42" s="1207"/>
      <c r="PYE42" s="1207"/>
      <c r="PYF42" s="1207"/>
      <c r="PYG42" s="1207"/>
      <c r="PYH42" s="515"/>
      <c r="PYI42" s="1207"/>
      <c r="PYJ42" s="1207"/>
      <c r="PYK42" s="1207"/>
      <c r="PYL42" s="1207"/>
      <c r="PYM42" s="1207"/>
      <c r="PYN42" s="1207"/>
      <c r="PYO42" s="1207"/>
      <c r="PYP42" s="1207"/>
      <c r="PYQ42" s="1207"/>
      <c r="PYR42" s="1207"/>
      <c r="PYS42" s="515"/>
      <c r="PYT42" s="1207"/>
      <c r="PYU42" s="1207"/>
      <c r="PYV42" s="1207"/>
      <c r="PYW42" s="1207"/>
      <c r="PYX42" s="1207"/>
      <c r="PYY42" s="1207"/>
      <c r="PYZ42" s="1207"/>
      <c r="PZA42" s="1207"/>
      <c r="PZB42" s="1207"/>
      <c r="PZC42" s="1207"/>
      <c r="PZD42" s="515"/>
      <c r="PZE42" s="1207"/>
      <c r="PZF42" s="1207"/>
      <c r="PZG42" s="1207"/>
      <c r="PZH42" s="1207"/>
      <c r="PZI42" s="1207"/>
      <c r="PZJ42" s="1207"/>
      <c r="PZK42" s="1207"/>
      <c r="PZL42" s="1207"/>
      <c r="PZM42" s="1207"/>
      <c r="PZN42" s="1207"/>
      <c r="PZO42" s="515"/>
      <c r="PZP42" s="1207"/>
      <c r="PZQ42" s="1207"/>
      <c r="PZR42" s="1207"/>
      <c r="PZS42" s="1207"/>
      <c r="PZT42" s="1207"/>
      <c r="PZU42" s="1207"/>
      <c r="PZV42" s="1207"/>
      <c r="PZW42" s="1207"/>
      <c r="PZX42" s="1207"/>
      <c r="PZY42" s="1207"/>
      <c r="PZZ42" s="515"/>
      <c r="QAA42" s="1207"/>
      <c r="QAB42" s="1207"/>
      <c r="QAC42" s="1207"/>
      <c r="QAD42" s="1207"/>
      <c r="QAE42" s="1207"/>
      <c r="QAF42" s="1207"/>
      <c r="QAG42" s="1207"/>
      <c r="QAH42" s="1207"/>
      <c r="QAI42" s="1207"/>
      <c r="QAJ42" s="1207"/>
      <c r="QAK42" s="515"/>
      <c r="QAL42" s="1207"/>
      <c r="QAM42" s="1207"/>
      <c r="QAN42" s="1207"/>
      <c r="QAO42" s="1207"/>
      <c r="QAP42" s="1207"/>
      <c r="QAQ42" s="1207"/>
      <c r="QAR42" s="1207"/>
      <c r="QAS42" s="1207"/>
      <c r="QAT42" s="1207"/>
      <c r="QAU42" s="1207"/>
      <c r="QAV42" s="515"/>
      <c r="QAW42" s="1207"/>
      <c r="QAX42" s="1207"/>
      <c r="QAY42" s="1207"/>
      <c r="QAZ42" s="1207"/>
      <c r="QBA42" s="1207"/>
      <c r="QBB42" s="1207"/>
      <c r="QBC42" s="1207"/>
      <c r="QBD42" s="1207"/>
      <c r="QBE42" s="1207"/>
      <c r="QBF42" s="1207"/>
      <c r="QBG42" s="515"/>
      <c r="QBH42" s="1207"/>
      <c r="QBI42" s="1207"/>
      <c r="QBJ42" s="1207"/>
      <c r="QBK42" s="1207"/>
      <c r="QBL42" s="1207"/>
      <c r="QBM42" s="1207"/>
      <c r="QBN42" s="1207"/>
      <c r="QBO42" s="1207"/>
      <c r="QBP42" s="1207"/>
      <c r="QBQ42" s="1207"/>
      <c r="QBR42" s="515"/>
      <c r="QBS42" s="1207"/>
      <c r="QBT42" s="1207"/>
      <c r="QBU42" s="1207"/>
      <c r="QBV42" s="1207"/>
      <c r="QBW42" s="1207"/>
      <c r="QBX42" s="1207"/>
      <c r="QBY42" s="1207"/>
      <c r="QBZ42" s="1207"/>
      <c r="QCA42" s="1207"/>
      <c r="QCB42" s="1207"/>
      <c r="QCC42" s="515"/>
      <c r="QCD42" s="1207"/>
      <c r="QCE42" s="1207"/>
      <c r="QCF42" s="1207"/>
      <c r="QCG42" s="1207"/>
      <c r="QCH42" s="1207"/>
      <c r="QCI42" s="1207"/>
      <c r="QCJ42" s="1207"/>
      <c r="QCK42" s="1207"/>
      <c r="QCL42" s="1207"/>
      <c r="QCM42" s="1207"/>
      <c r="QCN42" s="515"/>
      <c r="QCO42" s="1207"/>
      <c r="QCP42" s="1207"/>
      <c r="QCQ42" s="1207"/>
      <c r="QCR42" s="1207"/>
      <c r="QCS42" s="1207"/>
      <c r="QCT42" s="1207"/>
      <c r="QCU42" s="1207"/>
      <c r="QCV42" s="1207"/>
      <c r="QCW42" s="1207"/>
      <c r="QCX42" s="1207"/>
      <c r="QCY42" s="515"/>
      <c r="QCZ42" s="1207"/>
      <c r="QDA42" s="1207"/>
      <c r="QDB42" s="1207"/>
      <c r="QDC42" s="1207"/>
      <c r="QDD42" s="1207"/>
      <c r="QDE42" s="1207"/>
      <c r="QDF42" s="1207"/>
      <c r="QDG42" s="1207"/>
      <c r="QDH42" s="1207"/>
      <c r="QDI42" s="1207"/>
      <c r="QDJ42" s="515"/>
      <c r="QDK42" s="1207"/>
      <c r="QDL42" s="1207"/>
      <c r="QDM42" s="1207"/>
      <c r="QDN42" s="1207"/>
      <c r="QDO42" s="1207"/>
      <c r="QDP42" s="1207"/>
      <c r="QDQ42" s="1207"/>
      <c r="QDR42" s="1207"/>
      <c r="QDS42" s="1207"/>
      <c r="QDT42" s="1207"/>
      <c r="QDU42" s="515"/>
      <c r="QDV42" s="1207"/>
      <c r="QDW42" s="1207"/>
      <c r="QDX42" s="1207"/>
      <c r="QDY42" s="1207"/>
      <c r="QDZ42" s="1207"/>
      <c r="QEA42" s="1207"/>
      <c r="QEB42" s="1207"/>
      <c r="QEC42" s="1207"/>
      <c r="QED42" s="1207"/>
      <c r="QEE42" s="1207"/>
      <c r="QEF42" s="515"/>
      <c r="QEG42" s="1207"/>
      <c r="QEH42" s="1207"/>
      <c r="QEI42" s="1207"/>
      <c r="QEJ42" s="1207"/>
      <c r="QEK42" s="1207"/>
      <c r="QEL42" s="1207"/>
      <c r="QEM42" s="1207"/>
      <c r="QEN42" s="1207"/>
      <c r="QEO42" s="1207"/>
      <c r="QEP42" s="1207"/>
      <c r="QEQ42" s="515"/>
      <c r="QER42" s="1207"/>
      <c r="QES42" s="1207"/>
      <c r="QET42" s="1207"/>
      <c r="QEU42" s="1207"/>
      <c r="QEV42" s="1207"/>
      <c r="QEW42" s="1207"/>
      <c r="QEX42" s="1207"/>
      <c r="QEY42" s="1207"/>
      <c r="QEZ42" s="1207"/>
      <c r="QFA42" s="1207"/>
      <c r="QFB42" s="515"/>
      <c r="QFC42" s="1207"/>
      <c r="QFD42" s="1207"/>
      <c r="QFE42" s="1207"/>
      <c r="QFF42" s="1207"/>
      <c r="QFG42" s="1207"/>
      <c r="QFH42" s="1207"/>
      <c r="QFI42" s="1207"/>
      <c r="QFJ42" s="1207"/>
      <c r="QFK42" s="1207"/>
      <c r="QFL42" s="1207"/>
      <c r="QFM42" s="515"/>
      <c r="QFN42" s="1207"/>
      <c r="QFO42" s="1207"/>
      <c r="QFP42" s="1207"/>
      <c r="QFQ42" s="1207"/>
      <c r="QFR42" s="1207"/>
      <c r="QFS42" s="1207"/>
      <c r="QFT42" s="1207"/>
      <c r="QFU42" s="1207"/>
      <c r="QFV42" s="1207"/>
      <c r="QFW42" s="1207"/>
      <c r="QFX42" s="515"/>
      <c r="QFY42" s="1207"/>
      <c r="QFZ42" s="1207"/>
      <c r="QGA42" s="1207"/>
      <c r="QGB42" s="1207"/>
      <c r="QGC42" s="1207"/>
      <c r="QGD42" s="1207"/>
      <c r="QGE42" s="1207"/>
      <c r="QGF42" s="1207"/>
      <c r="QGG42" s="1207"/>
      <c r="QGH42" s="1207"/>
      <c r="QGI42" s="515"/>
      <c r="QGJ42" s="1207"/>
      <c r="QGK42" s="1207"/>
      <c r="QGL42" s="1207"/>
      <c r="QGM42" s="1207"/>
      <c r="QGN42" s="1207"/>
      <c r="QGO42" s="1207"/>
      <c r="QGP42" s="1207"/>
      <c r="QGQ42" s="1207"/>
      <c r="QGR42" s="1207"/>
      <c r="QGS42" s="1207"/>
      <c r="QGT42" s="515"/>
      <c r="QGU42" s="1207"/>
      <c r="QGV42" s="1207"/>
      <c r="QGW42" s="1207"/>
      <c r="QGX42" s="1207"/>
      <c r="QGY42" s="1207"/>
      <c r="QGZ42" s="1207"/>
      <c r="QHA42" s="1207"/>
      <c r="QHB42" s="1207"/>
      <c r="QHC42" s="1207"/>
      <c r="QHD42" s="1207"/>
      <c r="QHE42" s="515"/>
      <c r="QHF42" s="1207"/>
      <c r="QHG42" s="1207"/>
      <c r="QHH42" s="1207"/>
      <c r="QHI42" s="1207"/>
      <c r="QHJ42" s="1207"/>
      <c r="QHK42" s="1207"/>
      <c r="QHL42" s="1207"/>
      <c r="QHM42" s="1207"/>
      <c r="QHN42" s="1207"/>
      <c r="QHO42" s="1207"/>
      <c r="QHP42" s="515"/>
      <c r="QHQ42" s="1207"/>
      <c r="QHR42" s="1207"/>
      <c r="QHS42" s="1207"/>
      <c r="QHT42" s="1207"/>
      <c r="QHU42" s="1207"/>
      <c r="QHV42" s="1207"/>
      <c r="QHW42" s="1207"/>
      <c r="QHX42" s="1207"/>
      <c r="QHY42" s="1207"/>
      <c r="QHZ42" s="1207"/>
      <c r="QIA42" s="515"/>
      <c r="QIB42" s="1207"/>
      <c r="QIC42" s="1207"/>
      <c r="QID42" s="1207"/>
      <c r="QIE42" s="1207"/>
      <c r="QIF42" s="1207"/>
      <c r="QIG42" s="1207"/>
      <c r="QIH42" s="1207"/>
      <c r="QII42" s="1207"/>
      <c r="QIJ42" s="1207"/>
      <c r="QIK42" s="1207"/>
      <c r="QIL42" s="515"/>
      <c r="QIM42" s="1207"/>
      <c r="QIN42" s="1207"/>
      <c r="QIO42" s="1207"/>
      <c r="QIP42" s="1207"/>
      <c r="QIQ42" s="1207"/>
      <c r="QIR42" s="1207"/>
      <c r="QIS42" s="1207"/>
      <c r="QIT42" s="1207"/>
      <c r="QIU42" s="1207"/>
      <c r="QIV42" s="1207"/>
      <c r="QIW42" s="515"/>
      <c r="QIX42" s="1207"/>
      <c r="QIY42" s="1207"/>
      <c r="QIZ42" s="1207"/>
      <c r="QJA42" s="1207"/>
      <c r="QJB42" s="1207"/>
      <c r="QJC42" s="1207"/>
      <c r="QJD42" s="1207"/>
      <c r="QJE42" s="1207"/>
      <c r="QJF42" s="1207"/>
      <c r="QJG42" s="1207"/>
      <c r="QJH42" s="515"/>
      <c r="QJI42" s="1207"/>
      <c r="QJJ42" s="1207"/>
      <c r="QJK42" s="1207"/>
      <c r="QJL42" s="1207"/>
      <c r="QJM42" s="1207"/>
      <c r="QJN42" s="1207"/>
      <c r="QJO42" s="1207"/>
      <c r="QJP42" s="1207"/>
      <c r="QJQ42" s="1207"/>
      <c r="QJR42" s="1207"/>
      <c r="QJS42" s="515"/>
      <c r="QJT42" s="1207"/>
      <c r="QJU42" s="1207"/>
      <c r="QJV42" s="1207"/>
      <c r="QJW42" s="1207"/>
      <c r="QJX42" s="1207"/>
      <c r="QJY42" s="1207"/>
      <c r="QJZ42" s="1207"/>
      <c r="QKA42" s="1207"/>
      <c r="QKB42" s="1207"/>
      <c r="QKC42" s="1207"/>
      <c r="QKD42" s="515"/>
      <c r="QKE42" s="1207"/>
      <c r="QKF42" s="1207"/>
      <c r="QKG42" s="1207"/>
      <c r="QKH42" s="1207"/>
      <c r="QKI42" s="1207"/>
      <c r="QKJ42" s="1207"/>
      <c r="QKK42" s="1207"/>
      <c r="QKL42" s="1207"/>
      <c r="QKM42" s="1207"/>
      <c r="QKN42" s="1207"/>
      <c r="QKO42" s="515"/>
      <c r="QKP42" s="1207"/>
      <c r="QKQ42" s="1207"/>
      <c r="QKR42" s="1207"/>
      <c r="QKS42" s="1207"/>
      <c r="QKT42" s="1207"/>
      <c r="QKU42" s="1207"/>
      <c r="QKV42" s="1207"/>
      <c r="QKW42" s="1207"/>
      <c r="QKX42" s="1207"/>
      <c r="QKY42" s="1207"/>
      <c r="QKZ42" s="515"/>
      <c r="QLA42" s="1207"/>
      <c r="QLB42" s="1207"/>
      <c r="QLC42" s="1207"/>
      <c r="QLD42" s="1207"/>
      <c r="QLE42" s="1207"/>
      <c r="QLF42" s="1207"/>
      <c r="QLG42" s="1207"/>
      <c r="QLH42" s="1207"/>
      <c r="QLI42" s="1207"/>
      <c r="QLJ42" s="1207"/>
      <c r="QLK42" s="515"/>
      <c r="QLL42" s="1207"/>
      <c r="QLM42" s="1207"/>
      <c r="QLN42" s="1207"/>
      <c r="QLO42" s="1207"/>
      <c r="QLP42" s="1207"/>
      <c r="QLQ42" s="1207"/>
      <c r="QLR42" s="1207"/>
      <c r="QLS42" s="1207"/>
      <c r="QLT42" s="1207"/>
      <c r="QLU42" s="1207"/>
      <c r="QLV42" s="515"/>
      <c r="QLW42" s="1207"/>
      <c r="QLX42" s="1207"/>
      <c r="QLY42" s="1207"/>
      <c r="QLZ42" s="1207"/>
      <c r="QMA42" s="1207"/>
      <c r="QMB42" s="1207"/>
      <c r="QMC42" s="1207"/>
      <c r="QMD42" s="1207"/>
      <c r="QME42" s="1207"/>
      <c r="QMF42" s="1207"/>
      <c r="QMG42" s="515"/>
      <c r="QMH42" s="1207"/>
      <c r="QMI42" s="1207"/>
      <c r="QMJ42" s="1207"/>
      <c r="QMK42" s="1207"/>
      <c r="QML42" s="1207"/>
      <c r="QMM42" s="1207"/>
      <c r="QMN42" s="1207"/>
      <c r="QMO42" s="1207"/>
      <c r="QMP42" s="1207"/>
      <c r="QMQ42" s="1207"/>
      <c r="QMR42" s="515"/>
      <c r="QMS42" s="1207"/>
      <c r="QMT42" s="1207"/>
      <c r="QMU42" s="1207"/>
      <c r="QMV42" s="1207"/>
      <c r="QMW42" s="1207"/>
      <c r="QMX42" s="1207"/>
      <c r="QMY42" s="1207"/>
      <c r="QMZ42" s="1207"/>
      <c r="QNA42" s="1207"/>
      <c r="QNB42" s="1207"/>
      <c r="QNC42" s="515"/>
      <c r="QND42" s="1207"/>
      <c r="QNE42" s="1207"/>
      <c r="QNF42" s="1207"/>
      <c r="QNG42" s="1207"/>
      <c r="QNH42" s="1207"/>
      <c r="QNI42" s="1207"/>
      <c r="QNJ42" s="1207"/>
      <c r="QNK42" s="1207"/>
      <c r="QNL42" s="1207"/>
      <c r="QNM42" s="1207"/>
      <c r="QNN42" s="515"/>
      <c r="QNO42" s="1207"/>
      <c r="QNP42" s="1207"/>
      <c r="QNQ42" s="1207"/>
      <c r="QNR42" s="1207"/>
      <c r="QNS42" s="1207"/>
      <c r="QNT42" s="1207"/>
      <c r="QNU42" s="1207"/>
      <c r="QNV42" s="1207"/>
      <c r="QNW42" s="1207"/>
      <c r="QNX42" s="1207"/>
      <c r="QNY42" s="515"/>
      <c r="QNZ42" s="1207"/>
      <c r="QOA42" s="1207"/>
      <c r="QOB42" s="1207"/>
      <c r="QOC42" s="1207"/>
      <c r="QOD42" s="1207"/>
      <c r="QOE42" s="1207"/>
      <c r="QOF42" s="1207"/>
      <c r="QOG42" s="1207"/>
      <c r="QOH42" s="1207"/>
      <c r="QOI42" s="1207"/>
      <c r="QOJ42" s="515"/>
      <c r="QOK42" s="1207"/>
      <c r="QOL42" s="1207"/>
      <c r="QOM42" s="1207"/>
      <c r="QON42" s="1207"/>
      <c r="QOO42" s="1207"/>
      <c r="QOP42" s="1207"/>
      <c r="QOQ42" s="1207"/>
      <c r="QOR42" s="1207"/>
      <c r="QOS42" s="1207"/>
      <c r="QOT42" s="1207"/>
      <c r="QOU42" s="515"/>
      <c r="QOV42" s="1207"/>
      <c r="QOW42" s="1207"/>
      <c r="QOX42" s="1207"/>
      <c r="QOY42" s="1207"/>
      <c r="QOZ42" s="1207"/>
      <c r="QPA42" s="1207"/>
      <c r="QPB42" s="1207"/>
      <c r="QPC42" s="1207"/>
      <c r="QPD42" s="1207"/>
      <c r="QPE42" s="1207"/>
      <c r="QPF42" s="515"/>
      <c r="QPG42" s="1207"/>
      <c r="QPH42" s="1207"/>
      <c r="QPI42" s="1207"/>
      <c r="QPJ42" s="1207"/>
      <c r="QPK42" s="1207"/>
      <c r="QPL42" s="1207"/>
      <c r="QPM42" s="1207"/>
      <c r="QPN42" s="1207"/>
      <c r="QPO42" s="1207"/>
      <c r="QPP42" s="1207"/>
      <c r="QPQ42" s="515"/>
      <c r="QPR42" s="1207"/>
      <c r="QPS42" s="1207"/>
      <c r="QPT42" s="1207"/>
      <c r="QPU42" s="1207"/>
      <c r="QPV42" s="1207"/>
      <c r="QPW42" s="1207"/>
      <c r="QPX42" s="1207"/>
      <c r="QPY42" s="1207"/>
      <c r="QPZ42" s="1207"/>
      <c r="QQA42" s="1207"/>
      <c r="QQB42" s="515"/>
      <c r="QQC42" s="1207"/>
      <c r="QQD42" s="1207"/>
      <c r="QQE42" s="1207"/>
      <c r="QQF42" s="1207"/>
      <c r="QQG42" s="1207"/>
      <c r="QQH42" s="1207"/>
      <c r="QQI42" s="1207"/>
      <c r="QQJ42" s="1207"/>
      <c r="QQK42" s="1207"/>
      <c r="QQL42" s="1207"/>
      <c r="QQM42" s="515"/>
      <c r="QQN42" s="1207"/>
      <c r="QQO42" s="1207"/>
      <c r="QQP42" s="1207"/>
      <c r="QQQ42" s="1207"/>
      <c r="QQR42" s="1207"/>
      <c r="QQS42" s="1207"/>
      <c r="QQT42" s="1207"/>
      <c r="QQU42" s="1207"/>
      <c r="QQV42" s="1207"/>
      <c r="QQW42" s="1207"/>
      <c r="QQX42" s="515"/>
      <c r="QQY42" s="1207"/>
      <c r="QQZ42" s="1207"/>
      <c r="QRA42" s="1207"/>
      <c r="QRB42" s="1207"/>
      <c r="QRC42" s="1207"/>
      <c r="QRD42" s="1207"/>
      <c r="QRE42" s="1207"/>
      <c r="QRF42" s="1207"/>
      <c r="QRG42" s="1207"/>
      <c r="QRH42" s="1207"/>
      <c r="QRI42" s="515"/>
      <c r="QRJ42" s="1207"/>
      <c r="QRK42" s="1207"/>
      <c r="QRL42" s="1207"/>
      <c r="QRM42" s="1207"/>
      <c r="QRN42" s="1207"/>
      <c r="QRO42" s="1207"/>
      <c r="QRP42" s="1207"/>
      <c r="QRQ42" s="1207"/>
      <c r="QRR42" s="1207"/>
      <c r="QRS42" s="1207"/>
      <c r="QRT42" s="515"/>
      <c r="QRU42" s="1207"/>
      <c r="QRV42" s="1207"/>
      <c r="QRW42" s="1207"/>
      <c r="QRX42" s="1207"/>
      <c r="QRY42" s="1207"/>
      <c r="QRZ42" s="1207"/>
      <c r="QSA42" s="1207"/>
      <c r="QSB42" s="1207"/>
      <c r="QSC42" s="1207"/>
      <c r="QSD42" s="1207"/>
      <c r="QSE42" s="515"/>
      <c r="QSF42" s="1207"/>
      <c r="QSG42" s="1207"/>
      <c r="QSH42" s="1207"/>
      <c r="QSI42" s="1207"/>
      <c r="QSJ42" s="1207"/>
      <c r="QSK42" s="1207"/>
      <c r="QSL42" s="1207"/>
      <c r="QSM42" s="1207"/>
      <c r="QSN42" s="1207"/>
      <c r="QSO42" s="1207"/>
      <c r="QSP42" s="515"/>
      <c r="QSQ42" s="1207"/>
      <c r="QSR42" s="1207"/>
      <c r="QSS42" s="1207"/>
      <c r="QST42" s="1207"/>
      <c r="QSU42" s="1207"/>
      <c r="QSV42" s="1207"/>
      <c r="QSW42" s="1207"/>
      <c r="QSX42" s="1207"/>
      <c r="QSY42" s="1207"/>
      <c r="QSZ42" s="1207"/>
      <c r="QTA42" s="515"/>
      <c r="QTB42" s="1207"/>
      <c r="QTC42" s="1207"/>
      <c r="QTD42" s="1207"/>
      <c r="QTE42" s="1207"/>
      <c r="QTF42" s="1207"/>
      <c r="QTG42" s="1207"/>
      <c r="QTH42" s="1207"/>
      <c r="QTI42" s="1207"/>
      <c r="QTJ42" s="1207"/>
      <c r="QTK42" s="1207"/>
      <c r="QTL42" s="515"/>
      <c r="QTM42" s="1207"/>
      <c r="QTN42" s="1207"/>
      <c r="QTO42" s="1207"/>
      <c r="QTP42" s="1207"/>
      <c r="QTQ42" s="1207"/>
      <c r="QTR42" s="1207"/>
      <c r="QTS42" s="1207"/>
      <c r="QTT42" s="1207"/>
      <c r="QTU42" s="1207"/>
      <c r="QTV42" s="1207"/>
      <c r="QTW42" s="515"/>
      <c r="QTX42" s="1207"/>
      <c r="QTY42" s="1207"/>
      <c r="QTZ42" s="1207"/>
      <c r="QUA42" s="1207"/>
      <c r="QUB42" s="1207"/>
      <c r="QUC42" s="1207"/>
      <c r="QUD42" s="1207"/>
      <c r="QUE42" s="1207"/>
      <c r="QUF42" s="1207"/>
      <c r="QUG42" s="1207"/>
      <c r="QUH42" s="515"/>
      <c r="QUI42" s="1207"/>
      <c r="QUJ42" s="1207"/>
      <c r="QUK42" s="1207"/>
      <c r="QUL42" s="1207"/>
      <c r="QUM42" s="1207"/>
      <c r="QUN42" s="1207"/>
      <c r="QUO42" s="1207"/>
      <c r="QUP42" s="1207"/>
      <c r="QUQ42" s="1207"/>
      <c r="QUR42" s="1207"/>
      <c r="QUS42" s="515"/>
      <c r="QUT42" s="1207"/>
      <c r="QUU42" s="1207"/>
      <c r="QUV42" s="1207"/>
      <c r="QUW42" s="1207"/>
      <c r="QUX42" s="1207"/>
      <c r="QUY42" s="1207"/>
      <c r="QUZ42" s="1207"/>
      <c r="QVA42" s="1207"/>
      <c r="QVB42" s="1207"/>
      <c r="QVC42" s="1207"/>
      <c r="QVD42" s="515"/>
      <c r="QVE42" s="1207"/>
      <c r="QVF42" s="1207"/>
      <c r="QVG42" s="1207"/>
      <c r="QVH42" s="1207"/>
      <c r="QVI42" s="1207"/>
      <c r="QVJ42" s="1207"/>
      <c r="QVK42" s="1207"/>
      <c r="QVL42" s="1207"/>
      <c r="QVM42" s="1207"/>
      <c r="QVN42" s="1207"/>
      <c r="QVO42" s="515"/>
      <c r="QVP42" s="1207"/>
      <c r="QVQ42" s="1207"/>
      <c r="QVR42" s="1207"/>
      <c r="QVS42" s="1207"/>
      <c r="QVT42" s="1207"/>
      <c r="QVU42" s="1207"/>
      <c r="QVV42" s="1207"/>
      <c r="QVW42" s="1207"/>
      <c r="QVX42" s="1207"/>
      <c r="QVY42" s="1207"/>
      <c r="QVZ42" s="515"/>
      <c r="QWA42" s="1207"/>
      <c r="QWB42" s="1207"/>
      <c r="QWC42" s="1207"/>
      <c r="QWD42" s="1207"/>
      <c r="QWE42" s="1207"/>
      <c r="QWF42" s="1207"/>
      <c r="QWG42" s="1207"/>
      <c r="QWH42" s="1207"/>
      <c r="QWI42" s="1207"/>
      <c r="QWJ42" s="1207"/>
      <c r="QWK42" s="515"/>
      <c r="QWL42" s="1207"/>
      <c r="QWM42" s="1207"/>
      <c r="QWN42" s="1207"/>
      <c r="QWO42" s="1207"/>
      <c r="QWP42" s="1207"/>
      <c r="QWQ42" s="1207"/>
      <c r="QWR42" s="1207"/>
      <c r="QWS42" s="1207"/>
      <c r="QWT42" s="1207"/>
      <c r="QWU42" s="1207"/>
      <c r="QWV42" s="515"/>
      <c r="QWW42" s="1207"/>
      <c r="QWX42" s="1207"/>
      <c r="QWY42" s="1207"/>
      <c r="QWZ42" s="1207"/>
      <c r="QXA42" s="1207"/>
      <c r="QXB42" s="1207"/>
      <c r="QXC42" s="1207"/>
      <c r="QXD42" s="1207"/>
      <c r="QXE42" s="1207"/>
      <c r="QXF42" s="1207"/>
      <c r="QXG42" s="515"/>
      <c r="QXH42" s="1207"/>
      <c r="QXI42" s="1207"/>
      <c r="QXJ42" s="1207"/>
      <c r="QXK42" s="1207"/>
      <c r="QXL42" s="1207"/>
      <c r="QXM42" s="1207"/>
      <c r="QXN42" s="1207"/>
      <c r="QXO42" s="1207"/>
      <c r="QXP42" s="1207"/>
      <c r="QXQ42" s="1207"/>
      <c r="QXR42" s="515"/>
      <c r="QXS42" s="1207"/>
      <c r="QXT42" s="1207"/>
      <c r="QXU42" s="1207"/>
      <c r="QXV42" s="1207"/>
      <c r="QXW42" s="1207"/>
      <c r="QXX42" s="1207"/>
      <c r="QXY42" s="1207"/>
      <c r="QXZ42" s="1207"/>
      <c r="QYA42" s="1207"/>
      <c r="QYB42" s="1207"/>
      <c r="QYC42" s="515"/>
      <c r="QYD42" s="1207"/>
      <c r="QYE42" s="1207"/>
      <c r="QYF42" s="1207"/>
      <c r="QYG42" s="1207"/>
      <c r="QYH42" s="1207"/>
      <c r="QYI42" s="1207"/>
      <c r="QYJ42" s="1207"/>
      <c r="QYK42" s="1207"/>
      <c r="QYL42" s="1207"/>
      <c r="QYM42" s="1207"/>
      <c r="QYN42" s="515"/>
      <c r="QYO42" s="1207"/>
      <c r="QYP42" s="1207"/>
      <c r="QYQ42" s="1207"/>
      <c r="QYR42" s="1207"/>
      <c r="QYS42" s="1207"/>
      <c r="QYT42" s="1207"/>
      <c r="QYU42" s="1207"/>
      <c r="QYV42" s="1207"/>
      <c r="QYW42" s="1207"/>
      <c r="QYX42" s="1207"/>
      <c r="QYY42" s="515"/>
      <c r="QYZ42" s="1207"/>
      <c r="QZA42" s="1207"/>
      <c r="QZB42" s="1207"/>
      <c r="QZC42" s="1207"/>
      <c r="QZD42" s="1207"/>
      <c r="QZE42" s="1207"/>
      <c r="QZF42" s="1207"/>
      <c r="QZG42" s="1207"/>
      <c r="QZH42" s="1207"/>
      <c r="QZI42" s="1207"/>
      <c r="QZJ42" s="515"/>
      <c r="QZK42" s="1207"/>
      <c r="QZL42" s="1207"/>
      <c r="QZM42" s="1207"/>
      <c r="QZN42" s="1207"/>
      <c r="QZO42" s="1207"/>
      <c r="QZP42" s="1207"/>
      <c r="QZQ42" s="1207"/>
      <c r="QZR42" s="1207"/>
      <c r="QZS42" s="1207"/>
      <c r="QZT42" s="1207"/>
      <c r="QZU42" s="515"/>
      <c r="QZV42" s="1207"/>
      <c r="QZW42" s="1207"/>
      <c r="QZX42" s="1207"/>
      <c r="QZY42" s="1207"/>
      <c r="QZZ42" s="1207"/>
      <c r="RAA42" s="1207"/>
      <c r="RAB42" s="1207"/>
      <c r="RAC42" s="1207"/>
      <c r="RAD42" s="1207"/>
      <c r="RAE42" s="1207"/>
      <c r="RAF42" s="515"/>
      <c r="RAG42" s="1207"/>
      <c r="RAH42" s="1207"/>
      <c r="RAI42" s="1207"/>
      <c r="RAJ42" s="1207"/>
      <c r="RAK42" s="1207"/>
      <c r="RAL42" s="1207"/>
      <c r="RAM42" s="1207"/>
      <c r="RAN42" s="1207"/>
      <c r="RAO42" s="1207"/>
      <c r="RAP42" s="1207"/>
      <c r="RAQ42" s="515"/>
      <c r="RAR42" s="1207"/>
      <c r="RAS42" s="1207"/>
      <c r="RAT42" s="1207"/>
      <c r="RAU42" s="1207"/>
      <c r="RAV42" s="1207"/>
      <c r="RAW42" s="1207"/>
      <c r="RAX42" s="1207"/>
      <c r="RAY42" s="1207"/>
      <c r="RAZ42" s="1207"/>
      <c r="RBA42" s="1207"/>
      <c r="RBB42" s="515"/>
      <c r="RBC42" s="1207"/>
      <c r="RBD42" s="1207"/>
      <c r="RBE42" s="1207"/>
      <c r="RBF42" s="1207"/>
      <c r="RBG42" s="1207"/>
      <c r="RBH42" s="1207"/>
      <c r="RBI42" s="1207"/>
      <c r="RBJ42" s="1207"/>
      <c r="RBK42" s="1207"/>
      <c r="RBL42" s="1207"/>
      <c r="RBM42" s="515"/>
      <c r="RBN42" s="1207"/>
      <c r="RBO42" s="1207"/>
      <c r="RBP42" s="1207"/>
      <c r="RBQ42" s="1207"/>
      <c r="RBR42" s="1207"/>
      <c r="RBS42" s="1207"/>
      <c r="RBT42" s="1207"/>
      <c r="RBU42" s="1207"/>
      <c r="RBV42" s="1207"/>
      <c r="RBW42" s="1207"/>
      <c r="RBX42" s="515"/>
      <c r="RBY42" s="1207"/>
      <c r="RBZ42" s="1207"/>
      <c r="RCA42" s="1207"/>
      <c r="RCB42" s="1207"/>
      <c r="RCC42" s="1207"/>
      <c r="RCD42" s="1207"/>
      <c r="RCE42" s="1207"/>
      <c r="RCF42" s="1207"/>
      <c r="RCG42" s="1207"/>
      <c r="RCH42" s="1207"/>
      <c r="RCI42" s="515"/>
      <c r="RCJ42" s="1207"/>
      <c r="RCK42" s="1207"/>
      <c r="RCL42" s="1207"/>
      <c r="RCM42" s="1207"/>
      <c r="RCN42" s="1207"/>
      <c r="RCO42" s="1207"/>
      <c r="RCP42" s="1207"/>
      <c r="RCQ42" s="1207"/>
      <c r="RCR42" s="1207"/>
      <c r="RCS42" s="1207"/>
      <c r="RCT42" s="515"/>
      <c r="RCU42" s="1207"/>
      <c r="RCV42" s="1207"/>
      <c r="RCW42" s="1207"/>
      <c r="RCX42" s="1207"/>
      <c r="RCY42" s="1207"/>
      <c r="RCZ42" s="1207"/>
      <c r="RDA42" s="1207"/>
      <c r="RDB42" s="1207"/>
      <c r="RDC42" s="1207"/>
      <c r="RDD42" s="1207"/>
      <c r="RDE42" s="515"/>
      <c r="RDF42" s="1207"/>
      <c r="RDG42" s="1207"/>
      <c r="RDH42" s="1207"/>
      <c r="RDI42" s="1207"/>
      <c r="RDJ42" s="1207"/>
      <c r="RDK42" s="1207"/>
      <c r="RDL42" s="1207"/>
      <c r="RDM42" s="1207"/>
      <c r="RDN42" s="1207"/>
      <c r="RDO42" s="1207"/>
      <c r="RDP42" s="515"/>
      <c r="RDQ42" s="1207"/>
      <c r="RDR42" s="1207"/>
      <c r="RDS42" s="1207"/>
      <c r="RDT42" s="1207"/>
      <c r="RDU42" s="1207"/>
      <c r="RDV42" s="1207"/>
      <c r="RDW42" s="1207"/>
      <c r="RDX42" s="1207"/>
      <c r="RDY42" s="1207"/>
      <c r="RDZ42" s="1207"/>
      <c r="REA42" s="515"/>
      <c r="REB42" s="1207"/>
      <c r="REC42" s="1207"/>
      <c r="RED42" s="1207"/>
      <c r="REE42" s="1207"/>
      <c r="REF42" s="1207"/>
      <c r="REG42" s="1207"/>
      <c r="REH42" s="1207"/>
      <c r="REI42" s="1207"/>
      <c r="REJ42" s="1207"/>
      <c r="REK42" s="1207"/>
      <c r="REL42" s="515"/>
      <c r="REM42" s="1207"/>
      <c r="REN42" s="1207"/>
      <c r="REO42" s="1207"/>
      <c r="REP42" s="1207"/>
      <c r="REQ42" s="1207"/>
      <c r="RER42" s="1207"/>
      <c r="RES42" s="1207"/>
      <c r="RET42" s="1207"/>
      <c r="REU42" s="1207"/>
      <c r="REV42" s="1207"/>
      <c r="REW42" s="515"/>
      <c r="REX42" s="1207"/>
      <c r="REY42" s="1207"/>
      <c r="REZ42" s="1207"/>
      <c r="RFA42" s="1207"/>
      <c r="RFB42" s="1207"/>
      <c r="RFC42" s="1207"/>
      <c r="RFD42" s="1207"/>
      <c r="RFE42" s="1207"/>
      <c r="RFF42" s="1207"/>
      <c r="RFG42" s="1207"/>
      <c r="RFH42" s="515"/>
      <c r="RFI42" s="1207"/>
      <c r="RFJ42" s="1207"/>
      <c r="RFK42" s="1207"/>
      <c r="RFL42" s="1207"/>
      <c r="RFM42" s="1207"/>
      <c r="RFN42" s="1207"/>
      <c r="RFO42" s="1207"/>
      <c r="RFP42" s="1207"/>
      <c r="RFQ42" s="1207"/>
      <c r="RFR42" s="1207"/>
      <c r="RFS42" s="515"/>
      <c r="RFT42" s="1207"/>
      <c r="RFU42" s="1207"/>
      <c r="RFV42" s="1207"/>
      <c r="RFW42" s="1207"/>
      <c r="RFX42" s="1207"/>
      <c r="RFY42" s="1207"/>
      <c r="RFZ42" s="1207"/>
      <c r="RGA42" s="1207"/>
      <c r="RGB42" s="1207"/>
      <c r="RGC42" s="1207"/>
      <c r="RGD42" s="515"/>
      <c r="RGE42" s="1207"/>
      <c r="RGF42" s="1207"/>
      <c r="RGG42" s="1207"/>
      <c r="RGH42" s="1207"/>
      <c r="RGI42" s="1207"/>
      <c r="RGJ42" s="1207"/>
      <c r="RGK42" s="1207"/>
      <c r="RGL42" s="1207"/>
      <c r="RGM42" s="1207"/>
      <c r="RGN42" s="1207"/>
      <c r="RGO42" s="515"/>
      <c r="RGP42" s="1207"/>
      <c r="RGQ42" s="1207"/>
      <c r="RGR42" s="1207"/>
      <c r="RGS42" s="1207"/>
      <c r="RGT42" s="1207"/>
      <c r="RGU42" s="1207"/>
      <c r="RGV42" s="1207"/>
      <c r="RGW42" s="1207"/>
      <c r="RGX42" s="1207"/>
      <c r="RGY42" s="1207"/>
      <c r="RGZ42" s="515"/>
      <c r="RHA42" s="1207"/>
      <c r="RHB42" s="1207"/>
      <c r="RHC42" s="1207"/>
      <c r="RHD42" s="1207"/>
      <c r="RHE42" s="1207"/>
      <c r="RHF42" s="1207"/>
      <c r="RHG42" s="1207"/>
      <c r="RHH42" s="1207"/>
      <c r="RHI42" s="1207"/>
      <c r="RHJ42" s="1207"/>
      <c r="RHK42" s="515"/>
      <c r="RHL42" s="1207"/>
      <c r="RHM42" s="1207"/>
      <c r="RHN42" s="1207"/>
      <c r="RHO42" s="1207"/>
      <c r="RHP42" s="1207"/>
      <c r="RHQ42" s="1207"/>
      <c r="RHR42" s="1207"/>
      <c r="RHS42" s="1207"/>
      <c r="RHT42" s="1207"/>
      <c r="RHU42" s="1207"/>
      <c r="RHV42" s="515"/>
      <c r="RHW42" s="1207"/>
      <c r="RHX42" s="1207"/>
      <c r="RHY42" s="1207"/>
      <c r="RHZ42" s="1207"/>
      <c r="RIA42" s="1207"/>
      <c r="RIB42" s="1207"/>
      <c r="RIC42" s="1207"/>
      <c r="RID42" s="1207"/>
      <c r="RIE42" s="1207"/>
      <c r="RIF42" s="1207"/>
      <c r="RIG42" s="515"/>
      <c r="RIH42" s="1207"/>
      <c r="RII42" s="1207"/>
      <c r="RIJ42" s="1207"/>
      <c r="RIK42" s="1207"/>
      <c r="RIL42" s="1207"/>
      <c r="RIM42" s="1207"/>
      <c r="RIN42" s="1207"/>
      <c r="RIO42" s="1207"/>
      <c r="RIP42" s="1207"/>
      <c r="RIQ42" s="1207"/>
      <c r="RIR42" s="515"/>
      <c r="RIS42" s="1207"/>
      <c r="RIT42" s="1207"/>
      <c r="RIU42" s="1207"/>
      <c r="RIV42" s="1207"/>
      <c r="RIW42" s="1207"/>
      <c r="RIX42" s="1207"/>
      <c r="RIY42" s="1207"/>
      <c r="RIZ42" s="1207"/>
      <c r="RJA42" s="1207"/>
      <c r="RJB42" s="1207"/>
      <c r="RJC42" s="515"/>
      <c r="RJD42" s="1207"/>
      <c r="RJE42" s="1207"/>
      <c r="RJF42" s="1207"/>
      <c r="RJG42" s="1207"/>
      <c r="RJH42" s="1207"/>
      <c r="RJI42" s="1207"/>
      <c r="RJJ42" s="1207"/>
      <c r="RJK42" s="1207"/>
      <c r="RJL42" s="1207"/>
      <c r="RJM42" s="1207"/>
      <c r="RJN42" s="515"/>
      <c r="RJO42" s="1207"/>
      <c r="RJP42" s="1207"/>
      <c r="RJQ42" s="1207"/>
      <c r="RJR42" s="1207"/>
      <c r="RJS42" s="1207"/>
      <c r="RJT42" s="1207"/>
      <c r="RJU42" s="1207"/>
      <c r="RJV42" s="1207"/>
      <c r="RJW42" s="1207"/>
      <c r="RJX42" s="1207"/>
      <c r="RJY42" s="515"/>
      <c r="RJZ42" s="1207"/>
      <c r="RKA42" s="1207"/>
      <c r="RKB42" s="1207"/>
      <c r="RKC42" s="1207"/>
      <c r="RKD42" s="1207"/>
      <c r="RKE42" s="1207"/>
      <c r="RKF42" s="1207"/>
      <c r="RKG42" s="1207"/>
      <c r="RKH42" s="1207"/>
      <c r="RKI42" s="1207"/>
      <c r="RKJ42" s="515"/>
      <c r="RKK42" s="1207"/>
      <c r="RKL42" s="1207"/>
      <c r="RKM42" s="1207"/>
      <c r="RKN42" s="1207"/>
      <c r="RKO42" s="1207"/>
      <c r="RKP42" s="1207"/>
      <c r="RKQ42" s="1207"/>
      <c r="RKR42" s="1207"/>
      <c r="RKS42" s="1207"/>
      <c r="RKT42" s="1207"/>
      <c r="RKU42" s="515"/>
      <c r="RKV42" s="1207"/>
      <c r="RKW42" s="1207"/>
      <c r="RKX42" s="1207"/>
      <c r="RKY42" s="1207"/>
      <c r="RKZ42" s="1207"/>
      <c r="RLA42" s="1207"/>
      <c r="RLB42" s="1207"/>
      <c r="RLC42" s="1207"/>
      <c r="RLD42" s="1207"/>
      <c r="RLE42" s="1207"/>
      <c r="RLF42" s="515"/>
      <c r="RLG42" s="1207"/>
      <c r="RLH42" s="1207"/>
      <c r="RLI42" s="1207"/>
      <c r="RLJ42" s="1207"/>
      <c r="RLK42" s="1207"/>
      <c r="RLL42" s="1207"/>
      <c r="RLM42" s="1207"/>
      <c r="RLN42" s="1207"/>
      <c r="RLO42" s="1207"/>
      <c r="RLP42" s="1207"/>
      <c r="RLQ42" s="515"/>
      <c r="RLR42" s="1207"/>
      <c r="RLS42" s="1207"/>
      <c r="RLT42" s="1207"/>
      <c r="RLU42" s="1207"/>
      <c r="RLV42" s="1207"/>
      <c r="RLW42" s="1207"/>
      <c r="RLX42" s="1207"/>
      <c r="RLY42" s="1207"/>
      <c r="RLZ42" s="1207"/>
      <c r="RMA42" s="1207"/>
      <c r="RMB42" s="515"/>
      <c r="RMC42" s="1207"/>
      <c r="RMD42" s="1207"/>
      <c r="RME42" s="1207"/>
      <c r="RMF42" s="1207"/>
      <c r="RMG42" s="1207"/>
      <c r="RMH42" s="1207"/>
      <c r="RMI42" s="1207"/>
      <c r="RMJ42" s="1207"/>
      <c r="RMK42" s="1207"/>
      <c r="RML42" s="1207"/>
      <c r="RMM42" s="515"/>
      <c r="RMN42" s="1207"/>
      <c r="RMO42" s="1207"/>
      <c r="RMP42" s="1207"/>
      <c r="RMQ42" s="1207"/>
      <c r="RMR42" s="1207"/>
      <c r="RMS42" s="1207"/>
      <c r="RMT42" s="1207"/>
      <c r="RMU42" s="1207"/>
      <c r="RMV42" s="1207"/>
      <c r="RMW42" s="1207"/>
      <c r="RMX42" s="515"/>
      <c r="RMY42" s="1207"/>
      <c r="RMZ42" s="1207"/>
      <c r="RNA42" s="1207"/>
      <c r="RNB42" s="1207"/>
      <c r="RNC42" s="1207"/>
      <c r="RND42" s="1207"/>
      <c r="RNE42" s="1207"/>
      <c r="RNF42" s="1207"/>
      <c r="RNG42" s="1207"/>
      <c r="RNH42" s="1207"/>
      <c r="RNI42" s="515"/>
      <c r="RNJ42" s="1207"/>
      <c r="RNK42" s="1207"/>
      <c r="RNL42" s="1207"/>
      <c r="RNM42" s="1207"/>
      <c r="RNN42" s="1207"/>
      <c r="RNO42" s="1207"/>
      <c r="RNP42" s="1207"/>
      <c r="RNQ42" s="1207"/>
      <c r="RNR42" s="1207"/>
      <c r="RNS42" s="1207"/>
      <c r="RNT42" s="515"/>
      <c r="RNU42" s="1207"/>
      <c r="RNV42" s="1207"/>
      <c r="RNW42" s="1207"/>
      <c r="RNX42" s="1207"/>
      <c r="RNY42" s="1207"/>
      <c r="RNZ42" s="1207"/>
      <c r="ROA42" s="1207"/>
      <c r="ROB42" s="1207"/>
      <c r="ROC42" s="1207"/>
      <c r="ROD42" s="1207"/>
      <c r="ROE42" s="515"/>
      <c r="ROF42" s="1207"/>
      <c r="ROG42" s="1207"/>
      <c r="ROH42" s="1207"/>
      <c r="ROI42" s="1207"/>
      <c r="ROJ42" s="1207"/>
      <c r="ROK42" s="1207"/>
      <c r="ROL42" s="1207"/>
      <c r="ROM42" s="1207"/>
      <c r="RON42" s="1207"/>
      <c r="ROO42" s="1207"/>
      <c r="ROP42" s="515"/>
      <c r="ROQ42" s="1207"/>
      <c r="ROR42" s="1207"/>
      <c r="ROS42" s="1207"/>
      <c r="ROT42" s="1207"/>
      <c r="ROU42" s="1207"/>
      <c r="ROV42" s="1207"/>
      <c r="ROW42" s="1207"/>
      <c r="ROX42" s="1207"/>
      <c r="ROY42" s="1207"/>
      <c r="ROZ42" s="1207"/>
      <c r="RPA42" s="515"/>
      <c r="RPB42" s="1207"/>
      <c r="RPC42" s="1207"/>
      <c r="RPD42" s="1207"/>
      <c r="RPE42" s="1207"/>
      <c r="RPF42" s="1207"/>
      <c r="RPG42" s="1207"/>
      <c r="RPH42" s="1207"/>
      <c r="RPI42" s="1207"/>
      <c r="RPJ42" s="1207"/>
      <c r="RPK42" s="1207"/>
      <c r="RPL42" s="515"/>
      <c r="RPM42" s="1207"/>
      <c r="RPN42" s="1207"/>
      <c r="RPO42" s="1207"/>
      <c r="RPP42" s="1207"/>
      <c r="RPQ42" s="1207"/>
      <c r="RPR42" s="1207"/>
      <c r="RPS42" s="1207"/>
      <c r="RPT42" s="1207"/>
      <c r="RPU42" s="1207"/>
      <c r="RPV42" s="1207"/>
      <c r="RPW42" s="515"/>
      <c r="RPX42" s="1207"/>
      <c r="RPY42" s="1207"/>
      <c r="RPZ42" s="1207"/>
      <c r="RQA42" s="1207"/>
      <c r="RQB42" s="1207"/>
      <c r="RQC42" s="1207"/>
      <c r="RQD42" s="1207"/>
      <c r="RQE42" s="1207"/>
      <c r="RQF42" s="1207"/>
      <c r="RQG42" s="1207"/>
      <c r="RQH42" s="515"/>
      <c r="RQI42" s="1207"/>
      <c r="RQJ42" s="1207"/>
      <c r="RQK42" s="1207"/>
      <c r="RQL42" s="1207"/>
      <c r="RQM42" s="1207"/>
      <c r="RQN42" s="1207"/>
      <c r="RQO42" s="1207"/>
      <c r="RQP42" s="1207"/>
      <c r="RQQ42" s="1207"/>
      <c r="RQR42" s="1207"/>
      <c r="RQS42" s="515"/>
      <c r="RQT42" s="1207"/>
      <c r="RQU42" s="1207"/>
      <c r="RQV42" s="1207"/>
      <c r="RQW42" s="1207"/>
      <c r="RQX42" s="1207"/>
      <c r="RQY42" s="1207"/>
      <c r="RQZ42" s="1207"/>
      <c r="RRA42" s="1207"/>
      <c r="RRB42" s="1207"/>
      <c r="RRC42" s="1207"/>
      <c r="RRD42" s="515"/>
      <c r="RRE42" s="1207"/>
      <c r="RRF42" s="1207"/>
      <c r="RRG42" s="1207"/>
      <c r="RRH42" s="1207"/>
      <c r="RRI42" s="1207"/>
      <c r="RRJ42" s="1207"/>
      <c r="RRK42" s="1207"/>
      <c r="RRL42" s="1207"/>
      <c r="RRM42" s="1207"/>
      <c r="RRN42" s="1207"/>
      <c r="RRO42" s="515"/>
      <c r="RRP42" s="1207"/>
      <c r="RRQ42" s="1207"/>
      <c r="RRR42" s="1207"/>
      <c r="RRS42" s="1207"/>
      <c r="RRT42" s="1207"/>
      <c r="RRU42" s="1207"/>
      <c r="RRV42" s="1207"/>
      <c r="RRW42" s="1207"/>
      <c r="RRX42" s="1207"/>
      <c r="RRY42" s="1207"/>
      <c r="RRZ42" s="515"/>
      <c r="RSA42" s="1207"/>
      <c r="RSB42" s="1207"/>
      <c r="RSC42" s="1207"/>
      <c r="RSD42" s="1207"/>
      <c r="RSE42" s="1207"/>
      <c r="RSF42" s="1207"/>
      <c r="RSG42" s="1207"/>
      <c r="RSH42" s="1207"/>
      <c r="RSI42" s="1207"/>
      <c r="RSJ42" s="1207"/>
      <c r="RSK42" s="515"/>
      <c r="RSL42" s="1207"/>
      <c r="RSM42" s="1207"/>
      <c r="RSN42" s="1207"/>
      <c r="RSO42" s="1207"/>
      <c r="RSP42" s="1207"/>
      <c r="RSQ42" s="1207"/>
      <c r="RSR42" s="1207"/>
      <c r="RSS42" s="1207"/>
      <c r="RST42" s="1207"/>
      <c r="RSU42" s="1207"/>
      <c r="RSV42" s="515"/>
      <c r="RSW42" s="1207"/>
      <c r="RSX42" s="1207"/>
      <c r="RSY42" s="1207"/>
      <c r="RSZ42" s="1207"/>
      <c r="RTA42" s="1207"/>
      <c r="RTB42" s="1207"/>
      <c r="RTC42" s="1207"/>
      <c r="RTD42" s="1207"/>
      <c r="RTE42" s="1207"/>
      <c r="RTF42" s="1207"/>
      <c r="RTG42" s="515"/>
      <c r="RTH42" s="1207"/>
      <c r="RTI42" s="1207"/>
      <c r="RTJ42" s="1207"/>
      <c r="RTK42" s="1207"/>
      <c r="RTL42" s="1207"/>
      <c r="RTM42" s="1207"/>
      <c r="RTN42" s="1207"/>
      <c r="RTO42" s="1207"/>
      <c r="RTP42" s="1207"/>
      <c r="RTQ42" s="1207"/>
      <c r="RTR42" s="515"/>
      <c r="RTS42" s="1207"/>
      <c r="RTT42" s="1207"/>
      <c r="RTU42" s="1207"/>
      <c r="RTV42" s="1207"/>
      <c r="RTW42" s="1207"/>
      <c r="RTX42" s="1207"/>
      <c r="RTY42" s="1207"/>
      <c r="RTZ42" s="1207"/>
      <c r="RUA42" s="1207"/>
      <c r="RUB42" s="1207"/>
      <c r="RUC42" s="515"/>
      <c r="RUD42" s="1207"/>
      <c r="RUE42" s="1207"/>
      <c r="RUF42" s="1207"/>
      <c r="RUG42" s="1207"/>
      <c r="RUH42" s="1207"/>
      <c r="RUI42" s="1207"/>
      <c r="RUJ42" s="1207"/>
      <c r="RUK42" s="1207"/>
      <c r="RUL42" s="1207"/>
      <c r="RUM42" s="1207"/>
      <c r="RUN42" s="515"/>
      <c r="RUO42" s="1207"/>
      <c r="RUP42" s="1207"/>
      <c r="RUQ42" s="1207"/>
      <c r="RUR42" s="1207"/>
      <c r="RUS42" s="1207"/>
      <c r="RUT42" s="1207"/>
      <c r="RUU42" s="1207"/>
      <c r="RUV42" s="1207"/>
      <c r="RUW42" s="1207"/>
      <c r="RUX42" s="1207"/>
      <c r="RUY42" s="515"/>
      <c r="RUZ42" s="1207"/>
      <c r="RVA42" s="1207"/>
      <c r="RVB42" s="1207"/>
      <c r="RVC42" s="1207"/>
      <c r="RVD42" s="1207"/>
      <c r="RVE42" s="1207"/>
      <c r="RVF42" s="1207"/>
      <c r="RVG42" s="1207"/>
      <c r="RVH42" s="1207"/>
      <c r="RVI42" s="1207"/>
      <c r="RVJ42" s="515"/>
      <c r="RVK42" s="1207"/>
      <c r="RVL42" s="1207"/>
      <c r="RVM42" s="1207"/>
      <c r="RVN42" s="1207"/>
      <c r="RVO42" s="1207"/>
      <c r="RVP42" s="1207"/>
      <c r="RVQ42" s="1207"/>
      <c r="RVR42" s="1207"/>
      <c r="RVS42" s="1207"/>
      <c r="RVT42" s="1207"/>
      <c r="RVU42" s="515"/>
      <c r="RVV42" s="1207"/>
      <c r="RVW42" s="1207"/>
      <c r="RVX42" s="1207"/>
      <c r="RVY42" s="1207"/>
      <c r="RVZ42" s="1207"/>
      <c r="RWA42" s="1207"/>
      <c r="RWB42" s="1207"/>
      <c r="RWC42" s="1207"/>
      <c r="RWD42" s="1207"/>
      <c r="RWE42" s="1207"/>
      <c r="RWF42" s="515"/>
      <c r="RWG42" s="1207"/>
      <c r="RWH42" s="1207"/>
      <c r="RWI42" s="1207"/>
      <c r="RWJ42" s="1207"/>
      <c r="RWK42" s="1207"/>
      <c r="RWL42" s="1207"/>
      <c r="RWM42" s="1207"/>
      <c r="RWN42" s="1207"/>
      <c r="RWO42" s="1207"/>
      <c r="RWP42" s="1207"/>
      <c r="RWQ42" s="515"/>
      <c r="RWR42" s="1207"/>
      <c r="RWS42" s="1207"/>
      <c r="RWT42" s="1207"/>
      <c r="RWU42" s="1207"/>
      <c r="RWV42" s="1207"/>
      <c r="RWW42" s="1207"/>
      <c r="RWX42" s="1207"/>
      <c r="RWY42" s="1207"/>
      <c r="RWZ42" s="1207"/>
      <c r="RXA42" s="1207"/>
      <c r="RXB42" s="515"/>
      <c r="RXC42" s="1207"/>
      <c r="RXD42" s="1207"/>
      <c r="RXE42" s="1207"/>
      <c r="RXF42" s="1207"/>
      <c r="RXG42" s="1207"/>
      <c r="RXH42" s="1207"/>
      <c r="RXI42" s="1207"/>
      <c r="RXJ42" s="1207"/>
      <c r="RXK42" s="1207"/>
      <c r="RXL42" s="1207"/>
      <c r="RXM42" s="515"/>
      <c r="RXN42" s="1207"/>
      <c r="RXO42" s="1207"/>
      <c r="RXP42" s="1207"/>
      <c r="RXQ42" s="1207"/>
      <c r="RXR42" s="1207"/>
      <c r="RXS42" s="1207"/>
      <c r="RXT42" s="1207"/>
      <c r="RXU42" s="1207"/>
      <c r="RXV42" s="1207"/>
      <c r="RXW42" s="1207"/>
      <c r="RXX42" s="515"/>
      <c r="RXY42" s="1207"/>
      <c r="RXZ42" s="1207"/>
      <c r="RYA42" s="1207"/>
      <c r="RYB42" s="1207"/>
      <c r="RYC42" s="1207"/>
      <c r="RYD42" s="1207"/>
      <c r="RYE42" s="1207"/>
      <c r="RYF42" s="1207"/>
      <c r="RYG42" s="1207"/>
      <c r="RYH42" s="1207"/>
      <c r="RYI42" s="515"/>
      <c r="RYJ42" s="1207"/>
      <c r="RYK42" s="1207"/>
      <c r="RYL42" s="1207"/>
      <c r="RYM42" s="1207"/>
      <c r="RYN42" s="1207"/>
      <c r="RYO42" s="1207"/>
      <c r="RYP42" s="1207"/>
      <c r="RYQ42" s="1207"/>
      <c r="RYR42" s="1207"/>
      <c r="RYS42" s="1207"/>
      <c r="RYT42" s="515"/>
      <c r="RYU42" s="1207"/>
      <c r="RYV42" s="1207"/>
      <c r="RYW42" s="1207"/>
      <c r="RYX42" s="1207"/>
      <c r="RYY42" s="1207"/>
      <c r="RYZ42" s="1207"/>
      <c r="RZA42" s="1207"/>
      <c r="RZB42" s="1207"/>
      <c r="RZC42" s="1207"/>
      <c r="RZD42" s="1207"/>
      <c r="RZE42" s="515"/>
      <c r="RZF42" s="1207"/>
      <c r="RZG42" s="1207"/>
      <c r="RZH42" s="1207"/>
      <c r="RZI42" s="1207"/>
      <c r="RZJ42" s="1207"/>
      <c r="RZK42" s="1207"/>
      <c r="RZL42" s="1207"/>
      <c r="RZM42" s="1207"/>
      <c r="RZN42" s="1207"/>
      <c r="RZO42" s="1207"/>
      <c r="RZP42" s="515"/>
      <c r="RZQ42" s="1207"/>
      <c r="RZR42" s="1207"/>
      <c r="RZS42" s="1207"/>
      <c r="RZT42" s="1207"/>
      <c r="RZU42" s="1207"/>
      <c r="RZV42" s="1207"/>
      <c r="RZW42" s="1207"/>
      <c r="RZX42" s="1207"/>
      <c r="RZY42" s="1207"/>
      <c r="RZZ42" s="1207"/>
      <c r="SAA42" s="515"/>
      <c r="SAB42" s="1207"/>
      <c r="SAC42" s="1207"/>
      <c r="SAD42" s="1207"/>
      <c r="SAE42" s="1207"/>
      <c r="SAF42" s="1207"/>
      <c r="SAG42" s="1207"/>
      <c r="SAH42" s="1207"/>
      <c r="SAI42" s="1207"/>
      <c r="SAJ42" s="1207"/>
      <c r="SAK42" s="1207"/>
      <c r="SAL42" s="515"/>
      <c r="SAM42" s="1207"/>
      <c r="SAN42" s="1207"/>
      <c r="SAO42" s="1207"/>
      <c r="SAP42" s="1207"/>
      <c r="SAQ42" s="1207"/>
      <c r="SAR42" s="1207"/>
      <c r="SAS42" s="1207"/>
      <c r="SAT42" s="1207"/>
      <c r="SAU42" s="1207"/>
      <c r="SAV42" s="1207"/>
      <c r="SAW42" s="515"/>
      <c r="SAX42" s="1207"/>
      <c r="SAY42" s="1207"/>
      <c r="SAZ42" s="1207"/>
      <c r="SBA42" s="1207"/>
      <c r="SBB42" s="1207"/>
      <c r="SBC42" s="1207"/>
      <c r="SBD42" s="1207"/>
      <c r="SBE42" s="1207"/>
      <c r="SBF42" s="1207"/>
      <c r="SBG42" s="1207"/>
      <c r="SBH42" s="515"/>
      <c r="SBI42" s="1207"/>
      <c r="SBJ42" s="1207"/>
      <c r="SBK42" s="1207"/>
      <c r="SBL42" s="1207"/>
      <c r="SBM42" s="1207"/>
      <c r="SBN42" s="1207"/>
      <c r="SBO42" s="1207"/>
      <c r="SBP42" s="1207"/>
      <c r="SBQ42" s="1207"/>
      <c r="SBR42" s="1207"/>
      <c r="SBS42" s="515"/>
      <c r="SBT42" s="1207"/>
      <c r="SBU42" s="1207"/>
      <c r="SBV42" s="1207"/>
      <c r="SBW42" s="1207"/>
      <c r="SBX42" s="1207"/>
      <c r="SBY42" s="1207"/>
      <c r="SBZ42" s="1207"/>
      <c r="SCA42" s="1207"/>
      <c r="SCB42" s="1207"/>
      <c r="SCC42" s="1207"/>
      <c r="SCD42" s="515"/>
      <c r="SCE42" s="1207"/>
      <c r="SCF42" s="1207"/>
      <c r="SCG42" s="1207"/>
      <c r="SCH42" s="1207"/>
      <c r="SCI42" s="1207"/>
      <c r="SCJ42" s="1207"/>
      <c r="SCK42" s="1207"/>
      <c r="SCL42" s="1207"/>
      <c r="SCM42" s="1207"/>
      <c r="SCN42" s="1207"/>
      <c r="SCO42" s="515"/>
      <c r="SCP42" s="1207"/>
      <c r="SCQ42" s="1207"/>
      <c r="SCR42" s="1207"/>
      <c r="SCS42" s="1207"/>
      <c r="SCT42" s="1207"/>
      <c r="SCU42" s="1207"/>
      <c r="SCV42" s="1207"/>
      <c r="SCW42" s="1207"/>
      <c r="SCX42" s="1207"/>
      <c r="SCY42" s="1207"/>
      <c r="SCZ42" s="515"/>
      <c r="SDA42" s="1207"/>
      <c r="SDB42" s="1207"/>
      <c r="SDC42" s="1207"/>
      <c r="SDD42" s="1207"/>
      <c r="SDE42" s="1207"/>
      <c r="SDF42" s="1207"/>
      <c r="SDG42" s="1207"/>
      <c r="SDH42" s="1207"/>
      <c r="SDI42" s="1207"/>
      <c r="SDJ42" s="1207"/>
      <c r="SDK42" s="515"/>
      <c r="SDL42" s="1207"/>
      <c r="SDM42" s="1207"/>
      <c r="SDN42" s="1207"/>
      <c r="SDO42" s="1207"/>
      <c r="SDP42" s="1207"/>
      <c r="SDQ42" s="1207"/>
      <c r="SDR42" s="1207"/>
      <c r="SDS42" s="1207"/>
      <c r="SDT42" s="1207"/>
      <c r="SDU42" s="1207"/>
      <c r="SDV42" s="515"/>
      <c r="SDW42" s="1207"/>
      <c r="SDX42" s="1207"/>
      <c r="SDY42" s="1207"/>
      <c r="SDZ42" s="1207"/>
      <c r="SEA42" s="1207"/>
      <c r="SEB42" s="1207"/>
      <c r="SEC42" s="1207"/>
      <c r="SED42" s="1207"/>
      <c r="SEE42" s="1207"/>
      <c r="SEF42" s="1207"/>
      <c r="SEG42" s="515"/>
      <c r="SEH42" s="1207"/>
      <c r="SEI42" s="1207"/>
      <c r="SEJ42" s="1207"/>
      <c r="SEK42" s="1207"/>
      <c r="SEL42" s="1207"/>
      <c r="SEM42" s="1207"/>
      <c r="SEN42" s="1207"/>
      <c r="SEO42" s="1207"/>
      <c r="SEP42" s="1207"/>
      <c r="SEQ42" s="1207"/>
      <c r="SER42" s="515"/>
      <c r="SES42" s="1207"/>
      <c r="SET42" s="1207"/>
      <c r="SEU42" s="1207"/>
      <c r="SEV42" s="1207"/>
      <c r="SEW42" s="1207"/>
      <c r="SEX42" s="1207"/>
      <c r="SEY42" s="1207"/>
      <c r="SEZ42" s="1207"/>
      <c r="SFA42" s="1207"/>
      <c r="SFB42" s="1207"/>
      <c r="SFC42" s="515"/>
      <c r="SFD42" s="1207"/>
      <c r="SFE42" s="1207"/>
      <c r="SFF42" s="1207"/>
      <c r="SFG42" s="1207"/>
      <c r="SFH42" s="1207"/>
      <c r="SFI42" s="1207"/>
      <c r="SFJ42" s="1207"/>
      <c r="SFK42" s="1207"/>
      <c r="SFL42" s="1207"/>
      <c r="SFM42" s="1207"/>
      <c r="SFN42" s="515"/>
      <c r="SFO42" s="1207"/>
      <c r="SFP42" s="1207"/>
      <c r="SFQ42" s="1207"/>
      <c r="SFR42" s="1207"/>
      <c r="SFS42" s="1207"/>
      <c r="SFT42" s="1207"/>
      <c r="SFU42" s="1207"/>
      <c r="SFV42" s="1207"/>
      <c r="SFW42" s="1207"/>
      <c r="SFX42" s="1207"/>
      <c r="SFY42" s="515"/>
      <c r="SFZ42" s="1207"/>
      <c r="SGA42" s="1207"/>
      <c r="SGB42" s="1207"/>
      <c r="SGC42" s="1207"/>
      <c r="SGD42" s="1207"/>
      <c r="SGE42" s="1207"/>
      <c r="SGF42" s="1207"/>
      <c r="SGG42" s="1207"/>
      <c r="SGH42" s="1207"/>
      <c r="SGI42" s="1207"/>
      <c r="SGJ42" s="515"/>
      <c r="SGK42" s="1207"/>
      <c r="SGL42" s="1207"/>
      <c r="SGM42" s="1207"/>
      <c r="SGN42" s="1207"/>
      <c r="SGO42" s="1207"/>
      <c r="SGP42" s="1207"/>
      <c r="SGQ42" s="1207"/>
      <c r="SGR42" s="1207"/>
      <c r="SGS42" s="1207"/>
      <c r="SGT42" s="1207"/>
      <c r="SGU42" s="515"/>
      <c r="SGV42" s="1207"/>
      <c r="SGW42" s="1207"/>
      <c r="SGX42" s="1207"/>
      <c r="SGY42" s="1207"/>
      <c r="SGZ42" s="1207"/>
      <c r="SHA42" s="1207"/>
      <c r="SHB42" s="1207"/>
      <c r="SHC42" s="1207"/>
      <c r="SHD42" s="1207"/>
      <c r="SHE42" s="1207"/>
      <c r="SHF42" s="515"/>
      <c r="SHG42" s="1207"/>
      <c r="SHH42" s="1207"/>
      <c r="SHI42" s="1207"/>
      <c r="SHJ42" s="1207"/>
      <c r="SHK42" s="1207"/>
      <c r="SHL42" s="1207"/>
      <c r="SHM42" s="1207"/>
      <c r="SHN42" s="1207"/>
      <c r="SHO42" s="1207"/>
      <c r="SHP42" s="1207"/>
      <c r="SHQ42" s="515"/>
      <c r="SHR42" s="1207"/>
      <c r="SHS42" s="1207"/>
      <c r="SHT42" s="1207"/>
      <c r="SHU42" s="1207"/>
      <c r="SHV42" s="1207"/>
      <c r="SHW42" s="1207"/>
      <c r="SHX42" s="1207"/>
      <c r="SHY42" s="1207"/>
      <c r="SHZ42" s="1207"/>
      <c r="SIA42" s="1207"/>
      <c r="SIB42" s="515"/>
      <c r="SIC42" s="1207"/>
      <c r="SID42" s="1207"/>
      <c r="SIE42" s="1207"/>
      <c r="SIF42" s="1207"/>
      <c r="SIG42" s="1207"/>
      <c r="SIH42" s="1207"/>
      <c r="SII42" s="1207"/>
      <c r="SIJ42" s="1207"/>
      <c r="SIK42" s="1207"/>
      <c r="SIL42" s="1207"/>
      <c r="SIM42" s="515"/>
      <c r="SIN42" s="1207"/>
      <c r="SIO42" s="1207"/>
      <c r="SIP42" s="1207"/>
      <c r="SIQ42" s="1207"/>
      <c r="SIR42" s="1207"/>
      <c r="SIS42" s="1207"/>
      <c r="SIT42" s="1207"/>
      <c r="SIU42" s="1207"/>
      <c r="SIV42" s="1207"/>
      <c r="SIW42" s="1207"/>
      <c r="SIX42" s="515"/>
      <c r="SIY42" s="1207"/>
      <c r="SIZ42" s="1207"/>
      <c r="SJA42" s="1207"/>
      <c r="SJB42" s="1207"/>
      <c r="SJC42" s="1207"/>
      <c r="SJD42" s="1207"/>
      <c r="SJE42" s="1207"/>
      <c r="SJF42" s="1207"/>
      <c r="SJG42" s="1207"/>
      <c r="SJH42" s="1207"/>
      <c r="SJI42" s="515"/>
      <c r="SJJ42" s="1207"/>
      <c r="SJK42" s="1207"/>
      <c r="SJL42" s="1207"/>
      <c r="SJM42" s="1207"/>
      <c r="SJN42" s="1207"/>
      <c r="SJO42" s="1207"/>
      <c r="SJP42" s="1207"/>
      <c r="SJQ42" s="1207"/>
      <c r="SJR42" s="1207"/>
      <c r="SJS42" s="1207"/>
      <c r="SJT42" s="515"/>
      <c r="SJU42" s="1207"/>
      <c r="SJV42" s="1207"/>
      <c r="SJW42" s="1207"/>
      <c r="SJX42" s="1207"/>
      <c r="SJY42" s="1207"/>
      <c r="SJZ42" s="1207"/>
      <c r="SKA42" s="1207"/>
      <c r="SKB42" s="1207"/>
      <c r="SKC42" s="1207"/>
      <c r="SKD42" s="1207"/>
      <c r="SKE42" s="515"/>
      <c r="SKF42" s="1207"/>
      <c r="SKG42" s="1207"/>
      <c r="SKH42" s="1207"/>
      <c r="SKI42" s="1207"/>
      <c r="SKJ42" s="1207"/>
      <c r="SKK42" s="1207"/>
      <c r="SKL42" s="1207"/>
      <c r="SKM42" s="1207"/>
      <c r="SKN42" s="1207"/>
      <c r="SKO42" s="1207"/>
      <c r="SKP42" s="515"/>
      <c r="SKQ42" s="1207"/>
      <c r="SKR42" s="1207"/>
      <c r="SKS42" s="1207"/>
      <c r="SKT42" s="1207"/>
      <c r="SKU42" s="1207"/>
      <c r="SKV42" s="1207"/>
      <c r="SKW42" s="1207"/>
      <c r="SKX42" s="1207"/>
      <c r="SKY42" s="1207"/>
      <c r="SKZ42" s="1207"/>
      <c r="SLA42" s="515"/>
      <c r="SLB42" s="1207"/>
      <c r="SLC42" s="1207"/>
      <c r="SLD42" s="1207"/>
      <c r="SLE42" s="1207"/>
      <c r="SLF42" s="1207"/>
      <c r="SLG42" s="1207"/>
      <c r="SLH42" s="1207"/>
      <c r="SLI42" s="1207"/>
      <c r="SLJ42" s="1207"/>
      <c r="SLK42" s="1207"/>
      <c r="SLL42" s="515"/>
      <c r="SLM42" s="1207"/>
      <c r="SLN42" s="1207"/>
      <c r="SLO42" s="1207"/>
      <c r="SLP42" s="1207"/>
      <c r="SLQ42" s="1207"/>
      <c r="SLR42" s="1207"/>
      <c r="SLS42" s="1207"/>
      <c r="SLT42" s="1207"/>
      <c r="SLU42" s="1207"/>
      <c r="SLV42" s="1207"/>
      <c r="SLW42" s="515"/>
      <c r="SLX42" s="1207"/>
      <c r="SLY42" s="1207"/>
      <c r="SLZ42" s="1207"/>
      <c r="SMA42" s="1207"/>
      <c r="SMB42" s="1207"/>
      <c r="SMC42" s="1207"/>
      <c r="SMD42" s="1207"/>
      <c r="SME42" s="1207"/>
      <c r="SMF42" s="1207"/>
      <c r="SMG42" s="1207"/>
      <c r="SMH42" s="515"/>
      <c r="SMI42" s="1207"/>
      <c r="SMJ42" s="1207"/>
      <c r="SMK42" s="1207"/>
      <c r="SML42" s="1207"/>
      <c r="SMM42" s="1207"/>
      <c r="SMN42" s="1207"/>
      <c r="SMO42" s="1207"/>
      <c r="SMP42" s="1207"/>
      <c r="SMQ42" s="1207"/>
      <c r="SMR42" s="1207"/>
      <c r="SMS42" s="515"/>
      <c r="SMT42" s="1207"/>
      <c r="SMU42" s="1207"/>
      <c r="SMV42" s="1207"/>
      <c r="SMW42" s="1207"/>
      <c r="SMX42" s="1207"/>
      <c r="SMY42" s="1207"/>
      <c r="SMZ42" s="1207"/>
      <c r="SNA42" s="1207"/>
      <c r="SNB42" s="1207"/>
      <c r="SNC42" s="1207"/>
      <c r="SND42" s="515"/>
      <c r="SNE42" s="1207"/>
      <c r="SNF42" s="1207"/>
      <c r="SNG42" s="1207"/>
      <c r="SNH42" s="1207"/>
      <c r="SNI42" s="1207"/>
      <c r="SNJ42" s="1207"/>
      <c r="SNK42" s="1207"/>
      <c r="SNL42" s="1207"/>
      <c r="SNM42" s="1207"/>
      <c r="SNN42" s="1207"/>
      <c r="SNO42" s="515"/>
      <c r="SNP42" s="1207"/>
      <c r="SNQ42" s="1207"/>
      <c r="SNR42" s="1207"/>
      <c r="SNS42" s="1207"/>
      <c r="SNT42" s="1207"/>
      <c r="SNU42" s="1207"/>
      <c r="SNV42" s="1207"/>
      <c r="SNW42" s="1207"/>
      <c r="SNX42" s="1207"/>
      <c r="SNY42" s="1207"/>
      <c r="SNZ42" s="515"/>
      <c r="SOA42" s="1207"/>
      <c r="SOB42" s="1207"/>
      <c r="SOC42" s="1207"/>
      <c r="SOD42" s="1207"/>
      <c r="SOE42" s="1207"/>
      <c r="SOF42" s="1207"/>
      <c r="SOG42" s="1207"/>
      <c r="SOH42" s="1207"/>
      <c r="SOI42" s="1207"/>
      <c r="SOJ42" s="1207"/>
      <c r="SOK42" s="515"/>
      <c r="SOL42" s="1207"/>
      <c r="SOM42" s="1207"/>
      <c r="SON42" s="1207"/>
      <c r="SOO42" s="1207"/>
      <c r="SOP42" s="1207"/>
      <c r="SOQ42" s="1207"/>
      <c r="SOR42" s="1207"/>
      <c r="SOS42" s="1207"/>
      <c r="SOT42" s="1207"/>
      <c r="SOU42" s="1207"/>
      <c r="SOV42" s="515"/>
      <c r="SOW42" s="1207"/>
      <c r="SOX42" s="1207"/>
      <c r="SOY42" s="1207"/>
      <c r="SOZ42" s="1207"/>
      <c r="SPA42" s="1207"/>
      <c r="SPB42" s="1207"/>
      <c r="SPC42" s="1207"/>
      <c r="SPD42" s="1207"/>
      <c r="SPE42" s="1207"/>
      <c r="SPF42" s="1207"/>
      <c r="SPG42" s="515"/>
      <c r="SPH42" s="1207"/>
      <c r="SPI42" s="1207"/>
      <c r="SPJ42" s="1207"/>
      <c r="SPK42" s="1207"/>
      <c r="SPL42" s="1207"/>
      <c r="SPM42" s="1207"/>
      <c r="SPN42" s="1207"/>
      <c r="SPO42" s="1207"/>
      <c r="SPP42" s="1207"/>
      <c r="SPQ42" s="1207"/>
      <c r="SPR42" s="515"/>
      <c r="SPS42" s="1207"/>
      <c r="SPT42" s="1207"/>
      <c r="SPU42" s="1207"/>
      <c r="SPV42" s="1207"/>
      <c r="SPW42" s="1207"/>
      <c r="SPX42" s="1207"/>
      <c r="SPY42" s="1207"/>
      <c r="SPZ42" s="1207"/>
      <c r="SQA42" s="1207"/>
      <c r="SQB42" s="1207"/>
      <c r="SQC42" s="515"/>
      <c r="SQD42" s="1207"/>
      <c r="SQE42" s="1207"/>
      <c r="SQF42" s="1207"/>
      <c r="SQG42" s="1207"/>
      <c r="SQH42" s="1207"/>
      <c r="SQI42" s="1207"/>
      <c r="SQJ42" s="1207"/>
      <c r="SQK42" s="1207"/>
      <c r="SQL42" s="1207"/>
      <c r="SQM42" s="1207"/>
      <c r="SQN42" s="515"/>
      <c r="SQO42" s="1207"/>
      <c r="SQP42" s="1207"/>
      <c r="SQQ42" s="1207"/>
      <c r="SQR42" s="1207"/>
      <c r="SQS42" s="1207"/>
      <c r="SQT42" s="1207"/>
      <c r="SQU42" s="1207"/>
      <c r="SQV42" s="1207"/>
      <c r="SQW42" s="1207"/>
      <c r="SQX42" s="1207"/>
      <c r="SQY42" s="515"/>
      <c r="SQZ42" s="1207"/>
      <c r="SRA42" s="1207"/>
      <c r="SRB42" s="1207"/>
      <c r="SRC42" s="1207"/>
      <c r="SRD42" s="1207"/>
      <c r="SRE42" s="1207"/>
      <c r="SRF42" s="1207"/>
      <c r="SRG42" s="1207"/>
      <c r="SRH42" s="1207"/>
      <c r="SRI42" s="1207"/>
      <c r="SRJ42" s="515"/>
      <c r="SRK42" s="1207"/>
      <c r="SRL42" s="1207"/>
      <c r="SRM42" s="1207"/>
      <c r="SRN42" s="1207"/>
      <c r="SRO42" s="1207"/>
      <c r="SRP42" s="1207"/>
      <c r="SRQ42" s="1207"/>
      <c r="SRR42" s="1207"/>
      <c r="SRS42" s="1207"/>
      <c r="SRT42" s="1207"/>
      <c r="SRU42" s="515"/>
      <c r="SRV42" s="1207"/>
      <c r="SRW42" s="1207"/>
      <c r="SRX42" s="1207"/>
      <c r="SRY42" s="1207"/>
      <c r="SRZ42" s="1207"/>
      <c r="SSA42" s="1207"/>
      <c r="SSB42" s="1207"/>
      <c r="SSC42" s="1207"/>
      <c r="SSD42" s="1207"/>
      <c r="SSE42" s="1207"/>
      <c r="SSF42" s="515"/>
      <c r="SSG42" s="1207"/>
      <c r="SSH42" s="1207"/>
      <c r="SSI42" s="1207"/>
      <c r="SSJ42" s="1207"/>
      <c r="SSK42" s="1207"/>
      <c r="SSL42" s="1207"/>
      <c r="SSM42" s="1207"/>
      <c r="SSN42" s="1207"/>
      <c r="SSO42" s="1207"/>
      <c r="SSP42" s="1207"/>
      <c r="SSQ42" s="515"/>
      <c r="SSR42" s="1207"/>
      <c r="SSS42" s="1207"/>
      <c r="SST42" s="1207"/>
      <c r="SSU42" s="1207"/>
      <c r="SSV42" s="1207"/>
      <c r="SSW42" s="1207"/>
      <c r="SSX42" s="1207"/>
      <c r="SSY42" s="1207"/>
      <c r="SSZ42" s="1207"/>
      <c r="STA42" s="1207"/>
      <c r="STB42" s="515"/>
      <c r="STC42" s="1207"/>
      <c r="STD42" s="1207"/>
      <c r="STE42" s="1207"/>
      <c r="STF42" s="1207"/>
      <c r="STG42" s="1207"/>
      <c r="STH42" s="1207"/>
      <c r="STI42" s="1207"/>
      <c r="STJ42" s="1207"/>
      <c r="STK42" s="1207"/>
      <c r="STL42" s="1207"/>
      <c r="STM42" s="515"/>
      <c r="STN42" s="1207"/>
      <c r="STO42" s="1207"/>
      <c r="STP42" s="1207"/>
      <c r="STQ42" s="1207"/>
      <c r="STR42" s="1207"/>
      <c r="STS42" s="1207"/>
      <c r="STT42" s="1207"/>
      <c r="STU42" s="1207"/>
      <c r="STV42" s="1207"/>
      <c r="STW42" s="1207"/>
      <c r="STX42" s="515"/>
      <c r="STY42" s="1207"/>
      <c r="STZ42" s="1207"/>
      <c r="SUA42" s="1207"/>
      <c r="SUB42" s="1207"/>
      <c r="SUC42" s="1207"/>
      <c r="SUD42" s="1207"/>
      <c r="SUE42" s="1207"/>
      <c r="SUF42" s="1207"/>
      <c r="SUG42" s="1207"/>
      <c r="SUH42" s="1207"/>
      <c r="SUI42" s="515"/>
      <c r="SUJ42" s="1207"/>
      <c r="SUK42" s="1207"/>
      <c r="SUL42" s="1207"/>
      <c r="SUM42" s="1207"/>
      <c r="SUN42" s="1207"/>
      <c r="SUO42" s="1207"/>
      <c r="SUP42" s="1207"/>
      <c r="SUQ42" s="1207"/>
      <c r="SUR42" s="1207"/>
      <c r="SUS42" s="1207"/>
      <c r="SUT42" s="515"/>
      <c r="SUU42" s="1207"/>
      <c r="SUV42" s="1207"/>
      <c r="SUW42" s="1207"/>
      <c r="SUX42" s="1207"/>
      <c r="SUY42" s="1207"/>
      <c r="SUZ42" s="1207"/>
      <c r="SVA42" s="1207"/>
      <c r="SVB42" s="1207"/>
      <c r="SVC42" s="1207"/>
      <c r="SVD42" s="1207"/>
      <c r="SVE42" s="515"/>
      <c r="SVF42" s="1207"/>
      <c r="SVG42" s="1207"/>
      <c r="SVH42" s="1207"/>
      <c r="SVI42" s="1207"/>
      <c r="SVJ42" s="1207"/>
      <c r="SVK42" s="1207"/>
      <c r="SVL42" s="1207"/>
      <c r="SVM42" s="1207"/>
      <c r="SVN42" s="1207"/>
      <c r="SVO42" s="1207"/>
      <c r="SVP42" s="515"/>
      <c r="SVQ42" s="1207"/>
      <c r="SVR42" s="1207"/>
      <c r="SVS42" s="1207"/>
      <c r="SVT42" s="1207"/>
      <c r="SVU42" s="1207"/>
      <c r="SVV42" s="1207"/>
      <c r="SVW42" s="1207"/>
      <c r="SVX42" s="1207"/>
      <c r="SVY42" s="1207"/>
      <c r="SVZ42" s="1207"/>
      <c r="SWA42" s="515"/>
      <c r="SWB42" s="1207"/>
      <c r="SWC42" s="1207"/>
      <c r="SWD42" s="1207"/>
      <c r="SWE42" s="1207"/>
      <c r="SWF42" s="1207"/>
      <c r="SWG42" s="1207"/>
      <c r="SWH42" s="1207"/>
      <c r="SWI42" s="1207"/>
      <c r="SWJ42" s="1207"/>
      <c r="SWK42" s="1207"/>
      <c r="SWL42" s="515"/>
      <c r="SWM42" s="1207"/>
      <c r="SWN42" s="1207"/>
      <c r="SWO42" s="1207"/>
      <c r="SWP42" s="1207"/>
      <c r="SWQ42" s="1207"/>
      <c r="SWR42" s="1207"/>
      <c r="SWS42" s="1207"/>
      <c r="SWT42" s="1207"/>
      <c r="SWU42" s="1207"/>
      <c r="SWV42" s="1207"/>
      <c r="SWW42" s="515"/>
      <c r="SWX42" s="1207"/>
      <c r="SWY42" s="1207"/>
      <c r="SWZ42" s="1207"/>
      <c r="SXA42" s="1207"/>
      <c r="SXB42" s="1207"/>
      <c r="SXC42" s="1207"/>
      <c r="SXD42" s="1207"/>
      <c r="SXE42" s="1207"/>
      <c r="SXF42" s="1207"/>
      <c r="SXG42" s="1207"/>
      <c r="SXH42" s="515"/>
      <c r="SXI42" s="1207"/>
      <c r="SXJ42" s="1207"/>
      <c r="SXK42" s="1207"/>
      <c r="SXL42" s="1207"/>
      <c r="SXM42" s="1207"/>
      <c r="SXN42" s="1207"/>
      <c r="SXO42" s="1207"/>
      <c r="SXP42" s="1207"/>
      <c r="SXQ42" s="1207"/>
      <c r="SXR42" s="1207"/>
      <c r="SXS42" s="515"/>
      <c r="SXT42" s="1207"/>
      <c r="SXU42" s="1207"/>
      <c r="SXV42" s="1207"/>
      <c r="SXW42" s="1207"/>
      <c r="SXX42" s="1207"/>
      <c r="SXY42" s="1207"/>
      <c r="SXZ42" s="1207"/>
      <c r="SYA42" s="1207"/>
      <c r="SYB42" s="1207"/>
      <c r="SYC42" s="1207"/>
      <c r="SYD42" s="515"/>
      <c r="SYE42" s="1207"/>
      <c r="SYF42" s="1207"/>
      <c r="SYG42" s="1207"/>
      <c r="SYH42" s="1207"/>
      <c r="SYI42" s="1207"/>
      <c r="SYJ42" s="1207"/>
      <c r="SYK42" s="1207"/>
      <c r="SYL42" s="1207"/>
      <c r="SYM42" s="1207"/>
      <c r="SYN42" s="1207"/>
      <c r="SYO42" s="515"/>
      <c r="SYP42" s="1207"/>
      <c r="SYQ42" s="1207"/>
      <c r="SYR42" s="1207"/>
      <c r="SYS42" s="1207"/>
      <c r="SYT42" s="1207"/>
      <c r="SYU42" s="1207"/>
      <c r="SYV42" s="1207"/>
      <c r="SYW42" s="1207"/>
      <c r="SYX42" s="1207"/>
      <c r="SYY42" s="1207"/>
      <c r="SYZ42" s="515"/>
      <c r="SZA42" s="1207"/>
      <c r="SZB42" s="1207"/>
      <c r="SZC42" s="1207"/>
      <c r="SZD42" s="1207"/>
      <c r="SZE42" s="1207"/>
      <c r="SZF42" s="1207"/>
      <c r="SZG42" s="1207"/>
      <c r="SZH42" s="1207"/>
      <c r="SZI42" s="1207"/>
      <c r="SZJ42" s="1207"/>
      <c r="SZK42" s="515"/>
      <c r="SZL42" s="1207"/>
      <c r="SZM42" s="1207"/>
      <c r="SZN42" s="1207"/>
      <c r="SZO42" s="1207"/>
      <c r="SZP42" s="1207"/>
      <c r="SZQ42" s="1207"/>
      <c r="SZR42" s="1207"/>
      <c r="SZS42" s="1207"/>
      <c r="SZT42" s="1207"/>
      <c r="SZU42" s="1207"/>
      <c r="SZV42" s="515"/>
      <c r="SZW42" s="1207"/>
      <c r="SZX42" s="1207"/>
      <c r="SZY42" s="1207"/>
      <c r="SZZ42" s="1207"/>
      <c r="TAA42" s="1207"/>
      <c r="TAB42" s="1207"/>
      <c r="TAC42" s="1207"/>
      <c r="TAD42" s="1207"/>
      <c r="TAE42" s="1207"/>
      <c r="TAF42" s="1207"/>
      <c r="TAG42" s="515"/>
      <c r="TAH42" s="1207"/>
      <c r="TAI42" s="1207"/>
      <c r="TAJ42" s="1207"/>
      <c r="TAK42" s="1207"/>
      <c r="TAL42" s="1207"/>
      <c r="TAM42" s="1207"/>
      <c r="TAN42" s="1207"/>
      <c r="TAO42" s="1207"/>
      <c r="TAP42" s="1207"/>
      <c r="TAQ42" s="1207"/>
      <c r="TAR42" s="515"/>
      <c r="TAS42" s="1207"/>
      <c r="TAT42" s="1207"/>
      <c r="TAU42" s="1207"/>
      <c r="TAV42" s="1207"/>
      <c r="TAW42" s="1207"/>
      <c r="TAX42" s="1207"/>
      <c r="TAY42" s="1207"/>
      <c r="TAZ42" s="1207"/>
      <c r="TBA42" s="1207"/>
      <c r="TBB42" s="1207"/>
      <c r="TBC42" s="515"/>
      <c r="TBD42" s="1207"/>
      <c r="TBE42" s="1207"/>
      <c r="TBF42" s="1207"/>
      <c r="TBG42" s="1207"/>
      <c r="TBH42" s="1207"/>
      <c r="TBI42" s="1207"/>
      <c r="TBJ42" s="1207"/>
      <c r="TBK42" s="1207"/>
      <c r="TBL42" s="1207"/>
      <c r="TBM42" s="1207"/>
      <c r="TBN42" s="515"/>
      <c r="TBO42" s="1207"/>
      <c r="TBP42" s="1207"/>
      <c r="TBQ42" s="1207"/>
      <c r="TBR42" s="1207"/>
      <c r="TBS42" s="1207"/>
      <c r="TBT42" s="1207"/>
      <c r="TBU42" s="1207"/>
      <c r="TBV42" s="1207"/>
      <c r="TBW42" s="1207"/>
      <c r="TBX42" s="1207"/>
      <c r="TBY42" s="515"/>
      <c r="TBZ42" s="1207"/>
      <c r="TCA42" s="1207"/>
      <c r="TCB42" s="1207"/>
      <c r="TCC42" s="1207"/>
      <c r="TCD42" s="1207"/>
      <c r="TCE42" s="1207"/>
      <c r="TCF42" s="1207"/>
      <c r="TCG42" s="1207"/>
      <c r="TCH42" s="1207"/>
      <c r="TCI42" s="1207"/>
      <c r="TCJ42" s="515"/>
      <c r="TCK42" s="1207"/>
      <c r="TCL42" s="1207"/>
      <c r="TCM42" s="1207"/>
      <c r="TCN42" s="1207"/>
      <c r="TCO42" s="1207"/>
      <c r="TCP42" s="1207"/>
      <c r="TCQ42" s="1207"/>
      <c r="TCR42" s="1207"/>
      <c r="TCS42" s="1207"/>
      <c r="TCT42" s="1207"/>
      <c r="TCU42" s="515"/>
      <c r="TCV42" s="1207"/>
      <c r="TCW42" s="1207"/>
      <c r="TCX42" s="1207"/>
      <c r="TCY42" s="1207"/>
      <c r="TCZ42" s="1207"/>
      <c r="TDA42" s="1207"/>
      <c r="TDB42" s="1207"/>
      <c r="TDC42" s="1207"/>
      <c r="TDD42" s="1207"/>
      <c r="TDE42" s="1207"/>
      <c r="TDF42" s="515"/>
      <c r="TDG42" s="1207"/>
      <c r="TDH42" s="1207"/>
      <c r="TDI42" s="1207"/>
      <c r="TDJ42" s="1207"/>
      <c r="TDK42" s="1207"/>
      <c r="TDL42" s="1207"/>
      <c r="TDM42" s="1207"/>
      <c r="TDN42" s="1207"/>
      <c r="TDO42" s="1207"/>
      <c r="TDP42" s="1207"/>
      <c r="TDQ42" s="515"/>
      <c r="TDR42" s="1207"/>
      <c r="TDS42" s="1207"/>
      <c r="TDT42" s="1207"/>
      <c r="TDU42" s="1207"/>
      <c r="TDV42" s="1207"/>
      <c r="TDW42" s="1207"/>
      <c r="TDX42" s="1207"/>
      <c r="TDY42" s="1207"/>
      <c r="TDZ42" s="1207"/>
      <c r="TEA42" s="1207"/>
      <c r="TEB42" s="515"/>
      <c r="TEC42" s="1207"/>
      <c r="TED42" s="1207"/>
      <c r="TEE42" s="1207"/>
      <c r="TEF42" s="1207"/>
      <c r="TEG42" s="1207"/>
      <c r="TEH42" s="1207"/>
      <c r="TEI42" s="1207"/>
      <c r="TEJ42" s="1207"/>
      <c r="TEK42" s="1207"/>
      <c r="TEL42" s="1207"/>
      <c r="TEM42" s="515"/>
      <c r="TEN42" s="1207"/>
      <c r="TEO42" s="1207"/>
      <c r="TEP42" s="1207"/>
      <c r="TEQ42" s="1207"/>
      <c r="TER42" s="1207"/>
      <c r="TES42" s="1207"/>
      <c r="TET42" s="1207"/>
      <c r="TEU42" s="1207"/>
      <c r="TEV42" s="1207"/>
      <c r="TEW42" s="1207"/>
      <c r="TEX42" s="515"/>
      <c r="TEY42" s="1207"/>
      <c r="TEZ42" s="1207"/>
      <c r="TFA42" s="1207"/>
      <c r="TFB42" s="1207"/>
      <c r="TFC42" s="1207"/>
      <c r="TFD42" s="1207"/>
      <c r="TFE42" s="1207"/>
      <c r="TFF42" s="1207"/>
      <c r="TFG42" s="1207"/>
      <c r="TFH42" s="1207"/>
      <c r="TFI42" s="515"/>
      <c r="TFJ42" s="1207"/>
      <c r="TFK42" s="1207"/>
      <c r="TFL42" s="1207"/>
      <c r="TFM42" s="1207"/>
      <c r="TFN42" s="1207"/>
      <c r="TFO42" s="1207"/>
      <c r="TFP42" s="1207"/>
      <c r="TFQ42" s="1207"/>
      <c r="TFR42" s="1207"/>
      <c r="TFS42" s="1207"/>
      <c r="TFT42" s="515"/>
      <c r="TFU42" s="1207"/>
      <c r="TFV42" s="1207"/>
      <c r="TFW42" s="1207"/>
      <c r="TFX42" s="1207"/>
      <c r="TFY42" s="1207"/>
      <c r="TFZ42" s="1207"/>
      <c r="TGA42" s="1207"/>
      <c r="TGB42" s="1207"/>
      <c r="TGC42" s="1207"/>
      <c r="TGD42" s="1207"/>
      <c r="TGE42" s="515"/>
      <c r="TGF42" s="1207"/>
      <c r="TGG42" s="1207"/>
      <c r="TGH42" s="1207"/>
      <c r="TGI42" s="1207"/>
      <c r="TGJ42" s="1207"/>
      <c r="TGK42" s="1207"/>
      <c r="TGL42" s="1207"/>
      <c r="TGM42" s="1207"/>
      <c r="TGN42" s="1207"/>
      <c r="TGO42" s="1207"/>
      <c r="TGP42" s="515"/>
      <c r="TGQ42" s="1207"/>
      <c r="TGR42" s="1207"/>
      <c r="TGS42" s="1207"/>
      <c r="TGT42" s="1207"/>
      <c r="TGU42" s="1207"/>
      <c r="TGV42" s="1207"/>
      <c r="TGW42" s="1207"/>
      <c r="TGX42" s="1207"/>
      <c r="TGY42" s="1207"/>
      <c r="TGZ42" s="1207"/>
      <c r="THA42" s="515"/>
      <c r="THB42" s="1207"/>
      <c r="THC42" s="1207"/>
      <c r="THD42" s="1207"/>
      <c r="THE42" s="1207"/>
      <c r="THF42" s="1207"/>
      <c r="THG42" s="1207"/>
      <c r="THH42" s="1207"/>
      <c r="THI42" s="1207"/>
      <c r="THJ42" s="1207"/>
      <c r="THK42" s="1207"/>
      <c r="THL42" s="515"/>
      <c r="THM42" s="1207"/>
      <c r="THN42" s="1207"/>
      <c r="THO42" s="1207"/>
      <c r="THP42" s="1207"/>
      <c r="THQ42" s="1207"/>
      <c r="THR42" s="1207"/>
      <c r="THS42" s="1207"/>
      <c r="THT42" s="1207"/>
      <c r="THU42" s="1207"/>
      <c r="THV42" s="1207"/>
      <c r="THW42" s="515"/>
      <c r="THX42" s="1207"/>
      <c r="THY42" s="1207"/>
      <c r="THZ42" s="1207"/>
      <c r="TIA42" s="1207"/>
      <c r="TIB42" s="1207"/>
      <c r="TIC42" s="1207"/>
      <c r="TID42" s="1207"/>
      <c r="TIE42" s="1207"/>
      <c r="TIF42" s="1207"/>
      <c r="TIG42" s="1207"/>
      <c r="TIH42" s="515"/>
      <c r="TII42" s="1207"/>
      <c r="TIJ42" s="1207"/>
      <c r="TIK42" s="1207"/>
      <c r="TIL42" s="1207"/>
      <c r="TIM42" s="1207"/>
      <c r="TIN42" s="1207"/>
      <c r="TIO42" s="1207"/>
      <c r="TIP42" s="1207"/>
      <c r="TIQ42" s="1207"/>
      <c r="TIR42" s="1207"/>
      <c r="TIS42" s="515"/>
      <c r="TIT42" s="1207"/>
      <c r="TIU42" s="1207"/>
      <c r="TIV42" s="1207"/>
      <c r="TIW42" s="1207"/>
      <c r="TIX42" s="1207"/>
      <c r="TIY42" s="1207"/>
      <c r="TIZ42" s="1207"/>
      <c r="TJA42" s="1207"/>
      <c r="TJB42" s="1207"/>
      <c r="TJC42" s="1207"/>
      <c r="TJD42" s="515"/>
      <c r="TJE42" s="1207"/>
      <c r="TJF42" s="1207"/>
      <c r="TJG42" s="1207"/>
      <c r="TJH42" s="1207"/>
      <c r="TJI42" s="1207"/>
      <c r="TJJ42" s="1207"/>
      <c r="TJK42" s="1207"/>
      <c r="TJL42" s="1207"/>
      <c r="TJM42" s="1207"/>
      <c r="TJN42" s="1207"/>
      <c r="TJO42" s="515"/>
      <c r="TJP42" s="1207"/>
      <c r="TJQ42" s="1207"/>
      <c r="TJR42" s="1207"/>
      <c r="TJS42" s="1207"/>
      <c r="TJT42" s="1207"/>
      <c r="TJU42" s="1207"/>
      <c r="TJV42" s="1207"/>
      <c r="TJW42" s="1207"/>
      <c r="TJX42" s="1207"/>
      <c r="TJY42" s="1207"/>
      <c r="TJZ42" s="515"/>
      <c r="TKA42" s="1207"/>
      <c r="TKB42" s="1207"/>
      <c r="TKC42" s="1207"/>
      <c r="TKD42" s="1207"/>
      <c r="TKE42" s="1207"/>
      <c r="TKF42" s="1207"/>
      <c r="TKG42" s="1207"/>
      <c r="TKH42" s="1207"/>
      <c r="TKI42" s="1207"/>
      <c r="TKJ42" s="1207"/>
      <c r="TKK42" s="515"/>
      <c r="TKL42" s="1207"/>
      <c r="TKM42" s="1207"/>
      <c r="TKN42" s="1207"/>
      <c r="TKO42" s="1207"/>
      <c r="TKP42" s="1207"/>
      <c r="TKQ42" s="1207"/>
      <c r="TKR42" s="1207"/>
      <c r="TKS42" s="1207"/>
      <c r="TKT42" s="1207"/>
      <c r="TKU42" s="1207"/>
      <c r="TKV42" s="515"/>
      <c r="TKW42" s="1207"/>
      <c r="TKX42" s="1207"/>
      <c r="TKY42" s="1207"/>
      <c r="TKZ42" s="1207"/>
      <c r="TLA42" s="1207"/>
      <c r="TLB42" s="1207"/>
      <c r="TLC42" s="1207"/>
      <c r="TLD42" s="1207"/>
      <c r="TLE42" s="1207"/>
      <c r="TLF42" s="1207"/>
      <c r="TLG42" s="515"/>
      <c r="TLH42" s="1207"/>
      <c r="TLI42" s="1207"/>
      <c r="TLJ42" s="1207"/>
      <c r="TLK42" s="1207"/>
      <c r="TLL42" s="1207"/>
      <c r="TLM42" s="1207"/>
      <c r="TLN42" s="1207"/>
      <c r="TLO42" s="1207"/>
      <c r="TLP42" s="1207"/>
      <c r="TLQ42" s="1207"/>
      <c r="TLR42" s="515"/>
      <c r="TLS42" s="1207"/>
      <c r="TLT42" s="1207"/>
      <c r="TLU42" s="1207"/>
      <c r="TLV42" s="1207"/>
      <c r="TLW42" s="1207"/>
      <c r="TLX42" s="1207"/>
      <c r="TLY42" s="1207"/>
      <c r="TLZ42" s="1207"/>
      <c r="TMA42" s="1207"/>
      <c r="TMB42" s="1207"/>
      <c r="TMC42" s="515"/>
      <c r="TMD42" s="1207"/>
      <c r="TME42" s="1207"/>
      <c r="TMF42" s="1207"/>
      <c r="TMG42" s="1207"/>
      <c r="TMH42" s="1207"/>
      <c r="TMI42" s="1207"/>
      <c r="TMJ42" s="1207"/>
      <c r="TMK42" s="1207"/>
      <c r="TML42" s="1207"/>
      <c r="TMM42" s="1207"/>
      <c r="TMN42" s="515"/>
      <c r="TMO42" s="1207"/>
      <c r="TMP42" s="1207"/>
      <c r="TMQ42" s="1207"/>
      <c r="TMR42" s="1207"/>
      <c r="TMS42" s="1207"/>
      <c r="TMT42" s="1207"/>
      <c r="TMU42" s="1207"/>
      <c r="TMV42" s="1207"/>
      <c r="TMW42" s="1207"/>
      <c r="TMX42" s="1207"/>
      <c r="TMY42" s="515"/>
      <c r="TMZ42" s="1207"/>
      <c r="TNA42" s="1207"/>
      <c r="TNB42" s="1207"/>
      <c r="TNC42" s="1207"/>
      <c r="TND42" s="1207"/>
      <c r="TNE42" s="1207"/>
      <c r="TNF42" s="1207"/>
      <c r="TNG42" s="1207"/>
      <c r="TNH42" s="1207"/>
      <c r="TNI42" s="1207"/>
      <c r="TNJ42" s="515"/>
      <c r="TNK42" s="1207"/>
      <c r="TNL42" s="1207"/>
      <c r="TNM42" s="1207"/>
      <c r="TNN42" s="1207"/>
      <c r="TNO42" s="1207"/>
      <c r="TNP42" s="1207"/>
      <c r="TNQ42" s="1207"/>
      <c r="TNR42" s="1207"/>
      <c r="TNS42" s="1207"/>
      <c r="TNT42" s="1207"/>
      <c r="TNU42" s="515"/>
      <c r="TNV42" s="1207"/>
      <c r="TNW42" s="1207"/>
      <c r="TNX42" s="1207"/>
      <c r="TNY42" s="1207"/>
      <c r="TNZ42" s="1207"/>
      <c r="TOA42" s="1207"/>
      <c r="TOB42" s="1207"/>
      <c r="TOC42" s="1207"/>
      <c r="TOD42" s="1207"/>
      <c r="TOE42" s="1207"/>
      <c r="TOF42" s="515"/>
      <c r="TOG42" s="1207"/>
      <c r="TOH42" s="1207"/>
      <c r="TOI42" s="1207"/>
      <c r="TOJ42" s="1207"/>
      <c r="TOK42" s="1207"/>
      <c r="TOL42" s="1207"/>
      <c r="TOM42" s="1207"/>
      <c r="TON42" s="1207"/>
      <c r="TOO42" s="1207"/>
      <c r="TOP42" s="1207"/>
      <c r="TOQ42" s="515"/>
      <c r="TOR42" s="1207"/>
      <c r="TOS42" s="1207"/>
      <c r="TOT42" s="1207"/>
      <c r="TOU42" s="1207"/>
      <c r="TOV42" s="1207"/>
      <c r="TOW42" s="1207"/>
      <c r="TOX42" s="1207"/>
      <c r="TOY42" s="1207"/>
      <c r="TOZ42" s="1207"/>
      <c r="TPA42" s="1207"/>
      <c r="TPB42" s="515"/>
      <c r="TPC42" s="1207"/>
      <c r="TPD42" s="1207"/>
      <c r="TPE42" s="1207"/>
      <c r="TPF42" s="1207"/>
      <c r="TPG42" s="1207"/>
      <c r="TPH42" s="1207"/>
      <c r="TPI42" s="1207"/>
      <c r="TPJ42" s="1207"/>
      <c r="TPK42" s="1207"/>
      <c r="TPL42" s="1207"/>
      <c r="TPM42" s="515"/>
      <c r="TPN42" s="1207"/>
      <c r="TPO42" s="1207"/>
      <c r="TPP42" s="1207"/>
      <c r="TPQ42" s="1207"/>
      <c r="TPR42" s="1207"/>
      <c r="TPS42" s="1207"/>
      <c r="TPT42" s="1207"/>
      <c r="TPU42" s="1207"/>
      <c r="TPV42" s="1207"/>
      <c r="TPW42" s="1207"/>
      <c r="TPX42" s="515"/>
      <c r="TPY42" s="1207"/>
      <c r="TPZ42" s="1207"/>
      <c r="TQA42" s="1207"/>
      <c r="TQB42" s="1207"/>
      <c r="TQC42" s="1207"/>
      <c r="TQD42" s="1207"/>
      <c r="TQE42" s="1207"/>
      <c r="TQF42" s="1207"/>
      <c r="TQG42" s="1207"/>
      <c r="TQH42" s="1207"/>
      <c r="TQI42" s="515"/>
      <c r="TQJ42" s="1207"/>
      <c r="TQK42" s="1207"/>
      <c r="TQL42" s="1207"/>
      <c r="TQM42" s="1207"/>
      <c r="TQN42" s="1207"/>
      <c r="TQO42" s="1207"/>
      <c r="TQP42" s="1207"/>
      <c r="TQQ42" s="1207"/>
      <c r="TQR42" s="1207"/>
      <c r="TQS42" s="1207"/>
      <c r="TQT42" s="515"/>
      <c r="TQU42" s="1207"/>
      <c r="TQV42" s="1207"/>
      <c r="TQW42" s="1207"/>
      <c r="TQX42" s="1207"/>
      <c r="TQY42" s="1207"/>
      <c r="TQZ42" s="1207"/>
      <c r="TRA42" s="1207"/>
      <c r="TRB42" s="1207"/>
      <c r="TRC42" s="1207"/>
      <c r="TRD42" s="1207"/>
      <c r="TRE42" s="515"/>
      <c r="TRF42" s="1207"/>
      <c r="TRG42" s="1207"/>
      <c r="TRH42" s="1207"/>
      <c r="TRI42" s="1207"/>
      <c r="TRJ42" s="1207"/>
      <c r="TRK42" s="1207"/>
      <c r="TRL42" s="1207"/>
      <c r="TRM42" s="1207"/>
      <c r="TRN42" s="1207"/>
      <c r="TRO42" s="1207"/>
      <c r="TRP42" s="515"/>
      <c r="TRQ42" s="1207"/>
      <c r="TRR42" s="1207"/>
      <c r="TRS42" s="1207"/>
      <c r="TRT42" s="1207"/>
      <c r="TRU42" s="1207"/>
      <c r="TRV42" s="1207"/>
      <c r="TRW42" s="1207"/>
      <c r="TRX42" s="1207"/>
      <c r="TRY42" s="1207"/>
      <c r="TRZ42" s="1207"/>
      <c r="TSA42" s="515"/>
      <c r="TSB42" s="1207"/>
      <c r="TSC42" s="1207"/>
      <c r="TSD42" s="1207"/>
      <c r="TSE42" s="1207"/>
      <c r="TSF42" s="1207"/>
      <c r="TSG42" s="1207"/>
      <c r="TSH42" s="1207"/>
      <c r="TSI42" s="1207"/>
      <c r="TSJ42" s="1207"/>
      <c r="TSK42" s="1207"/>
      <c r="TSL42" s="515"/>
      <c r="TSM42" s="1207"/>
      <c r="TSN42" s="1207"/>
      <c r="TSO42" s="1207"/>
      <c r="TSP42" s="1207"/>
      <c r="TSQ42" s="1207"/>
      <c r="TSR42" s="1207"/>
      <c r="TSS42" s="1207"/>
      <c r="TST42" s="1207"/>
      <c r="TSU42" s="1207"/>
      <c r="TSV42" s="1207"/>
      <c r="TSW42" s="515"/>
      <c r="TSX42" s="1207"/>
      <c r="TSY42" s="1207"/>
      <c r="TSZ42" s="1207"/>
      <c r="TTA42" s="1207"/>
      <c r="TTB42" s="1207"/>
      <c r="TTC42" s="1207"/>
      <c r="TTD42" s="1207"/>
      <c r="TTE42" s="1207"/>
      <c r="TTF42" s="1207"/>
      <c r="TTG42" s="1207"/>
      <c r="TTH42" s="515"/>
      <c r="TTI42" s="1207"/>
      <c r="TTJ42" s="1207"/>
      <c r="TTK42" s="1207"/>
      <c r="TTL42" s="1207"/>
      <c r="TTM42" s="1207"/>
      <c r="TTN42" s="1207"/>
      <c r="TTO42" s="1207"/>
      <c r="TTP42" s="1207"/>
      <c r="TTQ42" s="1207"/>
      <c r="TTR42" s="1207"/>
      <c r="TTS42" s="515"/>
      <c r="TTT42" s="1207"/>
      <c r="TTU42" s="1207"/>
      <c r="TTV42" s="1207"/>
      <c r="TTW42" s="1207"/>
      <c r="TTX42" s="1207"/>
      <c r="TTY42" s="1207"/>
      <c r="TTZ42" s="1207"/>
      <c r="TUA42" s="1207"/>
      <c r="TUB42" s="1207"/>
      <c r="TUC42" s="1207"/>
      <c r="TUD42" s="515"/>
      <c r="TUE42" s="1207"/>
      <c r="TUF42" s="1207"/>
      <c r="TUG42" s="1207"/>
      <c r="TUH42" s="1207"/>
      <c r="TUI42" s="1207"/>
      <c r="TUJ42" s="1207"/>
      <c r="TUK42" s="1207"/>
      <c r="TUL42" s="1207"/>
      <c r="TUM42" s="1207"/>
      <c r="TUN42" s="1207"/>
      <c r="TUO42" s="515"/>
      <c r="TUP42" s="1207"/>
      <c r="TUQ42" s="1207"/>
      <c r="TUR42" s="1207"/>
      <c r="TUS42" s="1207"/>
      <c r="TUT42" s="1207"/>
      <c r="TUU42" s="1207"/>
      <c r="TUV42" s="1207"/>
      <c r="TUW42" s="1207"/>
      <c r="TUX42" s="1207"/>
      <c r="TUY42" s="1207"/>
      <c r="TUZ42" s="515"/>
      <c r="TVA42" s="1207"/>
      <c r="TVB42" s="1207"/>
      <c r="TVC42" s="1207"/>
      <c r="TVD42" s="1207"/>
      <c r="TVE42" s="1207"/>
      <c r="TVF42" s="1207"/>
      <c r="TVG42" s="1207"/>
      <c r="TVH42" s="1207"/>
      <c r="TVI42" s="1207"/>
      <c r="TVJ42" s="1207"/>
      <c r="TVK42" s="515"/>
      <c r="TVL42" s="1207"/>
      <c r="TVM42" s="1207"/>
      <c r="TVN42" s="1207"/>
      <c r="TVO42" s="1207"/>
      <c r="TVP42" s="1207"/>
      <c r="TVQ42" s="1207"/>
      <c r="TVR42" s="1207"/>
      <c r="TVS42" s="1207"/>
      <c r="TVT42" s="1207"/>
      <c r="TVU42" s="1207"/>
      <c r="TVV42" s="515"/>
      <c r="TVW42" s="1207"/>
      <c r="TVX42" s="1207"/>
      <c r="TVY42" s="1207"/>
      <c r="TVZ42" s="1207"/>
      <c r="TWA42" s="1207"/>
      <c r="TWB42" s="1207"/>
      <c r="TWC42" s="1207"/>
      <c r="TWD42" s="1207"/>
      <c r="TWE42" s="1207"/>
      <c r="TWF42" s="1207"/>
      <c r="TWG42" s="515"/>
      <c r="TWH42" s="1207"/>
      <c r="TWI42" s="1207"/>
      <c r="TWJ42" s="1207"/>
      <c r="TWK42" s="1207"/>
      <c r="TWL42" s="1207"/>
      <c r="TWM42" s="1207"/>
      <c r="TWN42" s="1207"/>
      <c r="TWO42" s="1207"/>
      <c r="TWP42" s="1207"/>
      <c r="TWQ42" s="1207"/>
      <c r="TWR42" s="515"/>
      <c r="TWS42" s="1207"/>
      <c r="TWT42" s="1207"/>
      <c r="TWU42" s="1207"/>
      <c r="TWV42" s="1207"/>
      <c r="TWW42" s="1207"/>
      <c r="TWX42" s="1207"/>
      <c r="TWY42" s="1207"/>
      <c r="TWZ42" s="1207"/>
      <c r="TXA42" s="1207"/>
      <c r="TXB42" s="1207"/>
      <c r="TXC42" s="515"/>
      <c r="TXD42" s="1207"/>
      <c r="TXE42" s="1207"/>
      <c r="TXF42" s="1207"/>
      <c r="TXG42" s="1207"/>
      <c r="TXH42" s="1207"/>
      <c r="TXI42" s="1207"/>
      <c r="TXJ42" s="1207"/>
      <c r="TXK42" s="1207"/>
      <c r="TXL42" s="1207"/>
      <c r="TXM42" s="1207"/>
      <c r="TXN42" s="515"/>
      <c r="TXO42" s="1207"/>
      <c r="TXP42" s="1207"/>
      <c r="TXQ42" s="1207"/>
      <c r="TXR42" s="1207"/>
      <c r="TXS42" s="1207"/>
      <c r="TXT42" s="1207"/>
      <c r="TXU42" s="1207"/>
      <c r="TXV42" s="1207"/>
      <c r="TXW42" s="1207"/>
      <c r="TXX42" s="1207"/>
      <c r="TXY42" s="515"/>
      <c r="TXZ42" s="1207"/>
      <c r="TYA42" s="1207"/>
      <c r="TYB42" s="1207"/>
      <c r="TYC42" s="1207"/>
      <c r="TYD42" s="1207"/>
      <c r="TYE42" s="1207"/>
      <c r="TYF42" s="1207"/>
      <c r="TYG42" s="1207"/>
      <c r="TYH42" s="1207"/>
      <c r="TYI42" s="1207"/>
      <c r="TYJ42" s="515"/>
      <c r="TYK42" s="1207"/>
      <c r="TYL42" s="1207"/>
      <c r="TYM42" s="1207"/>
      <c r="TYN42" s="1207"/>
      <c r="TYO42" s="1207"/>
      <c r="TYP42" s="1207"/>
      <c r="TYQ42" s="1207"/>
      <c r="TYR42" s="1207"/>
      <c r="TYS42" s="1207"/>
      <c r="TYT42" s="1207"/>
      <c r="TYU42" s="515"/>
      <c r="TYV42" s="1207"/>
      <c r="TYW42" s="1207"/>
      <c r="TYX42" s="1207"/>
      <c r="TYY42" s="1207"/>
      <c r="TYZ42" s="1207"/>
      <c r="TZA42" s="1207"/>
      <c r="TZB42" s="1207"/>
      <c r="TZC42" s="1207"/>
      <c r="TZD42" s="1207"/>
      <c r="TZE42" s="1207"/>
      <c r="TZF42" s="515"/>
      <c r="TZG42" s="1207"/>
      <c r="TZH42" s="1207"/>
      <c r="TZI42" s="1207"/>
      <c r="TZJ42" s="1207"/>
      <c r="TZK42" s="1207"/>
      <c r="TZL42" s="1207"/>
      <c r="TZM42" s="1207"/>
      <c r="TZN42" s="1207"/>
      <c r="TZO42" s="1207"/>
      <c r="TZP42" s="1207"/>
      <c r="TZQ42" s="515"/>
      <c r="TZR42" s="1207"/>
      <c r="TZS42" s="1207"/>
      <c r="TZT42" s="1207"/>
      <c r="TZU42" s="1207"/>
      <c r="TZV42" s="1207"/>
      <c r="TZW42" s="1207"/>
      <c r="TZX42" s="1207"/>
      <c r="TZY42" s="1207"/>
      <c r="TZZ42" s="1207"/>
      <c r="UAA42" s="1207"/>
      <c r="UAB42" s="515"/>
      <c r="UAC42" s="1207"/>
      <c r="UAD42" s="1207"/>
      <c r="UAE42" s="1207"/>
      <c r="UAF42" s="1207"/>
      <c r="UAG42" s="1207"/>
      <c r="UAH42" s="1207"/>
      <c r="UAI42" s="1207"/>
      <c r="UAJ42" s="1207"/>
      <c r="UAK42" s="1207"/>
      <c r="UAL42" s="1207"/>
      <c r="UAM42" s="515"/>
      <c r="UAN42" s="1207"/>
      <c r="UAO42" s="1207"/>
      <c r="UAP42" s="1207"/>
      <c r="UAQ42" s="1207"/>
      <c r="UAR42" s="1207"/>
      <c r="UAS42" s="1207"/>
      <c r="UAT42" s="1207"/>
      <c r="UAU42" s="1207"/>
      <c r="UAV42" s="1207"/>
      <c r="UAW42" s="1207"/>
      <c r="UAX42" s="515"/>
      <c r="UAY42" s="1207"/>
      <c r="UAZ42" s="1207"/>
      <c r="UBA42" s="1207"/>
      <c r="UBB42" s="1207"/>
      <c r="UBC42" s="1207"/>
      <c r="UBD42" s="1207"/>
      <c r="UBE42" s="1207"/>
      <c r="UBF42" s="1207"/>
      <c r="UBG42" s="1207"/>
      <c r="UBH42" s="1207"/>
      <c r="UBI42" s="515"/>
      <c r="UBJ42" s="1207"/>
      <c r="UBK42" s="1207"/>
      <c r="UBL42" s="1207"/>
      <c r="UBM42" s="1207"/>
      <c r="UBN42" s="1207"/>
      <c r="UBO42" s="1207"/>
      <c r="UBP42" s="1207"/>
      <c r="UBQ42" s="1207"/>
      <c r="UBR42" s="1207"/>
      <c r="UBS42" s="1207"/>
      <c r="UBT42" s="515"/>
      <c r="UBU42" s="1207"/>
      <c r="UBV42" s="1207"/>
      <c r="UBW42" s="1207"/>
      <c r="UBX42" s="1207"/>
      <c r="UBY42" s="1207"/>
      <c r="UBZ42" s="1207"/>
      <c r="UCA42" s="1207"/>
      <c r="UCB42" s="1207"/>
      <c r="UCC42" s="1207"/>
      <c r="UCD42" s="1207"/>
      <c r="UCE42" s="515"/>
      <c r="UCF42" s="1207"/>
      <c r="UCG42" s="1207"/>
      <c r="UCH42" s="1207"/>
      <c r="UCI42" s="1207"/>
      <c r="UCJ42" s="1207"/>
      <c r="UCK42" s="1207"/>
      <c r="UCL42" s="1207"/>
      <c r="UCM42" s="1207"/>
      <c r="UCN42" s="1207"/>
      <c r="UCO42" s="1207"/>
      <c r="UCP42" s="515"/>
      <c r="UCQ42" s="1207"/>
      <c r="UCR42" s="1207"/>
      <c r="UCS42" s="1207"/>
      <c r="UCT42" s="1207"/>
      <c r="UCU42" s="1207"/>
      <c r="UCV42" s="1207"/>
      <c r="UCW42" s="1207"/>
      <c r="UCX42" s="1207"/>
      <c r="UCY42" s="1207"/>
      <c r="UCZ42" s="1207"/>
      <c r="UDA42" s="515"/>
      <c r="UDB42" s="1207"/>
      <c r="UDC42" s="1207"/>
      <c r="UDD42" s="1207"/>
      <c r="UDE42" s="1207"/>
      <c r="UDF42" s="1207"/>
      <c r="UDG42" s="1207"/>
      <c r="UDH42" s="1207"/>
      <c r="UDI42" s="1207"/>
      <c r="UDJ42" s="1207"/>
      <c r="UDK42" s="1207"/>
      <c r="UDL42" s="515"/>
      <c r="UDM42" s="1207"/>
      <c r="UDN42" s="1207"/>
      <c r="UDO42" s="1207"/>
      <c r="UDP42" s="1207"/>
      <c r="UDQ42" s="1207"/>
      <c r="UDR42" s="1207"/>
      <c r="UDS42" s="1207"/>
      <c r="UDT42" s="1207"/>
      <c r="UDU42" s="1207"/>
      <c r="UDV42" s="1207"/>
      <c r="UDW42" s="515"/>
      <c r="UDX42" s="1207"/>
      <c r="UDY42" s="1207"/>
      <c r="UDZ42" s="1207"/>
      <c r="UEA42" s="1207"/>
      <c r="UEB42" s="1207"/>
      <c r="UEC42" s="1207"/>
      <c r="UED42" s="1207"/>
      <c r="UEE42" s="1207"/>
      <c r="UEF42" s="1207"/>
      <c r="UEG42" s="1207"/>
      <c r="UEH42" s="515"/>
      <c r="UEI42" s="1207"/>
      <c r="UEJ42" s="1207"/>
      <c r="UEK42" s="1207"/>
      <c r="UEL42" s="1207"/>
      <c r="UEM42" s="1207"/>
      <c r="UEN42" s="1207"/>
      <c r="UEO42" s="1207"/>
      <c r="UEP42" s="1207"/>
      <c r="UEQ42" s="1207"/>
      <c r="UER42" s="1207"/>
      <c r="UES42" s="515"/>
      <c r="UET42" s="1207"/>
      <c r="UEU42" s="1207"/>
      <c r="UEV42" s="1207"/>
      <c r="UEW42" s="1207"/>
      <c r="UEX42" s="1207"/>
      <c r="UEY42" s="1207"/>
      <c r="UEZ42" s="1207"/>
      <c r="UFA42" s="1207"/>
      <c r="UFB42" s="1207"/>
      <c r="UFC42" s="1207"/>
      <c r="UFD42" s="515"/>
      <c r="UFE42" s="1207"/>
      <c r="UFF42" s="1207"/>
      <c r="UFG42" s="1207"/>
      <c r="UFH42" s="1207"/>
      <c r="UFI42" s="1207"/>
      <c r="UFJ42" s="1207"/>
      <c r="UFK42" s="1207"/>
      <c r="UFL42" s="1207"/>
      <c r="UFM42" s="1207"/>
      <c r="UFN42" s="1207"/>
      <c r="UFO42" s="515"/>
      <c r="UFP42" s="1207"/>
      <c r="UFQ42" s="1207"/>
      <c r="UFR42" s="1207"/>
      <c r="UFS42" s="1207"/>
      <c r="UFT42" s="1207"/>
      <c r="UFU42" s="1207"/>
      <c r="UFV42" s="1207"/>
      <c r="UFW42" s="1207"/>
      <c r="UFX42" s="1207"/>
      <c r="UFY42" s="1207"/>
      <c r="UFZ42" s="515"/>
      <c r="UGA42" s="1207"/>
      <c r="UGB42" s="1207"/>
      <c r="UGC42" s="1207"/>
      <c r="UGD42" s="1207"/>
      <c r="UGE42" s="1207"/>
      <c r="UGF42" s="1207"/>
      <c r="UGG42" s="1207"/>
      <c r="UGH42" s="1207"/>
      <c r="UGI42" s="1207"/>
      <c r="UGJ42" s="1207"/>
      <c r="UGK42" s="515"/>
      <c r="UGL42" s="1207"/>
      <c r="UGM42" s="1207"/>
      <c r="UGN42" s="1207"/>
      <c r="UGO42" s="1207"/>
      <c r="UGP42" s="1207"/>
      <c r="UGQ42" s="1207"/>
      <c r="UGR42" s="1207"/>
      <c r="UGS42" s="1207"/>
      <c r="UGT42" s="1207"/>
      <c r="UGU42" s="1207"/>
      <c r="UGV42" s="515"/>
      <c r="UGW42" s="1207"/>
      <c r="UGX42" s="1207"/>
      <c r="UGY42" s="1207"/>
      <c r="UGZ42" s="1207"/>
      <c r="UHA42" s="1207"/>
      <c r="UHB42" s="1207"/>
      <c r="UHC42" s="1207"/>
      <c r="UHD42" s="1207"/>
      <c r="UHE42" s="1207"/>
      <c r="UHF42" s="1207"/>
      <c r="UHG42" s="515"/>
      <c r="UHH42" s="1207"/>
      <c r="UHI42" s="1207"/>
      <c r="UHJ42" s="1207"/>
      <c r="UHK42" s="1207"/>
      <c r="UHL42" s="1207"/>
      <c r="UHM42" s="1207"/>
      <c r="UHN42" s="1207"/>
      <c r="UHO42" s="1207"/>
      <c r="UHP42" s="1207"/>
      <c r="UHQ42" s="1207"/>
      <c r="UHR42" s="515"/>
      <c r="UHS42" s="1207"/>
      <c r="UHT42" s="1207"/>
      <c r="UHU42" s="1207"/>
      <c r="UHV42" s="1207"/>
      <c r="UHW42" s="1207"/>
      <c r="UHX42" s="1207"/>
      <c r="UHY42" s="1207"/>
      <c r="UHZ42" s="1207"/>
      <c r="UIA42" s="1207"/>
      <c r="UIB42" s="1207"/>
      <c r="UIC42" s="515"/>
      <c r="UID42" s="1207"/>
      <c r="UIE42" s="1207"/>
      <c r="UIF42" s="1207"/>
      <c r="UIG42" s="1207"/>
      <c r="UIH42" s="1207"/>
      <c r="UII42" s="1207"/>
      <c r="UIJ42" s="1207"/>
      <c r="UIK42" s="1207"/>
      <c r="UIL42" s="1207"/>
      <c r="UIM42" s="1207"/>
      <c r="UIN42" s="515"/>
      <c r="UIO42" s="1207"/>
      <c r="UIP42" s="1207"/>
      <c r="UIQ42" s="1207"/>
      <c r="UIR42" s="1207"/>
      <c r="UIS42" s="1207"/>
      <c r="UIT42" s="1207"/>
      <c r="UIU42" s="1207"/>
      <c r="UIV42" s="1207"/>
      <c r="UIW42" s="1207"/>
      <c r="UIX42" s="1207"/>
      <c r="UIY42" s="515"/>
      <c r="UIZ42" s="1207"/>
      <c r="UJA42" s="1207"/>
      <c r="UJB42" s="1207"/>
      <c r="UJC42" s="1207"/>
      <c r="UJD42" s="1207"/>
      <c r="UJE42" s="1207"/>
      <c r="UJF42" s="1207"/>
      <c r="UJG42" s="1207"/>
      <c r="UJH42" s="1207"/>
      <c r="UJI42" s="1207"/>
      <c r="UJJ42" s="515"/>
      <c r="UJK42" s="1207"/>
      <c r="UJL42" s="1207"/>
      <c r="UJM42" s="1207"/>
      <c r="UJN42" s="1207"/>
      <c r="UJO42" s="1207"/>
      <c r="UJP42" s="1207"/>
      <c r="UJQ42" s="1207"/>
      <c r="UJR42" s="1207"/>
      <c r="UJS42" s="1207"/>
      <c r="UJT42" s="1207"/>
      <c r="UJU42" s="515"/>
      <c r="UJV42" s="1207"/>
      <c r="UJW42" s="1207"/>
      <c r="UJX42" s="1207"/>
      <c r="UJY42" s="1207"/>
      <c r="UJZ42" s="1207"/>
      <c r="UKA42" s="1207"/>
      <c r="UKB42" s="1207"/>
      <c r="UKC42" s="1207"/>
      <c r="UKD42" s="1207"/>
      <c r="UKE42" s="1207"/>
      <c r="UKF42" s="515"/>
      <c r="UKG42" s="1207"/>
      <c r="UKH42" s="1207"/>
      <c r="UKI42" s="1207"/>
      <c r="UKJ42" s="1207"/>
      <c r="UKK42" s="1207"/>
      <c r="UKL42" s="1207"/>
      <c r="UKM42" s="1207"/>
      <c r="UKN42" s="1207"/>
      <c r="UKO42" s="1207"/>
      <c r="UKP42" s="1207"/>
      <c r="UKQ42" s="515"/>
      <c r="UKR42" s="1207"/>
      <c r="UKS42" s="1207"/>
      <c r="UKT42" s="1207"/>
      <c r="UKU42" s="1207"/>
      <c r="UKV42" s="1207"/>
      <c r="UKW42" s="1207"/>
      <c r="UKX42" s="1207"/>
      <c r="UKY42" s="1207"/>
      <c r="UKZ42" s="1207"/>
      <c r="ULA42" s="1207"/>
      <c r="ULB42" s="515"/>
      <c r="ULC42" s="1207"/>
      <c r="ULD42" s="1207"/>
      <c r="ULE42" s="1207"/>
      <c r="ULF42" s="1207"/>
      <c r="ULG42" s="1207"/>
      <c r="ULH42" s="1207"/>
      <c r="ULI42" s="1207"/>
      <c r="ULJ42" s="1207"/>
      <c r="ULK42" s="1207"/>
      <c r="ULL42" s="1207"/>
      <c r="ULM42" s="515"/>
      <c r="ULN42" s="1207"/>
      <c r="ULO42" s="1207"/>
      <c r="ULP42" s="1207"/>
      <c r="ULQ42" s="1207"/>
      <c r="ULR42" s="1207"/>
      <c r="ULS42" s="1207"/>
      <c r="ULT42" s="1207"/>
      <c r="ULU42" s="1207"/>
      <c r="ULV42" s="1207"/>
      <c r="ULW42" s="1207"/>
      <c r="ULX42" s="515"/>
      <c r="ULY42" s="1207"/>
      <c r="ULZ42" s="1207"/>
      <c r="UMA42" s="1207"/>
      <c r="UMB42" s="1207"/>
      <c r="UMC42" s="1207"/>
      <c r="UMD42" s="1207"/>
      <c r="UME42" s="1207"/>
      <c r="UMF42" s="1207"/>
      <c r="UMG42" s="1207"/>
      <c r="UMH42" s="1207"/>
      <c r="UMI42" s="515"/>
      <c r="UMJ42" s="1207"/>
      <c r="UMK42" s="1207"/>
      <c r="UML42" s="1207"/>
      <c r="UMM42" s="1207"/>
      <c r="UMN42" s="1207"/>
      <c r="UMO42" s="1207"/>
      <c r="UMP42" s="1207"/>
      <c r="UMQ42" s="1207"/>
      <c r="UMR42" s="1207"/>
      <c r="UMS42" s="1207"/>
      <c r="UMT42" s="515"/>
      <c r="UMU42" s="1207"/>
      <c r="UMV42" s="1207"/>
      <c r="UMW42" s="1207"/>
      <c r="UMX42" s="1207"/>
      <c r="UMY42" s="1207"/>
      <c r="UMZ42" s="1207"/>
      <c r="UNA42" s="1207"/>
      <c r="UNB42" s="1207"/>
      <c r="UNC42" s="1207"/>
      <c r="UND42" s="1207"/>
      <c r="UNE42" s="515"/>
      <c r="UNF42" s="1207"/>
      <c r="UNG42" s="1207"/>
      <c r="UNH42" s="1207"/>
      <c r="UNI42" s="1207"/>
      <c r="UNJ42" s="1207"/>
      <c r="UNK42" s="1207"/>
      <c r="UNL42" s="1207"/>
      <c r="UNM42" s="1207"/>
      <c r="UNN42" s="1207"/>
      <c r="UNO42" s="1207"/>
      <c r="UNP42" s="515"/>
      <c r="UNQ42" s="1207"/>
      <c r="UNR42" s="1207"/>
      <c r="UNS42" s="1207"/>
      <c r="UNT42" s="1207"/>
      <c r="UNU42" s="1207"/>
      <c r="UNV42" s="1207"/>
      <c r="UNW42" s="1207"/>
      <c r="UNX42" s="1207"/>
      <c r="UNY42" s="1207"/>
      <c r="UNZ42" s="1207"/>
      <c r="UOA42" s="515"/>
      <c r="UOB42" s="1207"/>
      <c r="UOC42" s="1207"/>
      <c r="UOD42" s="1207"/>
      <c r="UOE42" s="1207"/>
      <c r="UOF42" s="1207"/>
      <c r="UOG42" s="1207"/>
      <c r="UOH42" s="1207"/>
      <c r="UOI42" s="1207"/>
      <c r="UOJ42" s="1207"/>
      <c r="UOK42" s="1207"/>
      <c r="UOL42" s="515"/>
      <c r="UOM42" s="1207"/>
      <c r="UON42" s="1207"/>
      <c r="UOO42" s="1207"/>
      <c r="UOP42" s="1207"/>
      <c r="UOQ42" s="1207"/>
      <c r="UOR42" s="1207"/>
      <c r="UOS42" s="1207"/>
      <c r="UOT42" s="1207"/>
      <c r="UOU42" s="1207"/>
      <c r="UOV42" s="1207"/>
      <c r="UOW42" s="515"/>
      <c r="UOX42" s="1207"/>
      <c r="UOY42" s="1207"/>
      <c r="UOZ42" s="1207"/>
      <c r="UPA42" s="1207"/>
      <c r="UPB42" s="1207"/>
      <c r="UPC42" s="1207"/>
      <c r="UPD42" s="1207"/>
      <c r="UPE42" s="1207"/>
      <c r="UPF42" s="1207"/>
      <c r="UPG42" s="1207"/>
      <c r="UPH42" s="515"/>
      <c r="UPI42" s="1207"/>
      <c r="UPJ42" s="1207"/>
      <c r="UPK42" s="1207"/>
      <c r="UPL42" s="1207"/>
      <c r="UPM42" s="1207"/>
      <c r="UPN42" s="1207"/>
      <c r="UPO42" s="1207"/>
      <c r="UPP42" s="1207"/>
      <c r="UPQ42" s="1207"/>
      <c r="UPR42" s="1207"/>
      <c r="UPS42" s="515"/>
      <c r="UPT42" s="1207"/>
      <c r="UPU42" s="1207"/>
      <c r="UPV42" s="1207"/>
      <c r="UPW42" s="1207"/>
      <c r="UPX42" s="1207"/>
      <c r="UPY42" s="1207"/>
      <c r="UPZ42" s="1207"/>
      <c r="UQA42" s="1207"/>
      <c r="UQB42" s="1207"/>
      <c r="UQC42" s="1207"/>
      <c r="UQD42" s="515"/>
      <c r="UQE42" s="1207"/>
      <c r="UQF42" s="1207"/>
      <c r="UQG42" s="1207"/>
      <c r="UQH42" s="1207"/>
      <c r="UQI42" s="1207"/>
      <c r="UQJ42" s="1207"/>
      <c r="UQK42" s="1207"/>
      <c r="UQL42" s="1207"/>
      <c r="UQM42" s="1207"/>
      <c r="UQN42" s="1207"/>
      <c r="UQO42" s="515"/>
      <c r="UQP42" s="1207"/>
      <c r="UQQ42" s="1207"/>
      <c r="UQR42" s="1207"/>
      <c r="UQS42" s="1207"/>
      <c r="UQT42" s="1207"/>
      <c r="UQU42" s="1207"/>
      <c r="UQV42" s="1207"/>
      <c r="UQW42" s="1207"/>
      <c r="UQX42" s="1207"/>
      <c r="UQY42" s="1207"/>
      <c r="UQZ42" s="515"/>
      <c r="URA42" s="1207"/>
      <c r="URB42" s="1207"/>
      <c r="URC42" s="1207"/>
      <c r="URD42" s="1207"/>
      <c r="URE42" s="1207"/>
      <c r="URF42" s="1207"/>
      <c r="URG42" s="1207"/>
      <c r="URH42" s="1207"/>
      <c r="URI42" s="1207"/>
      <c r="URJ42" s="1207"/>
      <c r="URK42" s="515"/>
      <c r="URL42" s="1207"/>
      <c r="URM42" s="1207"/>
      <c r="URN42" s="1207"/>
      <c r="URO42" s="1207"/>
      <c r="URP42" s="1207"/>
      <c r="URQ42" s="1207"/>
      <c r="URR42" s="1207"/>
      <c r="URS42" s="1207"/>
      <c r="URT42" s="1207"/>
      <c r="URU42" s="1207"/>
      <c r="URV42" s="515"/>
      <c r="URW42" s="1207"/>
      <c r="URX42" s="1207"/>
      <c r="URY42" s="1207"/>
      <c r="URZ42" s="1207"/>
      <c r="USA42" s="1207"/>
      <c r="USB42" s="1207"/>
      <c r="USC42" s="1207"/>
      <c r="USD42" s="1207"/>
      <c r="USE42" s="1207"/>
      <c r="USF42" s="1207"/>
      <c r="USG42" s="515"/>
      <c r="USH42" s="1207"/>
      <c r="USI42" s="1207"/>
      <c r="USJ42" s="1207"/>
      <c r="USK42" s="1207"/>
      <c r="USL42" s="1207"/>
      <c r="USM42" s="1207"/>
      <c r="USN42" s="1207"/>
      <c r="USO42" s="1207"/>
      <c r="USP42" s="1207"/>
      <c r="USQ42" s="1207"/>
      <c r="USR42" s="515"/>
      <c r="USS42" s="1207"/>
      <c r="UST42" s="1207"/>
      <c r="USU42" s="1207"/>
      <c r="USV42" s="1207"/>
      <c r="USW42" s="1207"/>
      <c r="USX42" s="1207"/>
      <c r="USY42" s="1207"/>
      <c r="USZ42" s="1207"/>
      <c r="UTA42" s="1207"/>
      <c r="UTB42" s="1207"/>
      <c r="UTC42" s="515"/>
      <c r="UTD42" s="1207"/>
      <c r="UTE42" s="1207"/>
      <c r="UTF42" s="1207"/>
      <c r="UTG42" s="1207"/>
      <c r="UTH42" s="1207"/>
      <c r="UTI42" s="1207"/>
      <c r="UTJ42" s="1207"/>
      <c r="UTK42" s="1207"/>
      <c r="UTL42" s="1207"/>
      <c r="UTM42" s="1207"/>
      <c r="UTN42" s="515"/>
      <c r="UTO42" s="1207"/>
      <c r="UTP42" s="1207"/>
      <c r="UTQ42" s="1207"/>
      <c r="UTR42" s="1207"/>
      <c r="UTS42" s="1207"/>
      <c r="UTT42" s="1207"/>
      <c r="UTU42" s="1207"/>
      <c r="UTV42" s="1207"/>
      <c r="UTW42" s="1207"/>
      <c r="UTX42" s="1207"/>
      <c r="UTY42" s="515"/>
      <c r="UTZ42" s="1207"/>
      <c r="UUA42" s="1207"/>
      <c r="UUB42" s="1207"/>
      <c r="UUC42" s="1207"/>
      <c r="UUD42" s="1207"/>
      <c r="UUE42" s="1207"/>
      <c r="UUF42" s="1207"/>
      <c r="UUG42" s="1207"/>
      <c r="UUH42" s="1207"/>
      <c r="UUI42" s="1207"/>
      <c r="UUJ42" s="515"/>
      <c r="UUK42" s="1207"/>
      <c r="UUL42" s="1207"/>
      <c r="UUM42" s="1207"/>
      <c r="UUN42" s="1207"/>
      <c r="UUO42" s="1207"/>
      <c r="UUP42" s="1207"/>
      <c r="UUQ42" s="1207"/>
      <c r="UUR42" s="1207"/>
      <c r="UUS42" s="1207"/>
      <c r="UUT42" s="1207"/>
      <c r="UUU42" s="515"/>
      <c r="UUV42" s="1207"/>
      <c r="UUW42" s="1207"/>
      <c r="UUX42" s="1207"/>
      <c r="UUY42" s="1207"/>
      <c r="UUZ42" s="1207"/>
      <c r="UVA42" s="1207"/>
      <c r="UVB42" s="1207"/>
      <c r="UVC42" s="1207"/>
      <c r="UVD42" s="1207"/>
      <c r="UVE42" s="1207"/>
      <c r="UVF42" s="515"/>
      <c r="UVG42" s="1207"/>
      <c r="UVH42" s="1207"/>
      <c r="UVI42" s="1207"/>
      <c r="UVJ42" s="1207"/>
      <c r="UVK42" s="1207"/>
      <c r="UVL42" s="1207"/>
      <c r="UVM42" s="1207"/>
      <c r="UVN42" s="1207"/>
      <c r="UVO42" s="1207"/>
      <c r="UVP42" s="1207"/>
      <c r="UVQ42" s="515"/>
      <c r="UVR42" s="1207"/>
      <c r="UVS42" s="1207"/>
      <c r="UVT42" s="1207"/>
      <c r="UVU42" s="1207"/>
      <c r="UVV42" s="1207"/>
      <c r="UVW42" s="1207"/>
      <c r="UVX42" s="1207"/>
      <c r="UVY42" s="1207"/>
      <c r="UVZ42" s="1207"/>
      <c r="UWA42" s="1207"/>
      <c r="UWB42" s="515"/>
      <c r="UWC42" s="1207"/>
      <c r="UWD42" s="1207"/>
      <c r="UWE42" s="1207"/>
      <c r="UWF42" s="1207"/>
      <c r="UWG42" s="1207"/>
      <c r="UWH42" s="1207"/>
      <c r="UWI42" s="1207"/>
      <c r="UWJ42" s="1207"/>
      <c r="UWK42" s="1207"/>
      <c r="UWL42" s="1207"/>
      <c r="UWM42" s="515"/>
      <c r="UWN42" s="1207"/>
      <c r="UWO42" s="1207"/>
      <c r="UWP42" s="1207"/>
      <c r="UWQ42" s="1207"/>
      <c r="UWR42" s="1207"/>
      <c r="UWS42" s="1207"/>
      <c r="UWT42" s="1207"/>
      <c r="UWU42" s="1207"/>
      <c r="UWV42" s="1207"/>
      <c r="UWW42" s="1207"/>
      <c r="UWX42" s="515"/>
      <c r="UWY42" s="1207"/>
      <c r="UWZ42" s="1207"/>
      <c r="UXA42" s="1207"/>
      <c r="UXB42" s="1207"/>
      <c r="UXC42" s="1207"/>
      <c r="UXD42" s="1207"/>
      <c r="UXE42" s="1207"/>
      <c r="UXF42" s="1207"/>
      <c r="UXG42" s="1207"/>
      <c r="UXH42" s="1207"/>
      <c r="UXI42" s="515"/>
      <c r="UXJ42" s="1207"/>
      <c r="UXK42" s="1207"/>
      <c r="UXL42" s="1207"/>
      <c r="UXM42" s="1207"/>
      <c r="UXN42" s="1207"/>
      <c r="UXO42" s="1207"/>
      <c r="UXP42" s="1207"/>
      <c r="UXQ42" s="1207"/>
      <c r="UXR42" s="1207"/>
      <c r="UXS42" s="1207"/>
      <c r="UXT42" s="515"/>
      <c r="UXU42" s="1207"/>
      <c r="UXV42" s="1207"/>
      <c r="UXW42" s="1207"/>
      <c r="UXX42" s="1207"/>
      <c r="UXY42" s="1207"/>
      <c r="UXZ42" s="1207"/>
      <c r="UYA42" s="1207"/>
      <c r="UYB42" s="1207"/>
      <c r="UYC42" s="1207"/>
      <c r="UYD42" s="1207"/>
      <c r="UYE42" s="515"/>
      <c r="UYF42" s="1207"/>
      <c r="UYG42" s="1207"/>
      <c r="UYH42" s="1207"/>
      <c r="UYI42" s="1207"/>
      <c r="UYJ42" s="1207"/>
      <c r="UYK42" s="1207"/>
      <c r="UYL42" s="1207"/>
      <c r="UYM42" s="1207"/>
      <c r="UYN42" s="1207"/>
      <c r="UYO42" s="1207"/>
      <c r="UYP42" s="515"/>
      <c r="UYQ42" s="1207"/>
      <c r="UYR42" s="1207"/>
      <c r="UYS42" s="1207"/>
      <c r="UYT42" s="1207"/>
      <c r="UYU42" s="1207"/>
      <c r="UYV42" s="1207"/>
      <c r="UYW42" s="1207"/>
      <c r="UYX42" s="1207"/>
      <c r="UYY42" s="1207"/>
      <c r="UYZ42" s="1207"/>
      <c r="UZA42" s="515"/>
      <c r="UZB42" s="1207"/>
      <c r="UZC42" s="1207"/>
      <c r="UZD42" s="1207"/>
      <c r="UZE42" s="1207"/>
      <c r="UZF42" s="1207"/>
      <c r="UZG42" s="1207"/>
      <c r="UZH42" s="1207"/>
      <c r="UZI42" s="1207"/>
      <c r="UZJ42" s="1207"/>
      <c r="UZK42" s="1207"/>
      <c r="UZL42" s="515"/>
      <c r="UZM42" s="1207"/>
      <c r="UZN42" s="1207"/>
      <c r="UZO42" s="1207"/>
      <c r="UZP42" s="1207"/>
      <c r="UZQ42" s="1207"/>
      <c r="UZR42" s="1207"/>
      <c r="UZS42" s="1207"/>
      <c r="UZT42" s="1207"/>
      <c r="UZU42" s="1207"/>
      <c r="UZV42" s="1207"/>
      <c r="UZW42" s="515"/>
      <c r="UZX42" s="1207"/>
      <c r="UZY42" s="1207"/>
      <c r="UZZ42" s="1207"/>
      <c r="VAA42" s="1207"/>
      <c r="VAB42" s="1207"/>
      <c r="VAC42" s="1207"/>
      <c r="VAD42" s="1207"/>
      <c r="VAE42" s="1207"/>
      <c r="VAF42" s="1207"/>
      <c r="VAG42" s="1207"/>
      <c r="VAH42" s="515"/>
      <c r="VAI42" s="1207"/>
      <c r="VAJ42" s="1207"/>
      <c r="VAK42" s="1207"/>
      <c r="VAL42" s="1207"/>
      <c r="VAM42" s="1207"/>
      <c r="VAN42" s="1207"/>
      <c r="VAO42" s="1207"/>
      <c r="VAP42" s="1207"/>
      <c r="VAQ42" s="1207"/>
      <c r="VAR42" s="1207"/>
      <c r="VAS42" s="515"/>
      <c r="VAT42" s="1207"/>
      <c r="VAU42" s="1207"/>
      <c r="VAV42" s="1207"/>
      <c r="VAW42" s="1207"/>
      <c r="VAX42" s="1207"/>
      <c r="VAY42" s="1207"/>
      <c r="VAZ42" s="1207"/>
      <c r="VBA42" s="1207"/>
      <c r="VBB42" s="1207"/>
      <c r="VBC42" s="1207"/>
      <c r="VBD42" s="515"/>
      <c r="VBE42" s="1207"/>
      <c r="VBF42" s="1207"/>
      <c r="VBG42" s="1207"/>
      <c r="VBH42" s="1207"/>
      <c r="VBI42" s="1207"/>
      <c r="VBJ42" s="1207"/>
      <c r="VBK42" s="1207"/>
      <c r="VBL42" s="1207"/>
      <c r="VBM42" s="1207"/>
      <c r="VBN42" s="1207"/>
      <c r="VBO42" s="515"/>
      <c r="VBP42" s="1207"/>
      <c r="VBQ42" s="1207"/>
      <c r="VBR42" s="1207"/>
      <c r="VBS42" s="1207"/>
      <c r="VBT42" s="1207"/>
      <c r="VBU42" s="1207"/>
      <c r="VBV42" s="1207"/>
      <c r="VBW42" s="1207"/>
      <c r="VBX42" s="1207"/>
      <c r="VBY42" s="1207"/>
      <c r="VBZ42" s="515"/>
      <c r="VCA42" s="1207"/>
      <c r="VCB42" s="1207"/>
      <c r="VCC42" s="1207"/>
      <c r="VCD42" s="1207"/>
      <c r="VCE42" s="1207"/>
      <c r="VCF42" s="1207"/>
      <c r="VCG42" s="1207"/>
      <c r="VCH42" s="1207"/>
      <c r="VCI42" s="1207"/>
      <c r="VCJ42" s="1207"/>
      <c r="VCK42" s="515"/>
      <c r="VCL42" s="1207"/>
      <c r="VCM42" s="1207"/>
      <c r="VCN42" s="1207"/>
      <c r="VCO42" s="1207"/>
      <c r="VCP42" s="1207"/>
      <c r="VCQ42" s="1207"/>
      <c r="VCR42" s="1207"/>
      <c r="VCS42" s="1207"/>
      <c r="VCT42" s="1207"/>
      <c r="VCU42" s="1207"/>
      <c r="VCV42" s="515"/>
      <c r="VCW42" s="1207"/>
      <c r="VCX42" s="1207"/>
      <c r="VCY42" s="1207"/>
      <c r="VCZ42" s="1207"/>
      <c r="VDA42" s="1207"/>
      <c r="VDB42" s="1207"/>
      <c r="VDC42" s="1207"/>
      <c r="VDD42" s="1207"/>
      <c r="VDE42" s="1207"/>
      <c r="VDF42" s="1207"/>
      <c r="VDG42" s="515"/>
      <c r="VDH42" s="1207"/>
      <c r="VDI42" s="1207"/>
      <c r="VDJ42" s="1207"/>
      <c r="VDK42" s="1207"/>
      <c r="VDL42" s="1207"/>
      <c r="VDM42" s="1207"/>
      <c r="VDN42" s="1207"/>
      <c r="VDO42" s="1207"/>
      <c r="VDP42" s="1207"/>
      <c r="VDQ42" s="1207"/>
      <c r="VDR42" s="515"/>
      <c r="VDS42" s="1207"/>
      <c r="VDT42" s="1207"/>
      <c r="VDU42" s="1207"/>
      <c r="VDV42" s="1207"/>
      <c r="VDW42" s="1207"/>
      <c r="VDX42" s="1207"/>
      <c r="VDY42" s="1207"/>
      <c r="VDZ42" s="1207"/>
      <c r="VEA42" s="1207"/>
      <c r="VEB42" s="1207"/>
      <c r="VEC42" s="515"/>
      <c r="VED42" s="1207"/>
      <c r="VEE42" s="1207"/>
      <c r="VEF42" s="1207"/>
      <c r="VEG42" s="1207"/>
      <c r="VEH42" s="1207"/>
      <c r="VEI42" s="1207"/>
      <c r="VEJ42" s="1207"/>
      <c r="VEK42" s="1207"/>
      <c r="VEL42" s="1207"/>
      <c r="VEM42" s="1207"/>
      <c r="VEN42" s="515"/>
      <c r="VEO42" s="1207"/>
      <c r="VEP42" s="1207"/>
      <c r="VEQ42" s="1207"/>
      <c r="VER42" s="1207"/>
      <c r="VES42" s="1207"/>
      <c r="VET42" s="1207"/>
      <c r="VEU42" s="1207"/>
      <c r="VEV42" s="1207"/>
      <c r="VEW42" s="1207"/>
      <c r="VEX42" s="1207"/>
      <c r="VEY42" s="515"/>
      <c r="VEZ42" s="1207"/>
      <c r="VFA42" s="1207"/>
      <c r="VFB42" s="1207"/>
      <c r="VFC42" s="1207"/>
      <c r="VFD42" s="1207"/>
      <c r="VFE42" s="1207"/>
      <c r="VFF42" s="1207"/>
      <c r="VFG42" s="1207"/>
      <c r="VFH42" s="1207"/>
      <c r="VFI42" s="1207"/>
      <c r="VFJ42" s="515"/>
      <c r="VFK42" s="1207"/>
      <c r="VFL42" s="1207"/>
      <c r="VFM42" s="1207"/>
      <c r="VFN42" s="1207"/>
      <c r="VFO42" s="1207"/>
      <c r="VFP42" s="1207"/>
      <c r="VFQ42" s="1207"/>
      <c r="VFR42" s="1207"/>
      <c r="VFS42" s="1207"/>
      <c r="VFT42" s="1207"/>
      <c r="VFU42" s="515"/>
      <c r="VFV42" s="1207"/>
      <c r="VFW42" s="1207"/>
      <c r="VFX42" s="1207"/>
      <c r="VFY42" s="1207"/>
      <c r="VFZ42" s="1207"/>
      <c r="VGA42" s="1207"/>
      <c r="VGB42" s="1207"/>
      <c r="VGC42" s="1207"/>
      <c r="VGD42" s="1207"/>
      <c r="VGE42" s="1207"/>
      <c r="VGF42" s="515"/>
      <c r="VGG42" s="1207"/>
      <c r="VGH42" s="1207"/>
      <c r="VGI42" s="1207"/>
      <c r="VGJ42" s="1207"/>
      <c r="VGK42" s="1207"/>
      <c r="VGL42" s="1207"/>
      <c r="VGM42" s="1207"/>
      <c r="VGN42" s="1207"/>
      <c r="VGO42" s="1207"/>
      <c r="VGP42" s="1207"/>
      <c r="VGQ42" s="515"/>
      <c r="VGR42" s="1207"/>
      <c r="VGS42" s="1207"/>
      <c r="VGT42" s="1207"/>
      <c r="VGU42" s="1207"/>
      <c r="VGV42" s="1207"/>
      <c r="VGW42" s="1207"/>
      <c r="VGX42" s="1207"/>
      <c r="VGY42" s="1207"/>
      <c r="VGZ42" s="1207"/>
      <c r="VHA42" s="1207"/>
      <c r="VHB42" s="515"/>
      <c r="VHC42" s="1207"/>
      <c r="VHD42" s="1207"/>
      <c r="VHE42" s="1207"/>
      <c r="VHF42" s="1207"/>
      <c r="VHG42" s="1207"/>
      <c r="VHH42" s="1207"/>
      <c r="VHI42" s="1207"/>
      <c r="VHJ42" s="1207"/>
      <c r="VHK42" s="1207"/>
      <c r="VHL42" s="1207"/>
      <c r="VHM42" s="515"/>
      <c r="VHN42" s="1207"/>
      <c r="VHO42" s="1207"/>
      <c r="VHP42" s="1207"/>
      <c r="VHQ42" s="1207"/>
      <c r="VHR42" s="1207"/>
      <c r="VHS42" s="1207"/>
      <c r="VHT42" s="1207"/>
      <c r="VHU42" s="1207"/>
      <c r="VHV42" s="1207"/>
      <c r="VHW42" s="1207"/>
      <c r="VHX42" s="515"/>
      <c r="VHY42" s="1207"/>
      <c r="VHZ42" s="1207"/>
      <c r="VIA42" s="1207"/>
      <c r="VIB42" s="1207"/>
      <c r="VIC42" s="1207"/>
      <c r="VID42" s="1207"/>
      <c r="VIE42" s="1207"/>
      <c r="VIF42" s="1207"/>
      <c r="VIG42" s="1207"/>
      <c r="VIH42" s="1207"/>
      <c r="VII42" s="515"/>
      <c r="VIJ42" s="1207"/>
      <c r="VIK42" s="1207"/>
      <c r="VIL42" s="1207"/>
      <c r="VIM42" s="1207"/>
      <c r="VIN42" s="1207"/>
      <c r="VIO42" s="1207"/>
      <c r="VIP42" s="1207"/>
      <c r="VIQ42" s="1207"/>
      <c r="VIR42" s="1207"/>
      <c r="VIS42" s="1207"/>
      <c r="VIT42" s="515"/>
      <c r="VIU42" s="1207"/>
      <c r="VIV42" s="1207"/>
      <c r="VIW42" s="1207"/>
      <c r="VIX42" s="1207"/>
      <c r="VIY42" s="1207"/>
      <c r="VIZ42" s="1207"/>
      <c r="VJA42" s="1207"/>
      <c r="VJB42" s="1207"/>
      <c r="VJC42" s="1207"/>
      <c r="VJD42" s="1207"/>
      <c r="VJE42" s="515"/>
      <c r="VJF42" s="1207"/>
      <c r="VJG42" s="1207"/>
      <c r="VJH42" s="1207"/>
      <c r="VJI42" s="1207"/>
      <c r="VJJ42" s="1207"/>
      <c r="VJK42" s="1207"/>
      <c r="VJL42" s="1207"/>
      <c r="VJM42" s="1207"/>
      <c r="VJN42" s="1207"/>
      <c r="VJO42" s="1207"/>
      <c r="VJP42" s="515"/>
      <c r="VJQ42" s="1207"/>
      <c r="VJR42" s="1207"/>
      <c r="VJS42" s="1207"/>
      <c r="VJT42" s="1207"/>
      <c r="VJU42" s="1207"/>
      <c r="VJV42" s="1207"/>
      <c r="VJW42" s="1207"/>
      <c r="VJX42" s="1207"/>
      <c r="VJY42" s="1207"/>
      <c r="VJZ42" s="1207"/>
      <c r="VKA42" s="515"/>
      <c r="VKB42" s="1207"/>
      <c r="VKC42" s="1207"/>
      <c r="VKD42" s="1207"/>
      <c r="VKE42" s="1207"/>
      <c r="VKF42" s="1207"/>
      <c r="VKG42" s="1207"/>
      <c r="VKH42" s="1207"/>
      <c r="VKI42" s="1207"/>
      <c r="VKJ42" s="1207"/>
      <c r="VKK42" s="1207"/>
      <c r="VKL42" s="515"/>
      <c r="VKM42" s="1207"/>
      <c r="VKN42" s="1207"/>
      <c r="VKO42" s="1207"/>
      <c r="VKP42" s="1207"/>
      <c r="VKQ42" s="1207"/>
      <c r="VKR42" s="1207"/>
      <c r="VKS42" s="1207"/>
      <c r="VKT42" s="1207"/>
      <c r="VKU42" s="1207"/>
      <c r="VKV42" s="1207"/>
      <c r="VKW42" s="515"/>
      <c r="VKX42" s="1207"/>
      <c r="VKY42" s="1207"/>
      <c r="VKZ42" s="1207"/>
      <c r="VLA42" s="1207"/>
      <c r="VLB42" s="1207"/>
      <c r="VLC42" s="1207"/>
      <c r="VLD42" s="1207"/>
      <c r="VLE42" s="1207"/>
      <c r="VLF42" s="1207"/>
      <c r="VLG42" s="1207"/>
      <c r="VLH42" s="515"/>
      <c r="VLI42" s="1207"/>
      <c r="VLJ42" s="1207"/>
      <c r="VLK42" s="1207"/>
      <c r="VLL42" s="1207"/>
      <c r="VLM42" s="1207"/>
      <c r="VLN42" s="1207"/>
      <c r="VLO42" s="1207"/>
      <c r="VLP42" s="1207"/>
      <c r="VLQ42" s="1207"/>
      <c r="VLR42" s="1207"/>
      <c r="VLS42" s="515"/>
      <c r="VLT42" s="1207"/>
      <c r="VLU42" s="1207"/>
      <c r="VLV42" s="1207"/>
      <c r="VLW42" s="1207"/>
      <c r="VLX42" s="1207"/>
      <c r="VLY42" s="1207"/>
      <c r="VLZ42" s="1207"/>
      <c r="VMA42" s="1207"/>
      <c r="VMB42" s="1207"/>
      <c r="VMC42" s="1207"/>
      <c r="VMD42" s="515"/>
      <c r="VME42" s="1207"/>
      <c r="VMF42" s="1207"/>
      <c r="VMG42" s="1207"/>
      <c r="VMH42" s="1207"/>
      <c r="VMI42" s="1207"/>
      <c r="VMJ42" s="1207"/>
      <c r="VMK42" s="1207"/>
      <c r="VML42" s="1207"/>
      <c r="VMM42" s="1207"/>
      <c r="VMN42" s="1207"/>
      <c r="VMO42" s="515"/>
      <c r="VMP42" s="1207"/>
      <c r="VMQ42" s="1207"/>
      <c r="VMR42" s="1207"/>
      <c r="VMS42" s="1207"/>
      <c r="VMT42" s="1207"/>
      <c r="VMU42" s="1207"/>
      <c r="VMV42" s="1207"/>
      <c r="VMW42" s="1207"/>
      <c r="VMX42" s="1207"/>
      <c r="VMY42" s="1207"/>
      <c r="VMZ42" s="515"/>
      <c r="VNA42" s="1207"/>
      <c r="VNB42" s="1207"/>
      <c r="VNC42" s="1207"/>
      <c r="VND42" s="1207"/>
      <c r="VNE42" s="1207"/>
      <c r="VNF42" s="1207"/>
      <c r="VNG42" s="1207"/>
      <c r="VNH42" s="1207"/>
      <c r="VNI42" s="1207"/>
      <c r="VNJ42" s="1207"/>
      <c r="VNK42" s="515"/>
      <c r="VNL42" s="1207"/>
      <c r="VNM42" s="1207"/>
      <c r="VNN42" s="1207"/>
      <c r="VNO42" s="1207"/>
      <c r="VNP42" s="1207"/>
      <c r="VNQ42" s="1207"/>
      <c r="VNR42" s="1207"/>
      <c r="VNS42" s="1207"/>
      <c r="VNT42" s="1207"/>
      <c r="VNU42" s="1207"/>
      <c r="VNV42" s="515"/>
      <c r="VNW42" s="1207"/>
      <c r="VNX42" s="1207"/>
      <c r="VNY42" s="1207"/>
      <c r="VNZ42" s="1207"/>
      <c r="VOA42" s="1207"/>
      <c r="VOB42" s="1207"/>
      <c r="VOC42" s="1207"/>
      <c r="VOD42" s="1207"/>
      <c r="VOE42" s="1207"/>
      <c r="VOF42" s="1207"/>
      <c r="VOG42" s="515"/>
      <c r="VOH42" s="1207"/>
      <c r="VOI42" s="1207"/>
      <c r="VOJ42" s="1207"/>
      <c r="VOK42" s="1207"/>
      <c r="VOL42" s="1207"/>
      <c r="VOM42" s="1207"/>
      <c r="VON42" s="1207"/>
      <c r="VOO42" s="1207"/>
      <c r="VOP42" s="1207"/>
      <c r="VOQ42" s="1207"/>
      <c r="VOR42" s="515"/>
      <c r="VOS42" s="1207"/>
      <c r="VOT42" s="1207"/>
      <c r="VOU42" s="1207"/>
      <c r="VOV42" s="1207"/>
      <c r="VOW42" s="1207"/>
      <c r="VOX42" s="1207"/>
      <c r="VOY42" s="1207"/>
      <c r="VOZ42" s="1207"/>
      <c r="VPA42" s="1207"/>
      <c r="VPB42" s="1207"/>
      <c r="VPC42" s="515"/>
      <c r="VPD42" s="1207"/>
      <c r="VPE42" s="1207"/>
      <c r="VPF42" s="1207"/>
      <c r="VPG42" s="1207"/>
      <c r="VPH42" s="1207"/>
      <c r="VPI42" s="1207"/>
      <c r="VPJ42" s="1207"/>
      <c r="VPK42" s="1207"/>
      <c r="VPL42" s="1207"/>
      <c r="VPM42" s="1207"/>
      <c r="VPN42" s="515"/>
      <c r="VPO42" s="1207"/>
      <c r="VPP42" s="1207"/>
      <c r="VPQ42" s="1207"/>
      <c r="VPR42" s="1207"/>
      <c r="VPS42" s="1207"/>
      <c r="VPT42" s="1207"/>
      <c r="VPU42" s="1207"/>
      <c r="VPV42" s="1207"/>
      <c r="VPW42" s="1207"/>
      <c r="VPX42" s="1207"/>
      <c r="VPY42" s="515"/>
      <c r="VPZ42" s="1207"/>
      <c r="VQA42" s="1207"/>
      <c r="VQB42" s="1207"/>
      <c r="VQC42" s="1207"/>
      <c r="VQD42" s="1207"/>
      <c r="VQE42" s="1207"/>
      <c r="VQF42" s="1207"/>
      <c r="VQG42" s="1207"/>
      <c r="VQH42" s="1207"/>
      <c r="VQI42" s="1207"/>
      <c r="VQJ42" s="515"/>
      <c r="VQK42" s="1207"/>
      <c r="VQL42" s="1207"/>
      <c r="VQM42" s="1207"/>
      <c r="VQN42" s="1207"/>
      <c r="VQO42" s="1207"/>
      <c r="VQP42" s="1207"/>
      <c r="VQQ42" s="1207"/>
      <c r="VQR42" s="1207"/>
      <c r="VQS42" s="1207"/>
      <c r="VQT42" s="1207"/>
      <c r="VQU42" s="515"/>
      <c r="VQV42" s="1207"/>
      <c r="VQW42" s="1207"/>
      <c r="VQX42" s="1207"/>
      <c r="VQY42" s="1207"/>
      <c r="VQZ42" s="1207"/>
      <c r="VRA42" s="1207"/>
      <c r="VRB42" s="1207"/>
      <c r="VRC42" s="1207"/>
      <c r="VRD42" s="1207"/>
      <c r="VRE42" s="1207"/>
      <c r="VRF42" s="515"/>
      <c r="VRG42" s="1207"/>
      <c r="VRH42" s="1207"/>
      <c r="VRI42" s="1207"/>
      <c r="VRJ42" s="1207"/>
      <c r="VRK42" s="1207"/>
      <c r="VRL42" s="1207"/>
      <c r="VRM42" s="1207"/>
      <c r="VRN42" s="1207"/>
      <c r="VRO42" s="1207"/>
      <c r="VRP42" s="1207"/>
      <c r="VRQ42" s="515"/>
      <c r="VRR42" s="1207"/>
      <c r="VRS42" s="1207"/>
      <c r="VRT42" s="1207"/>
      <c r="VRU42" s="1207"/>
      <c r="VRV42" s="1207"/>
      <c r="VRW42" s="1207"/>
      <c r="VRX42" s="1207"/>
      <c r="VRY42" s="1207"/>
      <c r="VRZ42" s="1207"/>
      <c r="VSA42" s="1207"/>
      <c r="VSB42" s="515"/>
      <c r="VSC42" s="1207"/>
      <c r="VSD42" s="1207"/>
      <c r="VSE42" s="1207"/>
      <c r="VSF42" s="1207"/>
      <c r="VSG42" s="1207"/>
      <c r="VSH42" s="1207"/>
      <c r="VSI42" s="1207"/>
      <c r="VSJ42" s="1207"/>
      <c r="VSK42" s="1207"/>
      <c r="VSL42" s="1207"/>
      <c r="VSM42" s="515"/>
      <c r="VSN42" s="1207"/>
      <c r="VSO42" s="1207"/>
      <c r="VSP42" s="1207"/>
      <c r="VSQ42" s="1207"/>
      <c r="VSR42" s="1207"/>
      <c r="VSS42" s="1207"/>
      <c r="VST42" s="1207"/>
      <c r="VSU42" s="1207"/>
      <c r="VSV42" s="1207"/>
      <c r="VSW42" s="1207"/>
      <c r="VSX42" s="515"/>
      <c r="VSY42" s="1207"/>
      <c r="VSZ42" s="1207"/>
      <c r="VTA42" s="1207"/>
      <c r="VTB42" s="1207"/>
      <c r="VTC42" s="1207"/>
      <c r="VTD42" s="1207"/>
      <c r="VTE42" s="1207"/>
      <c r="VTF42" s="1207"/>
      <c r="VTG42" s="1207"/>
      <c r="VTH42" s="1207"/>
      <c r="VTI42" s="515"/>
      <c r="VTJ42" s="1207"/>
      <c r="VTK42" s="1207"/>
      <c r="VTL42" s="1207"/>
      <c r="VTM42" s="1207"/>
      <c r="VTN42" s="1207"/>
      <c r="VTO42" s="1207"/>
      <c r="VTP42" s="1207"/>
      <c r="VTQ42" s="1207"/>
      <c r="VTR42" s="1207"/>
      <c r="VTS42" s="1207"/>
      <c r="VTT42" s="515"/>
      <c r="VTU42" s="1207"/>
      <c r="VTV42" s="1207"/>
      <c r="VTW42" s="1207"/>
      <c r="VTX42" s="1207"/>
      <c r="VTY42" s="1207"/>
      <c r="VTZ42" s="1207"/>
      <c r="VUA42" s="1207"/>
      <c r="VUB42" s="1207"/>
      <c r="VUC42" s="1207"/>
      <c r="VUD42" s="1207"/>
      <c r="VUE42" s="515"/>
      <c r="VUF42" s="1207"/>
      <c r="VUG42" s="1207"/>
      <c r="VUH42" s="1207"/>
      <c r="VUI42" s="1207"/>
      <c r="VUJ42" s="1207"/>
      <c r="VUK42" s="1207"/>
      <c r="VUL42" s="1207"/>
      <c r="VUM42" s="1207"/>
      <c r="VUN42" s="1207"/>
      <c r="VUO42" s="1207"/>
      <c r="VUP42" s="515"/>
      <c r="VUQ42" s="1207"/>
      <c r="VUR42" s="1207"/>
      <c r="VUS42" s="1207"/>
      <c r="VUT42" s="1207"/>
      <c r="VUU42" s="1207"/>
      <c r="VUV42" s="1207"/>
      <c r="VUW42" s="1207"/>
      <c r="VUX42" s="1207"/>
      <c r="VUY42" s="1207"/>
      <c r="VUZ42" s="1207"/>
      <c r="VVA42" s="515"/>
      <c r="VVB42" s="1207"/>
      <c r="VVC42" s="1207"/>
      <c r="VVD42" s="1207"/>
      <c r="VVE42" s="1207"/>
      <c r="VVF42" s="1207"/>
      <c r="VVG42" s="1207"/>
      <c r="VVH42" s="1207"/>
      <c r="VVI42" s="1207"/>
      <c r="VVJ42" s="1207"/>
      <c r="VVK42" s="1207"/>
      <c r="VVL42" s="515"/>
      <c r="VVM42" s="1207"/>
      <c r="VVN42" s="1207"/>
      <c r="VVO42" s="1207"/>
      <c r="VVP42" s="1207"/>
      <c r="VVQ42" s="1207"/>
      <c r="VVR42" s="1207"/>
      <c r="VVS42" s="1207"/>
      <c r="VVT42" s="1207"/>
      <c r="VVU42" s="1207"/>
      <c r="VVV42" s="1207"/>
      <c r="VVW42" s="515"/>
      <c r="VVX42" s="1207"/>
      <c r="VVY42" s="1207"/>
      <c r="VVZ42" s="1207"/>
      <c r="VWA42" s="1207"/>
      <c r="VWB42" s="1207"/>
      <c r="VWC42" s="1207"/>
      <c r="VWD42" s="1207"/>
      <c r="VWE42" s="1207"/>
      <c r="VWF42" s="1207"/>
      <c r="VWG42" s="1207"/>
      <c r="VWH42" s="515"/>
      <c r="VWI42" s="1207"/>
      <c r="VWJ42" s="1207"/>
      <c r="VWK42" s="1207"/>
      <c r="VWL42" s="1207"/>
      <c r="VWM42" s="1207"/>
      <c r="VWN42" s="1207"/>
      <c r="VWO42" s="1207"/>
      <c r="VWP42" s="1207"/>
      <c r="VWQ42" s="1207"/>
      <c r="VWR42" s="1207"/>
      <c r="VWS42" s="515"/>
      <c r="VWT42" s="1207"/>
      <c r="VWU42" s="1207"/>
      <c r="VWV42" s="1207"/>
      <c r="VWW42" s="1207"/>
      <c r="VWX42" s="1207"/>
      <c r="VWY42" s="1207"/>
      <c r="VWZ42" s="1207"/>
      <c r="VXA42" s="1207"/>
      <c r="VXB42" s="1207"/>
      <c r="VXC42" s="1207"/>
      <c r="VXD42" s="515"/>
      <c r="VXE42" s="1207"/>
      <c r="VXF42" s="1207"/>
      <c r="VXG42" s="1207"/>
      <c r="VXH42" s="1207"/>
      <c r="VXI42" s="1207"/>
      <c r="VXJ42" s="1207"/>
      <c r="VXK42" s="1207"/>
      <c r="VXL42" s="1207"/>
      <c r="VXM42" s="1207"/>
      <c r="VXN42" s="1207"/>
      <c r="VXO42" s="515"/>
      <c r="VXP42" s="1207"/>
      <c r="VXQ42" s="1207"/>
      <c r="VXR42" s="1207"/>
      <c r="VXS42" s="1207"/>
      <c r="VXT42" s="1207"/>
      <c r="VXU42" s="1207"/>
      <c r="VXV42" s="1207"/>
      <c r="VXW42" s="1207"/>
      <c r="VXX42" s="1207"/>
      <c r="VXY42" s="1207"/>
      <c r="VXZ42" s="515"/>
      <c r="VYA42" s="1207"/>
      <c r="VYB42" s="1207"/>
      <c r="VYC42" s="1207"/>
      <c r="VYD42" s="1207"/>
      <c r="VYE42" s="1207"/>
      <c r="VYF42" s="1207"/>
      <c r="VYG42" s="1207"/>
      <c r="VYH42" s="1207"/>
      <c r="VYI42" s="1207"/>
      <c r="VYJ42" s="1207"/>
      <c r="VYK42" s="515"/>
      <c r="VYL42" s="1207"/>
      <c r="VYM42" s="1207"/>
      <c r="VYN42" s="1207"/>
      <c r="VYO42" s="1207"/>
      <c r="VYP42" s="1207"/>
      <c r="VYQ42" s="1207"/>
      <c r="VYR42" s="1207"/>
      <c r="VYS42" s="1207"/>
      <c r="VYT42" s="1207"/>
      <c r="VYU42" s="1207"/>
      <c r="VYV42" s="515"/>
      <c r="VYW42" s="1207"/>
      <c r="VYX42" s="1207"/>
      <c r="VYY42" s="1207"/>
      <c r="VYZ42" s="1207"/>
      <c r="VZA42" s="1207"/>
      <c r="VZB42" s="1207"/>
      <c r="VZC42" s="1207"/>
      <c r="VZD42" s="1207"/>
      <c r="VZE42" s="1207"/>
      <c r="VZF42" s="1207"/>
      <c r="VZG42" s="515"/>
      <c r="VZH42" s="1207"/>
      <c r="VZI42" s="1207"/>
      <c r="VZJ42" s="1207"/>
      <c r="VZK42" s="1207"/>
      <c r="VZL42" s="1207"/>
      <c r="VZM42" s="1207"/>
      <c r="VZN42" s="1207"/>
      <c r="VZO42" s="1207"/>
      <c r="VZP42" s="1207"/>
      <c r="VZQ42" s="1207"/>
      <c r="VZR42" s="515"/>
      <c r="VZS42" s="1207"/>
      <c r="VZT42" s="1207"/>
      <c r="VZU42" s="1207"/>
      <c r="VZV42" s="1207"/>
      <c r="VZW42" s="1207"/>
      <c r="VZX42" s="1207"/>
      <c r="VZY42" s="1207"/>
      <c r="VZZ42" s="1207"/>
      <c r="WAA42" s="1207"/>
      <c r="WAB42" s="1207"/>
      <c r="WAC42" s="515"/>
      <c r="WAD42" s="1207"/>
      <c r="WAE42" s="1207"/>
      <c r="WAF42" s="1207"/>
      <c r="WAG42" s="1207"/>
      <c r="WAH42" s="1207"/>
      <c r="WAI42" s="1207"/>
      <c r="WAJ42" s="1207"/>
      <c r="WAK42" s="1207"/>
      <c r="WAL42" s="1207"/>
      <c r="WAM42" s="1207"/>
      <c r="WAN42" s="515"/>
      <c r="WAO42" s="1207"/>
      <c r="WAP42" s="1207"/>
      <c r="WAQ42" s="1207"/>
      <c r="WAR42" s="1207"/>
      <c r="WAS42" s="1207"/>
      <c r="WAT42" s="1207"/>
      <c r="WAU42" s="1207"/>
      <c r="WAV42" s="1207"/>
      <c r="WAW42" s="1207"/>
      <c r="WAX42" s="1207"/>
      <c r="WAY42" s="515"/>
      <c r="WAZ42" s="1207"/>
      <c r="WBA42" s="1207"/>
      <c r="WBB42" s="1207"/>
      <c r="WBC42" s="1207"/>
      <c r="WBD42" s="1207"/>
      <c r="WBE42" s="1207"/>
      <c r="WBF42" s="1207"/>
      <c r="WBG42" s="1207"/>
      <c r="WBH42" s="1207"/>
      <c r="WBI42" s="1207"/>
      <c r="WBJ42" s="515"/>
      <c r="WBK42" s="1207"/>
      <c r="WBL42" s="1207"/>
      <c r="WBM42" s="1207"/>
      <c r="WBN42" s="1207"/>
      <c r="WBO42" s="1207"/>
      <c r="WBP42" s="1207"/>
      <c r="WBQ42" s="1207"/>
      <c r="WBR42" s="1207"/>
      <c r="WBS42" s="1207"/>
      <c r="WBT42" s="1207"/>
      <c r="WBU42" s="515"/>
      <c r="WBV42" s="1207"/>
      <c r="WBW42" s="1207"/>
      <c r="WBX42" s="1207"/>
      <c r="WBY42" s="1207"/>
      <c r="WBZ42" s="1207"/>
      <c r="WCA42" s="1207"/>
      <c r="WCB42" s="1207"/>
      <c r="WCC42" s="1207"/>
      <c r="WCD42" s="1207"/>
      <c r="WCE42" s="1207"/>
      <c r="WCF42" s="515"/>
      <c r="WCG42" s="1207"/>
      <c r="WCH42" s="1207"/>
      <c r="WCI42" s="1207"/>
      <c r="WCJ42" s="1207"/>
      <c r="WCK42" s="1207"/>
      <c r="WCL42" s="1207"/>
      <c r="WCM42" s="1207"/>
      <c r="WCN42" s="1207"/>
      <c r="WCO42" s="1207"/>
      <c r="WCP42" s="1207"/>
      <c r="WCQ42" s="515"/>
      <c r="WCR42" s="1207"/>
      <c r="WCS42" s="1207"/>
      <c r="WCT42" s="1207"/>
      <c r="WCU42" s="1207"/>
      <c r="WCV42" s="1207"/>
      <c r="WCW42" s="1207"/>
      <c r="WCX42" s="1207"/>
      <c r="WCY42" s="1207"/>
      <c r="WCZ42" s="1207"/>
      <c r="WDA42" s="1207"/>
      <c r="WDB42" s="515"/>
      <c r="WDC42" s="1207"/>
      <c r="WDD42" s="1207"/>
      <c r="WDE42" s="1207"/>
      <c r="WDF42" s="1207"/>
      <c r="WDG42" s="1207"/>
      <c r="WDH42" s="1207"/>
      <c r="WDI42" s="1207"/>
      <c r="WDJ42" s="1207"/>
      <c r="WDK42" s="1207"/>
      <c r="WDL42" s="1207"/>
      <c r="WDM42" s="515"/>
      <c r="WDN42" s="1207"/>
      <c r="WDO42" s="1207"/>
      <c r="WDP42" s="1207"/>
      <c r="WDQ42" s="1207"/>
      <c r="WDR42" s="1207"/>
      <c r="WDS42" s="1207"/>
      <c r="WDT42" s="1207"/>
      <c r="WDU42" s="1207"/>
      <c r="WDV42" s="1207"/>
      <c r="WDW42" s="1207"/>
      <c r="WDX42" s="515"/>
      <c r="WDY42" s="1207"/>
      <c r="WDZ42" s="1207"/>
      <c r="WEA42" s="1207"/>
      <c r="WEB42" s="1207"/>
      <c r="WEC42" s="1207"/>
      <c r="WED42" s="1207"/>
      <c r="WEE42" s="1207"/>
      <c r="WEF42" s="1207"/>
      <c r="WEG42" s="1207"/>
      <c r="WEH42" s="1207"/>
      <c r="WEI42" s="515"/>
      <c r="WEJ42" s="1207"/>
      <c r="WEK42" s="1207"/>
      <c r="WEL42" s="1207"/>
      <c r="WEM42" s="1207"/>
      <c r="WEN42" s="1207"/>
      <c r="WEO42" s="1207"/>
      <c r="WEP42" s="1207"/>
      <c r="WEQ42" s="1207"/>
      <c r="WER42" s="1207"/>
      <c r="WES42" s="1207"/>
      <c r="WET42" s="515"/>
      <c r="WEU42" s="1207"/>
      <c r="WEV42" s="1207"/>
      <c r="WEW42" s="1207"/>
      <c r="WEX42" s="1207"/>
      <c r="WEY42" s="1207"/>
      <c r="WEZ42" s="1207"/>
      <c r="WFA42" s="1207"/>
      <c r="WFB42" s="1207"/>
      <c r="WFC42" s="1207"/>
      <c r="WFD42" s="1207"/>
      <c r="WFE42" s="515"/>
      <c r="WFF42" s="1207"/>
      <c r="WFG42" s="1207"/>
      <c r="WFH42" s="1207"/>
      <c r="WFI42" s="1207"/>
      <c r="WFJ42" s="1207"/>
      <c r="WFK42" s="1207"/>
      <c r="WFL42" s="1207"/>
      <c r="WFM42" s="1207"/>
      <c r="WFN42" s="1207"/>
      <c r="WFO42" s="1207"/>
      <c r="WFP42" s="515"/>
      <c r="WFQ42" s="1207"/>
      <c r="WFR42" s="1207"/>
      <c r="WFS42" s="1207"/>
      <c r="WFT42" s="1207"/>
      <c r="WFU42" s="1207"/>
      <c r="WFV42" s="1207"/>
      <c r="WFW42" s="1207"/>
      <c r="WFX42" s="1207"/>
      <c r="WFY42" s="1207"/>
      <c r="WFZ42" s="1207"/>
      <c r="WGA42" s="515"/>
      <c r="WGB42" s="1207"/>
      <c r="WGC42" s="1207"/>
      <c r="WGD42" s="1207"/>
      <c r="WGE42" s="1207"/>
      <c r="WGF42" s="1207"/>
      <c r="WGG42" s="1207"/>
      <c r="WGH42" s="1207"/>
      <c r="WGI42" s="1207"/>
      <c r="WGJ42" s="1207"/>
      <c r="WGK42" s="1207"/>
      <c r="WGL42" s="515"/>
      <c r="WGM42" s="1207"/>
      <c r="WGN42" s="1207"/>
      <c r="WGO42" s="1207"/>
      <c r="WGP42" s="1207"/>
      <c r="WGQ42" s="1207"/>
      <c r="WGR42" s="1207"/>
      <c r="WGS42" s="1207"/>
      <c r="WGT42" s="1207"/>
      <c r="WGU42" s="1207"/>
      <c r="WGV42" s="1207"/>
      <c r="WGW42" s="515"/>
      <c r="WGX42" s="1207"/>
      <c r="WGY42" s="1207"/>
      <c r="WGZ42" s="1207"/>
      <c r="WHA42" s="1207"/>
      <c r="WHB42" s="1207"/>
      <c r="WHC42" s="1207"/>
      <c r="WHD42" s="1207"/>
      <c r="WHE42" s="1207"/>
      <c r="WHF42" s="1207"/>
      <c r="WHG42" s="1207"/>
      <c r="WHH42" s="515"/>
      <c r="WHI42" s="1207"/>
      <c r="WHJ42" s="1207"/>
      <c r="WHK42" s="1207"/>
      <c r="WHL42" s="1207"/>
      <c r="WHM42" s="1207"/>
      <c r="WHN42" s="1207"/>
      <c r="WHO42" s="1207"/>
      <c r="WHP42" s="1207"/>
      <c r="WHQ42" s="1207"/>
      <c r="WHR42" s="1207"/>
      <c r="WHS42" s="515"/>
      <c r="WHT42" s="1207"/>
      <c r="WHU42" s="1207"/>
      <c r="WHV42" s="1207"/>
      <c r="WHW42" s="1207"/>
      <c r="WHX42" s="1207"/>
      <c r="WHY42" s="1207"/>
      <c r="WHZ42" s="1207"/>
      <c r="WIA42" s="1207"/>
      <c r="WIB42" s="1207"/>
      <c r="WIC42" s="1207"/>
      <c r="WID42" s="515"/>
      <c r="WIE42" s="1207"/>
      <c r="WIF42" s="1207"/>
      <c r="WIG42" s="1207"/>
      <c r="WIH42" s="1207"/>
      <c r="WII42" s="1207"/>
      <c r="WIJ42" s="1207"/>
      <c r="WIK42" s="1207"/>
      <c r="WIL42" s="1207"/>
      <c r="WIM42" s="1207"/>
      <c r="WIN42" s="1207"/>
      <c r="WIO42" s="515"/>
      <c r="WIP42" s="1207"/>
      <c r="WIQ42" s="1207"/>
      <c r="WIR42" s="1207"/>
      <c r="WIS42" s="1207"/>
      <c r="WIT42" s="1207"/>
      <c r="WIU42" s="1207"/>
      <c r="WIV42" s="1207"/>
      <c r="WIW42" s="1207"/>
      <c r="WIX42" s="1207"/>
      <c r="WIY42" s="1207"/>
      <c r="WIZ42" s="515"/>
      <c r="WJA42" s="1207"/>
      <c r="WJB42" s="1207"/>
      <c r="WJC42" s="1207"/>
      <c r="WJD42" s="1207"/>
      <c r="WJE42" s="1207"/>
      <c r="WJF42" s="1207"/>
      <c r="WJG42" s="1207"/>
      <c r="WJH42" s="1207"/>
      <c r="WJI42" s="1207"/>
      <c r="WJJ42" s="1207"/>
      <c r="WJK42" s="515"/>
      <c r="WJL42" s="1207"/>
      <c r="WJM42" s="1207"/>
      <c r="WJN42" s="1207"/>
      <c r="WJO42" s="1207"/>
      <c r="WJP42" s="1207"/>
      <c r="WJQ42" s="1207"/>
      <c r="WJR42" s="1207"/>
      <c r="WJS42" s="1207"/>
      <c r="WJT42" s="1207"/>
      <c r="WJU42" s="1207"/>
      <c r="WJV42" s="515"/>
      <c r="WJW42" s="1207"/>
      <c r="WJX42" s="1207"/>
      <c r="WJY42" s="1207"/>
      <c r="WJZ42" s="1207"/>
      <c r="WKA42" s="1207"/>
      <c r="WKB42" s="1207"/>
      <c r="WKC42" s="1207"/>
      <c r="WKD42" s="1207"/>
      <c r="WKE42" s="1207"/>
      <c r="WKF42" s="1207"/>
      <c r="WKG42" s="515"/>
      <c r="WKH42" s="1207"/>
      <c r="WKI42" s="1207"/>
      <c r="WKJ42" s="1207"/>
      <c r="WKK42" s="1207"/>
      <c r="WKL42" s="1207"/>
      <c r="WKM42" s="1207"/>
      <c r="WKN42" s="1207"/>
      <c r="WKO42" s="1207"/>
      <c r="WKP42" s="1207"/>
      <c r="WKQ42" s="1207"/>
      <c r="WKR42" s="515"/>
      <c r="WKS42" s="1207"/>
      <c r="WKT42" s="1207"/>
      <c r="WKU42" s="1207"/>
      <c r="WKV42" s="1207"/>
      <c r="WKW42" s="1207"/>
      <c r="WKX42" s="1207"/>
      <c r="WKY42" s="1207"/>
      <c r="WKZ42" s="1207"/>
      <c r="WLA42" s="1207"/>
      <c r="WLB42" s="1207"/>
      <c r="WLC42" s="515"/>
      <c r="WLD42" s="1207"/>
      <c r="WLE42" s="1207"/>
      <c r="WLF42" s="1207"/>
      <c r="WLG42" s="1207"/>
      <c r="WLH42" s="1207"/>
      <c r="WLI42" s="1207"/>
      <c r="WLJ42" s="1207"/>
      <c r="WLK42" s="1207"/>
      <c r="WLL42" s="1207"/>
      <c r="WLM42" s="1207"/>
      <c r="WLN42" s="515"/>
      <c r="WLO42" s="1207"/>
      <c r="WLP42" s="1207"/>
      <c r="WLQ42" s="1207"/>
      <c r="WLR42" s="1207"/>
      <c r="WLS42" s="1207"/>
      <c r="WLT42" s="1207"/>
      <c r="WLU42" s="1207"/>
      <c r="WLV42" s="1207"/>
      <c r="WLW42" s="1207"/>
      <c r="WLX42" s="1207"/>
      <c r="WLY42" s="515"/>
      <c r="WLZ42" s="1207"/>
      <c r="WMA42" s="1207"/>
      <c r="WMB42" s="1207"/>
      <c r="WMC42" s="1207"/>
      <c r="WMD42" s="1207"/>
      <c r="WME42" s="1207"/>
      <c r="WMF42" s="1207"/>
      <c r="WMG42" s="1207"/>
      <c r="WMH42" s="1207"/>
      <c r="WMI42" s="1207"/>
      <c r="WMJ42" s="515"/>
      <c r="WMK42" s="1207"/>
      <c r="WML42" s="1207"/>
      <c r="WMM42" s="1207"/>
      <c r="WMN42" s="1207"/>
      <c r="WMO42" s="1207"/>
      <c r="WMP42" s="1207"/>
      <c r="WMQ42" s="1207"/>
      <c r="WMR42" s="1207"/>
      <c r="WMS42" s="1207"/>
      <c r="WMT42" s="1207"/>
      <c r="WMU42" s="515"/>
      <c r="WMV42" s="1207"/>
      <c r="WMW42" s="1207"/>
      <c r="WMX42" s="1207"/>
      <c r="WMY42" s="1207"/>
      <c r="WMZ42" s="1207"/>
      <c r="WNA42" s="1207"/>
      <c r="WNB42" s="1207"/>
      <c r="WNC42" s="1207"/>
      <c r="WND42" s="1207"/>
      <c r="WNE42" s="1207"/>
      <c r="WNF42" s="515"/>
      <c r="WNG42" s="1207"/>
      <c r="WNH42" s="1207"/>
      <c r="WNI42" s="1207"/>
      <c r="WNJ42" s="1207"/>
      <c r="WNK42" s="1207"/>
      <c r="WNL42" s="1207"/>
      <c r="WNM42" s="1207"/>
      <c r="WNN42" s="1207"/>
      <c r="WNO42" s="1207"/>
      <c r="WNP42" s="1207"/>
      <c r="WNQ42" s="515"/>
      <c r="WNR42" s="1207"/>
      <c r="WNS42" s="1207"/>
      <c r="WNT42" s="1207"/>
      <c r="WNU42" s="1207"/>
      <c r="WNV42" s="1207"/>
      <c r="WNW42" s="1207"/>
      <c r="WNX42" s="1207"/>
      <c r="WNY42" s="1207"/>
      <c r="WNZ42" s="1207"/>
      <c r="WOA42" s="1207"/>
      <c r="WOB42" s="515"/>
      <c r="WOC42" s="1207"/>
      <c r="WOD42" s="1207"/>
      <c r="WOE42" s="1207"/>
      <c r="WOF42" s="1207"/>
      <c r="WOG42" s="1207"/>
      <c r="WOH42" s="1207"/>
      <c r="WOI42" s="1207"/>
      <c r="WOJ42" s="1207"/>
      <c r="WOK42" s="1207"/>
      <c r="WOL42" s="1207"/>
      <c r="WOM42" s="515"/>
      <c r="WON42" s="1207"/>
      <c r="WOO42" s="1207"/>
      <c r="WOP42" s="1207"/>
      <c r="WOQ42" s="1207"/>
      <c r="WOR42" s="1207"/>
      <c r="WOS42" s="1207"/>
      <c r="WOT42" s="1207"/>
      <c r="WOU42" s="1207"/>
      <c r="WOV42" s="1207"/>
      <c r="WOW42" s="1207"/>
      <c r="WOX42" s="515"/>
      <c r="WOY42" s="1207"/>
      <c r="WOZ42" s="1207"/>
      <c r="WPA42" s="1207"/>
      <c r="WPB42" s="1207"/>
      <c r="WPC42" s="1207"/>
      <c r="WPD42" s="1207"/>
      <c r="WPE42" s="1207"/>
      <c r="WPF42" s="1207"/>
      <c r="WPG42" s="1207"/>
      <c r="WPH42" s="1207"/>
      <c r="WPI42" s="515"/>
      <c r="WPJ42" s="1207"/>
      <c r="WPK42" s="1207"/>
      <c r="WPL42" s="1207"/>
      <c r="WPM42" s="1207"/>
      <c r="WPN42" s="1207"/>
      <c r="WPO42" s="1207"/>
      <c r="WPP42" s="1207"/>
      <c r="WPQ42" s="1207"/>
      <c r="WPR42" s="1207"/>
      <c r="WPS42" s="1207"/>
      <c r="WPT42" s="515"/>
      <c r="WPU42" s="1207"/>
      <c r="WPV42" s="1207"/>
      <c r="WPW42" s="1207"/>
      <c r="WPX42" s="1207"/>
      <c r="WPY42" s="1207"/>
      <c r="WPZ42" s="1207"/>
      <c r="WQA42" s="1207"/>
      <c r="WQB42" s="1207"/>
      <c r="WQC42" s="1207"/>
      <c r="WQD42" s="1207"/>
      <c r="WQE42" s="515"/>
      <c r="WQF42" s="1207"/>
      <c r="WQG42" s="1207"/>
      <c r="WQH42" s="1207"/>
      <c r="WQI42" s="1207"/>
      <c r="WQJ42" s="1207"/>
      <c r="WQK42" s="1207"/>
      <c r="WQL42" s="1207"/>
      <c r="WQM42" s="1207"/>
      <c r="WQN42" s="1207"/>
      <c r="WQO42" s="1207"/>
      <c r="WQP42" s="515"/>
      <c r="WQQ42" s="1207"/>
      <c r="WQR42" s="1207"/>
      <c r="WQS42" s="1207"/>
      <c r="WQT42" s="1207"/>
      <c r="WQU42" s="1207"/>
      <c r="WQV42" s="1207"/>
      <c r="WQW42" s="1207"/>
      <c r="WQX42" s="1207"/>
      <c r="WQY42" s="1207"/>
      <c r="WQZ42" s="1207"/>
      <c r="WRA42" s="515"/>
      <c r="WRB42" s="1207"/>
      <c r="WRC42" s="1207"/>
      <c r="WRD42" s="1207"/>
      <c r="WRE42" s="1207"/>
      <c r="WRF42" s="1207"/>
      <c r="WRG42" s="1207"/>
      <c r="WRH42" s="1207"/>
      <c r="WRI42" s="1207"/>
      <c r="WRJ42" s="1207"/>
      <c r="WRK42" s="1207"/>
      <c r="WRL42" s="515"/>
      <c r="WRM42" s="1207"/>
      <c r="WRN42" s="1207"/>
      <c r="WRO42" s="1207"/>
      <c r="WRP42" s="1207"/>
      <c r="WRQ42" s="1207"/>
      <c r="WRR42" s="1207"/>
      <c r="WRS42" s="1207"/>
      <c r="WRT42" s="1207"/>
      <c r="WRU42" s="1207"/>
      <c r="WRV42" s="1207"/>
      <c r="WRW42" s="515"/>
      <c r="WRX42" s="1207"/>
      <c r="WRY42" s="1207"/>
      <c r="WRZ42" s="1207"/>
      <c r="WSA42" s="1207"/>
      <c r="WSB42" s="1207"/>
      <c r="WSC42" s="1207"/>
      <c r="WSD42" s="1207"/>
      <c r="WSE42" s="1207"/>
      <c r="WSF42" s="1207"/>
      <c r="WSG42" s="1207"/>
      <c r="WSH42" s="515"/>
      <c r="WSI42" s="1207"/>
      <c r="WSJ42" s="1207"/>
      <c r="WSK42" s="1207"/>
      <c r="WSL42" s="1207"/>
      <c r="WSM42" s="1207"/>
      <c r="WSN42" s="1207"/>
      <c r="WSO42" s="1207"/>
      <c r="WSP42" s="1207"/>
      <c r="WSQ42" s="1207"/>
      <c r="WSR42" s="1207"/>
      <c r="WSS42" s="515"/>
      <c r="WST42" s="1207"/>
      <c r="WSU42" s="1207"/>
      <c r="WSV42" s="1207"/>
      <c r="WSW42" s="1207"/>
      <c r="WSX42" s="1207"/>
      <c r="WSY42" s="1207"/>
      <c r="WSZ42" s="1207"/>
      <c r="WTA42" s="1207"/>
      <c r="WTB42" s="1207"/>
      <c r="WTC42" s="1207"/>
      <c r="WTD42" s="515"/>
      <c r="WTE42" s="1207"/>
      <c r="WTF42" s="1207"/>
      <c r="WTG42" s="1207"/>
      <c r="WTH42" s="1207"/>
      <c r="WTI42" s="1207"/>
      <c r="WTJ42" s="1207"/>
      <c r="WTK42" s="1207"/>
      <c r="WTL42" s="1207"/>
      <c r="WTM42" s="1207"/>
      <c r="WTN42" s="1207"/>
      <c r="WTO42" s="515"/>
      <c r="WTP42" s="1207"/>
      <c r="WTQ42" s="1207"/>
      <c r="WTR42" s="1207"/>
      <c r="WTS42" s="1207"/>
      <c r="WTT42" s="1207"/>
      <c r="WTU42" s="1207"/>
      <c r="WTV42" s="1207"/>
      <c r="WTW42" s="1207"/>
      <c r="WTX42" s="1207"/>
      <c r="WTY42" s="1207"/>
      <c r="WTZ42" s="515"/>
      <c r="WUA42" s="1207"/>
      <c r="WUB42" s="1207"/>
      <c r="WUC42" s="1207"/>
      <c r="WUD42" s="1207"/>
      <c r="WUE42" s="1207"/>
      <c r="WUF42" s="1207"/>
      <c r="WUG42" s="1207"/>
      <c r="WUH42" s="1207"/>
      <c r="WUI42" s="1207"/>
      <c r="WUJ42" s="1207"/>
      <c r="WUK42" s="515"/>
      <c r="WUL42" s="1207"/>
      <c r="WUM42" s="1207"/>
      <c r="WUN42" s="1207"/>
      <c r="WUO42" s="1207"/>
      <c r="WUP42" s="1207"/>
      <c r="WUQ42" s="1207"/>
      <c r="WUR42" s="1207"/>
      <c r="WUS42" s="1207"/>
      <c r="WUT42" s="1207"/>
      <c r="WUU42" s="1207"/>
      <c r="WUV42" s="515"/>
      <c r="WUW42" s="1207"/>
      <c r="WUX42" s="1207"/>
      <c r="WUY42" s="1207"/>
      <c r="WUZ42" s="1207"/>
      <c r="WVA42" s="1207"/>
      <c r="WVB42" s="1207"/>
      <c r="WVC42" s="1207"/>
      <c r="WVD42" s="1207"/>
      <c r="WVE42" s="1207"/>
      <c r="WVF42" s="1207"/>
      <c r="WVG42" s="515"/>
      <c r="WVH42" s="1207"/>
      <c r="WVI42" s="1207"/>
      <c r="WVJ42" s="1207"/>
      <c r="WVK42" s="1207"/>
      <c r="WVL42" s="1207"/>
      <c r="WVM42" s="1207"/>
      <c r="WVN42" s="1207"/>
      <c r="WVO42" s="1207"/>
      <c r="WVP42" s="1207"/>
      <c r="WVQ42" s="1207"/>
      <c r="WVR42" s="515"/>
      <c r="WVS42" s="1207"/>
      <c r="WVT42" s="1207"/>
      <c r="WVU42" s="1207"/>
      <c r="WVV42" s="1207"/>
      <c r="WVW42" s="1207"/>
      <c r="WVX42" s="1207"/>
      <c r="WVY42" s="1207"/>
      <c r="WVZ42" s="1207"/>
      <c r="WWA42" s="1207"/>
      <c r="WWB42" s="1207"/>
      <c r="WWC42" s="515"/>
      <c r="WWD42" s="1207"/>
      <c r="WWE42" s="1207"/>
      <c r="WWF42" s="1207"/>
      <c r="WWG42" s="1207"/>
      <c r="WWH42" s="1207"/>
      <c r="WWI42" s="1207"/>
      <c r="WWJ42" s="1207"/>
      <c r="WWK42" s="1207"/>
      <c r="WWL42" s="1207"/>
      <c r="WWM42" s="1207"/>
      <c r="WWN42" s="515"/>
      <c r="WWO42" s="1207"/>
      <c r="WWP42" s="1207"/>
      <c r="WWQ42" s="1207"/>
      <c r="WWR42" s="1207"/>
      <c r="WWS42" s="1207"/>
      <c r="WWT42" s="1207"/>
      <c r="WWU42" s="1207"/>
      <c r="WWV42" s="1207"/>
      <c r="WWW42" s="1207"/>
      <c r="WWX42" s="1207"/>
      <c r="WWY42" s="515"/>
      <c r="WWZ42" s="1207"/>
      <c r="WXA42" s="1207"/>
      <c r="WXB42" s="1207"/>
      <c r="WXC42" s="1207"/>
      <c r="WXD42" s="1207"/>
      <c r="WXE42" s="1207"/>
      <c r="WXF42" s="1207"/>
      <c r="WXG42" s="1207"/>
      <c r="WXH42" s="1207"/>
      <c r="WXI42" s="1207"/>
      <c r="WXJ42" s="515"/>
      <c r="WXK42" s="1207"/>
      <c r="WXL42" s="1207"/>
      <c r="WXM42" s="1207"/>
      <c r="WXN42" s="1207"/>
      <c r="WXO42" s="1207"/>
      <c r="WXP42" s="1207"/>
      <c r="WXQ42" s="1207"/>
      <c r="WXR42" s="1207"/>
      <c r="WXS42" s="1207"/>
      <c r="WXT42" s="1207"/>
      <c r="WXU42" s="515"/>
      <c r="WXV42" s="1207"/>
      <c r="WXW42" s="1207"/>
      <c r="WXX42" s="1207"/>
      <c r="WXY42" s="1207"/>
      <c r="WXZ42" s="1207"/>
      <c r="WYA42" s="1207"/>
      <c r="WYB42" s="1207"/>
      <c r="WYC42" s="1207"/>
      <c r="WYD42" s="1207"/>
      <c r="WYE42" s="1207"/>
      <c r="WYF42" s="515"/>
      <c r="WYG42" s="1207"/>
      <c r="WYH42" s="1207"/>
      <c r="WYI42" s="1207"/>
      <c r="WYJ42" s="1207"/>
      <c r="WYK42" s="1207"/>
      <c r="WYL42" s="1207"/>
      <c r="WYM42" s="1207"/>
      <c r="WYN42" s="1207"/>
      <c r="WYO42" s="1207"/>
      <c r="WYP42" s="1207"/>
      <c r="WYQ42" s="515"/>
      <c r="WYR42" s="1207"/>
      <c r="WYS42" s="1207"/>
      <c r="WYT42" s="1207"/>
      <c r="WYU42" s="1207"/>
      <c r="WYV42" s="1207"/>
      <c r="WYW42" s="1207"/>
      <c r="WYX42" s="1207"/>
      <c r="WYY42" s="1207"/>
      <c r="WYZ42" s="1207"/>
      <c r="WZA42" s="1207"/>
      <c r="WZB42" s="515"/>
      <c r="WZC42" s="1207"/>
      <c r="WZD42" s="1207"/>
      <c r="WZE42" s="1207"/>
      <c r="WZF42" s="1207"/>
      <c r="WZG42" s="1207"/>
      <c r="WZH42" s="1207"/>
      <c r="WZI42" s="1207"/>
      <c r="WZJ42" s="1207"/>
      <c r="WZK42" s="1207"/>
      <c r="WZL42" s="1207"/>
      <c r="WZM42" s="515"/>
      <c r="WZN42" s="1207"/>
      <c r="WZO42" s="1207"/>
      <c r="WZP42" s="1207"/>
      <c r="WZQ42" s="1207"/>
      <c r="WZR42" s="1207"/>
      <c r="WZS42" s="1207"/>
      <c r="WZT42" s="1207"/>
      <c r="WZU42" s="1207"/>
      <c r="WZV42" s="1207"/>
      <c r="WZW42" s="1207"/>
      <c r="WZX42" s="515"/>
      <c r="WZY42" s="1207"/>
      <c r="WZZ42" s="1207"/>
      <c r="XAA42" s="1207"/>
      <c r="XAB42" s="1207"/>
      <c r="XAC42" s="1207"/>
      <c r="XAD42" s="1207"/>
      <c r="XAE42" s="1207"/>
      <c r="XAF42" s="1207"/>
      <c r="XAG42" s="1207"/>
      <c r="XAH42" s="1207"/>
      <c r="XAI42" s="515"/>
      <c r="XAJ42" s="1207"/>
      <c r="XAK42" s="1207"/>
      <c r="XAL42" s="1207"/>
      <c r="XAM42" s="1207"/>
      <c r="XAN42" s="1207"/>
      <c r="XAO42" s="1207"/>
      <c r="XAP42" s="1207"/>
      <c r="XAQ42" s="1207"/>
      <c r="XAR42" s="1207"/>
      <c r="XAS42" s="1207"/>
      <c r="XAT42" s="515"/>
      <c r="XAU42" s="1207"/>
      <c r="XAV42" s="1207"/>
      <c r="XAW42" s="1207"/>
      <c r="XAX42" s="1207"/>
      <c r="XAY42" s="1207"/>
      <c r="XAZ42" s="1207"/>
      <c r="XBA42" s="1207"/>
      <c r="XBB42" s="1207"/>
      <c r="XBC42" s="1207"/>
      <c r="XBD42" s="1207"/>
      <c r="XBE42" s="515"/>
      <c r="XBF42" s="1207"/>
      <c r="XBG42" s="1207"/>
      <c r="XBH42" s="1207"/>
      <c r="XBI42" s="1207"/>
      <c r="XBJ42" s="1207"/>
      <c r="XBK42" s="1207"/>
      <c r="XBL42" s="1207"/>
      <c r="XBM42" s="1207"/>
      <c r="XBN42" s="1207"/>
      <c r="XBO42" s="1207"/>
      <c r="XBP42" s="515"/>
      <c r="XBQ42" s="1207"/>
      <c r="XBR42" s="1207"/>
      <c r="XBS42" s="1207"/>
      <c r="XBT42" s="1207"/>
      <c r="XBU42" s="1207"/>
      <c r="XBV42" s="1207"/>
      <c r="XBW42" s="1207"/>
      <c r="XBX42" s="1207"/>
      <c r="XBY42" s="1207"/>
      <c r="XBZ42" s="1207"/>
      <c r="XCA42" s="515"/>
      <c r="XCB42" s="1207"/>
      <c r="XCC42" s="1207"/>
      <c r="XCD42" s="1207"/>
      <c r="XCE42" s="1207"/>
      <c r="XCF42" s="1207"/>
      <c r="XCG42" s="1207"/>
      <c r="XCH42" s="1207"/>
      <c r="XCI42" s="1207"/>
      <c r="XCJ42" s="1207"/>
      <c r="XCK42" s="1207"/>
      <c r="XCL42" s="515"/>
      <c r="XCM42" s="1207"/>
      <c r="XCN42" s="1207"/>
      <c r="XCO42" s="1207"/>
      <c r="XCP42" s="1207"/>
      <c r="XCQ42" s="1207"/>
      <c r="XCR42" s="1207"/>
      <c r="XCS42" s="1207"/>
      <c r="XCT42" s="1207"/>
      <c r="XCU42" s="1207"/>
      <c r="XCV42" s="1207"/>
      <c r="XCW42" s="515"/>
      <c r="XCX42" s="1207"/>
      <c r="XCY42" s="1207"/>
      <c r="XCZ42" s="1207"/>
      <c r="XDA42" s="1207"/>
      <c r="XDB42" s="1207"/>
      <c r="XDC42" s="1207"/>
      <c r="XDD42" s="1207"/>
      <c r="XDE42" s="1207"/>
      <c r="XDF42" s="1207"/>
      <c r="XDG42" s="1207"/>
      <c r="XDH42" s="515"/>
      <c r="XDI42" s="1207"/>
      <c r="XDJ42" s="1207"/>
      <c r="XDK42" s="1207"/>
      <c r="XDL42" s="1207"/>
      <c r="XDM42" s="1207"/>
      <c r="XDN42" s="1207"/>
      <c r="XDO42" s="1207"/>
      <c r="XDP42" s="1207"/>
      <c r="XDQ42" s="1207"/>
      <c r="XDR42" s="1207"/>
      <c r="XDS42" s="515"/>
      <c r="XDT42" s="1207"/>
      <c r="XDU42" s="1207"/>
      <c r="XDV42" s="1207"/>
      <c r="XDW42" s="1207"/>
      <c r="XDX42" s="1207"/>
      <c r="XDY42" s="1207"/>
      <c r="XDZ42" s="1207"/>
      <c r="XEA42" s="1207"/>
      <c r="XEB42" s="1207"/>
      <c r="XEC42" s="1207"/>
      <c r="XED42" s="515"/>
      <c r="XEE42" s="1207"/>
      <c r="XEF42" s="1207"/>
      <c r="XEG42" s="1207"/>
      <c r="XEH42" s="1207"/>
      <c r="XEI42" s="1207"/>
      <c r="XEJ42" s="1207"/>
      <c r="XEK42" s="1207"/>
      <c r="XEL42" s="1207"/>
      <c r="XEM42" s="1207"/>
      <c r="XEN42" s="1207"/>
      <c r="XEO42" s="515"/>
      <c r="XEP42" s="1207"/>
      <c r="XEQ42" s="1207"/>
      <c r="XER42" s="1207"/>
      <c r="XES42" s="1207"/>
      <c r="XET42" s="1207"/>
      <c r="XEU42" s="1207"/>
      <c r="XEV42" s="1207"/>
      <c r="XEW42" s="1207"/>
      <c r="XEX42" s="1207"/>
      <c r="XEY42" s="1207"/>
      <c r="XEZ42" s="515"/>
      <c r="XFA42" s="1207"/>
      <c r="XFB42" s="1207"/>
      <c r="XFC42" s="1207"/>
      <c r="XFD42" s="1207"/>
    </row>
    <row r="43" spans="1:16384">
      <c r="A43" s="340"/>
    </row>
    <row r="44" spans="1:16384">
      <c r="A44" s="340"/>
    </row>
    <row r="45" spans="1:16384">
      <c r="A45" s="317"/>
    </row>
    <row r="46" spans="1:16384">
      <c r="A46" s="317"/>
    </row>
    <row r="47" spans="1:16384">
      <c r="A47" s="317"/>
    </row>
    <row r="48" spans="1:16384">
      <c r="A48" s="317"/>
    </row>
    <row r="49" spans="1:1">
      <c r="A49" s="317"/>
    </row>
    <row r="50" spans="1:1">
      <c r="A50" s="317"/>
    </row>
    <row r="51" spans="1:1">
      <c r="A51" s="317"/>
    </row>
    <row r="52" spans="1:1">
      <c r="A52" s="317"/>
    </row>
    <row r="53" spans="1:1">
      <c r="A53" s="317"/>
    </row>
    <row r="54" spans="1:1">
      <c r="A54" s="317"/>
    </row>
    <row r="55" spans="1:1">
      <c r="A55" s="317"/>
    </row>
    <row r="56" spans="1:1">
      <c r="A56" s="340"/>
    </row>
    <row r="57" spans="1:1">
      <c r="A57" s="317"/>
    </row>
    <row r="58" spans="1:1">
      <c r="A58" s="317"/>
    </row>
    <row r="59" spans="1:1">
      <c r="A59" s="317"/>
    </row>
    <row r="60" spans="1:1">
      <c r="A60" s="317"/>
    </row>
    <row r="61" spans="1:1">
      <c r="A61" s="317"/>
    </row>
    <row r="62" spans="1:1">
      <c r="A62" s="317"/>
    </row>
    <row r="63" spans="1:1">
      <c r="A63" s="317"/>
    </row>
    <row r="64" spans="1:1">
      <c r="A64" s="317"/>
    </row>
  </sheetData>
  <mergeCells count="1515">
    <mergeCell ref="F1:K1"/>
    <mergeCell ref="B32:K32"/>
    <mergeCell ref="B33:K33"/>
    <mergeCell ref="O33:W33"/>
    <mergeCell ref="B34:K34"/>
    <mergeCell ref="O34:W34"/>
    <mergeCell ref="O32:W32"/>
    <mergeCell ref="R4:S4"/>
    <mergeCell ref="T4:U4"/>
    <mergeCell ref="C3:K3"/>
    <mergeCell ref="P3:W3"/>
    <mergeCell ref="F4:G4"/>
    <mergeCell ref="BE42:BN42"/>
    <mergeCell ref="BP42:BY42"/>
    <mergeCell ref="CA42:CJ42"/>
    <mergeCell ref="CL42:CU42"/>
    <mergeCell ref="CW42:DF42"/>
    <mergeCell ref="B42:J42"/>
    <mergeCell ref="O42:W42"/>
    <mergeCell ref="X42:AG42"/>
    <mergeCell ref="AI42:AR42"/>
    <mergeCell ref="AT42:BC42"/>
    <mergeCell ref="B39:J39"/>
    <mergeCell ref="O39:W39"/>
    <mergeCell ref="B40:J40"/>
    <mergeCell ref="O40:W40"/>
    <mergeCell ref="B41:J41"/>
    <mergeCell ref="O41:W41"/>
    <mergeCell ref="H4:I4"/>
    <mergeCell ref="B36:K36"/>
    <mergeCell ref="O36:W36"/>
    <mergeCell ref="B37:K37"/>
    <mergeCell ref="O37:W37"/>
    <mergeCell ref="B35:K35"/>
    <mergeCell ref="O35:W35"/>
    <mergeCell ref="JQ42:JZ42"/>
    <mergeCell ref="KB42:KK42"/>
    <mergeCell ref="KM42:KV42"/>
    <mergeCell ref="KX42:LG42"/>
    <mergeCell ref="LI42:LR42"/>
    <mergeCell ref="HN42:HW42"/>
    <mergeCell ref="HY42:IH42"/>
    <mergeCell ref="IJ42:IS42"/>
    <mergeCell ref="IU42:JD42"/>
    <mergeCell ref="JF42:JO42"/>
    <mergeCell ref="FK42:FT42"/>
    <mergeCell ref="FV42:GE42"/>
    <mergeCell ref="GG42:GP42"/>
    <mergeCell ref="GR42:HA42"/>
    <mergeCell ref="HC42:HL42"/>
    <mergeCell ref="DH42:DQ42"/>
    <mergeCell ref="DS42:EB42"/>
    <mergeCell ref="ED42:EM42"/>
    <mergeCell ref="EO42:EX42"/>
    <mergeCell ref="EZ42:FI42"/>
    <mergeCell ref="SC42:SL42"/>
    <mergeCell ref="SN42:SW42"/>
    <mergeCell ref="SY42:TH42"/>
    <mergeCell ref="TJ42:TS42"/>
    <mergeCell ref="TU42:UD42"/>
    <mergeCell ref="PZ42:QI42"/>
    <mergeCell ref="QK42:QT42"/>
    <mergeCell ref="QV42:RE42"/>
    <mergeCell ref="RG42:RP42"/>
    <mergeCell ref="RR42:SA42"/>
    <mergeCell ref="NW42:OF42"/>
    <mergeCell ref="OH42:OQ42"/>
    <mergeCell ref="OS42:PB42"/>
    <mergeCell ref="PD42:PM42"/>
    <mergeCell ref="PO42:PX42"/>
    <mergeCell ref="LT42:MC42"/>
    <mergeCell ref="ME42:MN42"/>
    <mergeCell ref="MP42:MY42"/>
    <mergeCell ref="NA42:NJ42"/>
    <mergeCell ref="NL42:NU42"/>
    <mergeCell ref="AAO42:AAX42"/>
    <mergeCell ref="AAZ42:ABI42"/>
    <mergeCell ref="ABK42:ABT42"/>
    <mergeCell ref="ABV42:ACE42"/>
    <mergeCell ref="ACG42:ACP42"/>
    <mergeCell ref="YL42:YU42"/>
    <mergeCell ref="YW42:ZF42"/>
    <mergeCell ref="ZH42:ZQ42"/>
    <mergeCell ref="ZS42:AAB42"/>
    <mergeCell ref="AAD42:AAM42"/>
    <mergeCell ref="WI42:WR42"/>
    <mergeCell ref="WT42:XC42"/>
    <mergeCell ref="XE42:XN42"/>
    <mergeCell ref="XP42:XY42"/>
    <mergeCell ref="YA42:YJ42"/>
    <mergeCell ref="UF42:UO42"/>
    <mergeCell ref="UQ42:UZ42"/>
    <mergeCell ref="VB42:VK42"/>
    <mergeCell ref="VM42:VV42"/>
    <mergeCell ref="VX42:WG42"/>
    <mergeCell ref="AJA42:AJJ42"/>
    <mergeCell ref="AJL42:AJU42"/>
    <mergeCell ref="AJW42:AKF42"/>
    <mergeCell ref="AKH42:AKQ42"/>
    <mergeCell ref="AKS42:ALB42"/>
    <mergeCell ref="AGX42:AHG42"/>
    <mergeCell ref="AHI42:AHR42"/>
    <mergeCell ref="AHT42:AIC42"/>
    <mergeCell ref="AIE42:AIN42"/>
    <mergeCell ref="AIP42:AIY42"/>
    <mergeCell ref="AEU42:AFD42"/>
    <mergeCell ref="AFF42:AFO42"/>
    <mergeCell ref="AFQ42:AFZ42"/>
    <mergeCell ref="AGB42:AGK42"/>
    <mergeCell ref="AGM42:AGV42"/>
    <mergeCell ref="ACR42:ADA42"/>
    <mergeCell ref="ADC42:ADL42"/>
    <mergeCell ref="ADN42:ADW42"/>
    <mergeCell ref="ADY42:AEH42"/>
    <mergeCell ref="AEJ42:AES42"/>
    <mergeCell ref="ARM42:ARV42"/>
    <mergeCell ref="ARX42:ASG42"/>
    <mergeCell ref="ASI42:ASR42"/>
    <mergeCell ref="AST42:ATC42"/>
    <mergeCell ref="ATE42:ATN42"/>
    <mergeCell ref="APJ42:APS42"/>
    <mergeCell ref="APU42:AQD42"/>
    <mergeCell ref="AQF42:AQO42"/>
    <mergeCell ref="AQQ42:AQZ42"/>
    <mergeCell ref="ARB42:ARK42"/>
    <mergeCell ref="ANG42:ANP42"/>
    <mergeCell ref="ANR42:AOA42"/>
    <mergeCell ref="AOC42:AOL42"/>
    <mergeCell ref="AON42:AOW42"/>
    <mergeCell ref="AOY42:APH42"/>
    <mergeCell ref="ALD42:ALM42"/>
    <mergeCell ref="ALO42:ALX42"/>
    <mergeCell ref="ALZ42:AMI42"/>
    <mergeCell ref="AMK42:AMT42"/>
    <mergeCell ref="AMV42:ANE42"/>
    <mergeCell ref="AZY42:BAH42"/>
    <mergeCell ref="BAJ42:BAS42"/>
    <mergeCell ref="BAU42:BBD42"/>
    <mergeCell ref="BBF42:BBO42"/>
    <mergeCell ref="BBQ42:BBZ42"/>
    <mergeCell ref="AXV42:AYE42"/>
    <mergeCell ref="AYG42:AYP42"/>
    <mergeCell ref="AYR42:AZA42"/>
    <mergeCell ref="AZC42:AZL42"/>
    <mergeCell ref="AZN42:AZW42"/>
    <mergeCell ref="AVS42:AWB42"/>
    <mergeCell ref="AWD42:AWM42"/>
    <mergeCell ref="AWO42:AWX42"/>
    <mergeCell ref="AWZ42:AXI42"/>
    <mergeCell ref="AXK42:AXT42"/>
    <mergeCell ref="ATP42:ATY42"/>
    <mergeCell ref="AUA42:AUJ42"/>
    <mergeCell ref="AUL42:AUU42"/>
    <mergeCell ref="AUW42:AVF42"/>
    <mergeCell ref="AVH42:AVQ42"/>
    <mergeCell ref="BIK42:BIT42"/>
    <mergeCell ref="BIV42:BJE42"/>
    <mergeCell ref="BJG42:BJP42"/>
    <mergeCell ref="BJR42:BKA42"/>
    <mergeCell ref="BKC42:BKL42"/>
    <mergeCell ref="BGH42:BGQ42"/>
    <mergeCell ref="BGS42:BHB42"/>
    <mergeCell ref="BHD42:BHM42"/>
    <mergeCell ref="BHO42:BHX42"/>
    <mergeCell ref="BHZ42:BII42"/>
    <mergeCell ref="BEE42:BEN42"/>
    <mergeCell ref="BEP42:BEY42"/>
    <mergeCell ref="BFA42:BFJ42"/>
    <mergeCell ref="BFL42:BFU42"/>
    <mergeCell ref="BFW42:BGF42"/>
    <mergeCell ref="BCB42:BCK42"/>
    <mergeCell ref="BCM42:BCV42"/>
    <mergeCell ref="BCX42:BDG42"/>
    <mergeCell ref="BDI42:BDR42"/>
    <mergeCell ref="BDT42:BEC42"/>
    <mergeCell ref="BQW42:BRF42"/>
    <mergeCell ref="BRH42:BRQ42"/>
    <mergeCell ref="BRS42:BSB42"/>
    <mergeCell ref="BSD42:BSM42"/>
    <mergeCell ref="BSO42:BSX42"/>
    <mergeCell ref="BOT42:BPC42"/>
    <mergeCell ref="BPE42:BPN42"/>
    <mergeCell ref="BPP42:BPY42"/>
    <mergeCell ref="BQA42:BQJ42"/>
    <mergeCell ref="BQL42:BQU42"/>
    <mergeCell ref="BMQ42:BMZ42"/>
    <mergeCell ref="BNB42:BNK42"/>
    <mergeCell ref="BNM42:BNV42"/>
    <mergeCell ref="BNX42:BOG42"/>
    <mergeCell ref="BOI42:BOR42"/>
    <mergeCell ref="BKN42:BKW42"/>
    <mergeCell ref="BKY42:BLH42"/>
    <mergeCell ref="BLJ42:BLS42"/>
    <mergeCell ref="BLU42:BMD42"/>
    <mergeCell ref="BMF42:BMO42"/>
    <mergeCell ref="BZI42:BZR42"/>
    <mergeCell ref="BZT42:CAC42"/>
    <mergeCell ref="CAE42:CAN42"/>
    <mergeCell ref="CAP42:CAY42"/>
    <mergeCell ref="CBA42:CBJ42"/>
    <mergeCell ref="BXF42:BXO42"/>
    <mergeCell ref="BXQ42:BXZ42"/>
    <mergeCell ref="BYB42:BYK42"/>
    <mergeCell ref="BYM42:BYV42"/>
    <mergeCell ref="BYX42:BZG42"/>
    <mergeCell ref="BVC42:BVL42"/>
    <mergeCell ref="BVN42:BVW42"/>
    <mergeCell ref="BVY42:BWH42"/>
    <mergeCell ref="BWJ42:BWS42"/>
    <mergeCell ref="BWU42:BXD42"/>
    <mergeCell ref="BSZ42:BTI42"/>
    <mergeCell ref="BTK42:BTT42"/>
    <mergeCell ref="BTV42:BUE42"/>
    <mergeCell ref="BUG42:BUP42"/>
    <mergeCell ref="BUR42:BVA42"/>
    <mergeCell ref="CHU42:CID42"/>
    <mergeCell ref="CIF42:CIO42"/>
    <mergeCell ref="CIQ42:CIZ42"/>
    <mergeCell ref="CJB42:CJK42"/>
    <mergeCell ref="CJM42:CJV42"/>
    <mergeCell ref="CFR42:CGA42"/>
    <mergeCell ref="CGC42:CGL42"/>
    <mergeCell ref="CGN42:CGW42"/>
    <mergeCell ref="CGY42:CHH42"/>
    <mergeCell ref="CHJ42:CHS42"/>
    <mergeCell ref="CDO42:CDX42"/>
    <mergeCell ref="CDZ42:CEI42"/>
    <mergeCell ref="CEK42:CET42"/>
    <mergeCell ref="CEV42:CFE42"/>
    <mergeCell ref="CFG42:CFP42"/>
    <mergeCell ref="CBL42:CBU42"/>
    <mergeCell ref="CBW42:CCF42"/>
    <mergeCell ref="CCH42:CCQ42"/>
    <mergeCell ref="CCS42:CDB42"/>
    <mergeCell ref="CDD42:CDM42"/>
    <mergeCell ref="CQG42:CQP42"/>
    <mergeCell ref="CQR42:CRA42"/>
    <mergeCell ref="CRC42:CRL42"/>
    <mergeCell ref="CRN42:CRW42"/>
    <mergeCell ref="CRY42:CSH42"/>
    <mergeCell ref="COD42:COM42"/>
    <mergeCell ref="COO42:COX42"/>
    <mergeCell ref="COZ42:CPI42"/>
    <mergeCell ref="CPK42:CPT42"/>
    <mergeCell ref="CPV42:CQE42"/>
    <mergeCell ref="CMA42:CMJ42"/>
    <mergeCell ref="CML42:CMU42"/>
    <mergeCell ref="CMW42:CNF42"/>
    <mergeCell ref="CNH42:CNQ42"/>
    <mergeCell ref="CNS42:COB42"/>
    <mergeCell ref="CJX42:CKG42"/>
    <mergeCell ref="CKI42:CKR42"/>
    <mergeCell ref="CKT42:CLC42"/>
    <mergeCell ref="CLE42:CLN42"/>
    <mergeCell ref="CLP42:CLY42"/>
    <mergeCell ref="CYS42:CZB42"/>
    <mergeCell ref="CZD42:CZM42"/>
    <mergeCell ref="CZO42:CZX42"/>
    <mergeCell ref="CZZ42:DAI42"/>
    <mergeCell ref="DAK42:DAT42"/>
    <mergeCell ref="CWP42:CWY42"/>
    <mergeCell ref="CXA42:CXJ42"/>
    <mergeCell ref="CXL42:CXU42"/>
    <mergeCell ref="CXW42:CYF42"/>
    <mergeCell ref="CYH42:CYQ42"/>
    <mergeCell ref="CUM42:CUV42"/>
    <mergeCell ref="CUX42:CVG42"/>
    <mergeCell ref="CVI42:CVR42"/>
    <mergeCell ref="CVT42:CWC42"/>
    <mergeCell ref="CWE42:CWN42"/>
    <mergeCell ref="CSJ42:CSS42"/>
    <mergeCell ref="CSU42:CTD42"/>
    <mergeCell ref="CTF42:CTO42"/>
    <mergeCell ref="CTQ42:CTZ42"/>
    <mergeCell ref="CUB42:CUK42"/>
    <mergeCell ref="DHE42:DHN42"/>
    <mergeCell ref="DHP42:DHY42"/>
    <mergeCell ref="DIA42:DIJ42"/>
    <mergeCell ref="DIL42:DIU42"/>
    <mergeCell ref="DIW42:DJF42"/>
    <mergeCell ref="DFB42:DFK42"/>
    <mergeCell ref="DFM42:DFV42"/>
    <mergeCell ref="DFX42:DGG42"/>
    <mergeCell ref="DGI42:DGR42"/>
    <mergeCell ref="DGT42:DHC42"/>
    <mergeCell ref="DCY42:DDH42"/>
    <mergeCell ref="DDJ42:DDS42"/>
    <mergeCell ref="DDU42:DED42"/>
    <mergeCell ref="DEF42:DEO42"/>
    <mergeCell ref="DEQ42:DEZ42"/>
    <mergeCell ref="DAV42:DBE42"/>
    <mergeCell ref="DBG42:DBP42"/>
    <mergeCell ref="DBR42:DCA42"/>
    <mergeCell ref="DCC42:DCL42"/>
    <mergeCell ref="DCN42:DCW42"/>
    <mergeCell ref="DPQ42:DPZ42"/>
    <mergeCell ref="DQB42:DQK42"/>
    <mergeCell ref="DQM42:DQV42"/>
    <mergeCell ref="DQX42:DRG42"/>
    <mergeCell ref="DRI42:DRR42"/>
    <mergeCell ref="DNN42:DNW42"/>
    <mergeCell ref="DNY42:DOH42"/>
    <mergeCell ref="DOJ42:DOS42"/>
    <mergeCell ref="DOU42:DPD42"/>
    <mergeCell ref="DPF42:DPO42"/>
    <mergeCell ref="DLK42:DLT42"/>
    <mergeCell ref="DLV42:DME42"/>
    <mergeCell ref="DMG42:DMP42"/>
    <mergeCell ref="DMR42:DNA42"/>
    <mergeCell ref="DNC42:DNL42"/>
    <mergeCell ref="DJH42:DJQ42"/>
    <mergeCell ref="DJS42:DKB42"/>
    <mergeCell ref="DKD42:DKM42"/>
    <mergeCell ref="DKO42:DKX42"/>
    <mergeCell ref="DKZ42:DLI42"/>
    <mergeCell ref="DYC42:DYL42"/>
    <mergeCell ref="DYN42:DYW42"/>
    <mergeCell ref="DYY42:DZH42"/>
    <mergeCell ref="DZJ42:DZS42"/>
    <mergeCell ref="DZU42:EAD42"/>
    <mergeCell ref="DVZ42:DWI42"/>
    <mergeCell ref="DWK42:DWT42"/>
    <mergeCell ref="DWV42:DXE42"/>
    <mergeCell ref="DXG42:DXP42"/>
    <mergeCell ref="DXR42:DYA42"/>
    <mergeCell ref="DTW42:DUF42"/>
    <mergeCell ref="DUH42:DUQ42"/>
    <mergeCell ref="DUS42:DVB42"/>
    <mergeCell ref="DVD42:DVM42"/>
    <mergeCell ref="DVO42:DVX42"/>
    <mergeCell ref="DRT42:DSC42"/>
    <mergeCell ref="DSE42:DSN42"/>
    <mergeCell ref="DSP42:DSY42"/>
    <mergeCell ref="DTA42:DTJ42"/>
    <mergeCell ref="DTL42:DTU42"/>
    <mergeCell ref="EGO42:EGX42"/>
    <mergeCell ref="EGZ42:EHI42"/>
    <mergeCell ref="EHK42:EHT42"/>
    <mergeCell ref="EHV42:EIE42"/>
    <mergeCell ref="EIG42:EIP42"/>
    <mergeCell ref="EEL42:EEU42"/>
    <mergeCell ref="EEW42:EFF42"/>
    <mergeCell ref="EFH42:EFQ42"/>
    <mergeCell ref="EFS42:EGB42"/>
    <mergeCell ref="EGD42:EGM42"/>
    <mergeCell ref="ECI42:ECR42"/>
    <mergeCell ref="ECT42:EDC42"/>
    <mergeCell ref="EDE42:EDN42"/>
    <mergeCell ref="EDP42:EDY42"/>
    <mergeCell ref="EEA42:EEJ42"/>
    <mergeCell ref="EAF42:EAO42"/>
    <mergeCell ref="EAQ42:EAZ42"/>
    <mergeCell ref="EBB42:EBK42"/>
    <mergeCell ref="EBM42:EBV42"/>
    <mergeCell ref="EBX42:ECG42"/>
    <mergeCell ref="EPA42:EPJ42"/>
    <mergeCell ref="EPL42:EPU42"/>
    <mergeCell ref="EPW42:EQF42"/>
    <mergeCell ref="EQH42:EQQ42"/>
    <mergeCell ref="EQS42:ERB42"/>
    <mergeCell ref="EMX42:ENG42"/>
    <mergeCell ref="ENI42:ENR42"/>
    <mergeCell ref="ENT42:EOC42"/>
    <mergeCell ref="EOE42:EON42"/>
    <mergeCell ref="EOP42:EOY42"/>
    <mergeCell ref="EKU42:ELD42"/>
    <mergeCell ref="ELF42:ELO42"/>
    <mergeCell ref="ELQ42:ELZ42"/>
    <mergeCell ref="EMB42:EMK42"/>
    <mergeCell ref="EMM42:EMV42"/>
    <mergeCell ref="EIR42:EJA42"/>
    <mergeCell ref="EJC42:EJL42"/>
    <mergeCell ref="EJN42:EJW42"/>
    <mergeCell ref="EJY42:EKH42"/>
    <mergeCell ref="EKJ42:EKS42"/>
    <mergeCell ref="EXM42:EXV42"/>
    <mergeCell ref="EXX42:EYG42"/>
    <mergeCell ref="EYI42:EYR42"/>
    <mergeCell ref="EYT42:EZC42"/>
    <mergeCell ref="EZE42:EZN42"/>
    <mergeCell ref="EVJ42:EVS42"/>
    <mergeCell ref="EVU42:EWD42"/>
    <mergeCell ref="EWF42:EWO42"/>
    <mergeCell ref="EWQ42:EWZ42"/>
    <mergeCell ref="EXB42:EXK42"/>
    <mergeCell ref="ETG42:ETP42"/>
    <mergeCell ref="ETR42:EUA42"/>
    <mergeCell ref="EUC42:EUL42"/>
    <mergeCell ref="EUN42:EUW42"/>
    <mergeCell ref="EUY42:EVH42"/>
    <mergeCell ref="ERD42:ERM42"/>
    <mergeCell ref="ERO42:ERX42"/>
    <mergeCell ref="ERZ42:ESI42"/>
    <mergeCell ref="ESK42:EST42"/>
    <mergeCell ref="ESV42:ETE42"/>
    <mergeCell ref="FFY42:FGH42"/>
    <mergeCell ref="FGJ42:FGS42"/>
    <mergeCell ref="FGU42:FHD42"/>
    <mergeCell ref="FHF42:FHO42"/>
    <mergeCell ref="FHQ42:FHZ42"/>
    <mergeCell ref="FDV42:FEE42"/>
    <mergeCell ref="FEG42:FEP42"/>
    <mergeCell ref="FER42:FFA42"/>
    <mergeCell ref="FFC42:FFL42"/>
    <mergeCell ref="FFN42:FFW42"/>
    <mergeCell ref="FBS42:FCB42"/>
    <mergeCell ref="FCD42:FCM42"/>
    <mergeCell ref="FCO42:FCX42"/>
    <mergeCell ref="FCZ42:FDI42"/>
    <mergeCell ref="FDK42:FDT42"/>
    <mergeCell ref="EZP42:EZY42"/>
    <mergeCell ref="FAA42:FAJ42"/>
    <mergeCell ref="FAL42:FAU42"/>
    <mergeCell ref="FAW42:FBF42"/>
    <mergeCell ref="FBH42:FBQ42"/>
    <mergeCell ref="FOK42:FOT42"/>
    <mergeCell ref="FOV42:FPE42"/>
    <mergeCell ref="FPG42:FPP42"/>
    <mergeCell ref="FPR42:FQA42"/>
    <mergeCell ref="FQC42:FQL42"/>
    <mergeCell ref="FMH42:FMQ42"/>
    <mergeCell ref="FMS42:FNB42"/>
    <mergeCell ref="FND42:FNM42"/>
    <mergeCell ref="FNO42:FNX42"/>
    <mergeCell ref="FNZ42:FOI42"/>
    <mergeCell ref="FKE42:FKN42"/>
    <mergeCell ref="FKP42:FKY42"/>
    <mergeCell ref="FLA42:FLJ42"/>
    <mergeCell ref="FLL42:FLU42"/>
    <mergeCell ref="FLW42:FMF42"/>
    <mergeCell ref="FIB42:FIK42"/>
    <mergeCell ref="FIM42:FIV42"/>
    <mergeCell ref="FIX42:FJG42"/>
    <mergeCell ref="FJI42:FJR42"/>
    <mergeCell ref="FJT42:FKC42"/>
    <mergeCell ref="FWW42:FXF42"/>
    <mergeCell ref="FXH42:FXQ42"/>
    <mergeCell ref="FXS42:FYB42"/>
    <mergeCell ref="FYD42:FYM42"/>
    <mergeCell ref="FYO42:FYX42"/>
    <mergeCell ref="FUT42:FVC42"/>
    <mergeCell ref="FVE42:FVN42"/>
    <mergeCell ref="FVP42:FVY42"/>
    <mergeCell ref="FWA42:FWJ42"/>
    <mergeCell ref="FWL42:FWU42"/>
    <mergeCell ref="FSQ42:FSZ42"/>
    <mergeCell ref="FTB42:FTK42"/>
    <mergeCell ref="FTM42:FTV42"/>
    <mergeCell ref="FTX42:FUG42"/>
    <mergeCell ref="FUI42:FUR42"/>
    <mergeCell ref="FQN42:FQW42"/>
    <mergeCell ref="FQY42:FRH42"/>
    <mergeCell ref="FRJ42:FRS42"/>
    <mergeCell ref="FRU42:FSD42"/>
    <mergeCell ref="FSF42:FSO42"/>
    <mergeCell ref="GFI42:GFR42"/>
    <mergeCell ref="GFT42:GGC42"/>
    <mergeCell ref="GGE42:GGN42"/>
    <mergeCell ref="GGP42:GGY42"/>
    <mergeCell ref="GHA42:GHJ42"/>
    <mergeCell ref="GDF42:GDO42"/>
    <mergeCell ref="GDQ42:GDZ42"/>
    <mergeCell ref="GEB42:GEK42"/>
    <mergeCell ref="GEM42:GEV42"/>
    <mergeCell ref="GEX42:GFG42"/>
    <mergeCell ref="GBC42:GBL42"/>
    <mergeCell ref="GBN42:GBW42"/>
    <mergeCell ref="GBY42:GCH42"/>
    <mergeCell ref="GCJ42:GCS42"/>
    <mergeCell ref="GCU42:GDD42"/>
    <mergeCell ref="FYZ42:FZI42"/>
    <mergeCell ref="FZK42:FZT42"/>
    <mergeCell ref="FZV42:GAE42"/>
    <mergeCell ref="GAG42:GAP42"/>
    <mergeCell ref="GAR42:GBA42"/>
    <mergeCell ref="GNU42:GOD42"/>
    <mergeCell ref="GOF42:GOO42"/>
    <mergeCell ref="GOQ42:GOZ42"/>
    <mergeCell ref="GPB42:GPK42"/>
    <mergeCell ref="GPM42:GPV42"/>
    <mergeCell ref="GLR42:GMA42"/>
    <mergeCell ref="GMC42:GML42"/>
    <mergeCell ref="GMN42:GMW42"/>
    <mergeCell ref="GMY42:GNH42"/>
    <mergeCell ref="GNJ42:GNS42"/>
    <mergeCell ref="GJO42:GJX42"/>
    <mergeCell ref="GJZ42:GKI42"/>
    <mergeCell ref="GKK42:GKT42"/>
    <mergeCell ref="GKV42:GLE42"/>
    <mergeCell ref="GLG42:GLP42"/>
    <mergeCell ref="GHL42:GHU42"/>
    <mergeCell ref="GHW42:GIF42"/>
    <mergeCell ref="GIH42:GIQ42"/>
    <mergeCell ref="GIS42:GJB42"/>
    <mergeCell ref="GJD42:GJM42"/>
    <mergeCell ref="GWG42:GWP42"/>
    <mergeCell ref="GWR42:GXA42"/>
    <mergeCell ref="GXC42:GXL42"/>
    <mergeCell ref="GXN42:GXW42"/>
    <mergeCell ref="GXY42:GYH42"/>
    <mergeCell ref="GUD42:GUM42"/>
    <mergeCell ref="GUO42:GUX42"/>
    <mergeCell ref="GUZ42:GVI42"/>
    <mergeCell ref="GVK42:GVT42"/>
    <mergeCell ref="GVV42:GWE42"/>
    <mergeCell ref="GSA42:GSJ42"/>
    <mergeCell ref="GSL42:GSU42"/>
    <mergeCell ref="GSW42:GTF42"/>
    <mergeCell ref="GTH42:GTQ42"/>
    <mergeCell ref="GTS42:GUB42"/>
    <mergeCell ref="GPX42:GQG42"/>
    <mergeCell ref="GQI42:GQR42"/>
    <mergeCell ref="GQT42:GRC42"/>
    <mergeCell ref="GRE42:GRN42"/>
    <mergeCell ref="GRP42:GRY42"/>
    <mergeCell ref="HES42:HFB42"/>
    <mergeCell ref="HFD42:HFM42"/>
    <mergeCell ref="HFO42:HFX42"/>
    <mergeCell ref="HFZ42:HGI42"/>
    <mergeCell ref="HGK42:HGT42"/>
    <mergeCell ref="HCP42:HCY42"/>
    <mergeCell ref="HDA42:HDJ42"/>
    <mergeCell ref="HDL42:HDU42"/>
    <mergeCell ref="HDW42:HEF42"/>
    <mergeCell ref="HEH42:HEQ42"/>
    <mergeCell ref="HAM42:HAV42"/>
    <mergeCell ref="HAX42:HBG42"/>
    <mergeCell ref="HBI42:HBR42"/>
    <mergeCell ref="HBT42:HCC42"/>
    <mergeCell ref="HCE42:HCN42"/>
    <mergeCell ref="GYJ42:GYS42"/>
    <mergeCell ref="GYU42:GZD42"/>
    <mergeCell ref="GZF42:GZO42"/>
    <mergeCell ref="GZQ42:GZZ42"/>
    <mergeCell ref="HAB42:HAK42"/>
    <mergeCell ref="HNE42:HNN42"/>
    <mergeCell ref="HNP42:HNY42"/>
    <mergeCell ref="HOA42:HOJ42"/>
    <mergeCell ref="HOL42:HOU42"/>
    <mergeCell ref="HOW42:HPF42"/>
    <mergeCell ref="HLB42:HLK42"/>
    <mergeCell ref="HLM42:HLV42"/>
    <mergeCell ref="HLX42:HMG42"/>
    <mergeCell ref="HMI42:HMR42"/>
    <mergeCell ref="HMT42:HNC42"/>
    <mergeCell ref="HIY42:HJH42"/>
    <mergeCell ref="HJJ42:HJS42"/>
    <mergeCell ref="HJU42:HKD42"/>
    <mergeCell ref="HKF42:HKO42"/>
    <mergeCell ref="HKQ42:HKZ42"/>
    <mergeCell ref="HGV42:HHE42"/>
    <mergeCell ref="HHG42:HHP42"/>
    <mergeCell ref="HHR42:HIA42"/>
    <mergeCell ref="HIC42:HIL42"/>
    <mergeCell ref="HIN42:HIW42"/>
    <mergeCell ref="HVQ42:HVZ42"/>
    <mergeCell ref="HWB42:HWK42"/>
    <mergeCell ref="HWM42:HWV42"/>
    <mergeCell ref="HWX42:HXG42"/>
    <mergeCell ref="HXI42:HXR42"/>
    <mergeCell ref="HTN42:HTW42"/>
    <mergeCell ref="HTY42:HUH42"/>
    <mergeCell ref="HUJ42:HUS42"/>
    <mergeCell ref="HUU42:HVD42"/>
    <mergeCell ref="HVF42:HVO42"/>
    <mergeCell ref="HRK42:HRT42"/>
    <mergeCell ref="HRV42:HSE42"/>
    <mergeCell ref="HSG42:HSP42"/>
    <mergeCell ref="HSR42:HTA42"/>
    <mergeCell ref="HTC42:HTL42"/>
    <mergeCell ref="HPH42:HPQ42"/>
    <mergeCell ref="HPS42:HQB42"/>
    <mergeCell ref="HQD42:HQM42"/>
    <mergeCell ref="HQO42:HQX42"/>
    <mergeCell ref="HQZ42:HRI42"/>
    <mergeCell ref="IEC42:IEL42"/>
    <mergeCell ref="IEN42:IEW42"/>
    <mergeCell ref="IEY42:IFH42"/>
    <mergeCell ref="IFJ42:IFS42"/>
    <mergeCell ref="IFU42:IGD42"/>
    <mergeCell ref="IBZ42:ICI42"/>
    <mergeCell ref="ICK42:ICT42"/>
    <mergeCell ref="ICV42:IDE42"/>
    <mergeCell ref="IDG42:IDP42"/>
    <mergeCell ref="IDR42:IEA42"/>
    <mergeCell ref="HZW42:IAF42"/>
    <mergeCell ref="IAH42:IAQ42"/>
    <mergeCell ref="IAS42:IBB42"/>
    <mergeCell ref="IBD42:IBM42"/>
    <mergeCell ref="IBO42:IBX42"/>
    <mergeCell ref="HXT42:HYC42"/>
    <mergeCell ref="HYE42:HYN42"/>
    <mergeCell ref="HYP42:HYY42"/>
    <mergeCell ref="HZA42:HZJ42"/>
    <mergeCell ref="HZL42:HZU42"/>
    <mergeCell ref="IMO42:IMX42"/>
    <mergeCell ref="IMZ42:INI42"/>
    <mergeCell ref="INK42:INT42"/>
    <mergeCell ref="INV42:IOE42"/>
    <mergeCell ref="IOG42:IOP42"/>
    <mergeCell ref="IKL42:IKU42"/>
    <mergeCell ref="IKW42:ILF42"/>
    <mergeCell ref="ILH42:ILQ42"/>
    <mergeCell ref="ILS42:IMB42"/>
    <mergeCell ref="IMD42:IMM42"/>
    <mergeCell ref="III42:IIR42"/>
    <mergeCell ref="IIT42:IJC42"/>
    <mergeCell ref="IJE42:IJN42"/>
    <mergeCell ref="IJP42:IJY42"/>
    <mergeCell ref="IKA42:IKJ42"/>
    <mergeCell ref="IGF42:IGO42"/>
    <mergeCell ref="IGQ42:IGZ42"/>
    <mergeCell ref="IHB42:IHK42"/>
    <mergeCell ref="IHM42:IHV42"/>
    <mergeCell ref="IHX42:IIG42"/>
    <mergeCell ref="IVA42:IVJ42"/>
    <mergeCell ref="IVL42:IVU42"/>
    <mergeCell ref="IVW42:IWF42"/>
    <mergeCell ref="IWH42:IWQ42"/>
    <mergeCell ref="IWS42:IXB42"/>
    <mergeCell ref="ISX42:ITG42"/>
    <mergeCell ref="ITI42:ITR42"/>
    <mergeCell ref="ITT42:IUC42"/>
    <mergeCell ref="IUE42:IUN42"/>
    <mergeCell ref="IUP42:IUY42"/>
    <mergeCell ref="IQU42:IRD42"/>
    <mergeCell ref="IRF42:IRO42"/>
    <mergeCell ref="IRQ42:IRZ42"/>
    <mergeCell ref="ISB42:ISK42"/>
    <mergeCell ref="ISM42:ISV42"/>
    <mergeCell ref="IOR42:IPA42"/>
    <mergeCell ref="IPC42:IPL42"/>
    <mergeCell ref="IPN42:IPW42"/>
    <mergeCell ref="IPY42:IQH42"/>
    <mergeCell ref="IQJ42:IQS42"/>
    <mergeCell ref="JDM42:JDV42"/>
    <mergeCell ref="JDX42:JEG42"/>
    <mergeCell ref="JEI42:JER42"/>
    <mergeCell ref="JET42:JFC42"/>
    <mergeCell ref="JFE42:JFN42"/>
    <mergeCell ref="JBJ42:JBS42"/>
    <mergeCell ref="JBU42:JCD42"/>
    <mergeCell ref="JCF42:JCO42"/>
    <mergeCell ref="JCQ42:JCZ42"/>
    <mergeCell ref="JDB42:JDK42"/>
    <mergeCell ref="IZG42:IZP42"/>
    <mergeCell ref="IZR42:JAA42"/>
    <mergeCell ref="JAC42:JAL42"/>
    <mergeCell ref="JAN42:JAW42"/>
    <mergeCell ref="JAY42:JBH42"/>
    <mergeCell ref="IXD42:IXM42"/>
    <mergeCell ref="IXO42:IXX42"/>
    <mergeCell ref="IXZ42:IYI42"/>
    <mergeCell ref="IYK42:IYT42"/>
    <mergeCell ref="IYV42:IZE42"/>
    <mergeCell ref="JLY42:JMH42"/>
    <mergeCell ref="JMJ42:JMS42"/>
    <mergeCell ref="JMU42:JND42"/>
    <mergeCell ref="JNF42:JNO42"/>
    <mergeCell ref="JNQ42:JNZ42"/>
    <mergeCell ref="JJV42:JKE42"/>
    <mergeCell ref="JKG42:JKP42"/>
    <mergeCell ref="JKR42:JLA42"/>
    <mergeCell ref="JLC42:JLL42"/>
    <mergeCell ref="JLN42:JLW42"/>
    <mergeCell ref="JHS42:JIB42"/>
    <mergeCell ref="JID42:JIM42"/>
    <mergeCell ref="JIO42:JIX42"/>
    <mergeCell ref="JIZ42:JJI42"/>
    <mergeCell ref="JJK42:JJT42"/>
    <mergeCell ref="JFP42:JFY42"/>
    <mergeCell ref="JGA42:JGJ42"/>
    <mergeCell ref="JGL42:JGU42"/>
    <mergeCell ref="JGW42:JHF42"/>
    <mergeCell ref="JHH42:JHQ42"/>
    <mergeCell ref="JUK42:JUT42"/>
    <mergeCell ref="JUV42:JVE42"/>
    <mergeCell ref="JVG42:JVP42"/>
    <mergeCell ref="JVR42:JWA42"/>
    <mergeCell ref="JWC42:JWL42"/>
    <mergeCell ref="JSH42:JSQ42"/>
    <mergeCell ref="JSS42:JTB42"/>
    <mergeCell ref="JTD42:JTM42"/>
    <mergeCell ref="JTO42:JTX42"/>
    <mergeCell ref="JTZ42:JUI42"/>
    <mergeCell ref="JQE42:JQN42"/>
    <mergeCell ref="JQP42:JQY42"/>
    <mergeCell ref="JRA42:JRJ42"/>
    <mergeCell ref="JRL42:JRU42"/>
    <mergeCell ref="JRW42:JSF42"/>
    <mergeCell ref="JOB42:JOK42"/>
    <mergeCell ref="JOM42:JOV42"/>
    <mergeCell ref="JOX42:JPG42"/>
    <mergeCell ref="JPI42:JPR42"/>
    <mergeCell ref="JPT42:JQC42"/>
    <mergeCell ref="KCW42:KDF42"/>
    <mergeCell ref="KDH42:KDQ42"/>
    <mergeCell ref="KDS42:KEB42"/>
    <mergeCell ref="KED42:KEM42"/>
    <mergeCell ref="KEO42:KEX42"/>
    <mergeCell ref="KAT42:KBC42"/>
    <mergeCell ref="KBE42:KBN42"/>
    <mergeCell ref="KBP42:KBY42"/>
    <mergeCell ref="KCA42:KCJ42"/>
    <mergeCell ref="KCL42:KCU42"/>
    <mergeCell ref="JYQ42:JYZ42"/>
    <mergeCell ref="JZB42:JZK42"/>
    <mergeCell ref="JZM42:JZV42"/>
    <mergeCell ref="JZX42:KAG42"/>
    <mergeCell ref="KAI42:KAR42"/>
    <mergeCell ref="JWN42:JWW42"/>
    <mergeCell ref="JWY42:JXH42"/>
    <mergeCell ref="JXJ42:JXS42"/>
    <mergeCell ref="JXU42:JYD42"/>
    <mergeCell ref="JYF42:JYO42"/>
    <mergeCell ref="KLI42:KLR42"/>
    <mergeCell ref="KLT42:KMC42"/>
    <mergeCell ref="KME42:KMN42"/>
    <mergeCell ref="KMP42:KMY42"/>
    <mergeCell ref="KNA42:KNJ42"/>
    <mergeCell ref="KJF42:KJO42"/>
    <mergeCell ref="KJQ42:KJZ42"/>
    <mergeCell ref="KKB42:KKK42"/>
    <mergeCell ref="KKM42:KKV42"/>
    <mergeCell ref="KKX42:KLG42"/>
    <mergeCell ref="KHC42:KHL42"/>
    <mergeCell ref="KHN42:KHW42"/>
    <mergeCell ref="KHY42:KIH42"/>
    <mergeCell ref="KIJ42:KIS42"/>
    <mergeCell ref="KIU42:KJD42"/>
    <mergeCell ref="KEZ42:KFI42"/>
    <mergeCell ref="KFK42:KFT42"/>
    <mergeCell ref="KFV42:KGE42"/>
    <mergeCell ref="KGG42:KGP42"/>
    <mergeCell ref="KGR42:KHA42"/>
    <mergeCell ref="KTU42:KUD42"/>
    <mergeCell ref="KUF42:KUO42"/>
    <mergeCell ref="KUQ42:KUZ42"/>
    <mergeCell ref="KVB42:KVK42"/>
    <mergeCell ref="KVM42:KVV42"/>
    <mergeCell ref="KRR42:KSA42"/>
    <mergeCell ref="KSC42:KSL42"/>
    <mergeCell ref="KSN42:KSW42"/>
    <mergeCell ref="KSY42:KTH42"/>
    <mergeCell ref="KTJ42:KTS42"/>
    <mergeCell ref="KPO42:KPX42"/>
    <mergeCell ref="KPZ42:KQI42"/>
    <mergeCell ref="KQK42:KQT42"/>
    <mergeCell ref="KQV42:KRE42"/>
    <mergeCell ref="KRG42:KRP42"/>
    <mergeCell ref="KNL42:KNU42"/>
    <mergeCell ref="KNW42:KOF42"/>
    <mergeCell ref="KOH42:KOQ42"/>
    <mergeCell ref="KOS42:KPB42"/>
    <mergeCell ref="KPD42:KPM42"/>
    <mergeCell ref="LCG42:LCP42"/>
    <mergeCell ref="LCR42:LDA42"/>
    <mergeCell ref="LDC42:LDL42"/>
    <mergeCell ref="LDN42:LDW42"/>
    <mergeCell ref="LDY42:LEH42"/>
    <mergeCell ref="LAD42:LAM42"/>
    <mergeCell ref="LAO42:LAX42"/>
    <mergeCell ref="LAZ42:LBI42"/>
    <mergeCell ref="LBK42:LBT42"/>
    <mergeCell ref="LBV42:LCE42"/>
    <mergeCell ref="KYA42:KYJ42"/>
    <mergeCell ref="KYL42:KYU42"/>
    <mergeCell ref="KYW42:KZF42"/>
    <mergeCell ref="KZH42:KZQ42"/>
    <mergeCell ref="KZS42:LAB42"/>
    <mergeCell ref="KVX42:KWG42"/>
    <mergeCell ref="KWI42:KWR42"/>
    <mergeCell ref="KWT42:KXC42"/>
    <mergeCell ref="KXE42:KXN42"/>
    <mergeCell ref="KXP42:KXY42"/>
    <mergeCell ref="LKS42:LLB42"/>
    <mergeCell ref="LLD42:LLM42"/>
    <mergeCell ref="LLO42:LLX42"/>
    <mergeCell ref="LLZ42:LMI42"/>
    <mergeCell ref="LMK42:LMT42"/>
    <mergeCell ref="LIP42:LIY42"/>
    <mergeCell ref="LJA42:LJJ42"/>
    <mergeCell ref="LJL42:LJU42"/>
    <mergeCell ref="LJW42:LKF42"/>
    <mergeCell ref="LKH42:LKQ42"/>
    <mergeCell ref="LGM42:LGV42"/>
    <mergeCell ref="LGX42:LHG42"/>
    <mergeCell ref="LHI42:LHR42"/>
    <mergeCell ref="LHT42:LIC42"/>
    <mergeCell ref="LIE42:LIN42"/>
    <mergeCell ref="LEJ42:LES42"/>
    <mergeCell ref="LEU42:LFD42"/>
    <mergeCell ref="LFF42:LFO42"/>
    <mergeCell ref="LFQ42:LFZ42"/>
    <mergeCell ref="LGB42:LGK42"/>
    <mergeCell ref="LTE42:LTN42"/>
    <mergeCell ref="LTP42:LTY42"/>
    <mergeCell ref="LUA42:LUJ42"/>
    <mergeCell ref="LUL42:LUU42"/>
    <mergeCell ref="LUW42:LVF42"/>
    <mergeCell ref="LRB42:LRK42"/>
    <mergeCell ref="LRM42:LRV42"/>
    <mergeCell ref="LRX42:LSG42"/>
    <mergeCell ref="LSI42:LSR42"/>
    <mergeCell ref="LST42:LTC42"/>
    <mergeCell ref="LOY42:LPH42"/>
    <mergeCell ref="LPJ42:LPS42"/>
    <mergeCell ref="LPU42:LQD42"/>
    <mergeCell ref="LQF42:LQO42"/>
    <mergeCell ref="LQQ42:LQZ42"/>
    <mergeCell ref="LMV42:LNE42"/>
    <mergeCell ref="LNG42:LNP42"/>
    <mergeCell ref="LNR42:LOA42"/>
    <mergeCell ref="LOC42:LOL42"/>
    <mergeCell ref="LON42:LOW42"/>
    <mergeCell ref="MBQ42:MBZ42"/>
    <mergeCell ref="MCB42:MCK42"/>
    <mergeCell ref="MCM42:MCV42"/>
    <mergeCell ref="MCX42:MDG42"/>
    <mergeCell ref="MDI42:MDR42"/>
    <mergeCell ref="LZN42:LZW42"/>
    <mergeCell ref="LZY42:MAH42"/>
    <mergeCell ref="MAJ42:MAS42"/>
    <mergeCell ref="MAU42:MBD42"/>
    <mergeCell ref="MBF42:MBO42"/>
    <mergeCell ref="LXK42:LXT42"/>
    <mergeCell ref="LXV42:LYE42"/>
    <mergeCell ref="LYG42:LYP42"/>
    <mergeCell ref="LYR42:LZA42"/>
    <mergeCell ref="LZC42:LZL42"/>
    <mergeCell ref="LVH42:LVQ42"/>
    <mergeCell ref="LVS42:LWB42"/>
    <mergeCell ref="LWD42:LWM42"/>
    <mergeCell ref="LWO42:LWX42"/>
    <mergeCell ref="LWZ42:LXI42"/>
    <mergeCell ref="MKC42:MKL42"/>
    <mergeCell ref="MKN42:MKW42"/>
    <mergeCell ref="MKY42:MLH42"/>
    <mergeCell ref="MLJ42:MLS42"/>
    <mergeCell ref="MLU42:MMD42"/>
    <mergeCell ref="MHZ42:MII42"/>
    <mergeCell ref="MIK42:MIT42"/>
    <mergeCell ref="MIV42:MJE42"/>
    <mergeCell ref="MJG42:MJP42"/>
    <mergeCell ref="MJR42:MKA42"/>
    <mergeCell ref="MFW42:MGF42"/>
    <mergeCell ref="MGH42:MGQ42"/>
    <mergeCell ref="MGS42:MHB42"/>
    <mergeCell ref="MHD42:MHM42"/>
    <mergeCell ref="MHO42:MHX42"/>
    <mergeCell ref="MDT42:MEC42"/>
    <mergeCell ref="MEE42:MEN42"/>
    <mergeCell ref="MEP42:MEY42"/>
    <mergeCell ref="MFA42:MFJ42"/>
    <mergeCell ref="MFL42:MFU42"/>
    <mergeCell ref="MSO42:MSX42"/>
    <mergeCell ref="MSZ42:MTI42"/>
    <mergeCell ref="MTK42:MTT42"/>
    <mergeCell ref="MTV42:MUE42"/>
    <mergeCell ref="MUG42:MUP42"/>
    <mergeCell ref="MQL42:MQU42"/>
    <mergeCell ref="MQW42:MRF42"/>
    <mergeCell ref="MRH42:MRQ42"/>
    <mergeCell ref="MRS42:MSB42"/>
    <mergeCell ref="MSD42:MSM42"/>
    <mergeCell ref="MOI42:MOR42"/>
    <mergeCell ref="MOT42:MPC42"/>
    <mergeCell ref="MPE42:MPN42"/>
    <mergeCell ref="MPP42:MPY42"/>
    <mergeCell ref="MQA42:MQJ42"/>
    <mergeCell ref="MMF42:MMO42"/>
    <mergeCell ref="MMQ42:MMZ42"/>
    <mergeCell ref="MNB42:MNK42"/>
    <mergeCell ref="MNM42:MNV42"/>
    <mergeCell ref="MNX42:MOG42"/>
    <mergeCell ref="NBA42:NBJ42"/>
    <mergeCell ref="NBL42:NBU42"/>
    <mergeCell ref="NBW42:NCF42"/>
    <mergeCell ref="NCH42:NCQ42"/>
    <mergeCell ref="NCS42:NDB42"/>
    <mergeCell ref="MYX42:MZG42"/>
    <mergeCell ref="MZI42:MZR42"/>
    <mergeCell ref="MZT42:NAC42"/>
    <mergeCell ref="NAE42:NAN42"/>
    <mergeCell ref="NAP42:NAY42"/>
    <mergeCell ref="MWU42:MXD42"/>
    <mergeCell ref="MXF42:MXO42"/>
    <mergeCell ref="MXQ42:MXZ42"/>
    <mergeCell ref="MYB42:MYK42"/>
    <mergeCell ref="MYM42:MYV42"/>
    <mergeCell ref="MUR42:MVA42"/>
    <mergeCell ref="MVC42:MVL42"/>
    <mergeCell ref="MVN42:MVW42"/>
    <mergeCell ref="MVY42:MWH42"/>
    <mergeCell ref="MWJ42:MWS42"/>
    <mergeCell ref="NJM42:NJV42"/>
    <mergeCell ref="NJX42:NKG42"/>
    <mergeCell ref="NKI42:NKR42"/>
    <mergeCell ref="NKT42:NLC42"/>
    <mergeCell ref="NLE42:NLN42"/>
    <mergeCell ref="NHJ42:NHS42"/>
    <mergeCell ref="NHU42:NID42"/>
    <mergeCell ref="NIF42:NIO42"/>
    <mergeCell ref="NIQ42:NIZ42"/>
    <mergeCell ref="NJB42:NJK42"/>
    <mergeCell ref="NFG42:NFP42"/>
    <mergeCell ref="NFR42:NGA42"/>
    <mergeCell ref="NGC42:NGL42"/>
    <mergeCell ref="NGN42:NGW42"/>
    <mergeCell ref="NGY42:NHH42"/>
    <mergeCell ref="NDD42:NDM42"/>
    <mergeCell ref="NDO42:NDX42"/>
    <mergeCell ref="NDZ42:NEI42"/>
    <mergeCell ref="NEK42:NET42"/>
    <mergeCell ref="NEV42:NFE42"/>
    <mergeCell ref="NRY42:NSH42"/>
    <mergeCell ref="NSJ42:NSS42"/>
    <mergeCell ref="NSU42:NTD42"/>
    <mergeCell ref="NTF42:NTO42"/>
    <mergeCell ref="NTQ42:NTZ42"/>
    <mergeCell ref="NPV42:NQE42"/>
    <mergeCell ref="NQG42:NQP42"/>
    <mergeCell ref="NQR42:NRA42"/>
    <mergeCell ref="NRC42:NRL42"/>
    <mergeCell ref="NRN42:NRW42"/>
    <mergeCell ref="NNS42:NOB42"/>
    <mergeCell ref="NOD42:NOM42"/>
    <mergeCell ref="NOO42:NOX42"/>
    <mergeCell ref="NOZ42:NPI42"/>
    <mergeCell ref="NPK42:NPT42"/>
    <mergeCell ref="NLP42:NLY42"/>
    <mergeCell ref="NMA42:NMJ42"/>
    <mergeCell ref="NML42:NMU42"/>
    <mergeCell ref="NMW42:NNF42"/>
    <mergeCell ref="NNH42:NNQ42"/>
    <mergeCell ref="OAK42:OAT42"/>
    <mergeCell ref="OAV42:OBE42"/>
    <mergeCell ref="OBG42:OBP42"/>
    <mergeCell ref="OBR42:OCA42"/>
    <mergeCell ref="OCC42:OCL42"/>
    <mergeCell ref="NYH42:NYQ42"/>
    <mergeCell ref="NYS42:NZB42"/>
    <mergeCell ref="NZD42:NZM42"/>
    <mergeCell ref="NZO42:NZX42"/>
    <mergeCell ref="NZZ42:OAI42"/>
    <mergeCell ref="NWE42:NWN42"/>
    <mergeCell ref="NWP42:NWY42"/>
    <mergeCell ref="NXA42:NXJ42"/>
    <mergeCell ref="NXL42:NXU42"/>
    <mergeCell ref="NXW42:NYF42"/>
    <mergeCell ref="NUB42:NUK42"/>
    <mergeCell ref="NUM42:NUV42"/>
    <mergeCell ref="NUX42:NVG42"/>
    <mergeCell ref="NVI42:NVR42"/>
    <mergeCell ref="NVT42:NWC42"/>
    <mergeCell ref="OIW42:OJF42"/>
    <mergeCell ref="OJH42:OJQ42"/>
    <mergeCell ref="OJS42:OKB42"/>
    <mergeCell ref="OKD42:OKM42"/>
    <mergeCell ref="OKO42:OKX42"/>
    <mergeCell ref="OGT42:OHC42"/>
    <mergeCell ref="OHE42:OHN42"/>
    <mergeCell ref="OHP42:OHY42"/>
    <mergeCell ref="OIA42:OIJ42"/>
    <mergeCell ref="OIL42:OIU42"/>
    <mergeCell ref="OEQ42:OEZ42"/>
    <mergeCell ref="OFB42:OFK42"/>
    <mergeCell ref="OFM42:OFV42"/>
    <mergeCell ref="OFX42:OGG42"/>
    <mergeCell ref="OGI42:OGR42"/>
    <mergeCell ref="OCN42:OCW42"/>
    <mergeCell ref="OCY42:ODH42"/>
    <mergeCell ref="ODJ42:ODS42"/>
    <mergeCell ref="ODU42:OED42"/>
    <mergeCell ref="OEF42:OEO42"/>
    <mergeCell ref="ORI42:ORR42"/>
    <mergeCell ref="ORT42:OSC42"/>
    <mergeCell ref="OSE42:OSN42"/>
    <mergeCell ref="OSP42:OSY42"/>
    <mergeCell ref="OTA42:OTJ42"/>
    <mergeCell ref="OPF42:OPO42"/>
    <mergeCell ref="OPQ42:OPZ42"/>
    <mergeCell ref="OQB42:OQK42"/>
    <mergeCell ref="OQM42:OQV42"/>
    <mergeCell ref="OQX42:ORG42"/>
    <mergeCell ref="ONC42:ONL42"/>
    <mergeCell ref="ONN42:ONW42"/>
    <mergeCell ref="ONY42:OOH42"/>
    <mergeCell ref="OOJ42:OOS42"/>
    <mergeCell ref="OOU42:OPD42"/>
    <mergeCell ref="OKZ42:OLI42"/>
    <mergeCell ref="OLK42:OLT42"/>
    <mergeCell ref="OLV42:OME42"/>
    <mergeCell ref="OMG42:OMP42"/>
    <mergeCell ref="OMR42:ONA42"/>
    <mergeCell ref="OZU42:PAD42"/>
    <mergeCell ref="PAF42:PAO42"/>
    <mergeCell ref="PAQ42:PAZ42"/>
    <mergeCell ref="PBB42:PBK42"/>
    <mergeCell ref="PBM42:PBV42"/>
    <mergeCell ref="OXR42:OYA42"/>
    <mergeCell ref="OYC42:OYL42"/>
    <mergeCell ref="OYN42:OYW42"/>
    <mergeCell ref="OYY42:OZH42"/>
    <mergeCell ref="OZJ42:OZS42"/>
    <mergeCell ref="OVO42:OVX42"/>
    <mergeCell ref="OVZ42:OWI42"/>
    <mergeCell ref="OWK42:OWT42"/>
    <mergeCell ref="OWV42:OXE42"/>
    <mergeCell ref="OXG42:OXP42"/>
    <mergeCell ref="OTL42:OTU42"/>
    <mergeCell ref="OTW42:OUF42"/>
    <mergeCell ref="OUH42:OUQ42"/>
    <mergeCell ref="OUS42:OVB42"/>
    <mergeCell ref="OVD42:OVM42"/>
    <mergeCell ref="PIG42:PIP42"/>
    <mergeCell ref="PIR42:PJA42"/>
    <mergeCell ref="PJC42:PJL42"/>
    <mergeCell ref="PJN42:PJW42"/>
    <mergeCell ref="PJY42:PKH42"/>
    <mergeCell ref="PGD42:PGM42"/>
    <mergeCell ref="PGO42:PGX42"/>
    <mergeCell ref="PGZ42:PHI42"/>
    <mergeCell ref="PHK42:PHT42"/>
    <mergeCell ref="PHV42:PIE42"/>
    <mergeCell ref="PEA42:PEJ42"/>
    <mergeCell ref="PEL42:PEU42"/>
    <mergeCell ref="PEW42:PFF42"/>
    <mergeCell ref="PFH42:PFQ42"/>
    <mergeCell ref="PFS42:PGB42"/>
    <mergeCell ref="PBX42:PCG42"/>
    <mergeCell ref="PCI42:PCR42"/>
    <mergeCell ref="PCT42:PDC42"/>
    <mergeCell ref="PDE42:PDN42"/>
    <mergeCell ref="PDP42:PDY42"/>
    <mergeCell ref="PQS42:PRB42"/>
    <mergeCell ref="PRD42:PRM42"/>
    <mergeCell ref="PRO42:PRX42"/>
    <mergeCell ref="PRZ42:PSI42"/>
    <mergeCell ref="PSK42:PST42"/>
    <mergeCell ref="POP42:POY42"/>
    <mergeCell ref="PPA42:PPJ42"/>
    <mergeCell ref="PPL42:PPU42"/>
    <mergeCell ref="PPW42:PQF42"/>
    <mergeCell ref="PQH42:PQQ42"/>
    <mergeCell ref="PMM42:PMV42"/>
    <mergeCell ref="PMX42:PNG42"/>
    <mergeCell ref="PNI42:PNR42"/>
    <mergeCell ref="PNT42:POC42"/>
    <mergeCell ref="POE42:PON42"/>
    <mergeCell ref="PKJ42:PKS42"/>
    <mergeCell ref="PKU42:PLD42"/>
    <mergeCell ref="PLF42:PLO42"/>
    <mergeCell ref="PLQ42:PLZ42"/>
    <mergeCell ref="PMB42:PMK42"/>
    <mergeCell ref="PZE42:PZN42"/>
    <mergeCell ref="PZP42:PZY42"/>
    <mergeCell ref="QAA42:QAJ42"/>
    <mergeCell ref="QAL42:QAU42"/>
    <mergeCell ref="QAW42:QBF42"/>
    <mergeCell ref="PXB42:PXK42"/>
    <mergeCell ref="PXM42:PXV42"/>
    <mergeCell ref="PXX42:PYG42"/>
    <mergeCell ref="PYI42:PYR42"/>
    <mergeCell ref="PYT42:PZC42"/>
    <mergeCell ref="PUY42:PVH42"/>
    <mergeCell ref="PVJ42:PVS42"/>
    <mergeCell ref="PVU42:PWD42"/>
    <mergeCell ref="PWF42:PWO42"/>
    <mergeCell ref="PWQ42:PWZ42"/>
    <mergeCell ref="PSV42:PTE42"/>
    <mergeCell ref="PTG42:PTP42"/>
    <mergeCell ref="PTR42:PUA42"/>
    <mergeCell ref="PUC42:PUL42"/>
    <mergeCell ref="PUN42:PUW42"/>
    <mergeCell ref="QHQ42:QHZ42"/>
    <mergeCell ref="QIB42:QIK42"/>
    <mergeCell ref="QIM42:QIV42"/>
    <mergeCell ref="QIX42:QJG42"/>
    <mergeCell ref="QJI42:QJR42"/>
    <mergeCell ref="QFN42:QFW42"/>
    <mergeCell ref="QFY42:QGH42"/>
    <mergeCell ref="QGJ42:QGS42"/>
    <mergeCell ref="QGU42:QHD42"/>
    <mergeCell ref="QHF42:QHO42"/>
    <mergeCell ref="QDK42:QDT42"/>
    <mergeCell ref="QDV42:QEE42"/>
    <mergeCell ref="QEG42:QEP42"/>
    <mergeCell ref="QER42:QFA42"/>
    <mergeCell ref="QFC42:QFL42"/>
    <mergeCell ref="QBH42:QBQ42"/>
    <mergeCell ref="QBS42:QCB42"/>
    <mergeCell ref="QCD42:QCM42"/>
    <mergeCell ref="QCO42:QCX42"/>
    <mergeCell ref="QCZ42:QDI42"/>
    <mergeCell ref="QQC42:QQL42"/>
    <mergeCell ref="QQN42:QQW42"/>
    <mergeCell ref="QQY42:QRH42"/>
    <mergeCell ref="QRJ42:QRS42"/>
    <mergeCell ref="QRU42:QSD42"/>
    <mergeCell ref="QNZ42:QOI42"/>
    <mergeCell ref="QOK42:QOT42"/>
    <mergeCell ref="QOV42:QPE42"/>
    <mergeCell ref="QPG42:QPP42"/>
    <mergeCell ref="QPR42:QQA42"/>
    <mergeCell ref="QLW42:QMF42"/>
    <mergeCell ref="QMH42:QMQ42"/>
    <mergeCell ref="QMS42:QNB42"/>
    <mergeCell ref="QND42:QNM42"/>
    <mergeCell ref="QNO42:QNX42"/>
    <mergeCell ref="QJT42:QKC42"/>
    <mergeCell ref="QKE42:QKN42"/>
    <mergeCell ref="QKP42:QKY42"/>
    <mergeCell ref="QLA42:QLJ42"/>
    <mergeCell ref="QLL42:QLU42"/>
    <mergeCell ref="QYO42:QYX42"/>
    <mergeCell ref="QYZ42:QZI42"/>
    <mergeCell ref="QZK42:QZT42"/>
    <mergeCell ref="QZV42:RAE42"/>
    <mergeCell ref="RAG42:RAP42"/>
    <mergeCell ref="QWL42:QWU42"/>
    <mergeCell ref="QWW42:QXF42"/>
    <mergeCell ref="QXH42:QXQ42"/>
    <mergeCell ref="QXS42:QYB42"/>
    <mergeCell ref="QYD42:QYM42"/>
    <mergeCell ref="QUI42:QUR42"/>
    <mergeCell ref="QUT42:QVC42"/>
    <mergeCell ref="QVE42:QVN42"/>
    <mergeCell ref="QVP42:QVY42"/>
    <mergeCell ref="QWA42:QWJ42"/>
    <mergeCell ref="QSF42:QSO42"/>
    <mergeCell ref="QSQ42:QSZ42"/>
    <mergeCell ref="QTB42:QTK42"/>
    <mergeCell ref="QTM42:QTV42"/>
    <mergeCell ref="QTX42:QUG42"/>
    <mergeCell ref="RHA42:RHJ42"/>
    <mergeCell ref="RHL42:RHU42"/>
    <mergeCell ref="RHW42:RIF42"/>
    <mergeCell ref="RIH42:RIQ42"/>
    <mergeCell ref="RIS42:RJB42"/>
    <mergeCell ref="REX42:RFG42"/>
    <mergeCell ref="RFI42:RFR42"/>
    <mergeCell ref="RFT42:RGC42"/>
    <mergeCell ref="RGE42:RGN42"/>
    <mergeCell ref="RGP42:RGY42"/>
    <mergeCell ref="RCU42:RDD42"/>
    <mergeCell ref="RDF42:RDO42"/>
    <mergeCell ref="RDQ42:RDZ42"/>
    <mergeCell ref="REB42:REK42"/>
    <mergeCell ref="REM42:REV42"/>
    <mergeCell ref="RAR42:RBA42"/>
    <mergeCell ref="RBC42:RBL42"/>
    <mergeCell ref="RBN42:RBW42"/>
    <mergeCell ref="RBY42:RCH42"/>
    <mergeCell ref="RCJ42:RCS42"/>
    <mergeCell ref="RPM42:RPV42"/>
    <mergeCell ref="RPX42:RQG42"/>
    <mergeCell ref="RQI42:RQR42"/>
    <mergeCell ref="RQT42:RRC42"/>
    <mergeCell ref="RRE42:RRN42"/>
    <mergeCell ref="RNJ42:RNS42"/>
    <mergeCell ref="RNU42:ROD42"/>
    <mergeCell ref="ROF42:ROO42"/>
    <mergeCell ref="ROQ42:ROZ42"/>
    <mergeCell ref="RPB42:RPK42"/>
    <mergeCell ref="RLG42:RLP42"/>
    <mergeCell ref="RLR42:RMA42"/>
    <mergeCell ref="RMC42:RML42"/>
    <mergeCell ref="RMN42:RMW42"/>
    <mergeCell ref="RMY42:RNH42"/>
    <mergeCell ref="RJD42:RJM42"/>
    <mergeCell ref="RJO42:RJX42"/>
    <mergeCell ref="RJZ42:RKI42"/>
    <mergeCell ref="RKK42:RKT42"/>
    <mergeCell ref="RKV42:RLE42"/>
    <mergeCell ref="RXY42:RYH42"/>
    <mergeCell ref="RYJ42:RYS42"/>
    <mergeCell ref="RYU42:RZD42"/>
    <mergeCell ref="RZF42:RZO42"/>
    <mergeCell ref="RZQ42:RZZ42"/>
    <mergeCell ref="RVV42:RWE42"/>
    <mergeCell ref="RWG42:RWP42"/>
    <mergeCell ref="RWR42:RXA42"/>
    <mergeCell ref="RXC42:RXL42"/>
    <mergeCell ref="RXN42:RXW42"/>
    <mergeCell ref="RTS42:RUB42"/>
    <mergeCell ref="RUD42:RUM42"/>
    <mergeCell ref="RUO42:RUX42"/>
    <mergeCell ref="RUZ42:RVI42"/>
    <mergeCell ref="RVK42:RVT42"/>
    <mergeCell ref="RRP42:RRY42"/>
    <mergeCell ref="RSA42:RSJ42"/>
    <mergeCell ref="RSL42:RSU42"/>
    <mergeCell ref="RSW42:RTF42"/>
    <mergeCell ref="RTH42:RTQ42"/>
    <mergeCell ref="SGK42:SGT42"/>
    <mergeCell ref="SGV42:SHE42"/>
    <mergeCell ref="SHG42:SHP42"/>
    <mergeCell ref="SHR42:SIA42"/>
    <mergeCell ref="SIC42:SIL42"/>
    <mergeCell ref="SEH42:SEQ42"/>
    <mergeCell ref="SES42:SFB42"/>
    <mergeCell ref="SFD42:SFM42"/>
    <mergeCell ref="SFO42:SFX42"/>
    <mergeCell ref="SFZ42:SGI42"/>
    <mergeCell ref="SCE42:SCN42"/>
    <mergeCell ref="SCP42:SCY42"/>
    <mergeCell ref="SDA42:SDJ42"/>
    <mergeCell ref="SDL42:SDU42"/>
    <mergeCell ref="SDW42:SEF42"/>
    <mergeCell ref="SAB42:SAK42"/>
    <mergeCell ref="SAM42:SAV42"/>
    <mergeCell ref="SAX42:SBG42"/>
    <mergeCell ref="SBI42:SBR42"/>
    <mergeCell ref="SBT42:SCC42"/>
    <mergeCell ref="SOW42:SPF42"/>
    <mergeCell ref="SPH42:SPQ42"/>
    <mergeCell ref="SPS42:SQB42"/>
    <mergeCell ref="SQD42:SQM42"/>
    <mergeCell ref="SQO42:SQX42"/>
    <mergeCell ref="SMT42:SNC42"/>
    <mergeCell ref="SNE42:SNN42"/>
    <mergeCell ref="SNP42:SNY42"/>
    <mergeCell ref="SOA42:SOJ42"/>
    <mergeCell ref="SOL42:SOU42"/>
    <mergeCell ref="SKQ42:SKZ42"/>
    <mergeCell ref="SLB42:SLK42"/>
    <mergeCell ref="SLM42:SLV42"/>
    <mergeCell ref="SLX42:SMG42"/>
    <mergeCell ref="SMI42:SMR42"/>
    <mergeCell ref="SIN42:SIW42"/>
    <mergeCell ref="SIY42:SJH42"/>
    <mergeCell ref="SJJ42:SJS42"/>
    <mergeCell ref="SJU42:SKD42"/>
    <mergeCell ref="SKF42:SKO42"/>
    <mergeCell ref="SXI42:SXR42"/>
    <mergeCell ref="SXT42:SYC42"/>
    <mergeCell ref="SYE42:SYN42"/>
    <mergeCell ref="SYP42:SYY42"/>
    <mergeCell ref="SZA42:SZJ42"/>
    <mergeCell ref="SVF42:SVO42"/>
    <mergeCell ref="SVQ42:SVZ42"/>
    <mergeCell ref="SWB42:SWK42"/>
    <mergeCell ref="SWM42:SWV42"/>
    <mergeCell ref="SWX42:SXG42"/>
    <mergeCell ref="STC42:STL42"/>
    <mergeCell ref="STN42:STW42"/>
    <mergeCell ref="STY42:SUH42"/>
    <mergeCell ref="SUJ42:SUS42"/>
    <mergeCell ref="SUU42:SVD42"/>
    <mergeCell ref="SQZ42:SRI42"/>
    <mergeCell ref="SRK42:SRT42"/>
    <mergeCell ref="SRV42:SSE42"/>
    <mergeCell ref="SSG42:SSP42"/>
    <mergeCell ref="SSR42:STA42"/>
    <mergeCell ref="TFU42:TGD42"/>
    <mergeCell ref="TGF42:TGO42"/>
    <mergeCell ref="TGQ42:TGZ42"/>
    <mergeCell ref="THB42:THK42"/>
    <mergeCell ref="THM42:THV42"/>
    <mergeCell ref="TDR42:TEA42"/>
    <mergeCell ref="TEC42:TEL42"/>
    <mergeCell ref="TEN42:TEW42"/>
    <mergeCell ref="TEY42:TFH42"/>
    <mergeCell ref="TFJ42:TFS42"/>
    <mergeCell ref="TBO42:TBX42"/>
    <mergeCell ref="TBZ42:TCI42"/>
    <mergeCell ref="TCK42:TCT42"/>
    <mergeCell ref="TCV42:TDE42"/>
    <mergeCell ref="TDG42:TDP42"/>
    <mergeCell ref="SZL42:SZU42"/>
    <mergeCell ref="SZW42:TAF42"/>
    <mergeCell ref="TAH42:TAQ42"/>
    <mergeCell ref="TAS42:TBB42"/>
    <mergeCell ref="TBD42:TBM42"/>
    <mergeCell ref="TOG42:TOP42"/>
    <mergeCell ref="TOR42:TPA42"/>
    <mergeCell ref="TPC42:TPL42"/>
    <mergeCell ref="TPN42:TPW42"/>
    <mergeCell ref="TPY42:TQH42"/>
    <mergeCell ref="TMD42:TMM42"/>
    <mergeCell ref="TMO42:TMX42"/>
    <mergeCell ref="TMZ42:TNI42"/>
    <mergeCell ref="TNK42:TNT42"/>
    <mergeCell ref="TNV42:TOE42"/>
    <mergeCell ref="TKA42:TKJ42"/>
    <mergeCell ref="TKL42:TKU42"/>
    <mergeCell ref="TKW42:TLF42"/>
    <mergeCell ref="TLH42:TLQ42"/>
    <mergeCell ref="TLS42:TMB42"/>
    <mergeCell ref="THX42:TIG42"/>
    <mergeCell ref="TII42:TIR42"/>
    <mergeCell ref="TIT42:TJC42"/>
    <mergeCell ref="TJE42:TJN42"/>
    <mergeCell ref="TJP42:TJY42"/>
    <mergeCell ref="TWS42:TXB42"/>
    <mergeCell ref="TXD42:TXM42"/>
    <mergeCell ref="TXO42:TXX42"/>
    <mergeCell ref="TXZ42:TYI42"/>
    <mergeCell ref="TYK42:TYT42"/>
    <mergeCell ref="TUP42:TUY42"/>
    <mergeCell ref="TVA42:TVJ42"/>
    <mergeCell ref="TVL42:TVU42"/>
    <mergeCell ref="TVW42:TWF42"/>
    <mergeCell ref="TWH42:TWQ42"/>
    <mergeCell ref="TSM42:TSV42"/>
    <mergeCell ref="TSX42:TTG42"/>
    <mergeCell ref="TTI42:TTR42"/>
    <mergeCell ref="TTT42:TUC42"/>
    <mergeCell ref="TUE42:TUN42"/>
    <mergeCell ref="TQJ42:TQS42"/>
    <mergeCell ref="TQU42:TRD42"/>
    <mergeCell ref="TRF42:TRO42"/>
    <mergeCell ref="TRQ42:TRZ42"/>
    <mergeCell ref="TSB42:TSK42"/>
    <mergeCell ref="UFE42:UFN42"/>
    <mergeCell ref="UFP42:UFY42"/>
    <mergeCell ref="UGA42:UGJ42"/>
    <mergeCell ref="UGL42:UGU42"/>
    <mergeCell ref="UGW42:UHF42"/>
    <mergeCell ref="UDB42:UDK42"/>
    <mergeCell ref="UDM42:UDV42"/>
    <mergeCell ref="UDX42:UEG42"/>
    <mergeCell ref="UEI42:UER42"/>
    <mergeCell ref="UET42:UFC42"/>
    <mergeCell ref="UAY42:UBH42"/>
    <mergeCell ref="UBJ42:UBS42"/>
    <mergeCell ref="UBU42:UCD42"/>
    <mergeCell ref="UCF42:UCO42"/>
    <mergeCell ref="UCQ42:UCZ42"/>
    <mergeCell ref="TYV42:TZE42"/>
    <mergeCell ref="TZG42:TZP42"/>
    <mergeCell ref="TZR42:UAA42"/>
    <mergeCell ref="UAC42:UAL42"/>
    <mergeCell ref="UAN42:UAW42"/>
    <mergeCell ref="UNQ42:UNZ42"/>
    <mergeCell ref="UOB42:UOK42"/>
    <mergeCell ref="UOM42:UOV42"/>
    <mergeCell ref="UOX42:UPG42"/>
    <mergeCell ref="UPI42:UPR42"/>
    <mergeCell ref="ULN42:ULW42"/>
    <mergeCell ref="ULY42:UMH42"/>
    <mergeCell ref="UMJ42:UMS42"/>
    <mergeCell ref="UMU42:UND42"/>
    <mergeCell ref="UNF42:UNO42"/>
    <mergeCell ref="UJK42:UJT42"/>
    <mergeCell ref="UJV42:UKE42"/>
    <mergeCell ref="UKG42:UKP42"/>
    <mergeCell ref="UKR42:ULA42"/>
    <mergeCell ref="ULC42:ULL42"/>
    <mergeCell ref="UHH42:UHQ42"/>
    <mergeCell ref="UHS42:UIB42"/>
    <mergeCell ref="UID42:UIM42"/>
    <mergeCell ref="UIO42:UIX42"/>
    <mergeCell ref="UIZ42:UJI42"/>
    <mergeCell ref="UWC42:UWL42"/>
    <mergeCell ref="UWN42:UWW42"/>
    <mergeCell ref="UWY42:UXH42"/>
    <mergeCell ref="UXJ42:UXS42"/>
    <mergeCell ref="UXU42:UYD42"/>
    <mergeCell ref="UTZ42:UUI42"/>
    <mergeCell ref="UUK42:UUT42"/>
    <mergeCell ref="UUV42:UVE42"/>
    <mergeCell ref="UVG42:UVP42"/>
    <mergeCell ref="UVR42:UWA42"/>
    <mergeCell ref="URW42:USF42"/>
    <mergeCell ref="USH42:USQ42"/>
    <mergeCell ref="USS42:UTB42"/>
    <mergeCell ref="UTD42:UTM42"/>
    <mergeCell ref="UTO42:UTX42"/>
    <mergeCell ref="UPT42:UQC42"/>
    <mergeCell ref="UQE42:UQN42"/>
    <mergeCell ref="UQP42:UQY42"/>
    <mergeCell ref="URA42:URJ42"/>
    <mergeCell ref="URL42:URU42"/>
    <mergeCell ref="VEO42:VEX42"/>
    <mergeCell ref="VEZ42:VFI42"/>
    <mergeCell ref="VFK42:VFT42"/>
    <mergeCell ref="VFV42:VGE42"/>
    <mergeCell ref="VGG42:VGP42"/>
    <mergeCell ref="VCL42:VCU42"/>
    <mergeCell ref="VCW42:VDF42"/>
    <mergeCell ref="VDH42:VDQ42"/>
    <mergeCell ref="VDS42:VEB42"/>
    <mergeCell ref="VED42:VEM42"/>
    <mergeCell ref="VAI42:VAR42"/>
    <mergeCell ref="VAT42:VBC42"/>
    <mergeCell ref="VBE42:VBN42"/>
    <mergeCell ref="VBP42:VBY42"/>
    <mergeCell ref="VCA42:VCJ42"/>
    <mergeCell ref="UYF42:UYO42"/>
    <mergeCell ref="UYQ42:UYZ42"/>
    <mergeCell ref="UZB42:UZK42"/>
    <mergeCell ref="UZM42:UZV42"/>
    <mergeCell ref="UZX42:VAG42"/>
    <mergeCell ref="VNA42:VNJ42"/>
    <mergeCell ref="VNL42:VNU42"/>
    <mergeCell ref="VNW42:VOF42"/>
    <mergeCell ref="VOH42:VOQ42"/>
    <mergeCell ref="VOS42:VPB42"/>
    <mergeCell ref="VKX42:VLG42"/>
    <mergeCell ref="VLI42:VLR42"/>
    <mergeCell ref="VLT42:VMC42"/>
    <mergeCell ref="VME42:VMN42"/>
    <mergeCell ref="VMP42:VMY42"/>
    <mergeCell ref="VIU42:VJD42"/>
    <mergeCell ref="VJF42:VJO42"/>
    <mergeCell ref="VJQ42:VJZ42"/>
    <mergeCell ref="VKB42:VKK42"/>
    <mergeCell ref="VKM42:VKV42"/>
    <mergeCell ref="VGR42:VHA42"/>
    <mergeCell ref="VHC42:VHL42"/>
    <mergeCell ref="VHN42:VHW42"/>
    <mergeCell ref="VHY42:VIH42"/>
    <mergeCell ref="VIJ42:VIS42"/>
    <mergeCell ref="VVM42:VVV42"/>
    <mergeCell ref="VVX42:VWG42"/>
    <mergeCell ref="VWI42:VWR42"/>
    <mergeCell ref="VWT42:VXC42"/>
    <mergeCell ref="VXE42:VXN42"/>
    <mergeCell ref="VTJ42:VTS42"/>
    <mergeCell ref="VTU42:VUD42"/>
    <mergeCell ref="VUF42:VUO42"/>
    <mergeCell ref="VUQ42:VUZ42"/>
    <mergeCell ref="VVB42:VVK42"/>
    <mergeCell ref="VRG42:VRP42"/>
    <mergeCell ref="VRR42:VSA42"/>
    <mergeCell ref="VSC42:VSL42"/>
    <mergeCell ref="VSN42:VSW42"/>
    <mergeCell ref="VSY42:VTH42"/>
    <mergeCell ref="VPD42:VPM42"/>
    <mergeCell ref="VPO42:VPX42"/>
    <mergeCell ref="VPZ42:VQI42"/>
    <mergeCell ref="VQK42:VQT42"/>
    <mergeCell ref="VQV42:VRE42"/>
    <mergeCell ref="WDY42:WEH42"/>
    <mergeCell ref="WEJ42:WES42"/>
    <mergeCell ref="WEU42:WFD42"/>
    <mergeCell ref="WFF42:WFO42"/>
    <mergeCell ref="WFQ42:WFZ42"/>
    <mergeCell ref="WBV42:WCE42"/>
    <mergeCell ref="WCG42:WCP42"/>
    <mergeCell ref="WCR42:WDA42"/>
    <mergeCell ref="WDC42:WDL42"/>
    <mergeCell ref="WDN42:WDW42"/>
    <mergeCell ref="VZS42:WAB42"/>
    <mergeCell ref="WAD42:WAM42"/>
    <mergeCell ref="WAO42:WAX42"/>
    <mergeCell ref="WAZ42:WBI42"/>
    <mergeCell ref="WBK42:WBT42"/>
    <mergeCell ref="VXP42:VXY42"/>
    <mergeCell ref="VYA42:VYJ42"/>
    <mergeCell ref="VYL42:VYU42"/>
    <mergeCell ref="VYW42:VZF42"/>
    <mergeCell ref="VZH42:VZQ42"/>
    <mergeCell ref="WMK42:WMT42"/>
    <mergeCell ref="WMV42:WNE42"/>
    <mergeCell ref="WNG42:WNP42"/>
    <mergeCell ref="WNR42:WOA42"/>
    <mergeCell ref="WOC42:WOL42"/>
    <mergeCell ref="WKH42:WKQ42"/>
    <mergeCell ref="WKS42:WLB42"/>
    <mergeCell ref="WLD42:WLM42"/>
    <mergeCell ref="WLO42:WLX42"/>
    <mergeCell ref="WLZ42:WMI42"/>
    <mergeCell ref="WIE42:WIN42"/>
    <mergeCell ref="WIP42:WIY42"/>
    <mergeCell ref="WJA42:WJJ42"/>
    <mergeCell ref="WJL42:WJU42"/>
    <mergeCell ref="WJW42:WKF42"/>
    <mergeCell ref="WGB42:WGK42"/>
    <mergeCell ref="WGM42:WGV42"/>
    <mergeCell ref="WGX42:WHG42"/>
    <mergeCell ref="WHI42:WHR42"/>
    <mergeCell ref="WHT42:WIC42"/>
    <mergeCell ref="WUW42:WVF42"/>
    <mergeCell ref="WVH42:WVQ42"/>
    <mergeCell ref="WVS42:WWB42"/>
    <mergeCell ref="WWD42:WWM42"/>
    <mergeCell ref="WWO42:WWX42"/>
    <mergeCell ref="WST42:WTC42"/>
    <mergeCell ref="WTE42:WTN42"/>
    <mergeCell ref="WTP42:WTY42"/>
    <mergeCell ref="WUA42:WUJ42"/>
    <mergeCell ref="WUL42:WUU42"/>
    <mergeCell ref="WQQ42:WQZ42"/>
    <mergeCell ref="WRB42:WRK42"/>
    <mergeCell ref="WRM42:WRV42"/>
    <mergeCell ref="WRX42:WSG42"/>
    <mergeCell ref="WSI42:WSR42"/>
    <mergeCell ref="WON42:WOW42"/>
    <mergeCell ref="WOY42:WPH42"/>
    <mergeCell ref="WPJ42:WPS42"/>
    <mergeCell ref="WPU42:WQD42"/>
    <mergeCell ref="WQF42:WQO42"/>
    <mergeCell ref="XDI42:XDR42"/>
    <mergeCell ref="XDT42:XEC42"/>
    <mergeCell ref="XEE42:XEN42"/>
    <mergeCell ref="XEP42:XEY42"/>
    <mergeCell ref="XFA42:XFD42"/>
    <mergeCell ref="XBF42:XBO42"/>
    <mergeCell ref="XBQ42:XBZ42"/>
    <mergeCell ref="XCB42:XCK42"/>
    <mergeCell ref="XCM42:XCV42"/>
    <mergeCell ref="XCX42:XDG42"/>
    <mergeCell ref="WZC42:WZL42"/>
    <mergeCell ref="WZN42:WZW42"/>
    <mergeCell ref="WZY42:XAH42"/>
    <mergeCell ref="XAJ42:XAS42"/>
    <mergeCell ref="XAU42:XBD42"/>
    <mergeCell ref="WWZ42:WXI42"/>
    <mergeCell ref="WXK42:WXT42"/>
    <mergeCell ref="WXV42:WYE42"/>
    <mergeCell ref="WYG42:WYP42"/>
    <mergeCell ref="WYR42:WZA4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0D86-A65A-4108-AA1D-1F5EEFFC944D}">
  <sheetPr codeName="Sheet33">
    <tabColor theme="3" tint="0.59999389629810485"/>
  </sheetPr>
  <dimension ref="A1:AI57"/>
  <sheetViews>
    <sheetView showGridLines="0" zoomScaleNormal="100" zoomScaleSheetLayoutView="120" workbookViewId="0">
      <selection activeCell="B47" sqref="B47:K47"/>
    </sheetView>
  </sheetViews>
  <sheetFormatPr defaultColWidth="9.140625" defaultRowHeight="15"/>
  <cols>
    <col min="1" max="1" width="3" style="93" customWidth="1"/>
    <col min="2" max="2" width="37.28515625" style="93" customWidth="1"/>
    <col min="3" max="3" width="13.5703125" style="93" customWidth="1"/>
    <col min="4" max="9" width="9.28515625" style="93" customWidth="1"/>
    <col min="10" max="10" width="8.7109375" style="93" customWidth="1"/>
    <col min="11" max="11" width="7.28515625" style="93" customWidth="1"/>
    <col min="12" max="16384" width="9.140625" style="94"/>
  </cols>
  <sheetData>
    <row r="1" spans="2:11" ht="20.25">
      <c r="B1" s="92" t="s">
        <v>234</v>
      </c>
      <c r="C1" s="420"/>
    </row>
    <row r="2" spans="2:11">
      <c r="K2" s="415"/>
    </row>
    <row r="3" spans="2:11" ht="14.1" customHeight="1">
      <c r="B3" s="531" t="s">
        <v>145</v>
      </c>
      <c r="C3" s="1208" t="s">
        <v>723</v>
      </c>
      <c r="D3" s="1208"/>
      <c r="E3" s="1208"/>
      <c r="F3" s="1208"/>
      <c r="G3" s="1208"/>
      <c r="H3" s="1208"/>
      <c r="I3" s="1208"/>
      <c r="J3" s="1208"/>
      <c r="K3" s="1209"/>
    </row>
    <row r="4" spans="2:11" ht="14.1" customHeight="1">
      <c r="B4" s="533"/>
      <c r="C4" s="534">
        <v>2023</v>
      </c>
      <c r="D4" s="534">
        <v>2030</v>
      </c>
      <c r="E4" s="534">
        <v>2050</v>
      </c>
      <c r="F4" s="1161" t="s">
        <v>236</v>
      </c>
      <c r="G4" s="1163"/>
      <c r="H4" s="1161" t="s">
        <v>237</v>
      </c>
      <c r="I4" s="1163"/>
      <c r="J4" s="534" t="s">
        <v>238</v>
      </c>
      <c r="K4" s="534" t="s">
        <v>239</v>
      </c>
    </row>
    <row r="5" spans="2:11">
      <c r="B5" s="535" t="s">
        <v>240</v>
      </c>
      <c r="C5" s="732"/>
      <c r="D5" s="732"/>
      <c r="E5" s="732"/>
      <c r="F5" s="731" t="s">
        <v>241</v>
      </c>
      <c r="G5" s="731" t="s">
        <v>242</v>
      </c>
      <c r="H5" s="731" t="s">
        <v>241</v>
      </c>
      <c r="I5" s="731" t="s">
        <v>242</v>
      </c>
      <c r="J5" s="732"/>
      <c r="K5" s="733"/>
    </row>
    <row r="6" spans="2:11">
      <c r="B6" s="538" t="s">
        <v>243</v>
      </c>
      <c r="C6" s="742">
        <v>540</v>
      </c>
      <c r="D6" s="742">
        <v>540</v>
      </c>
      <c r="E6" s="742">
        <v>540</v>
      </c>
      <c r="F6" s="952"/>
      <c r="G6" s="704"/>
      <c r="H6" s="704"/>
      <c r="I6" s="704"/>
      <c r="J6" s="674" t="s">
        <v>246</v>
      </c>
      <c r="K6" s="675">
        <v>1</v>
      </c>
    </row>
    <row r="7" spans="2:11" ht="25.5" customHeight="1">
      <c r="B7" s="538" t="s">
        <v>244</v>
      </c>
      <c r="C7" s="742">
        <v>540</v>
      </c>
      <c r="D7" s="742">
        <v>540</v>
      </c>
      <c r="E7" s="742">
        <v>540</v>
      </c>
      <c r="F7" s="952"/>
      <c r="G7" s="704"/>
      <c r="H7" s="704"/>
      <c r="I7" s="704"/>
      <c r="J7" s="674" t="s">
        <v>246</v>
      </c>
      <c r="K7" s="675">
        <v>1</v>
      </c>
    </row>
    <row r="8" spans="2:11">
      <c r="B8" s="617" t="s">
        <v>245</v>
      </c>
      <c r="C8" s="743">
        <v>29</v>
      </c>
      <c r="D8" s="743">
        <v>30</v>
      </c>
      <c r="E8" s="743">
        <v>31</v>
      </c>
      <c r="F8" s="744"/>
      <c r="G8" s="745"/>
      <c r="H8" s="745"/>
      <c r="I8" s="745"/>
      <c r="J8" s="674" t="s">
        <v>246</v>
      </c>
      <c r="K8" s="675" t="s">
        <v>737</v>
      </c>
    </row>
    <row r="9" spans="2:11" ht="33.75" customHeight="1">
      <c r="B9" s="625" t="s">
        <v>247</v>
      </c>
      <c r="C9" s="743">
        <v>28</v>
      </c>
      <c r="D9" s="743">
        <v>29</v>
      </c>
      <c r="E9" s="743">
        <v>30</v>
      </c>
      <c r="F9" s="744"/>
      <c r="G9" s="745"/>
      <c r="H9" s="745"/>
      <c r="I9" s="745"/>
      <c r="J9" s="676" t="s">
        <v>246</v>
      </c>
      <c r="K9" s="675" t="s">
        <v>737</v>
      </c>
    </row>
    <row r="10" spans="2:11">
      <c r="B10" s="538" t="s">
        <v>248</v>
      </c>
      <c r="C10" s="725">
        <v>7.0000000000000007E-2</v>
      </c>
      <c r="D10" s="725">
        <v>7.0000000000000007E-2</v>
      </c>
      <c r="E10" s="725">
        <v>7.0000000000000007E-2</v>
      </c>
      <c r="F10" s="952"/>
      <c r="G10" s="704"/>
      <c r="H10" s="704"/>
      <c r="I10" s="704"/>
      <c r="J10" s="674"/>
      <c r="K10" s="675"/>
    </row>
    <row r="11" spans="2:11">
      <c r="B11" s="533" t="s">
        <v>249</v>
      </c>
      <c r="C11" s="953"/>
      <c r="D11" s="745"/>
      <c r="E11" s="745"/>
      <c r="F11" s="952"/>
      <c r="G11" s="704"/>
      <c r="H11" s="704"/>
      <c r="I11" s="704"/>
      <c r="J11" s="674"/>
      <c r="K11" s="675"/>
    </row>
    <row r="12" spans="2:11">
      <c r="B12" s="533" t="s">
        <v>250</v>
      </c>
      <c r="C12" s="953"/>
      <c r="D12" s="745"/>
      <c r="E12" s="745"/>
      <c r="F12" s="952"/>
      <c r="G12" s="704"/>
      <c r="H12" s="704"/>
      <c r="I12" s="704"/>
      <c r="J12" s="674"/>
      <c r="K12" s="675"/>
    </row>
    <row r="13" spans="2:11">
      <c r="B13" s="533" t="s">
        <v>252</v>
      </c>
      <c r="C13" s="953"/>
      <c r="D13" s="745"/>
      <c r="E13" s="745"/>
      <c r="F13" s="954"/>
      <c r="G13" s="674"/>
      <c r="H13" s="674"/>
      <c r="I13" s="704"/>
      <c r="J13" s="674"/>
      <c r="K13" s="675"/>
    </row>
    <row r="14" spans="2:11">
      <c r="B14" s="734" t="s">
        <v>939</v>
      </c>
      <c r="C14" s="735">
        <v>0.9</v>
      </c>
      <c r="D14" s="735">
        <v>0.9</v>
      </c>
      <c r="E14" s="735">
        <v>0.9</v>
      </c>
      <c r="F14" s="736">
        <v>0.5</v>
      </c>
      <c r="G14" s="736">
        <v>0.95</v>
      </c>
      <c r="H14" s="737">
        <v>0.7</v>
      </c>
      <c r="I14" s="735">
        <v>0.99</v>
      </c>
      <c r="J14" s="674" t="s">
        <v>300</v>
      </c>
      <c r="K14" s="675" t="s">
        <v>737</v>
      </c>
    </row>
    <row r="15" spans="2:11">
      <c r="B15" s="738" t="s">
        <v>484</v>
      </c>
      <c r="C15" s="955"/>
      <c r="D15" s="956"/>
      <c r="E15" s="956"/>
      <c r="F15" s="957"/>
      <c r="G15" s="956"/>
      <c r="H15" s="956"/>
      <c r="I15" s="956"/>
      <c r="J15" s="886"/>
      <c r="K15" s="958"/>
    </row>
    <row r="16" spans="2:11">
      <c r="B16" s="541" t="s">
        <v>255</v>
      </c>
      <c r="C16" s="750"/>
      <c r="D16" s="712"/>
      <c r="E16" s="712"/>
      <c r="F16" s="712"/>
      <c r="G16" s="712"/>
      <c r="H16" s="712"/>
      <c r="I16" s="712"/>
      <c r="J16" s="712"/>
      <c r="K16" s="751"/>
    </row>
    <row r="17" spans="2:11">
      <c r="B17" s="540" t="s">
        <v>256</v>
      </c>
      <c r="C17" s="959"/>
      <c r="D17" s="855"/>
      <c r="E17" s="855"/>
      <c r="F17" s="675"/>
      <c r="G17" s="855"/>
      <c r="H17" s="855"/>
      <c r="I17" s="855"/>
      <c r="J17" s="709"/>
      <c r="K17" s="676"/>
    </row>
    <row r="18" spans="2:11">
      <c r="B18" s="540" t="s">
        <v>257</v>
      </c>
      <c r="C18" s="749"/>
      <c r="D18" s="678"/>
      <c r="E18" s="678"/>
      <c r="F18" s="960"/>
      <c r="G18" s="678"/>
      <c r="H18" s="678"/>
      <c r="I18" s="678"/>
      <c r="J18" s="709"/>
      <c r="K18" s="674"/>
    </row>
    <row r="19" spans="2:11">
      <c r="B19" s="542" t="s">
        <v>258</v>
      </c>
      <c r="C19" s="752"/>
      <c r="D19" s="681"/>
      <c r="E19" s="682"/>
      <c r="F19" s="681"/>
      <c r="G19" s="681"/>
      <c r="H19" s="681"/>
      <c r="I19" s="681"/>
      <c r="J19" s="681"/>
      <c r="K19" s="682"/>
    </row>
    <row r="20" spans="2:11">
      <c r="B20" s="533" t="s">
        <v>259</v>
      </c>
      <c r="C20" s="735">
        <v>0.04</v>
      </c>
      <c r="D20" s="735">
        <v>0.04</v>
      </c>
      <c r="E20" s="735">
        <v>0.04</v>
      </c>
      <c r="F20" s="745"/>
      <c r="G20" s="745"/>
      <c r="H20" s="745"/>
      <c r="I20" s="745"/>
      <c r="J20" s="709" t="s">
        <v>265</v>
      </c>
      <c r="K20" s="675">
        <v>3</v>
      </c>
    </row>
    <row r="21" spans="2:11">
      <c r="B21" s="533" t="s">
        <v>260</v>
      </c>
      <c r="C21" s="735">
        <v>0.3</v>
      </c>
      <c r="D21" s="735">
        <v>0.3</v>
      </c>
      <c r="E21" s="735">
        <v>0.3</v>
      </c>
      <c r="F21" s="674"/>
      <c r="G21" s="674"/>
      <c r="H21" s="674"/>
      <c r="I21" s="674"/>
      <c r="J21" s="709" t="s">
        <v>303</v>
      </c>
      <c r="K21" s="675">
        <v>3</v>
      </c>
    </row>
    <row r="22" spans="2:11">
      <c r="B22" s="533" t="s">
        <v>261</v>
      </c>
      <c r="C22" s="743">
        <v>4</v>
      </c>
      <c r="D22" s="743">
        <v>4</v>
      </c>
      <c r="E22" s="961">
        <v>4</v>
      </c>
      <c r="F22" s="674"/>
      <c r="G22" s="674"/>
      <c r="H22" s="674"/>
      <c r="I22" s="674"/>
      <c r="J22" s="709" t="s">
        <v>305</v>
      </c>
      <c r="K22" s="675">
        <v>4</v>
      </c>
    </row>
    <row r="23" spans="2:11">
      <c r="B23" s="533" t="s">
        <v>262</v>
      </c>
      <c r="C23" s="743">
        <v>12</v>
      </c>
      <c r="D23" s="743">
        <v>12</v>
      </c>
      <c r="E23" s="961">
        <v>12</v>
      </c>
      <c r="F23" s="674"/>
      <c r="G23" s="674"/>
      <c r="H23" s="674"/>
      <c r="I23" s="674"/>
      <c r="J23" s="709" t="s">
        <v>305</v>
      </c>
      <c r="K23" s="675">
        <v>4</v>
      </c>
    </row>
    <row r="24" spans="2:11">
      <c r="B24" s="542" t="s">
        <v>263</v>
      </c>
      <c r="C24" s="753"/>
      <c r="D24" s="532"/>
      <c r="E24" s="671"/>
      <c r="F24" s="532"/>
      <c r="G24" s="532"/>
      <c r="H24" s="532"/>
      <c r="I24" s="532"/>
      <c r="J24" s="532"/>
      <c r="K24" s="671"/>
    </row>
    <row r="25" spans="2:11">
      <c r="B25" s="533" t="s">
        <v>664</v>
      </c>
      <c r="C25" s="708">
        <f>150</f>
        <v>150</v>
      </c>
      <c r="D25" s="708">
        <v>100</v>
      </c>
      <c r="E25" s="708">
        <v>100</v>
      </c>
      <c r="F25" s="962"/>
      <c r="G25" s="708"/>
      <c r="H25" s="708"/>
      <c r="I25" s="708"/>
      <c r="J25" s="722"/>
      <c r="K25" s="675" t="s">
        <v>451</v>
      </c>
    </row>
    <row r="26" spans="2:11">
      <c r="B26" s="533" t="s">
        <v>444</v>
      </c>
      <c r="C26" s="735">
        <v>0.97</v>
      </c>
      <c r="D26" s="735">
        <v>0.97</v>
      </c>
      <c r="E26" s="963">
        <v>0.97</v>
      </c>
      <c r="F26" s="962"/>
      <c r="G26" s="708"/>
      <c r="H26" s="708"/>
      <c r="I26" s="708"/>
      <c r="J26" s="722"/>
      <c r="K26" s="675" t="s">
        <v>451</v>
      </c>
    </row>
    <row r="27" spans="2:11" ht="15" customHeight="1">
      <c r="B27" s="533" t="s">
        <v>445</v>
      </c>
      <c r="C27" s="708">
        <v>263</v>
      </c>
      <c r="D27" s="708">
        <v>263</v>
      </c>
      <c r="E27" s="708">
        <v>263</v>
      </c>
      <c r="F27" s="962"/>
      <c r="G27" s="708"/>
      <c r="H27" s="708"/>
      <c r="I27" s="708"/>
      <c r="J27" s="723"/>
      <c r="K27" s="675" t="s">
        <v>451</v>
      </c>
    </row>
    <row r="28" spans="2:11">
      <c r="B28" s="533" t="s">
        <v>446</v>
      </c>
      <c r="C28" s="964"/>
      <c r="D28" s="708"/>
      <c r="E28" s="708"/>
      <c r="F28" s="962"/>
      <c r="G28" s="708"/>
      <c r="H28" s="708"/>
      <c r="I28" s="708"/>
      <c r="J28" s="709"/>
      <c r="K28" s="709"/>
    </row>
    <row r="29" spans="2:11">
      <c r="B29" s="539" t="s">
        <v>447</v>
      </c>
      <c r="C29" s="965"/>
      <c r="D29" s="966"/>
      <c r="E29" s="966"/>
      <c r="F29" s="967"/>
      <c r="G29" s="966"/>
      <c r="H29" s="966"/>
      <c r="I29" s="966"/>
      <c r="J29" s="886"/>
      <c r="K29" s="886"/>
    </row>
    <row r="30" spans="2:11">
      <c r="B30" s="542" t="s">
        <v>270</v>
      </c>
      <c r="C30" s="1052"/>
      <c r="D30" s="1052"/>
      <c r="E30" s="1052"/>
      <c r="F30" s="532"/>
      <c r="G30" s="532"/>
      <c r="H30" s="532"/>
      <c r="I30" s="532"/>
      <c r="J30" s="532"/>
      <c r="K30" s="671"/>
    </row>
    <row r="31" spans="2:11">
      <c r="B31" s="533" t="s">
        <v>271</v>
      </c>
      <c r="C31" s="969">
        <f>'Coal Supercritical'!C30+2.24</f>
        <v>3.8400000000000003</v>
      </c>
      <c r="D31" s="679">
        <f>MROUND(C31*0.9,0.01)</f>
        <v>3.46</v>
      </c>
      <c r="E31" s="970">
        <f>MROUND(D31*0.8,0.01)</f>
        <v>2.77</v>
      </c>
      <c r="F31" s="740">
        <f>ROUND(C31*71%,1)</f>
        <v>2.7</v>
      </c>
      <c r="G31" s="741">
        <f>ROUND(C31*127%,1)</f>
        <v>4.9000000000000004</v>
      </c>
      <c r="H31" s="740">
        <f>ROUND(E31*71%,1)</f>
        <v>2</v>
      </c>
      <c r="I31" s="741">
        <f>ROUND(E31*127%,1)</f>
        <v>3.5</v>
      </c>
      <c r="J31" s="709" t="s">
        <v>692</v>
      </c>
      <c r="K31" s="675" t="s">
        <v>724</v>
      </c>
    </row>
    <row r="32" spans="2:11">
      <c r="B32" s="533" t="s">
        <v>544</v>
      </c>
      <c r="C32" s="735">
        <v>0.3</v>
      </c>
      <c r="D32" s="735">
        <v>0.3</v>
      </c>
      <c r="E32" s="951">
        <v>0.3</v>
      </c>
      <c r="F32" s="735">
        <v>0.25</v>
      </c>
      <c r="G32" s="735">
        <v>0.5</v>
      </c>
      <c r="H32" s="735">
        <v>0.25</v>
      </c>
      <c r="I32" s="735">
        <v>0.5</v>
      </c>
      <c r="J32" s="674"/>
      <c r="K32" s="709">
        <v>1</v>
      </c>
    </row>
    <row r="33" spans="1:35">
      <c r="B33" s="533" t="s">
        <v>545</v>
      </c>
      <c r="C33" s="735">
        <v>0.7</v>
      </c>
      <c r="D33" s="735">
        <v>0.7</v>
      </c>
      <c r="E33" s="735">
        <v>0.7</v>
      </c>
      <c r="F33" s="735">
        <v>0.5</v>
      </c>
      <c r="G33" s="735">
        <v>0.75</v>
      </c>
      <c r="H33" s="735">
        <v>0.5</v>
      </c>
      <c r="I33" s="735">
        <v>0.75</v>
      </c>
      <c r="J33" s="674"/>
      <c r="K33" s="709">
        <v>1</v>
      </c>
    </row>
    <row r="34" spans="1:35">
      <c r="B34" s="533" t="s">
        <v>276</v>
      </c>
      <c r="C34" s="971">
        <v>97000</v>
      </c>
      <c r="D34" s="971">
        <f>MROUND(C34*0.93,100)</f>
        <v>90200</v>
      </c>
      <c r="E34" s="971">
        <f>MROUND(C34*0.75,100)</f>
        <v>72800</v>
      </c>
      <c r="F34" s="971">
        <f>ROUND(C34*69%,-3)</f>
        <v>67000</v>
      </c>
      <c r="G34" s="971">
        <f>ROUND(C34*128%,-3)</f>
        <v>124000</v>
      </c>
      <c r="H34" s="971">
        <f>ROUND(E34*69%,-3)</f>
        <v>50000</v>
      </c>
      <c r="I34" s="971">
        <f>ROUND(E34*128%,-3)</f>
        <v>93000</v>
      </c>
      <c r="J34" s="709"/>
      <c r="K34" s="675" t="s">
        <v>724</v>
      </c>
    </row>
    <row r="35" spans="1:35">
      <c r="B35" s="533" t="s">
        <v>279</v>
      </c>
      <c r="C35" s="969">
        <f>3.1+'Coal Supercritical'!C34</f>
        <v>4.5</v>
      </c>
      <c r="D35" s="969">
        <f>MROUND(C35*0.93,0.1)</f>
        <v>4.2</v>
      </c>
      <c r="E35" s="969">
        <f>MROUND(C35*0.83,0.1)</f>
        <v>3.7</v>
      </c>
      <c r="F35" s="740">
        <f>ROUND(C35*71%,2)+'Coal Supercritical'!F34</f>
        <v>4.2</v>
      </c>
      <c r="G35" s="741">
        <f>ROUND(C35*127%,2)</f>
        <v>5.72</v>
      </c>
      <c r="H35" s="740">
        <f>ROUND(E35*71%,2)</f>
        <v>2.63</v>
      </c>
      <c r="I35" s="741">
        <f>ROUND(E35*127%,2)</f>
        <v>4.7</v>
      </c>
      <c r="J35" s="709"/>
      <c r="K35" s="675" t="s">
        <v>724</v>
      </c>
    </row>
    <row r="36" spans="1:35">
      <c r="A36" s="130"/>
      <c r="B36" s="1210" t="s">
        <v>940</v>
      </c>
      <c r="C36" s="1210"/>
      <c r="D36" s="1210"/>
      <c r="E36" s="1210"/>
      <c r="F36" s="1210"/>
      <c r="G36" s="1210"/>
      <c r="H36" s="1210"/>
      <c r="I36" s="1210"/>
      <c r="J36" s="1210"/>
      <c r="K36" s="1210"/>
    </row>
    <row r="37" spans="1:35" s="93" customFormat="1" ht="12">
      <c r="A37" s="130" t="s">
        <v>286</v>
      </c>
      <c r="C37" s="150"/>
      <c r="D37" s="150"/>
      <c r="E37" s="150"/>
      <c r="F37" s="150"/>
      <c r="G37" s="150"/>
    </row>
    <row r="38" spans="1:35" ht="14.1" customHeight="1">
      <c r="A38" s="152">
        <v>1</v>
      </c>
      <c r="B38" s="1148" t="s">
        <v>725</v>
      </c>
      <c r="C38" s="1148"/>
      <c r="D38" s="1148"/>
      <c r="E38" s="1148"/>
      <c r="F38" s="1148"/>
      <c r="G38" s="1148"/>
      <c r="H38" s="1148"/>
      <c r="I38" s="1148"/>
      <c r="J38" s="1148"/>
      <c r="K38" s="1148"/>
    </row>
    <row r="39" spans="1:35" ht="14.1" customHeight="1">
      <c r="A39" s="152">
        <v>2</v>
      </c>
      <c r="B39" s="1148" t="s">
        <v>679</v>
      </c>
      <c r="C39" s="1148"/>
      <c r="D39" s="1148"/>
      <c r="E39" s="1148"/>
      <c r="F39" s="1148"/>
      <c r="G39" s="1148"/>
      <c r="H39" s="1148"/>
      <c r="I39" s="1148"/>
      <c r="J39" s="1148"/>
      <c r="K39" s="1148"/>
    </row>
    <row r="40" spans="1:35" ht="14.1" customHeight="1">
      <c r="A40" s="152">
        <v>3</v>
      </c>
      <c r="B40" s="1148" t="s">
        <v>726</v>
      </c>
      <c r="C40" s="1148"/>
      <c r="D40" s="1148"/>
      <c r="E40" s="1148"/>
      <c r="F40" s="1148"/>
      <c r="G40" s="1148"/>
      <c r="H40" s="1148"/>
      <c r="I40" s="1148"/>
      <c r="J40" s="1148"/>
      <c r="K40" s="1148"/>
    </row>
    <row r="41" spans="1:35">
      <c r="A41" s="152">
        <v>4</v>
      </c>
      <c r="B41" s="1148" t="s">
        <v>677</v>
      </c>
      <c r="C41" s="1148"/>
      <c r="D41" s="1148"/>
      <c r="E41" s="1148"/>
      <c r="F41" s="1148"/>
      <c r="G41" s="1148"/>
      <c r="H41" s="1148"/>
      <c r="I41" s="1148"/>
      <c r="J41" s="1148"/>
      <c r="K41" s="1148"/>
    </row>
    <row r="42" spans="1:35">
      <c r="A42" s="152">
        <v>5</v>
      </c>
      <c r="B42" s="1148" t="s">
        <v>941</v>
      </c>
      <c r="C42" s="1148"/>
      <c r="D42" s="1148"/>
      <c r="E42" s="1148"/>
      <c r="F42" s="1148"/>
      <c r="G42" s="1148"/>
      <c r="H42" s="1148"/>
      <c r="I42" s="1148"/>
      <c r="J42" s="1148"/>
      <c r="K42" s="1148"/>
    </row>
    <row r="43" spans="1:35" s="411" customFormat="1" ht="14.1" customHeight="1">
      <c r="A43" s="152">
        <v>6</v>
      </c>
      <c r="B43" s="1148" t="s">
        <v>727</v>
      </c>
      <c r="C43" s="1148"/>
      <c r="D43" s="1148"/>
      <c r="E43" s="1148"/>
      <c r="F43" s="1148"/>
      <c r="G43" s="1148"/>
      <c r="H43" s="1148"/>
      <c r="I43" s="1148"/>
      <c r="J43" s="1148"/>
      <c r="K43" s="1148"/>
    </row>
    <row r="44" spans="1:35" s="416" customFormat="1" ht="14.1" customHeight="1">
      <c r="A44" s="152">
        <v>7</v>
      </c>
      <c r="B44" s="1148" t="s">
        <v>728</v>
      </c>
      <c r="C44" s="1148"/>
      <c r="D44" s="1148"/>
      <c r="E44" s="1148"/>
      <c r="F44" s="1148"/>
      <c r="G44" s="1148"/>
      <c r="H44" s="1148"/>
      <c r="I44" s="1148"/>
      <c r="J44" s="1148"/>
      <c r="K44" s="1148"/>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row>
    <row r="45" spans="1:35" s="416" customFormat="1">
      <c r="A45" s="152">
        <v>8</v>
      </c>
      <c r="B45" s="1148" t="s">
        <v>942</v>
      </c>
      <c r="C45" s="1148"/>
      <c r="D45" s="1148"/>
      <c r="E45" s="1148"/>
      <c r="F45" s="1148"/>
      <c r="G45" s="1148"/>
      <c r="H45" s="1148"/>
      <c r="I45" s="1148"/>
      <c r="J45" s="1148"/>
      <c r="K45" s="1148"/>
      <c r="L45" s="411"/>
      <c r="M45" s="411"/>
      <c r="N45" s="411"/>
      <c r="O45" s="411"/>
      <c r="P45" s="411"/>
      <c r="Q45" s="411"/>
      <c r="R45" s="411"/>
      <c r="S45" s="411"/>
      <c r="T45" s="411"/>
      <c r="U45" s="411"/>
      <c r="V45" s="411"/>
      <c r="W45" s="411"/>
      <c r="X45" s="411"/>
      <c r="Y45" s="411"/>
      <c r="Z45" s="411"/>
      <c r="AA45" s="411"/>
      <c r="AB45" s="411"/>
      <c r="AC45" s="411"/>
      <c r="AD45" s="411"/>
      <c r="AE45" s="411"/>
      <c r="AF45" s="411"/>
      <c r="AG45" s="411"/>
      <c r="AH45" s="411"/>
      <c r="AI45" s="411"/>
    </row>
    <row r="46" spans="1:35">
      <c r="A46" s="152">
        <v>9</v>
      </c>
      <c r="B46" s="1148" t="s">
        <v>729</v>
      </c>
      <c r="C46" s="1148"/>
      <c r="D46" s="1148"/>
      <c r="E46" s="1148"/>
      <c r="F46" s="1148"/>
      <c r="G46" s="1148"/>
      <c r="H46" s="1148"/>
      <c r="I46" s="1148"/>
      <c r="J46" s="1148"/>
      <c r="K46" s="1148"/>
    </row>
    <row r="47" spans="1:35" ht="14.1" customHeight="1">
      <c r="A47" s="130" t="s">
        <v>298</v>
      </c>
    </row>
    <row r="48" spans="1:35" ht="24" customHeight="1">
      <c r="A48" s="152" t="s">
        <v>246</v>
      </c>
      <c r="B48" s="1148" t="s">
        <v>943</v>
      </c>
      <c r="C48" s="1148"/>
      <c r="D48" s="1148"/>
      <c r="E48" s="1148"/>
      <c r="F48" s="1148"/>
      <c r="G48" s="1148"/>
      <c r="H48" s="1148"/>
      <c r="I48" s="1148"/>
      <c r="J48" s="1148"/>
      <c r="K48" s="1148"/>
    </row>
    <row r="49" spans="1:11" ht="15" customHeight="1">
      <c r="A49" s="152" t="s">
        <v>300</v>
      </c>
      <c r="B49" s="1148" t="s">
        <v>944</v>
      </c>
      <c r="C49" s="1148"/>
      <c r="D49" s="1148"/>
      <c r="E49" s="1148"/>
      <c r="F49" s="1148"/>
      <c r="G49" s="1148"/>
      <c r="H49" s="1148"/>
      <c r="I49" s="1148"/>
      <c r="J49" s="1148"/>
      <c r="K49" s="1148"/>
    </row>
    <row r="50" spans="1:11" s="93" customFormat="1" ht="11.45" customHeight="1">
      <c r="A50" s="152" t="s">
        <v>265</v>
      </c>
      <c r="B50" s="1148" t="s">
        <v>731</v>
      </c>
      <c r="C50" s="1148"/>
      <c r="D50" s="1148"/>
      <c r="E50" s="1148"/>
      <c r="F50" s="1148"/>
      <c r="G50" s="1148"/>
      <c r="H50" s="1148"/>
      <c r="I50" s="1148"/>
      <c r="J50" s="1148"/>
      <c r="K50" s="1148"/>
    </row>
    <row r="51" spans="1:11" s="93" customFormat="1" ht="11.45" customHeight="1">
      <c r="A51" s="152" t="s">
        <v>303</v>
      </c>
      <c r="B51" s="1148" t="s">
        <v>732</v>
      </c>
      <c r="C51" s="1148"/>
      <c r="D51" s="1148"/>
      <c r="E51" s="1148"/>
      <c r="F51" s="1148"/>
      <c r="G51" s="1148"/>
      <c r="H51" s="1148"/>
      <c r="I51" s="1148"/>
      <c r="J51" s="1148"/>
      <c r="K51" s="1148"/>
    </row>
    <row r="52" spans="1:11" s="93" customFormat="1" ht="11.45" customHeight="1">
      <c r="A52" s="152" t="s">
        <v>305</v>
      </c>
      <c r="B52" s="1148" t="s">
        <v>733</v>
      </c>
      <c r="C52" s="1148"/>
      <c r="D52" s="1148"/>
      <c r="E52" s="1148"/>
      <c r="F52" s="1148"/>
      <c r="G52" s="1148"/>
      <c r="H52" s="1148"/>
      <c r="I52" s="1148"/>
      <c r="J52" s="1148"/>
      <c r="K52" s="1148"/>
    </row>
    <row r="53" spans="1:11" s="93" customFormat="1" ht="27" customHeight="1">
      <c r="A53" s="152" t="s">
        <v>307</v>
      </c>
      <c r="B53" s="1148" t="s">
        <v>734</v>
      </c>
      <c r="C53" s="1148"/>
      <c r="D53" s="1148"/>
      <c r="E53" s="1148"/>
      <c r="F53" s="1148"/>
      <c r="G53" s="1148"/>
      <c r="H53" s="1148"/>
      <c r="I53" s="1148"/>
      <c r="J53" s="1148"/>
      <c r="K53" s="1148"/>
    </row>
    <row r="54" spans="1:11" s="93" customFormat="1" ht="14.1" customHeight="1">
      <c r="A54" s="152" t="s">
        <v>309</v>
      </c>
      <c r="B54" s="1148" t="s">
        <v>735</v>
      </c>
      <c r="C54" s="1148"/>
      <c r="D54" s="1148"/>
      <c r="E54" s="1148"/>
      <c r="F54" s="1148"/>
      <c r="G54" s="1148"/>
      <c r="H54" s="1148"/>
      <c r="I54" s="1148"/>
      <c r="J54" s="1148"/>
      <c r="K54" s="1148"/>
    </row>
    <row r="55" spans="1:11">
      <c r="A55" s="152" t="s">
        <v>253</v>
      </c>
      <c r="B55" s="1148" t="s">
        <v>945</v>
      </c>
      <c r="C55" s="1148"/>
      <c r="D55" s="1148"/>
      <c r="E55" s="1148"/>
      <c r="F55" s="1148"/>
      <c r="G55" s="1148"/>
      <c r="H55" s="1148"/>
      <c r="I55" s="1148"/>
      <c r="J55" s="1148"/>
      <c r="K55" s="1148"/>
    </row>
    <row r="56" spans="1:11">
      <c r="C56" s="194"/>
      <c r="D56" s="194"/>
      <c r="E56" s="194"/>
      <c r="F56" s="194"/>
      <c r="G56" s="194"/>
      <c r="H56" s="194"/>
      <c r="I56" s="194"/>
      <c r="J56" s="194"/>
      <c r="K56" s="194"/>
    </row>
    <row r="57" spans="1:11">
      <c r="B57" s="194"/>
      <c r="C57" s="194"/>
      <c r="D57" s="194"/>
      <c r="E57" s="194"/>
      <c r="F57" s="194"/>
      <c r="G57" s="194"/>
      <c r="H57" s="194"/>
      <c r="I57" s="194"/>
      <c r="J57" s="194"/>
      <c r="K57" s="194"/>
    </row>
  </sheetData>
  <mergeCells count="21">
    <mergeCell ref="B49:K49"/>
    <mergeCell ref="C3:K3"/>
    <mergeCell ref="F4:G4"/>
    <mergeCell ref="H4:I4"/>
    <mergeCell ref="B38:K38"/>
    <mergeCell ref="B39:K39"/>
    <mergeCell ref="B36:K36"/>
    <mergeCell ref="B45:K45"/>
    <mergeCell ref="B48:K48"/>
    <mergeCell ref="B40:K40"/>
    <mergeCell ref="B41:K41"/>
    <mergeCell ref="B42:K42"/>
    <mergeCell ref="B43:K43"/>
    <mergeCell ref="B44:K44"/>
    <mergeCell ref="B46:K46"/>
    <mergeCell ref="B54:K54"/>
    <mergeCell ref="B55:K55"/>
    <mergeCell ref="B50:K50"/>
    <mergeCell ref="B51:K51"/>
    <mergeCell ref="B52:K52"/>
    <mergeCell ref="B53:K53"/>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F352A-52E5-47AD-AFD8-DB187DE4ED07}">
  <sheetPr>
    <tabColor rgb="FFFFFF00"/>
  </sheetPr>
  <dimension ref="A2:AD113"/>
  <sheetViews>
    <sheetView showGridLines="0" topLeftCell="A37" zoomScale="90" zoomScaleNormal="90" workbookViewId="0">
      <selection activeCell="B133" sqref="B133"/>
    </sheetView>
  </sheetViews>
  <sheetFormatPr defaultRowHeight="15"/>
  <cols>
    <col min="2" max="2" width="68.85546875" customWidth="1"/>
    <col min="3" max="3" width="26.5703125" customWidth="1"/>
    <col min="4" max="5" width="20.42578125" customWidth="1"/>
    <col min="6" max="26" width="20.42578125" style="19" customWidth="1"/>
    <col min="27" max="27" width="8.7109375" style="39"/>
    <col min="30" max="30" width="16.5703125" customWidth="1"/>
  </cols>
  <sheetData>
    <row r="2" spans="1:26">
      <c r="B2" s="1" t="s">
        <v>0</v>
      </c>
      <c r="C2" s="1" t="s">
        <v>1</v>
      </c>
      <c r="H2" s="508"/>
      <c r="I2" s="508"/>
      <c r="J2" s="508"/>
    </row>
    <row r="3" spans="1:26">
      <c r="B3" s="33"/>
      <c r="C3" s="15" t="s">
        <v>2</v>
      </c>
      <c r="H3" s="508"/>
      <c r="I3" s="508"/>
      <c r="J3" s="508"/>
    </row>
    <row r="4" spans="1:26">
      <c r="B4" s="38"/>
      <c r="C4" s="15" t="s">
        <v>3</v>
      </c>
    </row>
    <row r="5" spans="1:26">
      <c r="B5" s="10"/>
      <c r="C5" s="15" t="s">
        <v>4</v>
      </c>
      <c r="G5" s="19" t="s">
        <v>5</v>
      </c>
    </row>
    <row r="6" spans="1:26">
      <c r="B6" s="40"/>
      <c r="C6" s="15" t="s">
        <v>6</v>
      </c>
    </row>
    <row r="7" spans="1:26">
      <c r="C7" s="63" t="s">
        <v>964</v>
      </c>
    </row>
    <row r="8" spans="1:26" ht="15.75" thickBot="1"/>
    <row r="9" spans="1:26">
      <c r="B9" s="397" t="s">
        <v>7</v>
      </c>
      <c r="C9" s="398">
        <v>2022</v>
      </c>
    </row>
    <row r="10" spans="1:26" ht="15.75" thickBot="1">
      <c r="B10" s="400" t="s">
        <v>8</v>
      </c>
      <c r="C10" s="399">
        <v>0.02</v>
      </c>
    </row>
    <row r="11" spans="1:26">
      <c r="A11" s="1137" t="s">
        <v>1003</v>
      </c>
      <c r="C11" s="1054"/>
      <c r="D11" s="1054"/>
      <c r="E11" s="1054"/>
      <c r="F11" s="1054"/>
      <c r="G11" s="1054"/>
      <c r="H11" s="1054"/>
      <c r="I11" s="1054"/>
      <c r="J11" s="1054"/>
      <c r="K11" s="1054"/>
      <c r="L11" s="1054"/>
      <c r="M11" s="1054"/>
      <c r="N11" s="1054"/>
      <c r="O11" s="1054"/>
      <c r="P11" s="1054"/>
      <c r="Q11" s="1054"/>
      <c r="R11" s="1054"/>
      <c r="S11" s="1055"/>
      <c r="T11" s="1055"/>
      <c r="U11" s="1055"/>
      <c r="V11" s="1055"/>
      <c r="W11" s="1055"/>
      <c r="X11" s="1055"/>
      <c r="Y11" s="1055"/>
      <c r="Z11" s="1055"/>
    </row>
    <row r="12" spans="1:26">
      <c r="A12" s="1138"/>
      <c r="C12" s="1054"/>
      <c r="D12" s="1054"/>
      <c r="E12" s="1054"/>
      <c r="F12" s="1054"/>
      <c r="G12" s="1054"/>
      <c r="H12" s="1054"/>
      <c r="I12" s="1054"/>
      <c r="J12" s="1054"/>
      <c r="K12" s="1054"/>
      <c r="L12" s="1054"/>
      <c r="M12" s="1054"/>
      <c r="N12" s="1054"/>
      <c r="O12" s="1054"/>
      <c r="P12" s="1054"/>
      <c r="Q12" s="1054"/>
      <c r="R12" s="1054"/>
      <c r="S12" s="1054"/>
      <c r="T12" s="1054"/>
      <c r="U12" s="1055"/>
      <c r="V12" s="1055"/>
      <c r="W12" s="1055"/>
      <c r="X12" s="1055"/>
      <c r="Y12" s="1055"/>
      <c r="Z12" s="1055"/>
    </row>
    <row r="13" spans="1:26">
      <c r="A13" s="1138"/>
      <c r="C13" s="1054"/>
      <c r="D13" s="1054"/>
      <c r="E13" s="1054"/>
      <c r="F13" s="1054"/>
      <c r="G13" s="1054"/>
      <c r="H13" s="1054"/>
      <c r="I13" s="1054"/>
      <c r="J13" s="1054"/>
      <c r="K13" s="1054"/>
      <c r="L13" s="1054"/>
      <c r="M13" s="1054"/>
      <c r="N13" s="1054"/>
      <c r="O13" s="1054"/>
      <c r="P13" s="1054"/>
      <c r="Q13" s="1054"/>
      <c r="R13" s="1054"/>
      <c r="S13" s="1054"/>
      <c r="T13" s="1054"/>
      <c r="U13" s="1054"/>
      <c r="V13" s="1054"/>
      <c r="W13" s="1054"/>
      <c r="X13" s="1055"/>
      <c r="Y13" s="1055"/>
      <c r="Z13" s="1055"/>
    </row>
    <row r="14" spans="1:26" ht="15.75">
      <c r="A14" s="1138"/>
      <c r="B14" s="271" t="s">
        <v>9</v>
      </c>
      <c r="C14" s="1054"/>
      <c r="D14" s="1054"/>
      <c r="E14" s="1054"/>
      <c r="F14" s="1054"/>
      <c r="G14" s="1054"/>
      <c r="H14" s="1054"/>
      <c r="I14" s="1054"/>
      <c r="J14" s="1054"/>
      <c r="K14" s="1054"/>
      <c r="L14" s="1054"/>
      <c r="M14" s="1054"/>
      <c r="N14" s="1054"/>
      <c r="O14" s="1054"/>
      <c r="P14" s="1054"/>
      <c r="Q14" s="1054"/>
      <c r="R14" s="1054"/>
      <c r="S14" s="1054"/>
      <c r="T14" s="1054"/>
      <c r="U14" s="1054"/>
      <c r="V14" s="1054"/>
      <c r="W14" s="1054"/>
      <c r="X14" s="1055"/>
      <c r="Y14" s="1055"/>
      <c r="Z14" s="1055"/>
    </row>
    <row r="15" spans="1:26">
      <c r="B15" s="282" t="s">
        <v>10</v>
      </c>
      <c r="C15" s="45"/>
      <c r="D15" s="45"/>
      <c r="E15" s="45"/>
      <c r="F15" s="45"/>
      <c r="G15" s="45"/>
      <c r="H15" s="45"/>
      <c r="I15" s="45"/>
      <c r="J15" s="45"/>
      <c r="K15" s="45"/>
      <c r="L15" s="45"/>
      <c r="M15" s="45"/>
      <c r="N15" s="45"/>
      <c r="O15" s="45"/>
      <c r="P15" s="45"/>
      <c r="Q15" s="45"/>
      <c r="R15" s="45"/>
      <c r="S15" s="45"/>
      <c r="T15" s="45"/>
      <c r="U15" s="45"/>
      <c r="V15" s="45"/>
      <c r="W15" s="45"/>
      <c r="X15" s="45"/>
      <c r="Y15" s="45"/>
      <c r="Z15" s="45"/>
    </row>
    <row r="16" spans="1:26" ht="14.45" customHeight="1">
      <c r="B16" s="278" t="s">
        <v>23</v>
      </c>
      <c r="C16" s="45"/>
      <c r="D16" s="45"/>
      <c r="E16" s="45"/>
      <c r="F16" s="45"/>
      <c r="G16" s="45"/>
      <c r="H16" s="45"/>
      <c r="I16" s="45"/>
      <c r="J16" s="45"/>
      <c r="K16" s="45"/>
      <c r="L16" s="45"/>
      <c r="M16" s="45"/>
      <c r="N16" s="45"/>
      <c r="O16" s="45"/>
      <c r="P16" s="45"/>
      <c r="Q16" s="45"/>
      <c r="R16" s="45"/>
      <c r="S16" s="45"/>
      <c r="T16" s="45"/>
      <c r="U16" s="45"/>
      <c r="V16" s="45"/>
      <c r="W16" s="45"/>
      <c r="X16" s="45"/>
      <c r="Y16" s="45"/>
      <c r="Z16" s="45"/>
    </row>
    <row r="17" spans="2:26">
      <c r="B17" s="278" t="s">
        <v>41</v>
      </c>
      <c r="C17" s="45"/>
      <c r="D17" s="45"/>
      <c r="E17" s="45"/>
      <c r="F17" s="45"/>
      <c r="G17" s="45"/>
      <c r="H17" s="45"/>
      <c r="I17" s="45"/>
      <c r="J17" s="45"/>
      <c r="K17" s="45"/>
      <c r="L17" s="45"/>
      <c r="M17" s="45"/>
      <c r="N17" s="45"/>
      <c r="O17" s="45"/>
      <c r="P17" s="45"/>
      <c r="Q17" s="45"/>
      <c r="R17" s="45"/>
      <c r="S17" s="45"/>
      <c r="T17" s="45"/>
      <c r="U17" s="45"/>
      <c r="V17" s="45"/>
      <c r="W17" s="45"/>
      <c r="X17" s="45"/>
      <c r="Y17" s="45"/>
      <c r="Z17" s="45"/>
    </row>
    <row r="18" spans="2:26" ht="15.75" thickBot="1">
      <c r="B18" s="278" t="s">
        <v>42</v>
      </c>
      <c r="C18" s="61" t="str">
        <f>IF(C15="","",SUMIFS('Background (from TC)'!$P$4:$P$1048576,'Background (from TC)'!$D$4:$D$1048576,C$15,'Background (from TC)'!$E$4:$E$1048576,C$16,'Background (from TC)'!$O$4:$O$1048576,C$17))</f>
        <v/>
      </c>
      <c r="D18" s="61" t="str">
        <f>IF(D15="","",SUMIFS('Background (from TC)'!$P$4:$P$1048576,'Background (from TC)'!$D$4:$D$1048576,D$15,'Background (from TC)'!$E$4:$E$1048576,D$16,'Background (from TC)'!$O$4:$O$1048576,D$17))</f>
        <v/>
      </c>
      <c r="E18" s="61" t="str">
        <f>IF(E15="","",SUMIFS('Background (from TC)'!$P$4:$P$1048576,'Background (from TC)'!$D$4:$D$1048576,E$15,'Background (from TC)'!$E$4:$E$1048576,E$16,'Background (from TC)'!$O$4:$O$1048576,E$17))</f>
        <v/>
      </c>
      <c r="F18" s="61" t="str">
        <f>IF(F15="","",SUMIFS('Background (from TC)'!$P$4:$P$1048576,'Background (from TC)'!$D$4:$D$1048576,F$15,'Background (from TC)'!$E$4:$E$1048576,F$16,'Background (from TC)'!$O$4:$O$1048576,F$17))</f>
        <v/>
      </c>
      <c r="G18" s="61" t="str">
        <f>IF(G15="","",SUMIFS('Background (from TC)'!$P$4:$P$1048576,'Background (from TC)'!$D$4:$D$1048576,G$15,'Background (from TC)'!$E$4:$E$1048576,G$16,'Background (from TC)'!$O$4:$O$1048576,G$17))</f>
        <v/>
      </c>
      <c r="H18" s="61" t="str">
        <f>IF(H15="","",SUMIFS('Background (from TC)'!$P$4:$P$1048576,'Background (from TC)'!$D$4:$D$1048576,H$15,'Background (from TC)'!$E$4:$E$1048576,H$16,'Background (from TC)'!$O$4:$O$1048576,H$17))</f>
        <v/>
      </c>
      <c r="I18" s="61" t="str">
        <f>IF(I15="","",SUMIFS('Background (from TC)'!$P$4:$P$1048576,'Background (from TC)'!$D$4:$D$1048576,I$15,'Background (from TC)'!$E$4:$E$1048576,I$16,'Background (from TC)'!$O$4:$O$1048576,I$17))</f>
        <v/>
      </c>
      <c r="J18" s="61" t="str">
        <f>IF(J15="","",SUMIFS('Background (from TC)'!$P$4:$P$1048576,'Background (from TC)'!$D$4:$D$1048576,J$15,'Background (from TC)'!$E$4:$E$1048576,J$16,'Background (from TC)'!$O$4:$O$1048576,J$17))</f>
        <v/>
      </c>
      <c r="K18" s="61" t="str">
        <f>IF(K15="","",SUMIFS('Background (from TC)'!$P$4:$P$1048576,'Background (from TC)'!$D$4:$D$1048576,K$15,'Background (from TC)'!$E$4:$E$1048576,K$16,'Background (from TC)'!$O$4:$O$1048576,K$17))</f>
        <v/>
      </c>
      <c r="L18" s="61" t="str">
        <f>IF(L15="","",SUMIFS('Background (from TC)'!$P$4:$P$1048576,'Background (from TC)'!$D$4:$D$1048576,L$15,'Background (from TC)'!$E$4:$E$1048576,L$16,'Background (from TC)'!$O$4:$O$1048576,L$17))</f>
        <v/>
      </c>
      <c r="M18" s="61" t="str">
        <f>IF(M15="","",SUMIFS('Background (from TC)'!$P$4:$P$1048576,'Background (from TC)'!$D$4:$D$1048576,M$15,'Background (from TC)'!$E$4:$E$1048576,M$16,'Background (from TC)'!$O$4:$O$1048576,M$17))</f>
        <v/>
      </c>
      <c r="N18" s="61" t="str">
        <f>IF(N15="","",SUMIFS('Background (from TC)'!$P$4:$P$1048576,'Background (from TC)'!$D$4:$D$1048576,N$15,'Background (from TC)'!$E$4:$E$1048576,N$16,'Background (from TC)'!$O$4:$O$1048576,N$17))</f>
        <v/>
      </c>
      <c r="O18" s="61" t="str">
        <f>IF(O15="","",SUMIFS('Background (from TC)'!$P$4:$P$1048576,'Background (from TC)'!$D$4:$D$1048576,O$15,'Background (from TC)'!$E$4:$E$1048576,O$16,'Background (from TC)'!$O$4:$O$1048576,O$17))</f>
        <v/>
      </c>
      <c r="P18" s="61" t="str">
        <f>IF(P15="","",SUMIFS('Background (from TC)'!$P$4:$P$1048576,'Background (from TC)'!$D$4:$D$1048576,P$15,'Background (from TC)'!$E$4:$E$1048576,P$16,'Background (from TC)'!$O$4:$O$1048576,P$17))</f>
        <v/>
      </c>
      <c r="Q18" s="61" t="str">
        <f>IF(Q15="","",SUMIFS('Background (from TC)'!$P$4:$P$1048576,'Background (from TC)'!$D$4:$D$1048576,Q$15,'Background (from TC)'!$E$4:$E$1048576,Q$16,'Background (from TC)'!$O$4:$O$1048576,Q$17))</f>
        <v/>
      </c>
      <c r="R18" s="61" t="str">
        <f>IF(R15="","",SUMIFS('Background (from TC)'!$P$4:$P$1048576,'Background (from TC)'!$D$4:$D$1048576,R$15,'Background (from TC)'!$E$4:$E$1048576,R$16,'Background (from TC)'!$O$4:$O$1048576,R$17))</f>
        <v/>
      </c>
      <c r="S18" s="61" t="str">
        <f>IF(S15="","",SUMIFS('Background (from TC)'!$P$4:$P$1048576,'Background (from TC)'!$D$4:$D$1048576,S$15,'Background (from TC)'!$E$4:$E$1048576,S$16,'Background (from TC)'!$O$4:$O$1048576,S$17))</f>
        <v/>
      </c>
      <c r="T18" s="61" t="str">
        <f>IF(T15="","",SUMIFS('Background (from TC)'!$P$4:$P$1048576,'Background (from TC)'!$D$4:$D$1048576,T$15,'Background (from TC)'!$E$4:$E$1048576,T$16,'Background (from TC)'!$O$4:$O$1048576,T$17))</f>
        <v/>
      </c>
      <c r="U18" s="61" t="str">
        <f>IF(U15="","",SUMIFS('Background (from TC)'!$P$4:$P$1048576,'Background (from TC)'!$D$4:$D$1048576,U$15,'Background (from TC)'!$E$4:$E$1048576,U$16,'Background (from TC)'!$O$4:$O$1048576,U$17))</f>
        <v/>
      </c>
      <c r="V18" s="61" t="str">
        <f>IF(V15="","",SUMIFS('Background (from TC)'!$P$4:$P$1048576,'Background (from TC)'!$D$4:$D$1048576,V$15,'Background (from TC)'!$E$4:$E$1048576,V$16,'Background (from TC)'!$O$4:$O$1048576,V$17))</f>
        <v/>
      </c>
      <c r="W18" s="61" t="str">
        <f>IF(W15="","",SUMIFS('Background (from TC)'!$P$4:$P$1048576,'Background (from TC)'!$D$4:$D$1048576,W$15,'Background (from TC)'!$E$4:$E$1048576,W$16,'Background (from TC)'!$O$4:$O$1048576,W$17))</f>
        <v/>
      </c>
      <c r="X18" s="61" t="str">
        <f>IF(X15="","",SUMIFS('Background (from TC)'!$P$4:$P$1048576,'Background (from TC)'!$D$4:$D$1048576,X$15,'Background (from TC)'!$E$4:$E$1048576,X$16,'Background (from TC)'!$O$4:$O$1048576,X$17))</f>
        <v/>
      </c>
      <c r="Y18" s="61" t="str">
        <f>IF(Y15="","",SUMIFS('Background (from TC)'!$P$4:$P$1048576,'Background (from TC)'!$D$4:$D$1048576,Y$15,'Background (from TC)'!$E$4:$E$1048576,Y$16,'Background (from TC)'!$O$4:$O$1048576,Y$17))</f>
        <v/>
      </c>
      <c r="Z18" s="61" t="str">
        <f>IF(Z15="","",SUMIFS('Background (from TC)'!$P$4:$P$1048576,'Background (from TC)'!$D$4:$D$1048576,Z$15,'Background (from TC)'!$E$4:$E$1048576,Z$16,'Background (from TC)'!$O$4:$O$1048576,Z$17))</f>
        <v/>
      </c>
    </row>
    <row r="19" spans="2:26" ht="15.75" thickBot="1">
      <c r="B19" s="273" t="s">
        <v>43</v>
      </c>
      <c r="C19" s="59" t="str">
        <f>IF(C16="","",IF(C18=0,"Technology unavailable in this year. Please revise",IF(INDEX('Background (from TC)'!$D:$D,MATCH(C16,'Background (from TC)'!$E:$E,0))=C15,"","Incompatible combination of Fuel and Technology")))</f>
        <v/>
      </c>
      <c r="D19" s="59" t="str">
        <f>IF(D16="","",IF(D18=0,"Technology unavailable in this year. Please revise",IF(INDEX('Background (from TC)'!$D:$D,MATCH(D16,'Background (from TC)'!$E:$E,0))=D15,"","Incompatible combination of Fuel and Technology")))</f>
        <v/>
      </c>
      <c r="E19" s="59" t="str">
        <f>IF(E16="","",IF(E18=0,"Technology unavailable in this year. Please revise",IF(INDEX('Background (from TC)'!$D:$D,MATCH(E16,'Background (from TC)'!$E:$E,0))=E15,"","Incompatible combination of Fuel and Technology")))</f>
        <v/>
      </c>
      <c r="F19" s="59" t="str">
        <f>IF(F16="","",IF(F18=0,"Technology unavailable in this year. Please revise",IF(INDEX('Background (from TC)'!$D:$D,MATCH(F16,'Background (from TC)'!$E:$E,0))=F15,"","Incompatible combination of Fuel and Technology")))</f>
        <v/>
      </c>
      <c r="G19" s="59" t="str">
        <f>IF(G16="","",IF(G18=0,"Technology unavailable in this year. Please revise",IF(INDEX('Background (from TC)'!$D:$D,MATCH(G16,'Background (from TC)'!$E:$E,0))=G15,"","Incompatible combination of Fuel and Technology")))</f>
        <v/>
      </c>
      <c r="H19" s="59" t="str">
        <f>IF(H16="","",IF(H18=0,"Technology unavailable in this year. Please revise",IF(INDEX('Background (from TC)'!$D:$D,MATCH(H16,'Background (from TC)'!$E:$E,0))=H15,"","Incompatible combination of Fuel and Technology")))</f>
        <v/>
      </c>
      <c r="I19" s="59" t="str">
        <f>IF(I16="","",IF(I18=0,"Technology unavailable in this year. Please revise",IF(INDEX('Background (from TC)'!$D:$D,MATCH(I16,'Background (from TC)'!$E:$E,0))=I15,"","Incompatible combination of Fuel and Technology")))</f>
        <v/>
      </c>
      <c r="J19" s="59" t="str">
        <f>IF(J16="","",IF(J18=0,"Technology unavailable in this year. Please revise",IF(INDEX('Background (from TC)'!$D:$D,MATCH(J16,'Background (from TC)'!$E:$E,0))=J15,"","Incompatible combination of Fuel and Technology")))</f>
        <v/>
      </c>
      <c r="K19" s="59" t="str">
        <f>IF(K16="","",IF(K18=0,"Technology unavailable in this year. Please revise",IF(INDEX('Background (from TC)'!$D:$D,MATCH(K16,'Background (from TC)'!$E:$E,0))=K15,"","Incompatible combination of Fuel and Technology")))</f>
        <v/>
      </c>
      <c r="L19" s="59" t="str">
        <f>IF(L16="","",IF(L18=0,"Technology unavailable in this year. Please revise",IF(INDEX('Background (from TC)'!$D:$D,MATCH(L16,'Background (from TC)'!$E:$E,0))=L15,"","Incompatible combination of Fuel and Technology")))</f>
        <v/>
      </c>
      <c r="M19" s="59" t="str">
        <f>IF(M16="","",IF(M18=0,"Technology unavailable in this year. Please revise",IF(INDEX('Background (from TC)'!$D:$D,MATCH(M16,'Background (from TC)'!$E:$E,0))=M15,"","Incompatible combination of Fuel and Technology")))</f>
        <v/>
      </c>
      <c r="N19" s="59" t="str">
        <f>IF(N16="","",IF(N18=0,"Technology unavailable in this year. Please revise",IF(INDEX('Background (from TC)'!$D:$D,MATCH(N16,'Background (from TC)'!$E:$E,0))=N15,"","Incompatible combination of Fuel and Technology")))</f>
        <v/>
      </c>
      <c r="O19" s="59" t="str">
        <f>IF(O16="","",IF(O18=0,"Technology unavailable in this year. Please revise",IF(INDEX('Background (from TC)'!$D:$D,MATCH(O16,'Background (from TC)'!$E:$E,0))=O15,"","Incompatible combination of Fuel and Technology")))</f>
        <v/>
      </c>
      <c r="P19" s="59" t="str">
        <f>IF(P16="","",IF(P18=0,"Technology unavailable in this year. Please revise",IF(INDEX('Background (from TC)'!$D:$D,MATCH(P16,'Background (from TC)'!$E:$E,0))=P15,"","Incompatible combination of Fuel and Technology")))</f>
        <v/>
      </c>
      <c r="Q19" s="59" t="str">
        <f>IF(Q16="","",IF(Q18=0,"Technology unavailable in this year. Please revise",IF(INDEX('Background (from TC)'!$D:$D,MATCH(Q16,'Background (from TC)'!$E:$E,0))=Q15,"","Incompatible combination of Fuel and Technology")))</f>
        <v/>
      </c>
      <c r="R19" s="59" t="str">
        <f>IF(R16="","",IF(R18=0,"Technology unavailable in this year. Please revise",IF(INDEX('Background (from TC)'!$D:$D,MATCH(R16,'Background (from TC)'!$E:$E,0))=R15,"","Incompatible combination of Fuel and Technology")))</f>
        <v/>
      </c>
      <c r="S19" s="59" t="str">
        <f>IF(S16="","",IF(S18=0,"Technology unavailable in this year. Please revise",IF(INDEX('Background (from TC)'!$D:$D,MATCH(S16,'Background (from TC)'!$E:$E,0))=S15,"","Incompatible combination of Fuel and Technology")))</f>
        <v/>
      </c>
      <c r="T19" s="59" t="str">
        <f>IF(T16="","",IF(T18=0,"Technology unavailable in this year. Please revise",IF(INDEX('Background (from TC)'!$D:$D,MATCH(T16,'Background (from TC)'!$E:$E,0))=T15,"","Incompatible combination of Fuel and Technology")))</f>
        <v/>
      </c>
      <c r="U19" s="59" t="str">
        <f>IF(U16="","",IF(U18=0,"Technology unavailable in this year. Please revise",IF(INDEX('Background (from TC)'!$D:$D,MATCH(U16,'Background (from TC)'!$E:$E,0))=U15,"","Incompatible combination of Fuel and Technology")))</f>
        <v/>
      </c>
      <c r="V19" s="59" t="str">
        <f>IF(V16="","",IF(V18=0,"Technology unavailable in this year. Please revise",IF(INDEX('Background (from TC)'!$D:$D,MATCH(V16,'Background (from TC)'!$E:$E,0))=V15,"","Incompatible combination of Fuel and Technology")))</f>
        <v/>
      </c>
      <c r="W19" s="59" t="str">
        <f>IF(W16="","",IF(W18=0,"Technology unavailable in this year. Please revise",IF(INDEX('Background (from TC)'!$D:$D,MATCH(W16,'Background (from TC)'!$E:$E,0))=W15,"","Incompatible combination of Fuel and Technology")))</f>
        <v/>
      </c>
      <c r="X19" s="59" t="str">
        <f>IF(X16="","",IF(X18=0,"Technology unavailable in this year. Please revise",IF(INDEX('Background (from TC)'!$D:$D,MATCH(X16,'Background (from TC)'!$E:$E,0))=X15,"","Incompatible combination of Fuel and Technology")))</f>
        <v/>
      </c>
      <c r="Y19" s="59" t="str">
        <f>IF(Y16="","",IF(Y18=0,"Technology unavailable in this year. Please revise",IF(INDEX('Background (from TC)'!$D:$D,MATCH(Y16,'Background (from TC)'!$E:$E,0))=Y15,"","Incompatible combination of Fuel and Technology")))</f>
        <v/>
      </c>
      <c r="Z19" s="59" t="str">
        <f>IF(Z16="","",IF(Z18=0,"Technology unavailable in this year. Please revise",IF(INDEX('Background (from TC)'!$D:$D,MATCH(Z16,'Background (from TC)'!$E:$E,0))=Z15,"","Incompatible combination of Fuel and Technology")))</f>
        <v/>
      </c>
    </row>
    <row r="20" spans="2:26">
      <c r="F20"/>
      <c r="G20"/>
      <c r="H20"/>
      <c r="I20"/>
      <c r="J20"/>
      <c r="K20"/>
      <c r="L20"/>
      <c r="M20"/>
      <c r="N20"/>
      <c r="O20"/>
      <c r="P20"/>
      <c r="Q20"/>
      <c r="R20"/>
      <c r="S20"/>
      <c r="T20"/>
      <c r="U20"/>
      <c r="V20"/>
      <c r="W20"/>
      <c r="X20"/>
      <c r="Y20"/>
      <c r="Z20"/>
    </row>
    <row r="21" spans="2:26" ht="15.75">
      <c r="B21" s="271" t="s">
        <v>44</v>
      </c>
      <c r="C21" s="19"/>
      <c r="D21" s="19"/>
      <c r="E21" s="19"/>
    </row>
    <row r="22" spans="2:26">
      <c r="B22" s="282" t="s">
        <v>45</v>
      </c>
      <c r="C22" s="44"/>
      <c r="D22" s="44"/>
      <c r="E22" s="44"/>
      <c r="F22" s="44"/>
      <c r="G22" s="44"/>
      <c r="H22" s="44"/>
      <c r="I22" s="44"/>
      <c r="J22" s="44"/>
      <c r="K22" s="44"/>
      <c r="L22" s="44"/>
      <c r="M22" s="44"/>
      <c r="N22" s="44"/>
      <c r="O22" s="44"/>
      <c r="P22" s="44"/>
      <c r="Q22" s="44"/>
      <c r="R22" s="44"/>
      <c r="S22" s="44"/>
      <c r="T22" s="44"/>
      <c r="U22" s="44"/>
      <c r="V22" s="44"/>
      <c r="W22" s="44"/>
      <c r="X22" s="44"/>
      <c r="Y22" s="44"/>
      <c r="Z22" s="44"/>
    </row>
    <row r="23" spans="2:26">
      <c r="B23" s="278" t="s">
        <v>47</v>
      </c>
      <c r="C23" s="41"/>
      <c r="D23" s="42"/>
      <c r="E23" s="19"/>
      <c r="H23" s="42"/>
    </row>
    <row r="24" spans="2:26">
      <c r="B24" s="278" t="s">
        <v>48</v>
      </c>
      <c r="C24" s="42" t="str">
        <f>IF(C22="","",IF(C22="User defined",C23,SUMIFS('Background (from TC)'!$AE$4:$AE$1048576,'Background (from TC)'!$D$4:$D$1048576,C$15,'Background (from TC)'!$E$4:$E$1048576,C$16,'Background (from TC)'!$O$4:$O$1048576,C$17)))</f>
        <v/>
      </c>
      <c r="D24" s="42" t="str">
        <f>IF(D22="","",IF(D22="User defined",D23,SUMIFS('Background (from TC)'!$AE$4:$AE$1048576,'Background (from TC)'!$D$4:$D$1048576,D$15,'Background (from TC)'!$E$4:$E$1048576,D$16,'Background (from TC)'!$O$4:$O$1048576,D$17)))</f>
        <v/>
      </c>
      <c r="E24" s="42" t="str">
        <f>IF(E22="","",IF(E22="User defined",E23,SUMIFS('Background (from TC)'!$AE$4:$AE$1048576,'Background (from TC)'!$D$4:$D$1048576,E$15,'Background (from TC)'!$E$4:$E$1048576,E$16,'Background (from TC)'!$O$4:$O$1048576,E$17)))</f>
        <v/>
      </c>
      <c r="F24" s="42" t="str">
        <f>IF(F22="","",IF(F22="User defined",F23,SUMIFS('Background (from TC)'!$AE$4:$AE$1048576,'Background (from TC)'!$D$4:$D$1048576,F$15,'Background (from TC)'!$E$4:$E$1048576,F$16,'Background (from TC)'!$O$4:$O$1048576,F$17)))</f>
        <v/>
      </c>
      <c r="G24" s="42" t="str">
        <f>IF(G22="","",IF(G22="User defined",G23,SUMIFS('Background (from TC)'!$AE$4:$AE$1048576,'Background (from TC)'!$D$4:$D$1048576,G$15,'Background (from TC)'!$E$4:$E$1048576,G$16,'Background (from TC)'!$O$4:$O$1048576,G$17)))</f>
        <v/>
      </c>
      <c r="H24" s="42" t="str">
        <f>IF(H22="","",IF(H22="User defined",H23,SUMIFS('Background (from TC)'!$AE$4:$AE$1048576,'Background (from TC)'!$D$4:$D$1048576,H$15,'Background (from TC)'!$E$4:$E$1048576,H$16,'Background (from TC)'!$O$4:$O$1048576,H$17)))</f>
        <v/>
      </c>
      <c r="I24" s="42" t="str">
        <f>IF(I22="","",IF(I22="User defined",I23,SUMIFS('Background (from TC)'!$AE$4:$AE$1048576,'Background (from TC)'!$D$4:$D$1048576,I$15,'Background (from TC)'!$E$4:$E$1048576,I$16,'Background (from TC)'!$O$4:$O$1048576,I$17)))</f>
        <v/>
      </c>
      <c r="J24" s="42" t="str">
        <f>IF(J22="","",IF(J22="User defined",J23,SUMIFS('Background (from TC)'!$AE$4:$AE$1048576,'Background (from TC)'!$D$4:$D$1048576,J$15,'Background (from TC)'!$E$4:$E$1048576,J$16,'Background (from TC)'!$O$4:$O$1048576,J$17)))</f>
        <v/>
      </c>
      <c r="K24" s="42" t="str">
        <f>IF(K22="","",IF(K22="User defined",K23,SUMIFS('Background (from TC)'!$AE$4:$AE$1048576,'Background (from TC)'!$D$4:$D$1048576,K$15,'Background (from TC)'!$E$4:$E$1048576,K$16,'Background (from TC)'!$O$4:$O$1048576,K$17)))</f>
        <v/>
      </c>
      <c r="L24" s="42" t="str">
        <f>IF(L22="","",IF(L22="User defined",L23,SUMIFS('Background (from TC)'!$AE$4:$AE$1048576,'Background (from TC)'!$D$4:$D$1048576,L$15,'Background (from TC)'!$E$4:$E$1048576,L$16,'Background (from TC)'!$O$4:$O$1048576,L$17)))</f>
        <v/>
      </c>
      <c r="M24" s="42" t="str">
        <f>IF(M22="","",IF(M22="User defined",M23,SUMIFS('Background (from TC)'!$AE$4:$AE$1048576,'Background (from TC)'!$D$4:$D$1048576,M$15,'Background (from TC)'!$E$4:$E$1048576,M$16,'Background (from TC)'!$O$4:$O$1048576,M$17)))</f>
        <v/>
      </c>
      <c r="N24" s="42" t="str">
        <f>IF(N22="","",IF(N22="User defined",N23,SUMIFS('Background (from TC)'!$AE$4:$AE$1048576,'Background (from TC)'!$D$4:$D$1048576,N$15,'Background (from TC)'!$E$4:$E$1048576,N$16,'Background (from TC)'!$O$4:$O$1048576,N$17)))</f>
        <v/>
      </c>
      <c r="O24" s="42" t="str">
        <f>IF(O22="","",IF(O22="User defined",O23,SUMIFS('Background (from TC)'!$AE$4:$AE$1048576,'Background (from TC)'!$D$4:$D$1048576,O$15,'Background (from TC)'!$E$4:$E$1048576,O$16,'Background (from TC)'!$O$4:$O$1048576,O$17)))</f>
        <v/>
      </c>
      <c r="P24" s="42" t="str">
        <f>IF(P22="","",IF(P22="User defined",P23,SUMIFS('Background (from TC)'!$AE$4:$AE$1048576,'Background (from TC)'!$D$4:$D$1048576,P$15,'Background (from TC)'!$E$4:$E$1048576,P$16,'Background (from TC)'!$O$4:$O$1048576,P$17)))</f>
        <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t="str">
        <f>IF(C22="","",-PMT(C24,C$18,1))</f>
        <v/>
      </c>
      <c r="D25" s="41" t="str">
        <f t="shared" ref="D25:Z25" si="0">IF(D22="","",-PMT(D24,D$18,1))</f>
        <v/>
      </c>
      <c r="E25" s="41" t="str">
        <f t="shared" si="0"/>
        <v/>
      </c>
      <c r="F25" s="41" t="str">
        <f t="shared" si="0"/>
        <v/>
      </c>
      <c r="G25" s="41" t="str">
        <f t="shared" si="0"/>
        <v/>
      </c>
      <c r="H25" s="41" t="str">
        <f t="shared" si="0"/>
        <v/>
      </c>
      <c r="I25" s="41" t="str">
        <f t="shared" si="0"/>
        <v/>
      </c>
      <c r="J25" s="41" t="str">
        <f t="shared" si="0"/>
        <v/>
      </c>
      <c r="K25" s="41" t="str">
        <f t="shared" si="0"/>
        <v/>
      </c>
      <c r="L25" s="41" t="str">
        <f t="shared" si="0"/>
        <v/>
      </c>
      <c r="M25" s="41" t="str">
        <f t="shared" si="0"/>
        <v/>
      </c>
      <c r="N25" s="41" t="str">
        <f t="shared" si="0"/>
        <v/>
      </c>
      <c r="O25" s="41" t="str">
        <f t="shared" si="0"/>
        <v/>
      </c>
      <c r="P25" s="41" t="str">
        <f t="shared" si="0"/>
        <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57"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401"/>
      <c r="C27" s="19"/>
      <c r="D27" s="19"/>
      <c r="E27" s="19"/>
    </row>
    <row r="28" spans="2:26">
      <c r="B28" s="278" t="s">
        <v>50</v>
      </c>
      <c r="C28" s="61" t="str">
        <f>IF(C22="","",SUMIFS('Background (from TC)'!$F$4:$F$1048576,'Background (from TC)'!$D$4:$D$1048576,C$15,'Background (from TC)'!$E$4:$E$1048576,C$16,'Background (from TC)'!$O$4:$O$1048576,C$17))</f>
        <v/>
      </c>
      <c r="D28" s="61" t="str">
        <f>IF(D22="","",SUMIFS('Background (from TC)'!$F$4:$F$1048576,'Background (from TC)'!$D$4:$D$1048576,D$15,'Background (from TC)'!$E$4:$E$1048576,D$16,'Background (from TC)'!$O$4:$O$1048576,D$17))</f>
        <v/>
      </c>
      <c r="E28" s="61" t="str">
        <f>IF(E22="","",SUMIFS('Background (from TC)'!$F$4:$F$1048576,'Background (from TC)'!$D$4:$D$1048576,E$15,'Background (from TC)'!$E$4:$E$1048576,E$16,'Background (from TC)'!$O$4:$O$1048576,E$17))</f>
        <v/>
      </c>
      <c r="F28" s="61" t="str">
        <f>IF(F22="","",SUMIFS('Background (from TC)'!$F$4:$F$1048576,'Background (from TC)'!$D$4:$D$1048576,F$15,'Background (from TC)'!$E$4:$E$1048576,F$16,'Background (from TC)'!$O$4:$O$1048576,F$17))</f>
        <v/>
      </c>
      <c r="G28" s="61" t="str">
        <f>IF(G22="","",SUMIFS('Background (from TC)'!$F$4:$F$1048576,'Background (from TC)'!$D$4:$D$1048576,G$15,'Background (from TC)'!$E$4:$E$1048576,G$16,'Background (from TC)'!$O$4:$O$1048576,G$17))</f>
        <v/>
      </c>
      <c r="H28" s="61" t="str">
        <f>IF(H22="","",SUMIFS('Background (from TC)'!$F$4:$F$1048576,'Background (from TC)'!$D$4:$D$1048576,H$15,'Background (from TC)'!$E$4:$E$1048576,H$16,'Background (from TC)'!$O$4:$O$1048576,H$17))</f>
        <v/>
      </c>
      <c r="I28" s="61" t="str">
        <f>IF(I22="","",SUMIFS('Background (from TC)'!$F$4:$F$1048576,'Background (from TC)'!$D$4:$D$1048576,I$15,'Background (from TC)'!$E$4:$E$1048576,I$16,'Background (from TC)'!$O$4:$O$1048576,I$17))</f>
        <v/>
      </c>
      <c r="J28" s="61" t="str">
        <f>IF(J22="","",SUMIFS('Background (from TC)'!$F$4:$F$1048576,'Background (from TC)'!$D$4:$D$1048576,J$15,'Background (from TC)'!$E$4:$E$1048576,J$16,'Background (from TC)'!$O$4:$O$1048576,J$17))</f>
        <v/>
      </c>
      <c r="K28" s="61" t="str">
        <f>IF(K22="","",SUMIFS('Background (from TC)'!$F$4:$F$1048576,'Background (from TC)'!$D$4:$D$1048576,K$15,'Background (from TC)'!$E$4:$E$1048576,K$16,'Background (from TC)'!$O$4:$O$1048576,K$17))</f>
        <v/>
      </c>
      <c r="L28" s="61" t="str">
        <f>IF(L22="","",SUMIFS('Background (from TC)'!$F$4:$F$1048576,'Background (from TC)'!$D$4:$D$1048576,L$15,'Background (from TC)'!$E$4:$E$1048576,L$16,'Background (from TC)'!$O$4:$O$1048576,L$17))</f>
        <v/>
      </c>
      <c r="M28" s="61" t="str">
        <f>IF(M22="","",SUMIFS('Background (from TC)'!$F$4:$F$1048576,'Background (from TC)'!$D$4:$D$1048576,M$15,'Background (from TC)'!$E$4:$E$1048576,M$16,'Background (from TC)'!$O$4:$O$1048576,M$17))</f>
        <v/>
      </c>
      <c r="N28" s="61" t="str">
        <f>IF(N22="","",SUMIFS('Background (from TC)'!$F$4:$F$1048576,'Background (from TC)'!$D$4:$D$1048576,N$15,'Background (from TC)'!$E$4:$E$1048576,N$16,'Background (from TC)'!$O$4:$O$1048576,N$17))</f>
        <v/>
      </c>
      <c r="O28" s="61" t="str">
        <f>IF(O22="","",SUMIFS('Background (from TC)'!$F$4:$F$1048576,'Background (from TC)'!$D$4:$D$1048576,O$15,'Background (from TC)'!$E$4:$E$1048576,O$16,'Background (from TC)'!$O$4:$O$1048576,O$17))</f>
        <v/>
      </c>
      <c r="P28" s="61" t="str">
        <f>IF(P22="","",SUMIFS('Background (from TC)'!$F$4:$F$1048576,'Background (from TC)'!$D$4:$D$1048576,P$15,'Background (from TC)'!$E$4:$E$1048576,P$16,'Background (from TC)'!$O$4:$O$1048576,P$17))</f>
        <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t="str">
        <f>IF(C22="","",(1+$C$10)^($C$9-C28))</f>
        <v/>
      </c>
      <c r="D29" s="402" t="str">
        <f t="shared" ref="D29:Z29" si="2">IF(D22="","",(1+$C$10)^($C$9-D28))</f>
        <v/>
      </c>
      <c r="E29" s="402" t="str">
        <f t="shared" si="2"/>
        <v/>
      </c>
      <c r="F29" s="402" t="str">
        <f t="shared" si="2"/>
        <v/>
      </c>
      <c r="G29" s="402" t="str">
        <f t="shared" si="2"/>
        <v/>
      </c>
      <c r="H29" s="402" t="str">
        <f t="shared" si="2"/>
        <v/>
      </c>
      <c r="I29" s="402" t="str">
        <f t="shared" si="2"/>
        <v/>
      </c>
      <c r="J29" s="402" t="str">
        <f t="shared" si="2"/>
        <v/>
      </c>
      <c r="K29" s="402" t="str">
        <f t="shared" si="2"/>
        <v/>
      </c>
      <c r="L29" s="402" t="str">
        <f t="shared" si="2"/>
        <v/>
      </c>
      <c r="M29" s="402" t="str">
        <f t="shared" si="2"/>
        <v/>
      </c>
      <c r="N29" s="402" t="str">
        <f t="shared" si="2"/>
        <v/>
      </c>
      <c r="O29" s="402" t="str">
        <f t="shared" si="2"/>
        <v/>
      </c>
      <c r="P29" s="402" t="str">
        <f t="shared" si="2"/>
        <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5"/>
      <c r="C30" s="19"/>
      <c r="D30" s="19"/>
      <c r="E30" s="19"/>
    </row>
    <row r="31" spans="2:26" ht="15.75">
      <c r="B31" s="286" t="s">
        <v>52</v>
      </c>
    </row>
    <row r="32" spans="2:26">
      <c r="B32" s="278" t="s">
        <v>53</v>
      </c>
      <c r="C32" s="19"/>
      <c r="D32" s="19"/>
      <c r="E32" s="19"/>
    </row>
    <row r="33" spans="2:26">
      <c r="B33" s="278" t="s">
        <v>55</v>
      </c>
      <c r="C33" s="43"/>
      <c r="D33" s="43"/>
      <c r="E33" s="43"/>
      <c r="F33" s="43"/>
      <c r="G33" s="43"/>
      <c r="H33" s="43"/>
      <c r="I33" s="43"/>
      <c r="J33" s="43"/>
      <c r="K33" s="43"/>
      <c r="L33" s="43"/>
      <c r="M33" s="43"/>
      <c r="N33" s="43"/>
      <c r="O33" s="43"/>
      <c r="P33" s="43"/>
      <c r="Q33" s="43"/>
      <c r="R33" s="43"/>
      <c r="S33" s="43"/>
      <c r="T33" s="43"/>
      <c r="U33" s="43"/>
      <c r="V33" s="43"/>
      <c r="W33" s="43"/>
      <c r="X33" s="43"/>
      <c r="Y33" s="43"/>
      <c r="Z33" s="43"/>
    </row>
    <row r="34" spans="2:26" ht="15.75" thickBot="1">
      <c r="B34" s="278" t="s">
        <v>56</v>
      </c>
      <c r="C34" s="43" t="str">
        <f>IF(C32="","",IF(C32="User defined",C33,IF(SUMIFS('Background (from TC)'!$R$4:$R$1048576,'Background (from TC)'!$D$4:$D$1048576,C$15,'Background (from TC)'!$E$4:$E$1048576,C$16,'Background (from TC)'!$O$4:$O$1048576,C$17)=0,4000,SUMIFS('Background (from TC)'!$R$4:$R$1048576,'Background (from TC)'!$D$4:$D$1048576,C$15,'Background (from TC)'!$E$4:$E$1048576,C$16,'Background (from TC)'!$O$4:$O$1048576,C$17))))</f>
        <v/>
      </c>
      <c r="D34" s="43" t="str">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
      </c>
      <c r="E34" s="43" t="str">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
      </c>
      <c r="F34" s="43" t="str">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
      </c>
      <c r="G34" s="43" t="str">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
      </c>
      <c r="H34" s="43" t="str">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
      </c>
      <c r="I34" s="43" t="str">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
      </c>
      <c r="J34" s="43" t="str">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
      </c>
      <c r="K34" s="43" t="str">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
      </c>
      <c r="L34" s="43" t="str">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
      </c>
      <c r="M34" s="43" t="str">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
      </c>
      <c r="N34" s="43" t="str">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
      </c>
      <c r="O34" s="43" t="str">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
      </c>
      <c r="P34" s="43" t="str">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
      </c>
      <c r="Q34" s="43"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43"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43" t="str">
        <f>IF(S32="","",IF(S32="User defined",S33,IF(SUMIFS('Background (from TC)'!$R$4:$R$1048576,'Background (from TC)'!$D$4:$D$1048576,S$15,'Background (from TC)'!$E$4:$E$1048576,S$16,'Background (from TC)'!$O$4:$O$1048576,S$17)=0,4000,SUMIFS('Background (from TC)'!$R$4:$R$1048576,'Background (from TC)'!$D$4:$D$1048576,S$15,'Background (from TC)'!$E$4:$E$1048576,S$16,'Background (from TC)'!$O$4:$O$1048576,S$17))))</f>
        <v/>
      </c>
      <c r="T34" s="43" t="str">
        <f>IF(T32="","",IF(T32="User defined",T33,IF(SUMIFS('Background (from TC)'!$R$4:$R$1048576,'Background (from TC)'!$D$4:$D$1048576,T$15,'Background (from TC)'!$E$4:$E$1048576,T$16,'Background (from TC)'!$O$4:$O$1048576,T$17)=0,4000,SUMIFS('Background (from TC)'!$R$4:$R$1048576,'Background (from TC)'!$D$4:$D$1048576,T$15,'Background (from TC)'!$E$4:$E$1048576,T$16,'Background (from TC)'!$O$4:$O$1048576,T$17))))</f>
        <v/>
      </c>
      <c r="U34" s="43"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43"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43"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43"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43"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43"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2:26" ht="15.75" thickBot="1">
      <c r="B35" s="273" t="s">
        <v>43</v>
      </c>
      <c r="C35" s="258" t="str">
        <f>IF(AND(C32="User defined",C33=""),"Insert value above",IF(AND(C32="User defined",OR(C33&lt;0,C33&gt;8760)),"Value should be between 0 and 8760",IF(AND(C32="Generic",OR(C34=0,NOT(ISNUMBER(C34)))),"Absence of generic data, please switch to User Defined and insert FLHs","")))</f>
        <v/>
      </c>
      <c r="D35" s="258" t="str">
        <f t="shared" ref="D35:Z35" si="3">IF(AND(D32="User defined",D33=""),"Insert value above",IF(AND(D32="User defined",OR(D33&lt;0,D33&gt;8760)),"Value should be between 0 and 8760",IF(AND(D32="Generic",OR(D34=0,NOT(ISNUMBER(D34)))),"Absence of generic data, please switch to User Defined and insert FLHs","")))</f>
        <v/>
      </c>
      <c r="E35" s="258" t="str">
        <f t="shared" si="3"/>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8" t="str">
        <f t="shared" si="3"/>
        <v/>
      </c>
    </row>
    <row r="36" spans="2:26">
      <c r="B36" s="15"/>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2:26" ht="15.75">
      <c r="B37" s="286" t="s">
        <v>57</v>
      </c>
      <c r="C37" s="19"/>
      <c r="D37" s="19"/>
      <c r="E37" s="19"/>
    </row>
    <row r="38" spans="2:26">
      <c r="B38" s="282" t="s">
        <v>58</v>
      </c>
      <c r="C38" s="19"/>
      <c r="D38" s="19"/>
      <c r="E38" s="19"/>
      <c r="G38" s="19" t="s">
        <v>46</v>
      </c>
      <c r="H38" s="19" t="s">
        <v>46</v>
      </c>
      <c r="K38" s="19" t="s">
        <v>54</v>
      </c>
      <c r="L38" s="19" t="s">
        <v>54</v>
      </c>
      <c r="S38" s="19" t="s">
        <v>54</v>
      </c>
      <c r="T38" s="19" t="s">
        <v>54</v>
      </c>
    </row>
    <row r="39" spans="2:26">
      <c r="B39" s="278" t="s">
        <v>59</v>
      </c>
      <c r="C39" s="44"/>
      <c r="D39" s="44"/>
      <c r="E39" s="44"/>
      <c r="F39" s="44"/>
      <c r="G39" s="44"/>
      <c r="H39" s="44"/>
      <c r="I39" s="44"/>
      <c r="J39" s="44"/>
      <c r="K39" s="44"/>
      <c r="L39" s="44"/>
      <c r="M39" s="44"/>
      <c r="N39" s="44"/>
      <c r="O39" s="44"/>
      <c r="P39" s="44"/>
      <c r="Q39" s="44"/>
      <c r="R39" s="44"/>
      <c r="S39" s="44"/>
      <c r="T39" s="44"/>
      <c r="U39" s="44"/>
      <c r="V39" s="44"/>
      <c r="W39" s="44"/>
      <c r="X39" s="44"/>
      <c r="Y39" s="44"/>
      <c r="Z39" s="44"/>
    </row>
    <row r="40" spans="2:26">
      <c r="B40" s="278" t="s">
        <v>60</v>
      </c>
      <c r="C40" s="44"/>
      <c r="D40" s="44"/>
      <c r="E40" s="44"/>
      <c r="F40" s="44"/>
      <c r="G40" s="44"/>
      <c r="H40" s="44"/>
      <c r="I40" s="44"/>
      <c r="J40" s="44"/>
      <c r="K40" s="44"/>
      <c r="L40" s="44"/>
      <c r="M40" s="44"/>
      <c r="N40" s="44"/>
      <c r="O40" s="44"/>
      <c r="P40" s="44"/>
      <c r="Q40" s="44"/>
      <c r="R40" s="44"/>
      <c r="S40" s="44"/>
      <c r="T40" s="44"/>
      <c r="U40" s="44"/>
      <c r="V40" s="44"/>
      <c r="W40" s="44"/>
      <c r="X40" s="44"/>
      <c r="Y40" s="44"/>
      <c r="Z40" s="44"/>
    </row>
    <row r="41" spans="2:26">
      <c r="B41" s="278" t="s">
        <v>61</v>
      </c>
      <c r="C41" s="44"/>
      <c r="D41" s="44"/>
      <c r="E41" s="44"/>
      <c r="F41" s="44"/>
      <c r="G41" s="44"/>
      <c r="H41" s="44"/>
      <c r="I41" s="44"/>
      <c r="J41" s="44"/>
      <c r="K41" s="44"/>
      <c r="L41" s="44"/>
      <c r="M41" s="44"/>
      <c r="N41" s="44"/>
      <c r="O41" s="44"/>
      <c r="P41" s="44"/>
      <c r="Q41" s="44"/>
      <c r="R41" s="44"/>
      <c r="S41" s="44"/>
      <c r="T41" s="44"/>
      <c r="U41" s="44"/>
      <c r="V41" s="44"/>
      <c r="W41" s="44"/>
      <c r="X41" s="44"/>
      <c r="Y41" s="44"/>
      <c r="Z41" s="44"/>
    </row>
    <row r="42" spans="2:26">
      <c r="B42" s="278" t="s">
        <v>62</v>
      </c>
      <c r="C42" s="44" t="str">
        <f>IF(C15="","",IF(C15&lt;&gt;"Storage","",IF(C$38="User Defined",C$39,SUMIFS('Background (from TC)'!$Y$4:$Y$1048576,'Background (from TC)'!$D$4:$D$1048576,C$15,'Background (from TC)'!$E$4:$E$1048576,C$16,'Background (from TC)'!$O$4:$O$1048576,C$17))))</f>
        <v/>
      </c>
      <c r="D42" s="44" t="str">
        <f>IF(D15="","",IF(D15&lt;&gt;"Storage","",IF(D$38="User Defined",D$39,SUMIFS('Background (from TC)'!$Y$4:$Y$1048576,'Background (from TC)'!$D$4:$D$1048576,D$15,'Background (from TC)'!$E$4:$E$1048576,D$16,'Background (from TC)'!$O$4:$O$1048576,D$17))))</f>
        <v/>
      </c>
      <c r="E42" s="44" t="str">
        <f>IF(E15="","",IF(E15&lt;&gt;"Storage","",IF(E$38="User Defined",E$39,SUMIFS('Background (from TC)'!$Y$4:$Y$1048576,'Background (from TC)'!$D$4:$D$1048576,E$15,'Background (from TC)'!$E$4:$E$1048576,E$16,'Background (from TC)'!$O$4:$O$1048576,E$17))))</f>
        <v/>
      </c>
      <c r="F42" s="44" t="str">
        <f>IF(F15="","",IF(F15&lt;&gt;"Storage","",IF(F$38="User Defined",F$39,SUMIFS('Background (from TC)'!$Y$4:$Y$1048576,'Background (from TC)'!$D$4:$D$1048576,F$15,'Background (from TC)'!$E$4:$E$1048576,F$16,'Background (from TC)'!$O$4:$O$1048576,F$17))))</f>
        <v/>
      </c>
      <c r="G42" s="44" t="str">
        <f>IF(G15="","",IF(G15&lt;&gt;"Storage","",IF(G$38="User Defined",G$39,SUMIFS('Background (from TC)'!$Y$4:$Y$1048576,'Background (from TC)'!$D$4:$D$1048576,G$15,'Background (from TC)'!$E$4:$E$1048576,G$16,'Background (from TC)'!$O$4:$O$1048576,G$17))))</f>
        <v/>
      </c>
      <c r="H42" s="44" t="str">
        <f>IF(H15="","",IF(H15&lt;&gt;"Storage","",IF(H$38="User Defined",H$39,SUMIFS('Background (from TC)'!$Y$4:$Y$1048576,'Background (from TC)'!$D$4:$D$1048576,H$15,'Background (from TC)'!$E$4:$E$1048576,H$16,'Background (from TC)'!$O$4:$O$1048576,H$17))))</f>
        <v/>
      </c>
      <c r="I42" s="44" t="str">
        <f>IF(I15="","",IF(I15&lt;&gt;"Storage","",IF(I$38="User Defined",I$39,SUMIFS('Background (from TC)'!$Y$4:$Y$1048576,'Background (from TC)'!$D$4:$D$1048576,I$15,'Background (from TC)'!$E$4:$E$1048576,I$16,'Background (from TC)'!$O$4:$O$1048576,I$17))))</f>
        <v/>
      </c>
      <c r="J42" s="44" t="str">
        <f>IF(J15="","",IF(J15&lt;&gt;"Storage","",IF(J$38="User Defined",J$39,SUMIFS('Background (from TC)'!$Y$4:$Y$1048576,'Background (from TC)'!$D$4:$D$1048576,J$15,'Background (from TC)'!$E$4:$E$1048576,J$16,'Background (from TC)'!$O$4:$O$1048576,J$17))))</f>
        <v/>
      </c>
      <c r="K42" s="44" t="str">
        <f>IF(K15="","",IF(K15&lt;&gt;"Storage","",IF(K$38="User Defined",K$39,SUMIFS('Background (from TC)'!$Y$4:$Y$1048576,'Background (from TC)'!$D$4:$D$1048576,K$15,'Background (from TC)'!$E$4:$E$1048576,K$16,'Background (from TC)'!$O$4:$O$1048576,K$17))))</f>
        <v/>
      </c>
      <c r="L42" s="44" t="str">
        <f>IF(L15="","",IF(L15&lt;&gt;"Storage","",IF(L$38="User Defined",L$39,SUMIFS('Background (from TC)'!$Y$4:$Y$1048576,'Background (from TC)'!$D$4:$D$1048576,L$15,'Background (from TC)'!$E$4:$E$1048576,L$16,'Background (from TC)'!$O$4:$O$1048576,L$17))))</f>
        <v/>
      </c>
      <c r="M42" s="44" t="str">
        <f>IF(M15="","",IF(M15&lt;&gt;"Storage","",IF(M$38="User Defined",M$39,SUMIFS('Background (from TC)'!$Y$4:$Y$1048576,'Background (from TC)'!$D$4:$D$1048576,M$15,'Background (from TC)'!$E$4:$E$1048576,M$16,'Background (from TC)'!$O$4:$O$1048576,M$17))))</f>
        <v/>
      </c>
      <c r="N42" s="44" t="str">
        <f>IF(N15="","",IF(N15&lt;&gt;"Storage","",IF(N$38="User Defined",N$39,SUMIFS('Background (from TC)'!$Y$4:$Y$1048576,'Background (from TC)'!$D$4:$D$1048576,N$15,'Background (from TC)'!$E$4:$E$1048576,N$16,'Background (from TC)'!$O$4:$O$1048576,N$17))))</f>
        <v/>
      </c>
      <c r="O42" s="44" t="str">
        <f>IF(O15="","",IF(O15&lt;&gt;"Storage","",IF(O$38="User Defined",O$39,SUMIFS('Background (from TC)'!$Y$4:$Y$1048576,'Background (from TC)'!$D$4:$D$1048576,O$15,'Background (from TC)'!$E$4:$E$1048576,O$16,'Background (from TC)'!$O$4:$O$1048576,O$17))))</f>
        <v/>
      </c>
      <c r="P42" s="44" t="str">
        <f>IF(P15="","",IF(P15&lt;&gt;"Storage","",IF(P$38="User Defined",P$39,SUMIFS('Background (from TC)'!$Y$4:$Y$1048576,'Background (from TC)'!$D$4:$D$1048576,P$15,'Background (from TC)'!$E$4:$E$1048576,P$16,'Background (from TC)'!$O$4:$O$1048576,P$17))))</f>
        <v/>
      </c>
      <c r="Q42" s="44" t="str">
        <f>IF(Q15="","",IF(Q15&lt;&gt;"Storage","",IF(Q$38="User Defined",Q$39,SUMIFS('Background (from TC)'!$Y$4:$Y$1048576,'Background (from TC)'!$D$4:$D$1048576,Q$15,'Background (from TC)'!$E$4:$E$1048576,Q$16,'Background (from TC)'!$O$4:$O$1048576,Q$17))))</f>
        <v/>
      </c>
      <c r="R42" s="44" t="str">
        <f>IF(R15="","",IF(R15&lt;&gt;"Storage","",IF(R$38="User Defined",R$39,SUMIFS('Background (from TC)'!$Y$4:$Y$1048576,'Background (from TC)'!$D$4:$D$1048576,R$15,'Background (from TC)'!$E$4:$E$1048576,R$16,'Background (from TC)'!$O$4:$O$1048576,R$17))))</f>
        <v/>
      </c>
      <c r="S42" s="44" t="str">
        <f>IF(S15="","",IF(S15&lt;&gt;"Storage","",IF(S$38="User Defined",S$39,SUMIFS('Background (from TC)'!$Y$4:$Y$1048576,'Background (from TC)'!$D$4:$D$1048576,S$15,'Background (from TC)'!$E$4:$E$1048576,S$16,'Background (from TC)'!$O$4:$O$1048576,S$17))))</f>
        <v/>
      </c>
      <c r="T42" s="44" t="str">
        <f>IF(T15="","",IF(T15&lt;&gt;"Storage","",IF(T$38="User Defined",T$39,SUMIFS('Background (from TC)'!$Y$4:$Y$1048576,'Background (from TC)'!$D$4:$D$1048576,T$15,'Background (from TC)'!$E$4:$E$1048576,T$16,'Background (from TC)'!$O$4:$O$1048576,T$17))))</f>
        <v/>
      </c>
      <c r="U42" s="44" t="str">
        <f>IF(U15="","",IF(U15&lt;&gt;"Storage","",IF(U$38="User Defined",U$39,SUMIFS('Background (from TC)'!$Y$4:$Y$1048576,'Background (from TC)'!$D$4:$D$1048576,U$15,'Background (from TC)'!$E$4:$E$1048576,U$16,'Background (from TC)'!$O$4:$O$1048576,U$17))))</f>
        <v/>
      </c>
      <c r="V42" s="44" t="str">
        <f>IF(V15="","",IF(V15&lt;&gt;"Storage","",IF(V$38="User Defined",V$39,SUMIFS('Background (from TC)'!$Y$4:$Y$1048576,'Background (from TC)'!$D$4:$D$1048576,V$15,'Background (from TC)'!$E$4:$E$1048576,V$16,'Background (from TC)'!$O$4:$O$1048576,V$17))))</f>
        <v/>
      </c>
      <c r="W42" s="44" t="str">
        <f>IF(W15="","",IF(W15&lt;&gt;"Storage","",IF(W$38="User Defined",W$39,SUMIFS('Background (from TC)'!$Y$4:$Y$1048576,'Background (from TC)'!$D$4:$D$1048576,W$15,'Background (from TC)'!$E$4:$E$1048576,W$16,'Background (from TC)'!$O$4:$O$1048576,W$17))))</f>
        <v/>
      </c>
      <c r="X42" s="44" t="str">
        <f>IF(X15="","",IF(X15&lt;&gt;"Storage","",IF(X$38="User Defined",X$39,SUMIFS('Background (from TC)'!$Y$4:$Y$1048576,'Background (from TC)'!$D$4:$D$1048576,X$15,'Background (from TC)'!$E$4:$E$1048576,X$16,'Background (from TC)'!$O$4:$O$1048576,X$17))))</f>
        <v/>
      </c>
      <c r="Y42" s="44" t="str">
        <f>IF(Y15="","",IF(Y15&lt;&gt;"Storage","",IF(Y$38="User Defined",Y$39,SUMIFS('Background (from TC)'!$Y$4:$Y$1048576,'Background (from TC)'!$D$4:$D$1048576,Y$15,'Background (from TC)'!$E$4:$E$1048576,Y$16,'Background (from TC)'!$O$4:$O$1048576,Y$17))))</f>
        <v/>
      </c>
      <c r="Z42" s="44" t="str">
        <f>IF(Z15="","",IF(Z15&lt;&gt;"Storage","",IF(Z$38="User Defined",Z$39,SUMIFS('Background (from TC)'!$Y$4:$Y$1048576,'Background (from TC)'!$D$4:$D$1048576,Z$15,'Background (from TC)'!$E$4:$E$1048576,Z$16,'Background (from TC)'!$O$4:$O$1048576,Z$17))))</f>
        <v/>
      </c>
    </row>
    <row r="43" spans="2:26">
      <c r="B43" s="278" t="s">
        <v>63</v>
      </c>
      <c r="C43" s="44" t="str">
        <f>IF(C15="","",IF(C15&lt;&gt;"Storage","",IF(C$38="User Defined",C$40,SUMIFS('Background (from TC)'!$Z$4:$Z$1048576,'Background (from TC)'!$D$4:$D$1048576,C$15,'Background (from TC)'!$E$4:$E$1048576,C$16,'Background (from TC)'!$O$4:$O$1048576,C$17))))</f>
        <v/>
      </c>
      <c r="D43" s="44" t="str">
        <f>IF(D15="","",IF(D15&lt;&gt;"Storage","",IF(D$38="User Defined",D$40,SUMIFS('Background (from TC)'!$Z$4:$Z$1048576,'Background (from TC)'!$D$4:$D$1048576,D$15,'Background (from TC)'!$E$4:$E$1048576,D$16,'Background (from TC)'!$O$4:$O$1048576,D$17))))</f>
        <v/>
      </c>
      <c r="E43" s="44" t="str">
        <f>IF(E15="","",IF(E15&lt;&gt;"Storage","",IF(E$38="User Defined",E$40,SUMIFS('Background (from TC)'!$Z$4:$Z$1048576,'Background (from TC)'!$D$4:$D$1048576,E$15,'Background (from TC)'!$E$4:$E$1048576,E$16,'Background (from TC)'!$O$4:$O$1048576,E$17))))</f>
        <v/>
      </c>
      <c r="F43" s="44" t="str">
        <f>IF(F15="","",IF(F15&lt;&gt;"Storage","",IF(F$38="User Defined",F$40,SUMIFS('Background (from TC)'!$Z$4:$Z$1048576,'Background (from TC)'!$D$4:$D$1048576,F$15,'Background (from TC)'!$E$4:$E$1048576,F$16,'Background (from TC)'!$O$4:$O$1048576,F$17))))</f>
        <v/>
      </c>
      <c r="G43" s="44" t="str">
        <f>IF(G15="","",IF(G15&lt;&gt;"Storage","",IF(G$38="User Defined",G$40,SUMIFS('Background (from TC)'!$Z$4:$Z$1048576,'Background (from TC)'!$D$4:$D$1048576,G$15,'Background (from TC)'!$E$4:$E$1048576,G$16,'Background (from TC)'!$O$4:$O$1048576,G$17))))</f>
        <v/>
      </c>
      <c r="H43" s="44" t="str">
        <f>IF(H15="","",IF(H15&lt;&gt;"Storage","",IF(H$38="User Defined",H$40,SUMIFS('Background (from TC)'!$Z$4:$Z$1048576,'Background (from TC)'!$D$4:$D$1048576,H$15,'Background (from TC)'!$E$4:$E$1048576,H$16,'Background (from TC)'!$O$4:$O$1048576,H$17))))</f>
        <v/>
      </c>
      <c r="I43" s="44" t="str">
        <f>IF(I15="","",IF(I15&lt;&gt;"Storage","",IF(I$38="User Defined",I$40,SUMIFS('Background (from TC)'!$Z$4:$Z$1048576,'Background (from TC)'!$D$4:$D$1048576,I$15,'Background (from TC)'!$E$4:$E$1048576,I$16,'Background (from TC)'!$O$4:$O$1048576,I$17))))</f>
        <v/>
      </c>
      <c r="J43" s="44" t="str">
        <f>IF(J15="","",IF(J15&lt;&gt;"Storage","",IF(J$38="User Defined",J$40,SUMIFS('Background (from TC)'!$Z$4:$Z$1048576,'Background (from TC)'!$D$4:$D$1048576,J$15,'Background (from TC)'!$E$4:$E$1048576,J$16,'Background (from TC)'!$O$4:$O$1048576,J$17))))</f>
        <v/>
      </c>
      <c r="K43" s="44" t="str">
        <f>IF(K15="","",IF(K15&lt;&gt;"Storage","",IF(K$38="User Defined",K$40,SUMIFS('Background (from TC)'!$Z$4:$Z$1048576,'Background (from TC)'!$D$4:$D$1048576,K$15,'Background (from TC)'!$E$4:$E$1048576,K$16,'Background (from TC)'!$O$4:$O$1048576,K$17))))</f>
        <v/>
      </c>
      <c r="L43" s="44" t="str">
        <f>IF(L15="","",IF(L15&lt;&gt;"Storage","",IF(L$38="User Defined",L$40,SUMIFS('Background (from TC)'!$Z$4:$Z$1048576,'Background (from TC)'!$D$4:$D$1048576,L$15,'Background (from TC)'!$E$4:$E$1048576,L$16,'Background (from TC)'!$O$4:$O$1048576,L$17))))</f>
        <v/>
      </c>
      <c r="M43" s="44" t="str">
        <f>IF(M15="","",IF(M15&lt;&gt;"Storage","",IF(M$38="User Defined",M$40,SUMIFS('Background (from TC)'!$Z$4:$Z$1048576,'Background (from TC)'!$D$4:$D$1048576,M$15,'Background (from TC)'!$E$4:$E$1048576,M$16,'Background (from TC)'!$O$4:$O$1048576,M$17))))</f>
        <v/>
      </c>
      <c r="N43" s="44" t="str">
        <f>IF(N15="","",IF(N15&lt;&gt;"Storage","",IF(N$38="User Defined",N$40,SUMIFS('Background (from TC)'!$Z$4:$Z$1048576,'Background (from TC)'!$D$4:$D$1048576,N$15,'Background (from TC)'!$E$4:$E$1048576,N$16,'Background (from TC)'!$O$4:$O$1048576,N$17))))</f>
        <v/>
      </c>
      <c r="O43" s="44" t="str">
        <f>IF(O15="","",IF(O15&lt;&gt;"Storage","",IF(O$38="User Defined",O$40,SUMIFS('Background (from TC)'!$Z$4:$Z$1048576,'Background (from TC)'!$D$4:$D$1048576,O$15,'Background (from TC)'!$E$4:$E$1048576,O$16,'Background (from TC)'!$O$4:$O$1048576,O$17))))</f>
        <v/>
      </c>
      <c r="P43" s="44" t="str">
        <f>IF(P15="","",IF(P15&lt;&gt;"Storage","",IF(P$38="User Defined",P$40,SUMIFS('Background (from TC)'!$Z$4:$Z$1048576,'Background (from TC)'!$D$4:$D$1048576,P$15,'Background (from TC)'!$E$4:$E$1048576,P$16,'Background (from TC)'!$O$4:$O$1048576,P$17))))</f>
        <v/>
      </c>
      <c r="Q43" s="44" t="str">
        <f>IF(Q15="","",IF(Q15&lt;&gt;"Storage","",IF(Q$38="User Defined",Q$40,SUMIFS('Background (from TC)'!$Z$4:$Z$1048576,'Background (from TC)'!$D$4:$D$1048576,Q$15,'Background (from TC)'!$E$4:$E$1048576,Q$16,'Background (from TC)'!$O$4:$O$1048576,Q$17))))</f>
        <v/>
      </c>
      <c r="R43" s="44" t="str">
        <f>IF(R15="","",IF(R15&lt;&gt;"Storage","",IF(R$38="User Defined",R$40,SUMIFS('Background (from TC)'!$Z$4:$Z$1048576,'Background (from TC)'!$D$4:$D$1048576,R$15,'Background (from TC)'!$E$4:$E$1048576,R$16,'Background (from TC)'!$O$4:$O$1048576,R$17))))</f>
        <v/>
      </c>
      <c r="S43" s="44" t="str">
        <f>IF(S15="","",IF(S15&lt;&gt;"Storage","",IF(S$38="User Defined",S$40,SUMIFS('Background (from TC)'!$Z$4:$Z$1048576,'Background (from TC)'!$D$4:$D$1048576,S$15,'Background (from TC)'!$E$4:$E$1048576,S$16,'Background (from TC)'!$O$4:$O$1048576,S$17))))</f>
        <v/>
      </c>
      <c r="T43" s="44" t="str">
        <f>IF(T15="","",IF(T15&lt;&gt;"Storage","",IF(T$38="User Defined",T$40,SUMIFS('Background (from TC)'!$Z$4:$Z$1048576,'Background (from TC)'!$D$4:$D$1048576,T$15,'Background (from TC)'!$E$4:$E$1048576,T$16,'Background (from TC)'!$O$4:$O$1048576,T$17))))</f>
        <v/>
      </c>
      <c r="U43" s="44" t="str">
        <f>IF(U15="","",IF(U15&lt;&gt;"Storage","",IF(U$38="User Defined",U$40,SUMIFS('Background (from TC)'!$Z$4:$Z$1048576,'Background (from TC)'!$D$4:$D$1048576,U$15,'Background (from TC)'!$E$4:$E$1048576,U$16,'Background (from TC)'!$O$4:$O$1048576,U$17))))</f>
        <v/>
      </c>
      <c r="V43" s="44" t="str">
        <f>IF(V15="","",IF(V15&lt;&gt;"Storage","",IF(V$38="User Defined",V$40,SUMIFS('Background (from TC)'!$Z$4:$Z$1048576,'Background (from TC)'!$D$4:$D$1048576,V$15,'Background (from TC)'!$E$4:$E$1048576,V$16,'Background (from TC)'!$O$4:$O$1048576,V$17))))</f>
        <v/>
      </c>
      <c r="W43" s="44" t="str">
        <f>IF(W15="","",IF(W15&lt;&gt;"Storage","",IF(W$38="User Defined",W$40,SUMIFS('Background (from TC)'!$Z$4:$Z$1048576,'Background (from TC)'!$D$4:$D$1048576,W$15,'Background (from TC)'!$E$4:$E$1048576,W$16,'Background (from TC)'!$O$4:$O$1048576,W$17))))</f>
        <v/>
      </c>
      <c r="X43" s="44" t="str">
        <f>IF(X15="","",IF(X15&lt;&gt;"Storage","",IF(X$38="User Defined",X$40,SUMIFS('Background (from TC)'!$Z$4:$Z$1048576,'Background (from TC)'!$D$4:$D$1048576,X$15,'Background (from TC)'!$E$4:$E$1048576,X$16,'Background (from TC)'!$O$4:$O$1048576,X$17))))</f>
        <v/>
      </c>
      <c r="Y43" s="44" t="str">
        <f>IF(Y15="","",IF(Y15&lt;&gt;"Storage","",IF(Y$38="User Defined",Y$40,SUMIFS('Background (from TC)'!$Z$4:$Z$1048576,'Background (from TC)'!$D$4:$D$1048576,Y$15,'Background (from TC)'!$E$4:$E$1048576,Y$16,'Background (from TC)'!$O$4:$O$1048576,Y$17))))</f>
        <v/>
      </c>
      <c r="Z43" s="44" t="str">
        <f>IF(Z15="","",IF(Z15&lt;&gt;"Storage","",IF(Z$38="User Defined",Z$40,SUMIFS('Background (from TC)'!$Z$4:$Z$1048576,'Background (from TC)'!$D$4:$D$1048576,Z$15,'Background (from TC)'!$E$4:$E$1048576,Z$16,'Background (from TC)'!$O$4:$O$1048576,Z$17))))</f>
        <v/>
      </c>
    </row>
    <row r="44" spans="2:26">
      <c r="B44" s="278" t="s">
        <v>64</v>
      </c>
      <c r="C44" s="44" t="str">
        <f>IF(C15="","",IF(C15&lt;&gt;"Storage","",IF(C$38="User Defined",C$41,SUMIFS('Background (from TC)'!$AA$4:$AA$1048576,'Background (from TC)'!$D$4:$D$1048576,C$15,'Background (from TC)'!$E$4:$E$1048576,C$16,'Background (from TC)'!$O$4:$O$1048576,C$17))))</f>
        <v/>
      </c>
      <c r="D44" s="44" t="str">
        <f>IF(D15="","",IF(D15&lt;&gt;"Storage","",IF(D$38="User Defined",D$41,SUMIFS('Background (from TC)'!$AA$4:$AA$1048576,'Background (from TC)'!$D$4:$D$1048576,D$15,'Background (from TC)'!$E$4:$E$1048576,D$16,'Background (from TC)'!$O$4:$O$1048576,D$17))))</f>
        <v/>
      </c>
      <c r="E44" s="44" t="str">
        <f>IF(E15="","",IF(E15&lt;&gt;"Storage","",IF(E$38="User Defined",E$41,SUMIFS('Background (from TC)'!$AA$4:$AA$1048576,'Background (from TC)'!$D$4:$D$1048576,E$15,'Background (from TC)'!$E$4:$E$1048576,E$16,'Background (from TC)'!$O$4:$O$1048576,E$17))))</f>
        <v/>
      </c>
      <c r="F44" s="44" t="str">
        <f>IF(F15="","",IF(F15&lt;&gt;"Storage","",IF(F$38="User Defined",F$41,SUMIFS('Background (from TC)'!$AA$4:$AA$1048576,'Background (from TC)'!$D$4:$D$1048576,F$15,'Background (from TC)'!$E$4:$E$1048576,F$16,'Background (from TC)'!$O$4:$O$1048576,F$17))))</f>
        <v/>
      </c>
      <c r="G44" s="44" t="str">
        <f>IF(G15="","",IF(G15&lt;&gt;"Storage","",IF(G$38="User Defined",G$41,SUMIFS('Background (from TC)'!$AA$4:$AA$1048576,'Background (from TC)'!$D$4:$D$1048576,G$15,'Background (from TC)'!$E$4:$E$1048576,G$16,'Background (from TC)'!$O$4:$O$1048576,G$17))))</f>
        <v/>
      </c>
      <c r="H44" s="44" t="str">
        <f>IF(H15="","",IF(H15&lt;&gt;"Storage","",IF(H$38="User Defined",H$41,SUMIFS('Background (from TC)'!$AA$4:$AA$1048576,'Background (from TC)'!$D$4:$D$1048576,H$15,'Background (from TC)'!$E$4:$E$1048576,H$16,'Background (from TC)'!$O$4:$O$1048576,H$17))))</f>
        <v/>
      </c>
      <c r="I44" s="44" t="str">
        <f>IF(I15="","",IF(I15&lt;&gt;"Storage","",IF(I$38="User Defined",I$41,SUMIFS('Background (from TC)'!$AA$4:$AA$1048576,'Background (from TC)'!$D$4:$D$1048576,I$15,'Background (from TC)'!$E$4:$E$1048576,I$16,'Background (from TC)'!$O$4:$O$1048576,I$17))))</f>
        <v/>
      </c>
      <c r="J44" s="44" t="str">
        <f>IF(J15="","",IF(J15&lt;&gt;"Storage","",IF(J$38="User Defined",J$41,SUMIFS('Background (from TC)'!$AA$4:$AA$1048576,'Background (from TC)'!$D$4:$D$1048576,J$15,'Background (from TC)'!$E$4:$E$1048576,J$16,'Background (from TC)'!$O$4:$O$1048576,J$17))))</f>
        <v/>
      </c>
      <c r="K44" s="44" t="str">
        <f>IF(K15="","",IF(K15&lt;&gt;"Storage","",IF(K$38="User Defined",K$41,SUMIFS('Background (from TC)'!$AA$4:$AA$1048576,'Background (from TC)'!$D$4:$D$1048576,K$15,'Background (from TC)'!$E$4:$E$1048576,K$16,'Background (from TC)'!$O$4:$O$1048576,K$17))))</f>
        <v/>
      </c>
      <c r="L44" s="44" t="str">
        <f>IF(L15="","",IF(L15&lt;&gt;"Storage","",IF(L$38="User Defined",L$41,SUMIFS('Background (from TC)'!$AA$4:$AA$1048576,'Background (from TC)'!$D$4:$D$1048576,L$15,'Background (from TC)'!$E$4:$E$1048576,L$16,'Background (from TC)'!$O$4:$O$1048576,L$17))))</f>
        <v/>
      </c>
      <c r="M44" s="44" t="str">
        <f>IF(M15="","",IF(M15&lt;&gt;"Storage","",IF(M$38="User Defined",M$41,SUMIFS('Background (from TC)'!$AA$4:$AA$1048576,'Background (from TC)'!$D$4:$D$1048576,M$15,'Background (from TC)'!$E$4:$E$1048576,M$16,'Background (from TC)'!$O$4:$O$1048576,M$17))))</f>
        <v/>
      </c>
      <c r="N44" s="44" t="str">
        <f>IF(N15="","",IF(N15&lt;&gt;"Storage","",IF(N$38="User Defined",N$41,SUMIFS('Background (from TC)'!$AA$4:$AA$1048576,'Background (from TC)'!$D$4:$D$1048576,N$15,'Background (from TC)'!$E$4:$E$1048576,N$16,'Background (from TC)'!$O$4:$O$1048576,N$17))))</f>
        <v/>
      </c>
      <c r="O44" s="44" t="str">
        <f>IF(O15="","",IF(O15&lt;&gt;"Storage","",IF(O$38="User Defined",O$41,SUMIFS('Background (from TC)'!$AA$4:$AA$1048576,'Background (from TC)'!$D$4:$D$1048576,O$15,'Background (from TC)'!$E$4:$E$1048576,O$16,'Background (from TC)'!$O$4:$O$1048576,O$17))))</f>
        <v/>
      </c>
      <c r="P44" s="44" t="str">
        <f>IF(P15="","",IF(P15&lt;&gt;"Storage","",IF(P$38="User Defined",P$41,SUMIFS('Background (from TC)'!$AA$4:$AA$1048576,'Background (from TC)'!$D$4:$D$1048576,P$15,'Background (from TC)'!$E$4:$E$1048576,P$16,'Background (from TC)'!$O$4:$O$1048576,P$17))))</f>
        <v/>
      </c>
      <c r="Q44" s="44" t="str">
        <f>IF(Q15="","",IF(Q15&lt;&gt;"Storage","",IF(Q$38="User Defined",Q$41,SUMIFS('Background (from TC)'!$AA$4:$AA$1048576,'Background (from TC)'!$D$4:$D$1048576,Q$15,'Background (from TC)'!$E$4:$E$1048576,Q$16,'Background (from TC)'!$O$4:$O$1048576,Q$17))))</f>
        <v/>
      </c>
      <c r="R44" s="44" t="str">
        <f>IF(R15="","",IF(R15&lt;&gt;"Storage","",IF(R$38="User Defined",R$41,SUMIFS('Background (from TC)'!$AA$4:$AA$1048576,'Background (from TC)'!$D$4:$D$1048576,R$15,'Background (from TC)'!$E$4:$E$1048576,R$16,'Background (from TC)'!$O$4:$O$1048576,R$17))))</f>
        <v/>
      </c>
      <c r="S44" s="44" t="str">
        <f>IF(S15="","",IF(S15&lt;&gt;"Storage","",IF(S$38="User Defined",S$41,SUMIFS('Background (from TC)'!$AA$4:$AA$1048576,'Background (from TC)'!$D$4:$D$1048576,S$15,'Background (from TC)'!$E$4:$E$1048576,S$16,'Background (from TC)'!$O$4:$O$1048576,S$17))))</f>
        <v/>
      </c>
      <c r="T44" s="44" t="str">
        <f>IF(T15="","",IF(T15&lt;&gt;"Storage","",IF(T$38="User Defined",T$41,SUMIFS('Background (from TC)'!$AA$4:$AA$1048576,'Background (from TC)'!$D$4:$D$1048576,T$15,'Background (from TC)'!$E$4:$E$1048576,T$16,'Background (from TC)'!$O$4:$O$1048576,T$17))))</f>
        <v/>
      </c>
      <c r="U44" s="44" t="str">
        <f>IF(U15="","",IF(U15&lt;&gt;"Storage","",IF(U$38="User Defined",U$41,SUMIFS('Background (from TC)'!$AA$4:$AA$1048576,'Background (from TC)'!$D$4:$D$1048576,U$15,'Background (from TC)'!$E$4:$E$1048576,U$16,'Background (from TC)'!$O$4:$O$1048576,U$17))))</f>
        <v/>
      </c>
      <c r="V44" s="44" t="str">
        <f>IF(V15="","",IF(V15&lt;&gt;"Storage","",IF(V$38="User Defined",V$41,SUMIFS('Background (from TC)'!$AA$4:$AA$1048576,'Background (from TC)'!$D$4:$D$1048576,V$15,'Background (from TC)'!$E$4:$E$1048576,V$16,'Background (from TC)'!$O$4:$O$1048576,V$17))))</f>
        <v/>
      </c>
      <c r="W44" s="44" t="str">
        <f>IF(W15="","",IF(W15&lt;&gt;"Storage","",IF(W$38="User Defined",W$41,SUMIFS('Background (from TC)'!$AA$4:$AA$1048576,'Background (from TC)'!$D$4:$D$1048576,W$15,'Background (from TC)'!$E$4:$E$1048576,W$16,'Background (from TC)'!$O$4:$O$1048576,W$17))))</f>
        <v/>
      </c>
      <c r="X44" s="44" t="str">
        <f>IF(X15="","",IF(X15&lt;&gt;"Storage","",IF(X$38="User Defined",X$41,SUMIFS('Background (from TC)'!$AA$4:$AA$1048576,'Background (from TC)'!$D$4:$D$1048576,X$15,'Background (from TC)'!$E$4:$E$1048576,X$16,'Background (from TC)'!$O$4:$O$1048576,X$17))))</f>
        <v/>
      </c>
      <c r="Y44" s="44" t="str">
        <f>IF(Y15="","",IF(Y15&lt;&gt;"Storage","",IF(Y$38="User Defined",Y$41,SUMIFS('Background (from TC)'!$AA$4:$AA$1048576,'Background (from TC)'!$D$4:$D$1048576,Y$15,'Background (from TC)'!$E$4:$E$1048576,Y$16,'Background (from TC)'!$O$4:$O$1048576,Y$17))))</f>
        <v/>
      </c>
      <c r="Z44" s="44" t="str">
        <f>IF(Z15="","",IF(Z15&lt;&gt;"Storage","",IF(Z$38="User Defined",Z$41,SUMIFS('Background (from TC)'!$AA$4:$AA$1048576,'Background (from TC)'!$D$4:$D$1048576,Z$15,'Background (from TC)'!$E$4:$E$1048576,Z$16,'Background (from TC)'!$O$4:$O$1048576,Z$17))))</f>
        <v/>
      </c>
    </row>
    <row r="45" spans="2:26">
      <c r="B45" s="278" t="s">
        <v>65</v>
      </c>
      <c r="C45" s="55" t="str">
        <f>IF(C15="","",IF(C15&lt;&gt;"Storage","",C42/C43/SUMIFS('Background (from TC)'!$T$4:$T$1048576,'Background (from TC)'!$D$4:$D$1048576,C$15,'Background (from TC)'!$E$4:$E$1048576,C$16,'Background (from TC)'!$O$4:$O$1048576,C$17)))</f>
        <v/>
      </c>
      <c r="D45" s="61" t="str">
        <f>IF(D15="","",IF(D15&lt;&gt;"Storage","",D42/D43/SUMIFS('Background (from TC)'!$T$4:$T$1048576,'Background (from TC)'!$D$4:$D$1048576,D$15,'Background (from TC)'!$E$4:$E$1048576,D$16,'Background (from TC)'!$O$4:$O$1048576,D$17)))</f>
        <v/>
      </c>
      <c r="E45" s="61" t="str">
        <f>IF(E15="","",IF(E15&lt;&gt;"Storage","",E42/E43/SUMIFS('Background (from TC)'!$T$4:$T$1048576,'Background (from TC)'!$D$4:$D$1048576,E$15,'Background (from TC)'!$E$4:$E$1048576,E$16,'Background (from TC)'!$O$4:$O$1048576,E$17)))</f>
        <v/>
      </c>
      <c r="F45" s="61" t="str">
        <f>IF(F15="","",IF(F15&lt;&gt;"Storage","",F42/F43/SUMIFS('Background (from TC)'!$T$4:$T$1048576,'Background (from TC)'!$D$4:$D$1048576,F$15,'Background (from TC)'!$E$4:$E$1048576,F$16,'Background (from TC)'!$O$4:$O$1048576,F$17)))</f>
        <v/>
      </c>
      <c r="G45" s="61" t="str">
        <f>IF(G15="","",IF(G15&lt;&gt;"Storage","",G42/G43/SUMIFS('Background (from TC)'!$T$4:$T$1048576,'Background (from TC)'!$D$4:$D$1048576,G$15,'Background (from TC)'!$E$4:$E$1048576,G$16,'Background (from TC)'!$O$4:$O$1048576,G$17)))</f>
        <v/>
      </c>
      <c r="H45" s="61" t="str">
        <f>IF(H15="","",IF(H15&lt;&gt;"Storage","",H42/H43/SUMIFS('Background (from TC)'!$T$4:$T$1048576,'Background (from TC)'!$D$4:$D$1048576,H$15,'Background (from TC)'!$E$4:$E$1048576,H$16,'Background (from TC)'!$O$4:$O$1048576,H$17)))</f>
        <v/>
      </c>
      <c r="I45" s="61" t="str">
        <f>IF(I15="","",IF(I15&lt;&gt;"Storage","",I42/I43/SUMIFS('Background (from TC)'!$T$4:$T$1048576,'Background (from TC)'!$D$4:$D$1048576,I$15,'Background (from TC)'!$E$4:$E$1048576,I$16,'Background (from TC)'!$O$4:$O$1048576,I$17)))</f>
        <v/>
      </c>
      <c r="J45" s="61" t="str">
        <f>IF(J15="","",IF(J15&lt;&gt;"Storage","",J42/J43/SUMIFS('Background (from TC)'!$T$4:$T$1048576,'Background (from TC)'!$D$4:$D$1048576,J$15,'Background (from TC)'!$E$4:$E$1048576,J$16,'Background (from TC)'!$O$4:$O$1048576,J$17)))</f>
        <v/>
      </c>
      <c r="K45" s="293" t="str">
        <f>IF(K15="","",IF(K15&lt;&gt;"Storage","",K42/K43/SUMIFS('Background (from TC)'!$T$4:$T$1048576,'Background (from TC)'!$D$4:$D$1048576,K$15,'Background (from TC)'!$E$4:$E$1048576,K$16,'Background (from TC)'!$O$4:$O$1048576,K$17)))</f>
        <v/>
      </c>
      <c r="L45" s="61" t="str">
        <f>IF(L15="","",IF(L15&lt;&gt;"Storage","",L42/L43/SUMIFS('Background (from TC)'!$T$4:$T$1048576,'Background (from TC)'!$D$4:$D$1048576,L$15,'Background (from TC)'!$E$4:$E$1048576,L$16,'Background (from TC)'!$O$4:$O$1048576,L$17)))</f>
        <v/>
      </c>
      <c r="M45" s="61" t="str">
        <f>IF(M15="","",IF(M15&lt;&gt;"Storage","",M42/M43/SUMIFS('Background (from TC)'!$T$4:$T$1048576,'Background (from TC)'!$D$4:$D$1048576,M$15,'Background (from TC)'!$E$4:$E$1048576,M$16,'Background (from TC)'!$O$4:$O$1048576,M$17)))</f>
        <v/>
      </c>
      <c r="N45" s="61" t="str">
        <f>IF(N15="","",IF(N15&lt;&gt;"Storage","",N42/N43/SUMIFS('Background (from TC)'!$T$4:$T$1048576,'Background (from TC)'!$D$4:$D$1048576,N$15,'Background (from TC)'!$E$4:$E$1048576,N$16,'Background (from TC)'!$O$4:$O$1048576,N$17)))</f>
        <v/>
      </c>
      <c r="O45" s="61" t="str">
        <f>IF(O15="","",IF(O15&lt;&gt;"Storage","",O42/O43/SUMIFS('Background (from TC)'!$T$4:$T$1048576,'Background (from TC)'!$D$4:$D$1048576,O$15,'Background (from TC)'!$E$4:$E$1048576,O$16,'Background (from TC)'!$O$4:$O$1048576,O$17)))</f>
        <v/>
      </c>
      <c r="P45" s="61" t="str">
        <f>IF(P15="","",IF(P15&lt;&gt;"Storage","",P42/P43/SUMIFS('Background (from TC)'!$T$4:$T$1048576,'Background (from TC)'!$D$4:$D$1048576,P$15,'Background (from TC)'!$E$4:$E$1048576,P$16,'Background (from TC)'!$O$4:$O$1048576,P$17)))</f>
        <v/>
      </c>
      <c r="Q45" s="61" t="str">
        <f>IF(Q15="","",IF(Q15&lt;&gt;"Storage","",Q42/Q43/SUMIFS('Background (from TC)'!$T$4:$T$1048576,'Background (from TC)'!$D$4:$D$1048576,Q$15,'Background (from TC)'!$E$4:$E$1048576,Q$16,'Background (from TC)'!$O$4:$O$1048576,Q$17)))</f>
        <v/>
      </c>
      <c r="R45" s="61" t="str">
        <f>IF(R15="","",IF(R15&lt;&gt;"Storage","",R42/R43/SUMIFS('Background (from TC)'!$T$4:$T$1048576,'Background (from TC)'!$D$4:$D$1048576,R$15,'Background (from TC)'!$E$4:$E$1048576,R$16,'Background (from TC)'!$O$4:$O$1048576,R$17)))</f>
        <v/>
      </c>
      <c r="S45" s="61" t="str">
        <f>IF(S15="","",IF(S15&lt;&gt;"Storage","",S42/S43/SUMIFS('Background (from TC)'!$T$4:$T$1048576,'Background (from TC)'!$D$4:$D$1048576,S$15,'Background (from TC)'!$E$4:$E$1048576,S$16,'Background (from TC)'!$O$4:$O$1048576,S$17)))</f>
        <v/>
      </c>
      <c r="T45" s="61" t="str">
        <f>IF(T15="","",IF(T15&lt;&gt;"Storage","",T42/T43/SUMIFS('Background (from TC)'!$T$4:$T$1048576,'Background (from TC)'!$D$4:$D$1048576,T$15,'Background (from TC)'!$E$4:$E$1048576,T$16,'Background (from TC)'!$O$4:$O$1048576,T$17)))</f>
        <v/>
      </c>
      <c r="U45" s="61" t="str">
        <f>IF(U15="","",IF(U15&lt;&gt;"Storage","",U42/U43/SUMIFS('Background (from TC)'!$T$4:$T$1048576,'Background (from TC)'!$D$4:$D$1048576,U$15,'Background (from TC)'!$E$4:$E$1048576,U$16,'Background (from TC)'!$O$4:$O$1048576,U$17)))</f>
        <v/>
      </c>
      <c r="V45" s="61" t="str">
        <f>IF(V15="","",IF(V15&lt;&gt;"Storage","",V42/V43/SUMIFS('Background (from TC)'!$T$4:$T$1048576,'Background (from TC)'!$D$4:$D$1048576,V$15,'Background (from TC)'!$E$4:$E$1048576,V$16,'Background (from TC)'!$O$4:$O$1048576,V$17)))</f>
        <v/>
      </c>
      <c r="W45" s="61" t="str">
        <f>IF(W15="","",IF(W15&lt;&gt;"Storage","",W42/W43/SUMIFS('Background (from TC)'!$T$4:$T$1048576,'Background (from TC)'!$D$4:$D$1048576,W$15,'Background (from TC)'!$E$4:$E$1048576,W$16,'Background (from TC)'!$O$4:$O$1048576,W$17)))</f>
        <v/>
      </c>
      <c r="X45" s="61" t="str">
        <f>IF(X15="","",IF(X15&lt;&gt;"Storage","",X42/X43/SUMIFS('Background (from TC)'!$T$4:$T$1048576,'Background (from TC)'!$D$4:$D$1048576,X$15,'Background (from TC)'!$E$4:$E$1048576,X$16,'Background (from TC)'!$O$4:$O$1048576,X$17)))</f>
        <v/>
      </c>
      <c r="Y45" s="61" t="str">
        <f>IF(Y15="","",IF(Y15&lt;&gt;"Storage","",Y42/Y43/SUMIFS('Background (from TC)'!$T$4:$T$1048576,'Background (from TC)'!$D$4:$D$1048576,Y$15,'Background (from TC)'!$E$4:$E$1048576,Y$16,'Background (from TC)'!$O$4:$O$1048576,Y$17)))</f>
        <v/>
      </c>
      <c r="Z45" s="61" t="str">
        <f>IF(Z15="","",IF(Z15&lt;&gt;"Storage","",Z42/Z43/SUMIFS('Background (from TC)'!$T$4:$T$1048576,'Background (from TC)'!$D$4:$D$1048576,Z$15,'Background (from TC)'!$E$4:$E$1048576,Z$16,'Background (from TC)'!$O$4:$O$1048576,Z$17)))</f>
        <v/>
      </c>
    </row>
    <row r="46" spans="2:26">
      <c r="B46" s="278" t="s">
        <v>66</v>
      </c>
      <c r="C46" s="55" t="str">
        <f t="shared" ref="C46:Z46" si="4">IF(C15="","",IF(C15&lt;&gt;"Storage","",C42/C44))</f>
        <v/>
      </c>
      <c r="D46" s="61" t="str">
        <f t="shared" si="4"/>
        <v/>
      </c>
      <c r="E46" s="61" t="str">
        <f t="shared" si="4"/>
        <v/>
      </c>
      <c r="F46" s="61" t="str">
        <f t="shared" si="4"/>
        <v/>
      </c>
      <c r="G46" s="61" t="str">
        <f t="shared" si="4"/>
        <v/>
      </c>
      <c r="H46" s="61" t="str">
        <f t="shared" si="4"/>
        <v/>
      </c>
      <c r="I46" s="61" t="str">
        <f t="shared" si="4"/>
        <v/>
      </c>
      <c r="J46" s="61" t="str">
        <f t="shared" si="4"/>
        <v/>
      </c>
      <c r="K46" s="293" t="str">
        <f t="shared" si="4"/>
        <v/>
      </c>
      <c r="L46" s="61" t="str">
        <f t="shared" si="4"/>
        <v/>
      </c>
      <c r="M46" s="61" t="str">
        <f t="shared" si="4"/>
        <v/>
      </c>
      <c r="N46" s="61" t="str">
        <f t="shared" si="4"/>
        <v/>
      </c>
      <c r="O46" s="61" t="str">
        <f t="shared" si="4"/>
        <v/>
      </c>
      <c r="P46" s="61" t="str">
        <f t="shared" si="4"/>
        <v/>
      </c>
      <c r="Q46" s="61" t="str">
        <f t="shared" si="4"/>
        <v/>
      </c>
      <c r="R46" s="61" t="str">
        <f t="shared" si="4"/>
        <v/>
      </c>
      <c r="S46" s="61" t="str">
        <f t="shared" si="4"/>
        <v/>
      </c>
      <c r="T46" s="61" t="str">
        <f t="shared" si="4"/>
        <v/>
      </c>
      <c r="U46" s="61" t="str">
        <f t="shared" si="4"/>
        <v/>
      </c>
      <c r="V46" s="61" t="str">
        <f t="shared" si="4"/>
        <v/>
      </c>
      <c r="W46" s="61" t="str">
        <f t="shared" si="4"/>
        <v/>
      </c>
      <c r="X46" s="61" t="str">
        <f t="shared" si="4"/>
        <v/>
      </c>
      <c r="Y46" s="61" t="str">
        <f t="shared" si="4"/>
        <v/>
      </c>
      <c r="Z46" s="61" t="str">
        <f t="shared" si="4"/>
        <v/>
      </c>
    </row>
    <row r="47" spans="2:26">
      <c r="B47" s="278" t="s">
        <v>67</v>
      </c>
      <c r="C47" s="55"/>
      <c r="D47" s="61"/>
      <c r="E47" s="61"/>
      <c r="F47" s="61"/>
      <c r="G47" s="61"/>
      <c r="H47" s="61"/>
      <c r="I47" s="61"/>
      <c r="J47" s="61"/>
      <c r="K47" s="61"/>
      <c r="L47" s="61"/>
      <c r="M47" s="61"/>
      <c r="N47" s="61"/>
      <c r="O47" s="61"/>
      <c r="P47" s="61"/>
      <c r="Q47" s="61"/>
      <c r="R47" s="61"/>
      <c r="S47" s="61"/>
      <c r="T47" s="61"/>
      <c r="U47" s="61"/>
      <c r="V47" s="61"/>
      <c r="W47" s="61"/>
      <c r="X47" s="61"/>
      <c r="Y47" s="61"/>
      <c r="Z47" s="61"/>
    </row>
    <row r="48" spans="2:26">
      <c r="B48" s="278" t="s">
        <v>68</v>
      </c>
      <c r="C48" s="41"/>
      <c r="D48" s="41"/>
      <c r="E48" s="41"/>
      <c r="F48" s="41"/>
      <c r="G48" s="41"/>
      <c r="H48" s="41"/>
      <c r="I48" s="41"/>
      <c r="J48" s="41"/>
      <c r="K48" s="41"/>
      <c r="L48" s="41"/>
      <c r="M48" s="41"/>
      <c r="N48" s="41"/>
      <c r="O48" s="41"/>
      <c r="P48" s="41"/>
      <c r="Q48" s="41"/>
      <c r="R48" s="41"/>
      <c r="S48" s="41"/>
      <c r="T48" s="41"/>
      <c r="U48" s="41"/>
      <c r="V48" s="41"/>
      <c r="W48" s="41"/>
      <c r="X48" s="41"/>
      <c r="Y48" s="41"/>
      <c r="Z48" s="41"/>
    </row>
    <row r="49" spans="2:26">
      <c r="B49" s="278" t="s">
        <v>69</v>
      </c>
      <c r="C49" s="55" t="str">
        <f t="shared" ref="C49:Z49" si="5">IF(C15&lt;&gt;"Storage","",IFERROR(IF(C38="User defined",C47*IF(C48="",100%,C48),24/SUM(C45:C46)*365*100%),""))</f>
        <v/>
      </c>
      <c r="D49" s="55" t="str">
        <f t="shared" si="5"/>
        <v/>
      </c>
      <c r="E49" s="55" t="str">
        <f t="shared" si="5"/>
        <v/>
      </c>
      <c r="F49" s="55" t="str">
        <f t="shared" si="5"/>
        <v/>
      </c>
      <c r="G49" s="55" t="str">
        <f t="shared" si="5"/>
        <v/>
      </c>
      <c r="H49" s="55" t="str">
        <f t="shared" si="5"/>
        <v/>
      </c>
      <c r="I49" s="55" t="str">
        <f t="shared" si="5"/>
        <v/>
      </c>
      <c r="J49" s="55" t="str">
        <f t="shared" si="5"/>
        <v/>
      </c>
      <c r="K49" s="55" t="str">
        <f t="shared" si="5"/>
        <v/>
      </c>
      <c r="L49" s="55" t="str">
        <f t="shared" si="5"/>
        <v/>
      </c>
      <c r="M49" s="55" t="str">
        <f t="shared" si="5"/>
        <v/>
      </c>
      <c r="N49" s="55" t="str">
        <f t="shared" si="5"/>
        <v/>
      </c>
      <c r="O49" s="55" t="str">
        <f t="shared" si="5"/>
        <v/>
      </c>
      <c r="P49" s="55" t="str">
        <f t="shared" si="5"/>
        <v/>
      </c>
      <c r="Q49" s="55" t="str">
        <f t="shared" si="5"/>
        <v/>
      </c>
      <c r="R49" s="55" t="str">
        <f t="shared" si="5"/>
        <v/>
      </c>
      <c r="S49" s="55" t="str">
        <f t="shared" si="5"/>
        <v/>
      </c>
      <c r="T49" s="55" t="str">
        <f t="shared" si="5"/>
        <v/>
      </c>
      <c r="U49" s="55" t="str">
        <f t="shared" si="5"/>
        <v/>
      </c>
      <c r="V49" s="55" t="str">
        <f t="shared" si="5"/>
        <v/>
      </c>
      <c r="W49" s="55" t="str">
        <f t="shared" si="5"/>
        <v/>
      </c>
      <c r="X49" s="55" t="str">
        <f t="shared" si="5"/>
        <v/>
      </c>
      <c r="Y49" s="55" t="str">
        <f t="shared" si="5"/>
        <v/>
      </c>
      <c r="Z49" s="55" t="str">
        <f t="shared" si="5"/>
        <v/>
      </c>
    </row>
    <row r="50" spans="2:26">
      <c r="B50" s="278" t="s">
        <v>70</v>
      </c>
      <c r="C50" s="55" t="str">
        <f>IF(C15&lt;&gt;"Storage","",C49*C44*C46)</f>
        <v/>
      </c>
      <c r="D50" s="55" t="str">
        <f t="shared" ref="D50:Z50" si="6">IF(D15&lt;&gt;"Storage","",D49*D44*D46)</f>
        <v/>
      </c>
      <c r="E50" s="55" t="str">
        <f t="shared" si="6"/>
        <v/>
      </c>
      <c r="F50" s="55" t="str">
        <f t="shared" si="6"/>
        <v/>
      </c>
      <c r="G50" s="55" t="str">
        <f t="shared" si="6"/>
        <v/>
      </c>
      <c r="H50" s="55" t="str">
        <f t="shared" si="6"/>
        <v/>
      </c>
      <c r="I50" s="55" t="str">
        <f t="shared" si="6"/>
        <v/>
      </c>
      <c r="J50" s="55" t="str">
        <f t="shared" si="6"/>
        <v/>
      </c>
      <c r="K50" s="55" t="str">
        <f t="shared" si="6"/>
        <v/>
      </c>
      <c r="L50" s="55" t="str">
        <f t="shared" si="6"/>
        <v/>
      </c>
      <c r="M50" s="55" t="str">
        <f t="shared" si="6"/>
        <v/>
      </c>
      <c r="N50" s="55" t="str">
        <f t="shared" si="6"/>
        <v/>
      </c>
      <c r="O50" s="55" t="str">
        <f t="shared" si="6"/>
        <v/>
      </c>
      <c r="P50" s="55" t="str">
        <f t="shared" si="6"/>
        <v/>
      </c>
      <c r="Q50" s="55" t="str">
        <f t="shared" si="6"/>
        <v/>
      </c>
      <c r="R50" s="55" t="str">
        <f t="shared" si="6"/>
        <v/>
      </c>
      <c r="S50" s="55" t="str">
        <f t="shared" si="6"/>
        <v/>
      </c>
      <c r="T50" s="55" t="str">
        <f t="shared" si="6"/>
        <v/>
      </c>
      <c r="U50" s="55" t="str">
        <f t="shared" si="6"/>
        <v/>
      </c>
      <c r="V50" s="55" t="str">
        <f t="shared" si="6"/>
        <v/>
      </c>
      <c r="W50" s="55" t="str">
        <f t="shared" si="6"/>
        <v/>
      </c>
      <c r="X50" s="55" t="str">
        <f t="shared" si="6"/>
        <v/>
      </c>
      <c r="Y50" s="55" t="str">
        <f t="shared" si="6"/>
        <v/>
      </c>
      <c r="Z50" s="55" t="str">
        <f t="shared" si="6"/>
        <v/>
      </c>
    </row>
    <row r="51" spans="2:26">
      <c r="B51" s="278" t="s">
        <v>71</v>
      </c>
      <c r="C51" s="55" t="str">
        <f>IF(OR(C15="",C15&lt;&gt;"Storage"),"",SUMIFS('Background (from TC)'!$X$4:$X$1048576,'Background (from TC)'!$D$4:$D$1048576,C$15,'Background (from TC)'!$E$4:$E$1048576,C$16,'Background (from TC)'!$O$4:$O$1048576,C$17))</f>
        <v/>
      </c>
      <c r="D51" s="55" t="str">
        <f>IF(OR(D15="",D15&lt;&gt;"Storage"),"",SUMIFS('Background (from TC)'!$X$4:$X$1048576,'Background (from TC)'!$D$4:$D$1048576,D$15,'Background (from TC)'!$E$4:$E$1048576,D$16,'Background (from TC)'!$O$4:$O$1048576,D$17))</f>
        <v/>
      </c>
      <c r="E51" s="55" t="str">
        <f>IF(OR(E15="",E15&lt;&gt;"Storage"),"",SUMIFS('Background (from TC)'!$X$4:$X$1048576,'Background (from TC)'!$D$4:$D$1048576,E$15,'Background (from TC)'!$E$4:$E$1048576,E$16,'Background (from TC)'!$O$4:$O$1048576,E$17))</f>
        <v/>
      </c>
      <c r="F51" s="55" t="str">
        <f>IF(OR(F15="",F15&lt;&gt;"Storage"),"",SUMIFS('Background (from TC)'!$X$4:$X$1048576,'Background (from TC)'!$D$4:$D$1048576,F$15,'Background (from TC)'!$E$4:$E$1048576,F$16,'Background (from TC)'!$O$4:$O$1048576,F$17))</f>
        <v/>
      </c>
      <c r="G51" s="55" t="str">
        <f>IF(OR(G15="",G15&lt;&gt;"Storage"),"",SUMIFS('Background (from TC)'!$X$4:$X$1048576,'Background (from TC)'!$D$4:$D$1048576,G$15,'Background (from TC)'!$E$4:$E$1048576,G$16,'Background (from TC)'!$O$4:$O$1048576,G$17))</f>
        <v/>
      </c>
      <c r="H51" s="55" t="str">
        <f>IF(OR(H15="",H15&lt;&gt;"Storage"),"",SUMIFS('Background (from TC)'!$X$4:$X$1048576,'Background (from TC)'!$D$4:$D$1048576,H$15,'Background (from TC)'!$E$4:$E$1048576,H$16,'Background (from TC)'!$O$4:$O$1048576,H$17))</f>
        <v/>
      </c>
      <c r="I51" s="55" t="str">
        <f>IF(OR(I15="",I15&lt;&gt;"Storage"),"",SUMIFS('Background (from TC)'!$X$4:$X$1048576,'Background (from TC)'!$D$4:$D$1048576,I$15,'Background (from TC)'!$E$4:$E$1048576,I$16,'Background (from TC)'!$O$4:$O$1048576,I$17))</f>
        <v/>
      </c>
      <c r="J51" s="55" t="str">
        <f>IF(OR(J15="",J15&lt;&gt;"Storage"),"",SUMIFS('Background (from TC)'!$X$4:$X$1048576,'Background (from TC)'!$D$4:$D$1048576,J$15,'Background (from TC)'!$E$4:$E$1048576,J$16,'Background (from TC)'!$O$4:$O$1048576,J$17))</f>
        <v/>
      </c>
      <c r="K51" s="55" t="str">
        <f>IF(OR(K15="",K15&lt;&gt;"Storage"),"",SUMIFS('Background (from TC)'!$X$4:$X$1048576,'Background (from TC)'!$D$4:$D$1048576,K$15,'Background (from TC)'!$E$4:$E$1048576,K$16,'Background (from TC)'!$O$4:$O$1048576,K$17))</f>
        <v/>
      </c>
      <c r="L51" s="55" t="str">
        <f>IF(OR(L15="",L15&lt;&gt;"Storage"),"",SUMIFS('Background (from TC)'!$X$4:$X$1048576,'Background (from TC)'!$D$4:$D$1048576,L$15,'Background (from TC)'!$E$4:$E$1048576,L$16,'Background (from TC)'!$O$4:$O$1048576,L$17))</f>
        <v/>
      </c>
      <c r="M51" s="55" t="str">
        <f>IF(OR(M15="",M15&lt;&gt;"Storage"),"",SUMIFS('Background (from TC)'!$X$4:$X$1048576,'Background (from TC)'!$D$4:$D$1048576,M$15,'Background (from TC)'!$E$4:$E$1048576,M$16,'Background (from TC)'!$O$4:$O$1048576,M$17))</f>
        <v/>
      </c>
      <c r="N51" s="55" t="str">
        <f>IF(OR(N15="",N15&lt;&gt;"Storage"),"",SUMIFS('Background (from TC)'!$X$4:$X$1048576,'Background (from TC)'!$D$4:$D$1048576,N$15,'Background (from TC)'!$E$4:$E$1048576,N$16,'Background (from TC)'!$O$4:$O$1048576,N$17))</f>
        <v/>
      </c>
      <c r="O51" s="55" t="str">
        <f>IF(OR(O15="",O15&lt;&gt;"Storage"),"",SUMIFS('Background (from TC)'!$X$4:$X$1048576,'Background (from TC)'!$D$4:$D$1048576,O$15,'Background (from TC)'!$E$4:$E$1048576,O$16,'Background (from TC)'!$O$4:$O$1048576,O$17))</f>
        <v/>
      </c>
      <c r="P51" s="55" t="str">
        <f>IF(OR(P15="",P15&lt;&gt;"Storage"),"",SUMIFS('Background (from TC)'!$X$4:$X$1048576,'Background (from TC)'!$D$4:$D$1048576,P$15,'Background (from TC)'!$E$4:$E$1048576,P$16,'Background (from TC)'!$O$4:$O$1048576,P$17))</f>
        <v/>
      </c>
      <c r="Q51" s="55" t="str">
        <f>IF(OR(Q15="",Q15&lt;&gt;"Storage"),"",SUMIFS('Background (from TC)'!$X$4:$X$1048576,'Background (from TC)'!$D$4:$D$1048576,Q$15,'Background (from TC)'!$E$4:$E$1048576,Q$16,'Background (from TC)'!$O$4:$O$1048576,Q$17))</f>
        <v/>
      </c>
      <c r="R51" s="55" t="str">
        <f>IF(OR(R15="",R15&lt;&gt;"Storage"),"",SUMIFS('Background (from TC)'!$X$4:$X$1048576,'Background (from TC)'!$D$4:$D$1048576,R$15,'Background (from TC)'!$E$4:$E$1048576,R$16,'Background (from TC)'!$O$4:$O$1048576,R$17))</f>
        <v/>
      </c>
      <c r="S51" s="55" t="str">
        <f>IF(OR(S15="",S15&lt;&gt;"Storage"),"",SUMIFS('Background (from TC)'!$X$4:$X$1048576,'Background (from TC)'!$D$4:$D$1048576,S$15,'Background (from TC)'!$E$4:$E$1048576,S$16,'Background (from TC)'!$O$4:$O$1048576,S$17))</f>
        <v/>
      </c>
      <c r="T51" s="55" t="str">
        <f>IF(OR(T15="",T15&lt;&gt;"Storage"),"",SUMIFS('Background (from TC)'!$X$4:$X$1048576,'Background (from TC)'!$D$4:$D$1048576,T$15,'Background (from TC)'!$E$4:$E$1048576,T$16,'Background (from TC)'!$O$4:$O$1048576,T$17))</f>
        <v/>
      </c>
      <c r="U51" s="55" t="str">
        <f>IF(OR(U15="",U15&lt;&gt;"Storage"),"",SUMIFS('Background (from TC)'!$X$4:$X$1048576,'Background (from TC)'!$D$4:$D$1048576,U$15,'Background (from TC)'!$E$4:$E$1048576,U$16,'Background (from TC)'!$O$4:$O$1048576,U$17))</f>
        <v/>
      </c>
      <c r="V51" s="55" t="str">
        <f>IF(OR(V15="",V15&lt;&gt;"Storage"),"",SUMIFS('Background (from TC)'!$X$4:$X$1048576,'Background (from TC)'!$D$4:$D$1048576,V$15,'Background (from TC)'!$E$4:$E$1048576,V$16,'Background (from TC)'!$O$4:$O$1048576,V$17))</f>
        <v/>
      </c>
      <c r="W51" s="55" t="str">
        <f>IF(OR(W15="",W15&lt;&gt;"Storage"),"",SUMIFS('Background (from TC)'!$X$4:$X$1048576,'Background (from TC)'!$D$4:$D$1048576,W$15,'Background (from TC)'!$E$4:$E$1048576,W$16,'Background (from TC)'!$O$4:$O$1048576,W$17))</f>
        <v/>
      </c>
      <c r="X51" s="55" t="str">
        <f>IF(OR(X15="",X15&lt;&gt;"Storage"),"",SUMIFS('Background (from TC)'!$X$4:$X$1048576,'Background (from TC)'!$D$4:$D$1048576,X$15,'Background (from TC)'!$E$4:$E$1048576,X$16,'Background (from TC)'!$O$4:$O$1048576,X$17))</f>
        <v/>
      </c>
      <c r="Y51" s="55" t="str">
        <f>IF(OR(Y15="",Y15&lt;&gt;"Storage"),"",SUMIFS('Background (from TC)'!$X$4:$X$1048576,'Background (from TC)'!$D$4:$D$1048576,Y$15,'Background (from TC)'!$E$4:$E$1048576,Y$16,'Background (from TC)'!$O$4:$O$1048576,Y$17))</f>
        <v/>
      </c>
      <c r="Z51" s="55" t="str">
        <f>IF(OR(Z15="",Z15&lt;&gt;"Storage"),"",SUMIFS('Background (from TC)'!$X$4:$X$1048576,'Background (from TC)'!$D$4:$D$1048576,Z$15,'Background (from TC)'!$E$4:$E$1048576,Z$16,'Background (from TC)'!$O$4:$O$1048576,Z$17))</f>
        <v/>
      </c>
    </row>
    <row r="52" spans="2:26" ht="15.75" thickBot="1">
      <c r="B52" s="279" t="s">
        <v>72</v>
      </c>
      <c r="C52" s="55" t="str">
        <f>IF(C51="","",C51/C$18)</f>
        <v/>
      </c>
      <c r="D52" s="55" t="str">
        <f t="shared" ref="D52:Z52" si="7">IF(D51="","",D51/D$18)</f>
        <v/>
      </c>
      <c r="E52" s="55" t="str">
        <f t="shared" si="7"/>
        <v/>
      </c>
      <c r="F52" s="55" t="str">
        <f t="shared" si="7"/>
        <v/>
      </c>
      <c r="G52" s="55" t="str">
        <f t="shared" si="7"/>
        <v/>
      </c>
      <c r="H52" s="55" t="str">
        <f t="shared" si="7"/>
        <v/>
      </c>
      <c r="I52" s="55" t="str">
        <f t="shared" si="7"/>
        <v/>
      </c>
      <c r="J52" s="55" t="str">
        <f t="shared" si="7"/>
        <v/>
      </c>
      <c r="K52" s="55" t="str">
        <f t="shared" si="7"/>
        <v/>
      </c>
      <c r="L52" s="55" t="str">
        <f t="shared" si="7"/>
        <v/>
      </c>
      <c r="M52" s="55" t="str">
        <f t="shared" si="7"/>
        <v/>
      </c>
      <c r="N52" s="55" t="str">
        <f t="shared" si="7"/>
        <v/>
      </c>
      <c r="O52" s="55" t="str">
        <f t="shared" si="7"/>
        <v/>
      </c>
      <c r="P52" s="55" t="str">
        <f t="shared" si="7"/>
        <v/>
      </c>
      <c r="Q52" s="55" t="str">
        <f t="shared" si="7"/>
        <v/>
      </c>
      <c r="R52" s="55" t="str">
        <f t="shared" si="7"/>
        <v/>
      </c>
      <c r="S52" s="55" t="str">
        <f t="shared" si="7"/>
        <v/>
      </c>
      <c r="T52" s="55" t="str">
        <f t="shared" si="7"/>
        <v/>
      </c>
      <c r="U52" s="55" t="str">
        <f t="shared" si="7"/>
        <v/>
      </c>
      <c r="V52" s="55" t="str">
        <f t="shared" si="7"/>
        <v/>
      </c>
      <c r="W52" s="55" t="str">
        <f t="shared" si="7"/>
        <v/>
      </c>
      <c r="X52" s="55" t="str">
        <f t="shared" si="7"/>
        <v/>
      </c>
      <c r="Y52" s="55" t="str">
        <f t="shared" si="7"/>
        <v/>
      </c>
      <c r="Z52" s="55" t="str">
        <f t="shared" si="7"/>
        <v/>
      </c>
    </row>
    <row r="53" spans="2:26" ht="15.75" thickBot="1">
      <c r="B53" s="290" t="s">
        <v>43</v>
      </c>
      <c r="C53" s="294" t="str">
        <f t="shared" ref="C53:Z53" si="8">IF(C16="","",IF(C49&gt;C52,"Exceeding maximum possible annual cycles. Please revise",""))</f>
        <v/>
      </c>
      <c r="D53" s="258" t="str">
        <f t="shared" si="8"/>
        <v/>
      </c>
      <c r="E53" s="258" t="str">
        <f t="shared" si="8"/>
        <v/>
      </c>
      <c r="F53" s="258" t="str">
        <f t="shared" si="8"/>
        <v/>
      </c>
      <c r="G53" s="258" t="str">
        <f t="shared" si="8"/>
        <v/>
      </c>
      <c r="H53" s="258" t="str">
        <f t="shared" si="8"/>
        <v/>
      </c>
      <c r="I53" s="258" t="str">
        <f t="shared" si="8"/>
        <v/>
      </c>
      <c r="J53" s="258" t="str">
        <f t="shared" si="8"/>
        <v/>
      </c>
      <c r="K53" s="258" t="str">
        <f t="shared" si="8"/>
        <v/>
      </c>
      <c r="L53" s="258" t="str">
        <f t="shared" si="8"/>
        <v/>
      </c>
      <c r="M53" s="258" t="str">
        <f t="shared" si="8"/>
        <v/>
      </c>
      <c r="N53" s="258" t="str">
        <f t="shared" si="8"/>
        <v/>
      </c>
      <c r="O53" s="258" t="str">
        <f t="shared" si="8"/>
        <v/>
      </c>
      <c r="P53" s="258" t="str">
        <f t="shared" si="8"/>
        <v/>
      </c>
      <c r="Q53" s="258" t="str">
        <f t="shared" si="8"/>
        <v/>
      </c>
      <c r="R53" s="258" t="str">
        <f t="shared" si="8"/>
        <v/>
      </c>
      <c r="S53" s="258" t="str">
        <f t="shared" si="8"/>
        <v/>
      </c>
      <c r="T53" s="258" t="str">
        <f t="shared" si="8"/>
        <v/>
      </c>
      <c r="U53" s="258" t="str">
        <f t="shared" si="8"/>
        <v/>
      </c>
      <c r="V53" s="258" t="str">
        <f t="shared" si="8"/>
        <v/>
      </c>
      <c r="W53" s="258" t="str">
        <f t="shared" si="8"/>
        <v/>
      </c>
      <c r="X53" s="258" t="str">
        <f t="shared" si="8"/>
        <v/>
      </c>
      <c r="Y53" s="258" t="str">
        <f t="shared" si="8"/>
        <v/>
      </c>
      <c r="Z53" s="259" t="str">
        <f t="shared" si="8"/>
        <v/>
      </c>
    </row>
    <row r="54" spans="2:26" ht="15.75">
      <c r="B54" s="271"/>
    </row>
    <row r="55" spans="2:26" ht="15.75">
      <c r="B55" s="286" t="s">
        <v>73</v>
      </c>
    </row>
    <row r="56" spans="2:26">
      <c r="B56" s="278" t="s">
        <v>74</v>
      </c>
      <c r="C56" s="19"/>
      <c r="D56" s="19"/>
      <c r="E56" s="19"/>
    </row>
    <row r="57" spans="2:26">
      <c r="B57" s="278" t="s">
        <v>75</v>
      </c>
      <c r="C57" s="43"/>
      <c r="D57" s="43"/>
      <c r="E57" s="43"/>
      <c r="F57" s="43"/>
      <c r="G57" s="43"/>
      <c r="H57" s="43"/>
      <c r="I57" s="43"/>
      <c r="J57" s="43"/>
      <c r="K57" s="43"/>
      <c r="L57" s="43"/>
      <c r="M57" s="43"/>
      <c r="N57" s="43"/>
      <c r="O57" s="43"/>
      <c r="P57" s="43"/>
      <c r="Q57" s="43"/>
      <c r="R57" s="43"/>
      <c r="S57" s="43"/>
      <c r="T57" s="43"/>
      <c r="U57" s="43"/>
      <c r="V57" s="43"/>
      <c r="W57" s="43"/>
      <c r="X57" s="43"/>
      <c r="Y57" s="43"/>
      <c r="Z57" s="43"/>
    </row>
    <row r="58" spans="2:26">
      <c r="B58" s="278" t="s">
        <v>76</v>
      </c>
      <c r="C58" s="43" t="str">
        <f>IF(C56="","",IF(C56="User defined",C57,SUMIFS('Background (from TC)'!$M$4:$M$1048576,'Background (from TC)'!$D$4:$D$1048576,C$15,'Background (from TC)'!$E$4:$E$1048576,C$16,'Background (from TC)'!$O$4:$O$1048576,C$17)*C29))</f>
        <v/>
      </c>
      <c r="D58" s="43" t="str">
        <f>IF(D56="","",IF(D56="User defined",D57,SUMIFS('Background (from TC)'!$M$4:$M$1048576,'Background (from TC)'!$D$4:$D$1048576,D$15,'Background (from TC)'!$E$4:$E$1048576,D$16,'Background (from TC)'!$O$4:$O$1048576,D$17)*D29))</f>
        <v/>
      </c>
      <c r="E58" s="43" t="str">
        <f>IF(E56="","",IF(E56="User defined",E57,SUMIFS('Background (from TC)'!$M$4:$M$1048576,'Background (from TC)'!$D$4:$D$1048576,E$15,'Background (from TC)'!$E$4:$E$1048576,E$16,'Background (from TC)'!$O$4:$O$1048576,E$17)*E29))</f>
        <v/>
      </c>
      <c r="F58" s="43" t="str">
        <f>IF(F56="","",IF(F56="User defined",F57,SUMIFS('Background (from TC)'!$M$4:$M$1048576,'Background (from TC)'!$D$4:$D$1048576,F$15,'Background (from TC)'!$E$4:$E$1048576,F$16,'Background (from TC)'!$O$4:$O$1048576,F$17)*F29))</f>
        <v/>
      </c>
      <c r="G58" s="43" t="str">
        <f>IF(G56="","",IF(G56="User defined",G57,SUMIFS('Background (from TC)'!$M$4:$M$1048576,'Background (from TC)'!$D$4:$D$1048576,G$15,'Background (from TC)'!$E$4:$E$1048576,G$16,'Background (from TC)'!$O$4:$O$1048576,G$17)*G29))</f>
        <v/>
      </c>
      <c r="H58" s="43" t="str">
        <f>IF(H56="","",IF(H56="User defined",H57,SUMIFS('Background (from TC)'!$M$4:$M$1048576,'Background (from TC)'!$D$4:$D$1048576,H$15,'Background (from TC)'!$E$4:$E$1048576,H$16,'Background (from TC)'!$O$4:$O$1048576,H$17)*H29))</f>
        <v/>
      </c>
      <c r="I58" s="43" t="str">
        <f>IF(I56="","",IF(I56="User defined",I57,SUMIFS('Background (from TC)'!$M$4:$M$1048576,'Background (from TC)'!$D$4:$D$1048576,I$15,'Background (from TC)'!$E$4:$E$1048576,I$16,'Background (from TC)'!$O$4:$O$1048576,I$17)*I29))</f>
        <v/>
      </c>
      <c r="J58" s="43" t="str">
        <f>IF(J56="","",IF(J56="User defined",J57,SUMIFS('Background (from TC)'!$M$4:$M$1048576,'Background (from TC)'!$D$4:$D$1048576,J$15,'Background (from TC)'!$E$4:$E$1048576,J$16,'Background (from TC)'!$O$4:$O$1048576,J$17)*J29))</f>
        <v/>
      </c>
      <c r="K58" s="43" t="str">
        <f>IF(K56="","",IF(K56="User defined",K57,SUMIFS('Background (from TC)'!$M$4:$M$1048576,'Background (from TC)'!$D$4:$D$1048576,K$15,'Background (from TC)'!$E$4:$E$1048576,K$16,'Background (from TC)'!$O$4:$O$1048576,K$17)*K29))</f>
        <v/>
      </c>
      <c r="L58" s="43" t="str">
        <f>IF(L56="","",IF(L56="User defined",L57,SUMIFS('Background (from TC)'!$M$4:$M$1048576,'Background (from TC)'!$D$4:$D$1048576,L$15,'Background (from TC)'!$E$4:$E$1048576,L$16,'Background (from TC)'!$O$4:$O$1048576,L$17)*L29))</f>
        <v/>
      </c>
      <c r="M58" s="43" t="str">
        <f>IF(M56="","",IF(M56="User defined",M57,SUMIFS('Background (from TC)'!$M$4:$M$1048576,'Background (from TC)'!$D$4:$D$1048576,M$15,'Background (from TC)'!$E$4:$E$1048576,M$16,'Background (from TC)'!$O$4:$O$1048576,M$17)*M29))</f>
        <v/>
      </c>
      <c r="N58" s="43" t="str">
        <f>IF(N56="","",IF(N56="User defined",N57,SUMIFS('Background (from TC)'!$M$4:$M$1048576,'Background (from TC)'!$D$4:$D$1048576,N$15,'Background (from TC)'!$E$4:$E$1048576,N$16,'Background (from TC)'!$O$4:$O$1048576,N$17)*N29))</f>
        <v/>
      </c>
      <c r="O58" s="43" t="str">
        <f>IF(O56="","",IF(O56="User defined",O57,SUMIFS('Background (from TC)'!$M$4:$M$1048576,'Background (from TC)'!$D$4:$D$1048576,O$15,'Background (from TC)'!$E$4:$E$1048576,O$16,'Background (from TC)'!$O$4:$O$1048576,O$17)*O29))</f>
        <v/>
      </c>
      <c r="P58" s="43" t="str">
        <f>IF(P56="","",IF(P56="User defined",P57,SUMIFS('Background (from TC)'!$M$4:$M$1048576,'Background (from TC)'!$D$4:$D$1048576,P$15,'Background (from TC)'!$E$4:$E$1048576,P$16,'Background (from TC)'!$O$4:$O$1048576,P$17)*P29))</f>
        <v/>
      </c>
      <c r="Q58" s="43" t="str">
        <f>IF(Q56="","",IF(Q56="User defined",Q57,SUMIFS('Background (from TC)'!$M$4:$M$1048576,'Background (from TC)'!$D$4:$D$1048576,Q$15,'Background (from TC)'!$E$4:$E$1048576,Q$16,'Background (from TC)'!$O$4:$O$1048576,Q$17)*Q29))</f>
        <v/>
      </c>
      <c r="R58" s="43" t="str">
        <f>IF(R56="","",IF(R56="User defined",R57,SUMIFS('Background (from TC)'!$M$4:$M$1048576,'Background (from TC)'!$D$4:$D$1048576,R$15,'Background (from TC)'!$E$4:$E$1048576,R$16,'Background (from TC)'!$O$4:$O$1048576,R$17)*R29))</f>
        <v/>
      </c>
      <c r="S58" s="43" t="str">
        <f>IF(S56="","",IF(S56="User defined",S57,SUMIFS('Background (from TC)'!$M$4:$M$1048576,'Background (from TC)'!$D$4:$D$1048576,S$15,'Background (from TC)'!$E$4:$E$1048576,S$16,'Background (from TC)'!$O$4:$O$1048576,S$17)*S29))</f>
        <v/>
      </c>
      <c r="T58" s="43" t="str">
        <f>IF(T56="","",IF(T56="User defined",T57,SUMIFS('Background (from TC)'!$M$4:$M$1048576,'Background (from TC)'!$D$4:$D$1048576,T$15,'Background (from TC)'!$E$4:$E$1048576,T$16,'Background (from TC)'!$O$4:$O$1048576,T$17)*T29))</f>
        <v/>
      </c>
      <c r="U58" s="43" t="str">
        <f>IF(U56="","",IF(U56="User defined",U57,SUMIFS('Background (from TC)'!$M$4:$M$1048576,'Background (from TC)'!$D$4:$D$1048576,U$15,'Background (from TC)'!$E$4:$E$1048576,U$16,'Background (from TC)'!$O$4:$O$1048576,U$17)*U29))</f>
        <v/>
      </c>
      <c r="V58" s="43" t="str">
        <f>IF(V56="","",IF(V56="User defined",V57,SUMIFS('Background (from TC)'!$M$4:$M$1048576,'Background (from TC)'!$D$4:$D$1048576,V$15,'Background (from TC)'!$E$4:$E$1048576,V$16,'Background (from TC)'!$O$4:$O$1048576,V$17)*V29))</f>
        <v/>
      </c>
      <c r="W58" s="43" t="str">
        <f>IF(W56="","",IF(W56="User defined",W57,SUMIFS('Background (from TC)'!$M$4:$M$1048576,'Background (from TC)'!$D$4:$D$1048576,W$15,'Background (from TC)'!$E$4:$E$1048576,W$16,'Background (from TC)'!$O$4:$O$1048576,W$17)*W29))</f>
        <v/>
      </c>
      <c r="X58" s="43" t="str">
        <f>IF(X56="","",IF(X56="User defined",X57,SUMIFS('Background (from TC)'!$M$4:$M$1048576,'Background (from TC)'!$D$4:$D$1048576,X$15,'Background (from TC)'!$E$4:$E$1048576,X$16,'Background (from TC)'!$O$4:$O$1048576,X$17)*X29))</f>
        <v/>
      </c>
      <c r="Y58" s="43" t="str">
        <f>IF(Y56="","",IF(Y56="User defined",Y57,SUMIFS('Background (from TC)'!$M$4:$M$1048576,'Background (from TC)'!$D$4:$D$1048576,Y$15,'Background (from TC)'!$E$4:$E$1048576,Y$16,'Background (from TC)'!$O$4:$O$1048576,Y$17)*Y29))</f>
        <v/>
      </c>
      <c r="Z58" s="43" t="str">
        <f>IF(Z56="","",IF(Z56="User defined",Z57,SUMIFS('Background (from TC)'!$M$4:$M$1048576,'Background (from TC)'!$D$4:$D$1048576,Z$15,'Background (from TC)'!$E$4:$E$1048576,Z$16,'Background (from TC)'!$O$4:$O$1048576,Z$17)*Z29))</f>
        <v/>
      </c>
    </row>
    <row r="59" spans="2:26" ht="30">
      <c r="B59" s="280" t="s">
        <v>77</v>
      </c>
      <c r="C59" s="41" t="str">
        <f>IFERROR(IF(C15="","",SUMIFS('Background (from TC)'!$S$4:$S$1048576,'Background (from TC)'!$D$4:$D$1048576,C$15,'Background (from TC)'!$E$4:$E$1048576,C$16,'Background (from TC)'!$O$4:$O$1048576,C$17)),"")</f>
        <v/>
      </c>
      <c r="D59" s="41" t="str">
        <f>IFERROR(IF(D15="","",SUMIFS('Background (from TC)'!$S$4:$S$1048576,'Background (from TC)'!$D$4:$D$1048576,D$15,'Background (from TC)'!$E$4:$E$1048576,D$16,'Background (from TC)'!$O$4:$O$1048576,D$17)),"")</f>
        <v/>
      </c>
      <c r="E59" s="41" t="str">
        <f>IFERROR(IF(E15="","",SUMIFS('Background (from TC)'!$S$4:$S$1048576,'Background (from TC)'!$D$4:$D$1048576,E$15,'Background (from TC)'!$E$4:$E$1048576,E$16,'Background (from TC)'!$O$4:$O$1048576,E$17)),"")</f>
        <v/>
      </c>
      <c r="F59" s="41" t="str">
        <f>IFERROR(IF(F15="","",SUMIFS('Background (from TC)'!$S$4:$S$1048576,'Background (from TC)'!$D$4:$D$1048576,F$15,'Background (from TC)'!$E$4:$E$1048576,F$16,'Background (from TC)'!$O$4:$O$1048576,F$17)),"")</f>
        <v/>
      </c>
      <c r="G59" s="41" t="str">
        <f>IFERROR(IF(G15="","",SUMIFS('Background (from TC)'!$S$4:$S$1048576,'Background (from TC)'!$D$4:$D$1048576,G$15,'Background (from TC)'!$E$4:$E$1048576,G$16,'Background (from TC)'!$O$4:$O$1048576,G$17)),"")</f>
        <v/>
      </c>
      <c r="H59" s="41" t="str">
        <f>IFERROR(IF(H15="","",SUMIFS('Background (from TC)'!$S$4:$S$1048576,'Background (from TC)'!$D$4:$D$1048576,H$15,'Background (from TC)'!$E$4:$E$1048576,H$16,'Background (from TC)'!$O$4:$O$1048576,H$17)),"")</f>
        <v/>
      </c>
      <c r="I59" s="41" t="str">
        <f>IFERROR(IF(I15="","",SUMIFS('Background (from TC)'!$S$4:$S$1048576,'Background (from TC)'!$D$4:$D$1048576,I$15,'Background (from TC)'!$E$4:$E$1048576,I$16,'Background (from TC)'!$O$4:$O$1048576,I$17)),"")</f>
        <v/>
      </c>
      <c r="J59" s="41" t="str">
        <f>IFERROR(IF(J15="","",SUMIFS('Background (from TC)'!$S$4:$S$1048576,'Background (from TC)'!$D$4:$D$1048576,J$15,'Background (from TC)'!$E$4:$E$1048576,J$16,'Background (from TC)'!$O$4:$O$1048576,J$17)),"")</f>
        <v/>
      </c>
      <c r="K59" s="41" t="str">
        <f>IFERROR(IF(K15="","",SUMIFS('Background (from TC)'!$S$4:$S$1048576,'Background (from TC)'!$D$4:$D$1048576,K$15,'Background (from TC)'!$E$4:$E$1048576,K$16,'Background (from TC)'!$O$4:$O$1048576,K$17)),"")</f>
        <v/>
      </c>
      <c r="L59" s="41" t="str">
        <f>IFERROR(IF(L15="","",SUMIFS('Background (from TC)'!$S$4:$S$1048576,'Background (from TC)'!$D$4:$D$1048576,L$15,'Background (from TC)'!$E$4:$E$1048576,L$16,'Background (from TC)'!$O$4:$O$1048576,L$17)),"")</f>
        <v/>
      </c>
      <c r="M59" s="41" t="str">
        <f>IFERROR(IF(M15="","",SUMIFS('Background (from TC)'!$S$4:$S$1048576,'Background (from TC)'!$D$4:$D$1048576,M$15,'Background (from TC)'!$E$4:$E$1048576,M$16,'Background (from TC)'!$O$4:$O$1048576,M$17)),"")</f>
        <v/>
      </c>
      <c r="N59" s="41" t="str">
        <f>IFERROR(IF(N15="","",SUMIFS('Background (from TC)'!$S$4:$S$1048576,'Background (from TC)'!$D$4:$D$1048576,N$15,'Background (from TC)'!$E$4:$E$1048576,N$16,'Background (from TC)'!$O$4:$O$1048576,N$17)),"")</f>
        <v/>
      </c>
      <c r="O59" s="41" t="str">
        <f>IFERROR(IF(O15="","",SUMIFS('Background (from TC)'!$S$4:$S$1048576,'Background (from TC)'!$D$4:$D$1048576,O$15,'Background (from TC)'!$E$4:$E$1048576,O$16,'Background (from TC)'!$O$4:$O$1048576,O$17)),"")</f>
        <v/>
      </c>
      <c r="P59" s="41" t="str">
        <f>IFERROR(IF(P15="","",SUMIFS('Background (from TC)'!$S$4:$S$1048576,'Background (from TC)'!$D$4:$D$1048576,P$15,'Background (from TC)'!$E$4:$E$1048576,P$16,'Background (from TC)'!$O$4:$O$1048576,P$17)),"")</f>
        <v/>
      </c>
      <c r="Q59" s="41" t="str">
        <f>IFERROR(IF(Q15="","",SUMIFS('Background (from TC)'!$S$4:$S$1048576,'Background (from TC)'!$D$4:$D$1048576,Q$15,'Background (from TC)'!$E$4:$E$1048576,Q$16,'Background (from TC)'!$O$4:$O$1048576,Q$17)),"")</f>
        <v/>
      </c>
      <c r="R59" s="41" t="str">
        <f>IFERROR(IF(R15="","",SUMIFS('Background (from TC)'!$S$4:$S$1048576,'Background (from TC)'!$D$4:$D$1048576,R$15,'Background (from TC)'!$E$4:$E$1048576,R$16,'Background (from TC)'!$O$4:$O$1048576,R$17)),"")</f>
        <v/>
      </c>
      <c r="S59" s="41" t="str">
        <f>IFERROR(IF(S15="","",SUMIFS('Background (from TC)'!$S$4:$S$1048576,'Background (from TC)'!$D$4:$D$1048576,S$15,'Background (from TC)'!$E$4:$E$1048576,S$16,'Background (from TC)'!$O$4:$O$1048576,S$17)),"")</f>
        <v/>
      </c>
      <c r="T59" s="41" t="str">
        <f>IFERROR(IF(T15="","",SUMIFS('Background (from TC)'!$S$4:$S$1048576,'Background (from TC)'!$D$4:$D$1048576,T$15,'Background (from TC)'!$E$4:$E$1048576,T$16,'Background (from TC)'!$O$4:$O$1048576,T$17)),"")</f>
        <v/>
      </c>
      <c r="U59" s="41" t="str">
        <f>IFERROR(IF(U15="","",SUMIFS('Background (from TC)'!$S$4:$S$1048576,'Background (from TC)'!$D$4:$D$1048576,U$15,'Background (from TC)'!$E$4:$E$1048576,U$16,'Background (from TC)'!$O$4:$O$1048576,U$17)),"")</f>
        <v/>
      </c>
      <c r="V59" s="41" t="str">
        <f>IFERROR(IF(V15="","",SUMIFS('Background (from TC)'!$S$4:$S$1048576,'Background (from TC)'!$D$4:$D$1048576,V$15,'Background (from TC)'!$E$4:$E$1048576,V$16,'Background (from TC)'!$O$4:$O$1048576,V$17)),"")</f>
        <v/>
      </c>
      <c r="W59" s="41" t="str">
        <f>IFERROR(IF(W15="","",SUMIFS('Background (from TC)'!$S$4:$S$1048576,'Background (from TC)'!$D$4:$D$1048576,W$15,'Background (from TC)'!$E$4:$E$1048576,W$16,'Background (from TC)'!$O$4:$O$1048576,W$17)),"")</f>
        <v/>
      </c>
      <c r="X59" s="41" t="str">
        <f>IFERROR(IF(X15="","",SUMIFS('Background (from TC)'!$S$4:$S$1048576,'Background (from TC)'!$D$4:$D$1048576,X$15,'Background (from TC)'!$E$4:$E$1048576,X$16,'Background (from TC)'!$O$4:$O$1048576,X$17)),"")</f>
        <v/>
      </c>
      <c r="Y59" s="41" t="str">
        <f>IFERROR(IF(Y15="","",SUMIFS('Background (from TC)'!$S$4:$S$1048576,'Background (from TC)'!$D$4:$D$1048576,Y$15,'Background (from TC)'!$E$4:$E$1048576,Y$16,'Background (from TC)'!$O$4:$O$1048576,Y$17)),"")</f>
        <v/>
      </c>
      <c r="Z59" s="41" t="str">
        <f>IFERROR(IF(Z15="","",SUMIFS('Background (from TC)'!$S$4:$S$1048576,'Background (from TC)'!$D$4:$D$1048576,Z$15,'Background (from TC)'!$E$4:$E$1048576,Z$16,'Background (from TC)'!$O$4:$O$1048576,Z$17)),"")</f>
        <v/>
      </c>
    </row>
    <row r="60" spans="2:26" ht="15.75" thickBot="1">
      <c r="B60" s="281" t="s">
        <v>78</v>
      </c>
      <c r="C60" s="43" t="str">
        <f>IF(C56="","",IFERROR(C58*3.6/C59,0))</f>
        <v/>
      </c>
      <c r="D60" s="43" t="str">
        <f t="shared" ref="D60:Z60" si="9">IF(D56="","",IFERROR(D58*3.6/D59,0))</f>
        <v/>
      </c>
      <c r="E60" s="43" t="str">
        <f t="shared" si="9"/>
        <v/>
      </c>
      <c r="F60" s="43" t="str">
        <f t="shared" si="9"/>
        <v/>
      </c>
      <c r="G60" s="43" t="str">
        <f t="shared" si="9"/>
        <v/>
      </c>
      <c r="H60" s="43" t="str">
        <f t="shared" si="9"/>
        <v/>
      </c>
      <c r="I60" s="43" t="str">
        <f t="shared" si="9"/>
        <v/>
      </c>
      <c r="J60" s="43" t="str">
        <f t="shared" si="9"/>
        <v/>
      </c>
      <c r="K60" s="43" t="str">
        <f t="shared" si="9"/>
        <v/>
      </c>
      <c r="L60" s="43" t="str">
        <f t="shared" si="9"/>
        <v/>
      </c>
      <c r="M60" s="43" t="str">
        <f t="shared" si="9"/>
        <v/>
      </c>
      <c r="N60" s="43" t="str">
        <f t="shared" si="9"/>
        <v/>
      </c>
      <c r="O60" s="43" t="str">
        <f t="shared" si="9"/>
        <v/>
      </c>
      <c r="P60" s="43" t="str">
        <f t="shared" si="9"/>
        <v/>
      </c>
      <c r="Q60" s="43" t="str">
        <f t="shared" si="9"/>
        <v/>
      </c>
      <c r="R60" s="43" t="str">
        <f t="shared" si="9"/>
        <v/>
      </c>
      <c r="S60" s="43" t="str">
        <f t="shared" si="9"/>
        <v/>
      </c>
      <c r="T60" s="43" t="str">
        <f t="shared" si="9"/>
        <v/>
      </c>
      <c r="U60" s="43" t="str">
        <f t="shared" si="9"/>
        <v/>
      </c>
      <c r="V60" s="43" t="str">
        <f t="shared" si="9"/>
        <v/>
      </c>
      <c r="W60" s="43" t="str">
        <f t="shared" si="9"/>
        <v/>
      </c>
      <c r="X60" s="43" t="str">
        <f t="shared" si="9"/>
        <v/>
      </c>
      <c r="Y60" s="43" t="str">
        <f t="shared" si="9"/>
        <v/>
      </c>
      <c r="Z60" s="43" t="str">
        <f t="shared" si="9"/>
        <v/>
      </c>
    </row>
    <row r="61" spans="2:26" ht="15.75" thickBot="1">
      <c r="B61" s="273" t="s">
        <v>43</v>
      </c>
      <c r="C61" s="258" t="str">
        <f t="shared" ref="C61:Z61" si="10">IF(OR(AND(C56="User defined",C57=""),AND(C15="Storage",C58="")),"Insert value above","")</f>
        <v/>
      </c>
      <c r="D61" s="258" t="str">
        <f t="shared" si="10"/>
        <v/>
      </c>
      <c r="E61" s="258" t="str">
        <f t="shared" si="10"/>
        <v/>
      </c>
      <c r="F61" s="258" t="str">
        <f t="shared" si="10"/>
        <v/>
      </c>
      <c r="G61" s="258" t="str">
        <f t="shared" si="10"/>
        <v/>
      </c>
      <c r="H61" s="258" t="str">
        <f t="shared" si="10"/>
        <v/>
      </c>
      <c r="I61" s="258" t="str">
        <f t="shared" si="10"/>
        <v/>
      </c>
      <c r="J61" s="258" t="str">
        <f t="shared" si="10"/>
        <v/>
      </c>
      <c r="K61" s="258" t="str">
        <f t="shared" si="10"/>
        <v/>
      </c>
      <c r="L61" s="258" t="str">
        <f t="shared" si="10"/>
        <v/>
      </c>
      <c r="M61" s="258" t="str">
        <f t="shared" si="10"/>
        <v/>
      </c>
      <c r="N61" s="258" t="str">
        <f t="shared" si="10"/>
        <v/>
      </c>
      <c r="O61" s="258" t="str">
        <f t="shared" si="10"/>
        <v/>
      </c>
      <c r="P61" s="258" t="str">
        <f t="shared" si="10"/>
        <v/>
      </c>
      <c r="Q61" s="258" t="str">
        <f t="shared" si="10"/>
        <v/>
      </c>
      <c r="R61" s="258" t="str">
        <f t="shared" si="10"/>
        <v/>
      </c>
      <c r="S61" s="258" t="str">
        <f t="shared" si="10"/>
        <v/>
      </c>
      <c r="T61" s="258" t="str">
        <f t="shared" si="10"/>
        <v/>
      </c>
      <c r="U61" s="258" t="str">
        <f t="shared" si="10"/>
        <v/>
      </c>
      <c r="V61" s="258" t="str">
        <f t="shared" si="10"/>
        <v/>
      </c>
      <c r="W61" s="258" t="str">
        <f t="shared" si="10"/>
        <v/>
      </c>
      <c r="X61" s="258" t="str">
        <f t="shared" si="10"/>
        <v/>
      </c>
      <c r="Y61" s="258" t="str">
        <f t="shared" si="10"/>
        <v/>
      </c>
      <c r="Z61" s="259" t="str">
        <f t="shared" si="10"/>
        <v/>
      </c>
    </row>
    <row r="62" spans="2:26">
      <c r="F62"/>
    </row>
    <row r="63" spans="2:26" ht="15.75">
      <c r="B63" s="286" t="s">
        <v>79</v>
      </c>
      <c r="F63"/>
    </row>
    <row r="64" spans="2:26">
      <c r="B64" s="279" t="s">
        <v>80</v>
      </c>
      <c r="F64"/>
      <c r="G64"/>
      <c r="H64"/>
      <c r="I64"/>
      <c r="J64"/>
      <c r="K64"/>
      <c r="L64"/>
      <c r="M64"/>
      <c r="N64"/>
      <c r="O64"/>
      <c r="P64"/>
      <c r="Q64"/>
      <c r="R64"/>
      <c r="S64"/>
      <c r="T64"/>
      <c r="U64"/>
      <c r="V64"/>
      <c r="W64"/>
      <c r="X64"/>
      <c r="Y64"/>
      <c r="Z64"/>
    </row>
    <row r="66" spans="1:27" ht="15.75">
      <c r="B66" s="286" t="s">
        <v>81</v>
      </c>
    </row>
    <row r="67" spans="1:27">
      <c r="B67" s="282" t="s">
        <v>82</v>
      </c>
      <c r="C67" s="19" t="s">
        <v>83</v>
      </c>
      <c r="D67" s="19" t="s">
        <v>83</v>
      </c>
      <c r="E67" s="19" t="s">
        <v>83</v>
      </c>
      <c r="F67" s="19" t="s">
        <v>83</v>
      </c>
      <c r="G67" s="19" t="s">
        <v>83</v>
      </c>
      <c r="H67" s="19" t="s">
        <v>83</v>
      </c>
      <c r="I67" s="19" t="s">
        <v>83</v>
      </c>
      <c r="J67" s="19" t="s">
        <v>83</v>
      </c>
      <c r="K67" s="19" t="s">
        <v>83</v>
      </c>
      <c r="L67" s="19" t="s">
        <v>83</v>
      </c>
      <c r="M67" s="19" t="s">
        <v>83</v>
      </c>
      <c r="N67" s="19" t="s">
        <v>83</v>
      </c>
      <c r="O67" s="19" t="s">
        <v>83</v>
      </c>
      <c r="P67" s="19" t="s">
        <v>83</v>
      </c>
      <c r="Q67" s="19" t="s">
        <v>83</v>
      </c>
      <c r="R67" s="19" t="s">
        <v>83</v>
      </c>
      <c r="S67" s="19" t="s">
        <v>83</v>
      </c>
      <c r="T67" s="19" t="s">
        <v>83</v>
      </c>
      <c r="U67" s="19" t="s">
        <v>83</v>
      </c>
      <c r="V67" s="19" t="s">
        <v>83</v>
      </c>
      <c r="W67" s="19" t="s">
        <v>83</v>
      </c>
      <c r="X67" s="19" t="s">
        <v>84</v>
      </c>
      <c r="Y67" s="19" t="s">
        <v>84</v>
      </c>
      <c r="Z67" s="19" t="s">
        <v>84</v>
      </c>
    </row>
    <row r="68" spans="1:27">
      <c r="B68" s="278" t="s">
        <v>85</v>
      </c>
      <c r="C68" s="19"/>
      <c r="D68" s="19"/>
      <c r="E68" s="19"/>
    </row>
    <row r="69" spans="1:27">
      <c r="B69" s="278" t="s">
        <v>86</v>
      </c>
      <c r="C69" s="19" t="s">
        <v>46</v>
      </c>
      <c r="D69" s="19" t="s">
        <v>46</v>
      </c>
      <c r="E69" s="19" t="s">
        <v>46</v>
      </c>
      <c r="F69" s="19" t="s">
        <v>46</v>
      </c>
      <c r="G69" s="19" t="s">
        <v>46</v>
      </c>
      <c r="H69" s="19" t="s">
        <v>46</v>
      </c>
      <c r="I69" s="19" t="s">
        <v>46</v>
      </c>
      <c r="J69" s="19" t="s">
        <v>46</v>
      </c>
      <c r="K69" s="19" t="s">
        <v>46</v>
      </c>
      <c r="L69" s="19" t="s">
        <v>46</v>
      </c>
      <c r="M69" s="19" t="s">
        <v>46</v>
      </c>
      <c r="N69" s="19" t="s">
        <v>46</v>
      </c>
      <c r="O69" s="19" t="s">
        <v>46</v>
      </c>
      <c r="P69" s="19" t="s">
        <v>46</v>
      </c>
      <c r="Q69" s="19" t="s">
        <v>46</v>
      </c>
      <c r="R69" s="19" t="s">
        <v>46</v>
      </c>
      <c r="S69" s="19" t="s">
        <v>46</v>
      </c>
      <c r="T69" s="19" t="s">
        <v>46</v>
      </c>
    </row>
    <row r="70" spans="1:27">
      <c r="B70" s="278" t="s">
        <v>87</v>
      </c>
      <c r="C70" s="521" t="str">
        <f>IF(C15="","",IF(C79=0,0,SUMIFS('Background (from TC)'!$L:$L,'Background (from TC)'!$D:$D,C15,'Background (from TC)'!$E:$E,C16,'Background (from TC)'!$O:$O,C17)/1000*3.6/C59))</f>
        <v/>
      </c>
      <c r="D70" s="521" t="str">
        <f>IF(D15="","",IF(D79=0,0,SUMIFS('Background (from TC)'!$L:$L,'Background (from TC)'!$D:$D,D15,'Background (from TC)'!$E:$E,D16,'Background (from TC)'!$O:$O,D17)/1000*3.6/D59))</f>
        <v/>
      </c>
      <c r="E70" s="521" t="str">
        <f>IF(E15="","",IF(E79=0,0,SUMIFS('Background (from TC)'!$L:$L,'Background (from TC)'!$D:$D,E15,'Background (from TC)'!$E:$E,E16,'Background (from TC)'!$O:$O,E17)/1000*3.6/E59))</f>
        <v/>
      </c>
      <c r="F70" s="521" t="str">
        <f>IF(F15="","",IF(F79=0,0,SUMIFS('Background (from TC)'!$L:$L,'Background (from TC)'!$D:$D,F15,'Background (from TC)'!$E:$E,F16,'Background (from TC)'!$O:$O,F17)/1000*3.6/F59))</f>
        <v/>
      </c>
      <c r="G70" s="521" t="str">
        <f>IF(G15="","",IF(G79=0,0,SUMIFS('Background (from TC)'!$L:$L,'Background (from TC)'!$D:$D,G15,'Background (from TC)'!$E:$E,G16,'Background (from TC)'!$O:$O,G17)/1000*3.6/G59))</f>
        <v/>
      </c>
      <c r="H70" s="521" t="str">
        <f>IF(H15="","",IF(H79=0,0,SUMIFS('Background (from TC)'!$L:$L,'Background (from TC)'!$D:$D,H15,'Background (from TC)'!$E:$E,H16,'Background (from TC)'!$O:$O,H17)/1000*3.6/H59))</f>
        <v/>
      </c>
      <c r="I70" s="521" t="str">
        <f>IF(I15="","",IF(I79=0,0,SUMIFS('Background (from TC)'!$L:$L,'Background (from TC)'!$D:$D,I15,'Background (from TC)'!$E:$E,I16,'Background (from TC)'!$O:$O,I17)/1000*3.6/I59))</f>
        <v/>
      </c>
      <c r="J70" s="521" t="str">
        <f>IF(J15="","",IF(J79=0,0,SUMIFS('Background (from TC)'!$L:$L,'Background (from TC)'!$D:$D,J15,'Background (from TC)'!$E:$E,J16,'Background (from TC)'!$O:$O,J17)/1000*3.6/J59))</f>
        <v/>
      </c>
      <c r="K70" s="521" t="str">
        <f>IF(K15="","",IF(K79=0,0,SUMIFS('Background (from TC)'!$L:$L,'Background (from TC)'!$D:$D,K15,'Background (from TC)'!$E:$E,K16,'Background (from TC)'!$O:$O,K17)/1000*3.6/K59))</f>
        <v/>
      </c>
      <c r="L70" s="521" t="str">
        <f>IF(L15="","",IF(L79=0,0,SUMIFS('Background (from TC)'!$L:$L,'Background (from TC)'!$D:$D,L15,'Background (from TC)'!$E:$E,L16,'Background (from TC)'!$O:$O,L17)/1000*3.6/L59))</f>
        <v/>
      </c>
      <c r="M70" s="521" t="str">
        <f>IF(M15="","",IF(M79=0,0,SUMIFS('Background (from TC)'!$L:$L,'Background (from TC)'!$D:$D,M15,'Background (from TC)'!$E:$E,M16,'Background (from TC)'!$O:$O,M17)/1000*3.6/M59))</f>
        <v/>
      </c>
      <c r="N70" s="521" t="str">
        <f>IF(N15="","",IF(N79=0,0,SUMIFS('Background (from TC)'!$L:$L,'Background (from TC)'!$D:$D,N15,'Background (from TC)'!$E:$E,N16,'Background (from TC)'!$O:$O,N17)/1000*3.6/N59))</f>
        <v/>
      </c>
      <c r="O70" s="521" t="str">
        <f>IF(O15="","",IF(O79=0,0,SUMIFS('Background (from TC)'!$L:$L,'Background (from TC)'!$D:$D,O15,'Background (from TC)'!$E:$E,O16,'Background (from TC)'!$O:$O,O17)/1000*3.6/O59))</f>
        <v/>
      </c>
      <c r="P70" s="521" t="str">
        <f>IF(P15="","",IF(P79=0,0,SUMIFS('Background (from TC)'!$L:$L,'Background (from TC)'!$D:$D,P15,'Background (from TC)'!$E:$E,P16,'Background (from TC)'!$O:$O,P17)/1000*3.6/P59))</f>
        <v/>
      </c>
      <c r="Q70" s="521" t="str">
        <f>IF(Q15="","",IF(Q79=0,0,SUMIFS('Background (from TC)'!$L:$L,'Background (from TC)'!$D:$D,Q15,'Background (from TC)'!$E:$E,Q16,'Background (from TC)'!$O:$O,Q17)/1000*3.6/Q59))</f>
        <v/>
      </c>
      <c r="R70" s="521" t="str">
        <f>IF(R15="","",IF(R79=0,0,SUMIFS('Background (from TC)'!$L:$L,'Background (from TC)'!$D:$D,R15,'Background (from TC)'!$E:$E,R16,'Background (from TC)'!$O:$O,R17)/1000*3.6/R59))</f>
        <v/>
      </c>
      <c r="S70" s="521" t="str">
        <f>IF(S15="","",IF(S79=0,0,SUMIFS('Background (from TC)'!$L:$L,'Background (from TC)'!$D:$D,S15,'Background (from TC)'!$E:$E,S16,'Background (from TC)'!$O:$O,S17)/1000*3.6/S59))</f>
        <v/>
      </c>
      <c r="T70" s="521" t="str">
        <f>IF(T15="","",IF(T79=0,0,SUMIFS('Background (from TC)'!$L:$L,'Background (from TC)'!$D:$D,T15,'Background (from TC)'!$E:$E,T16,'Background (from TC)'!$O:$O,T17)/1000*3.6/T59))</f>
        <v/>
      </c>
      <c r="U70" s="521" t="str">
        <f>IF(U15="","",IF(U79=0,0,SUMIFS('Background (from TC)'!$L:$L,'Background (from TC)'!$D:$D,U15,'Background (from TC)'!$E:$E,U16,'Background (from TC)'!$O:$O,U17)/1000*3.6/U59))</f>
        <v/>
      </c>
      <c r="V70" s="521" t="str">
        <f>IF(V15="","",IF(V79=0,0,SUMIFS('Background (from TC)'!$L:$L,'Background (from TC)'!$D:$D,V15,'Background (from TC)'!$E:$E,V16,'Background (from TC)'!$O:$O,V17)/1000*3.6/V59))</f>
        <v/>
      </c>
      <c r="W70" s="521" t="str">
        <f>IF(W15="","",IF(W79=0,0,SUMIFS('Background (from TC)'!$L:$L,'Background (from TC)'!$D:$D,W15,'Background (from TC)'!$E:$E,W16,'Background (from TC)'!$O:$O,W17)/1000*3.6/W59))</f>
        <v/>
      </c>
      <c r="X70" s="521" t="str">
        <f>IF(X15="","",IF(X79=0,0,SUMIFS('Background (from TC)'!$L:$L,'Background (from TC)'!$D:$D,X15,'Background (from TC)'!$E:$E,X16,'Background (from TC)'!$O:$O,X17)/1000*3.6/X59))</f>
        <v/>
      </c>
      <c r="Y70" s="521" t="str">
        <f>IF(Y15="","",IF(Y79=0,0,SUMIFS('Background (from TC)'!$L:$L,'Background (from TC)'!$D:$D,Y15,'Background (from TC)'!$E:$E,Y16,'Background (from TC)'!$O:$O,Y17)/1000*3.6/Y59))</f>
        <v/>
      </c>
      <c r="Z70" s="521" t="str">
        <f>IF(Z15="","",IF(Z79=0,0,SUMIFS('Background (from TC)'!$L:$L,'Background (from TC)'!$D:$D,Z15,'Background (from TC)'!$E:$E,Z16,'Background (from TC)'!$O:$O,Z17)/1000*3.6/Z59))</f>
        <v/>
      </c>
    </row>
    <row r="71" spans="1:27">
      <c r="B71" s="278" t="s">
        <v>88</v>
      </c>
      <c r="C71" s="56">
        <v>1.0900000000000001</v>
      </c>
      <c r="D71" s="56"/>
      <c r="E71" s="56"/>
      <c r="F71" s="56"/>
      <c r="G71" s="56"/>
      <c r="H71" s="56"/>
      <c r="I71" s="56"/>
      <c r="J71" s="56"/>
      <c r="K71" s="56"/>
      <c r="L71" s="56"/>
      <c r="M71" s="56"/>
      <c r="N71" s="56"/>
      <c r="O71" s="56"/>
      <c r="P71" s="56"/>
      <c r="Q71" s="56"/>
      <c r="R71" s="56"/>
      <c r="S71" s="56"/>
      <c r="T71" s="56"/>
      <c r="U71" s="56"/>
      <c r="V71" s="56"/>
      <c r="W71" s="56"/>
      <c r="X71" s="56"/>
      <c r="Y71" s="56"/>
      <c r="Z71" s="56"/>
    </row>
    <row r="72" spans="1:27">
      <c r="B72" s="279" t="s">
        <v>89</v>
      </c>
      <c r="C72" s="18" t="str">
        <f>IF(C69="User defined",C71,C70)</f>
        <v/>
      </c>
      <c r="D72" s="18" t="str">
        <f>IF(D69="User defined",D71,D70)</f>
        <v/>
      </c>
      <c r="E72" s="18" t="str">
        <f t="shared" ref="E72:Z72" si="11">IF(E69="User defined",E71,E70)</f>
        <v/>
      </c>
      <c r="F72" s="18" t="str">
        <f t="shared" si="11"/>
        <v/>
      </c>
      <c r="G72" s="18" t="str">
        <f t="shared" si="11"/>
        <v/>
      </c>
      <c r="H72" s="18" t="str">
        <f t="shared" si="11"/>
        <v/>
      </c>
      <c r="I72" s="18" t="str">
        <f t="shared" si="11"/>
        <v/>
      </c>
      <c r="J72" s="18" t="str">
        <f t="shared" si="11"/>
        <v/>
      </c>
      <c r="K72" s="18" t="str">
        <f t="shared" si="11"/>
        <v/>
      </c>
      <c r="L72" s="18" t="str">
        <f t="shared" si="11"/>
        <v/>
      </c>
      <c r="M72" s="18" t="str">
        <f t="shared" si="11"/>
        <v/>
      </c>
      <c r="N72" s="18" t="str">
        <f t="shared" si="11"/>
        <v/>
      </c>
      <c r="O72" s="18" t="str">
        <f t="shared" si="11"/>
        <v/>
      </c>
      <c r="P72" s="18" t="str">
        <f t="shared" si="11"/>
        <v/>
      </c>
      <c r="Q72" s="18" t="str">
        <f t="shared" si="11"/>
        <v/>
      </c>
      <c r="R72" s="18" t="str">
        <f t="shared" si="11"/>
        <v/>
      </c>
      <c r="S72" s="18" t="str">
        <f t="shared" si="11"/>
        <v/>
      </c>
      <c r="T72" s="18" t="str">
        <f t="shared" si="11"/>
        <v/>
      </c>
      <c r="U72" s="18" t="str">
        <f t="shared" si="11"/>
        <v/>
      </c>
      <c r="V72" s="18" t="str">
        <f t="shared" si="11"/>
        <v/>
      </c>
      <c r="W72" s="18" t="str">
        <f t="shared" si="11"/>
        <v/>
      </c>
      <c r="X72" s="18" t="str">
        <f t="shared" si="11"/>
        <v/>
      </c>
      <c r="Y72" s="18" t="str">
        <f t="shared" si="11"/>
        <v/>
      </c>
      <c r="Z72" s="18" t="str">
        <f t="shared" si="11"/>
        <v/>
      </c>
    </row>
    <row r="73" spans="1:27">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7" ht="15.75">
      <c r="B74" s="286" t="s">
        <v>90</v>
      </c>
    </row>
    <row r="75" spans="1:27" s="19" customFormat="1">
      <c r="A75"/>
      <c r="B75" s="278" t="s">
        <v>91</v>
      </c>
      <c r="C75" s="19" t="s">
        <v>84</v>
      </c>
      <c r="D75" s="19" t="s">
        <v>84</v>
      </c>
      <c r="E75" s="19" t="s">
        <v>84</v>
      </c>
      <c r="F75" s="19" t="s">
        <v>84</v>
      </c>
      <c r="G75" s="19" t="s">
        <v>84</v>
      </c>
      <c r="H75" s="19" t="s">
        <v>84</v>
      </c>
      <c r="I75" s="19" t="s">
        <v>84</v>
      </c>
      <c r="J75" s="19" t="s">
        <v>84</v>
      </c>
      <c r="K75" s="19" t="s">
        <v>84</v>
      </c>
      <c r="L75" s="19" t="s">
        <v>84</v>
      </c>
      <c r="M75" s="19" t="s">
        <v>84</v>
      </c>
      <c r="N75" s="19" t="s">
        <v>84</v>
      </c>
      <c r="O75" s="19" t="s">
        <v>84</v>
      </c>
      <c r="P75" s="19" t="s">
        <v>84</v>
      </c>
      <c r="Q75" s="19" t="s">
        <v>84</v>
      </c>
      <c r="R75" s="19" t="s">
        <v>84</v>
      </c>
      <c r="S75" s="19" t="s">
        <v>84</v>
      </c>
      <c r="T75" s="19" t="s">
        <v>84</v>
      </c>
      <c r="U75" s="19" t="s">
        <v>84</v>
      </c>
      <c r="V75" s="19" t="s">
        <v>84</v>
      </c>
      <c r="W75" s="19" t="s">
        <v>84</v>
      </c>
      <c r="X75" s="19" t="s">
        <v>84</v>
      </c>
      <c r="Y75" s="19" t="s">
        <v>84</v>
      </c>
      <c r="Z75" s="19" t="s">
        <v>84</v>
      </c>
      <c r="AA75" s="276"/>
    </row>
    <row r="76" spans="1:27">
      <c r="B76" s="278" t="s">
        <v>958</v>
      </c>
      <c r="C76" s="35" t="str">
        <f>IF(C$15="","",IF(C75="No",0,IF(C15="Storage",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TC)'!$O$4:$O$1048576,C$17)*C43/SUMIFS('Background (from TC)'!$S$4:$S$1048576,'Background (from TC)'!$D$4:$D$1048576,C$15,'Background (from TC)'!$E$4:$E$1048576,C$16,'Background (from TC)'!$O$4:$O$1048576,C$17)+SUMIFS('Background (from TC)'!$AD$4:$AD$1048576,'Background (from TC)'!$D$4:$D$1048576,C$15,'Background (from TC)'!$E$4:$E$1048576,C$16,'Background (from TC)'!$O$4:$O$1048576,C$17)*C42),
SUMIFS('Background (from TC)'!$G$4:$G$1048576,'Background (from TC)'!$D$4:$D$1048576,C$15,'Background (from TC)'!$E$4:$E$1048576,C$16,'Background (from TC)'!$O$4:$O$1048576,C$17)))*C29)</f>
        <v/>
      </c>
      <c r="D76" s="35" t="str">
        <f>IF(D$15="","",IF(D75="No",0,IF(D15="Storage",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
SUMIFS('Background (from TC)'!$G$4:$G$1048576,'Background (from TC)'!$D$4:$D$1048576,D$15,'Background (from TC)'!$E$4:$E$1048576,D$16,'Background (from TC)'!$O$4:$O$1048576,D$17)))*D29)</f>
        <v/>
      </c>
      <c r="E76" s="35" t="str">
        <f>IF(E$15="","",IF(E75="No",0,IF(E15="Storage",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
SUMIFS('Background (from TC)'!$G$4:$G$1048576,'Background (from TC)'!$D$4:$D$1048576,E$15,'Background (from TC)'!$E$4:$E$1048576,E$16,'Background (from TC)'!$O$4:$O$1048576,E$17)))*E29)</f>
        <v/>
      </c>
      <c r="F76" s="35" t="str">
        <f>IF(F$15="","",IF(F75="No",0,IF(F15="Storage",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
SUMIFS('Background (from TC)'!$G$4:$G$1048576,'Background (from TC)'!$D$4:$D$1048576,F$15,'Background (from TC)'!$E$4:$E$1048576,F$16,'Background (from TC)'!$O$4:$O$1048576,F$17)))*F29)</f>
        <v/>
      </c>
      <c r="G76" s="35" t="str">
        <f>IF(G$15="","",IF(G75="No",0,IF(G15="Storage",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
SUMIFS('Background (from TC)'!$G$4:$G$1048576,'Background (from TC)'!$D$4:$D$1048576,G$15,'Background (from TC)'!$E$4:$E$1048576,G$16,'Background (from TC)'!$O$4:$O$1048576,G$17)))*G29)</f>
        <v/>
      </c>
      <c r="H76" s="35" t="str">
        <f>IF(H$15="","",IF(H75="No",0,IF(H15="Storage",
(SUMIFS('Background (from TC)'!$AB$4:$AB$1048576,'Background (from TC)'!$D$4:$D$1048576,H$15,'Background (from TC)'!$E$4:$E$1048576,H$16,'Background (from TC)'!$O$4:$O$1048576,H$17)*H42+SUMIFS('Background (from TC)'!$AC$4:$AC$1048576,'Background (from TC)'!$D$4:$D$1048576,H$15,'Background (from TC)'!$E$4:$E$1048576,H$16,'Background (from TC)'!$O$4:$O$1048576,H$17)*H43/SUMIFS('Background (from TC)'!$S$4:$S$1048576,'Background (from TC)'!$D$4:$D$1048576,H$15,'Background (from TC)'!$E$4:$E$1048576,H$16,'Background (from TC)'!$O$4:$O$1048576,H$17)+SUMIFS('Background (from TC)'!$AD$4:$AD$1048576,'Background (from TC)'!$D$4:$D$1048576,H$15,'Background (from TC)'!$E$4:$E$1048576,H$16,'Background (from TC)'!$O$4:$O$1048576,H$17)*H42),
SUMIFS('Background (from TC)'!$G$4:$G$1048576,'Background (from TC)'!$D$4:$D$1048576,H$15,'Background (from TC)'!$E$4:$E$1048576,H$16,'Background (from TC)'!$O$4:$O$1048576,H$17)))*H29)</f>
        <v/>
      </c>
      <c r="I76" s="35" t="str">
        <f>IF(I$15="","",IF(I75="No",0,IF(I15="Storage",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
SUMIFS('Background (from TC)'!$G$4:$G$1048576,'Background (from TC)'!$D$4:$D$1048576,I$15,'Background (from TC)'!$E$4:$E$1048576,I$16,'Background (from TC)'!$O$4:$O$1048576,I$17)))*I29)</f>
        <v/>
      </c>
      <c r="J76" s="35" t="str">
        <f>IF(J$15="","",IF(J75="No",0,IF(J15="Storage",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
SUMIFS('Background (from TC)'!$G$4:$G$1048576,'Background (from TC)'!$D$4:$D$1048576,J$15,'Background (from TC)'!$E$4:$E$1048576,J$16,'Background (from TC)'!$O$4:$O$1048576,J$17)))*J29)</f>
        <v/>
      </c>
      <c r="K76" s="35" t="str">
        <f>IF(K$15="","",IF(K75="No",0,IF(K15="Storage",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
SUMIFS('Background (from TC)'!$G$4:$G$1048576,'Background (from TC)'!$D$4:$D$1048576,K$15,'Background (from TC)'!$E$4:$E$1048576,K$16,'Background (from TC)'!$O$4:$O$1048576,K$17)))*K29)</f>
        <v/>
      </c>
      <c r="L76" s="35" t="str">
        <f>IF(L$15="","",IF(L75="No",0,IF(L15="Storage",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
SUMIFS('Background (from TC)'!$G$4:$G$1048576,'Background (from TC)'!$D$4:$D$1048576,L$15,'Background (from TC)'!$E$4:$E$1048576,L$16,'Background (from TC)'!$O$4:$O$1048576,L$17)))*L29)</f>
        <v/>
      </c>
      <c r="M76" s="35" t="str">
        <f>IF(M$15="","",IF(M75="No",0,IF(M15="Storage",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
SUMIFS('Background (from TC)'!$G$4:$G$1048576,'Background (from TC)'!$D$4:$D$1048576,M$15,'Background (from TC)'!$E$4:$E$1048576,M$16,'Background (from TC)'!$O$4:$O$1048576,M$17)))*M29)</f>
        <v/>
      </c>
      <c r="N76" s="35" t="str">
        <f>IF(N$15="","",IF(N75="No",0,IF(N15="Storage",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
SUMIFS('Background (from TC)'!$G$4:$G$1048576,'Background (from TC)'!$D$4:$D$1048576,N$15,'Background (from TC)'!$E$4:$E$1048576,N$16,'Background (from TC)'!$O$4:$O$1048576,N$17)))*N29)</f>
        <v/>
      </c>
      <c r="O76" s="35" t="str">
        <f>IF(O$15="","",IF(O75="No",0,IF(O15="Storage",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
SUMIFS('Background (from TC)'!$G$4:$G$1048576,'Background (from TC)'!$D$4:$D$1048576,O$15,'Background (from TC)'!$E$4:$E$1048576,O$16,'Background (from TC)'!$O$4:$O$1048576,O$17)))*O29)</f>
        <v/>
      </c>
      <c r="P76" s="35" t="str">
        <f>IF(P$15="","",IF(P75="No",0,IF(P15="Storage",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
SUMIFS('Background (from TC)'!$G$4:$G$1048576,'Background (from TC)'!$D$4:$D$1048576,P$15,'Background (from TC)'!$E$4:$E$1048576,P$16,'Background (from TC)'!$O$4:$O$1048576,P$17)))*P29)</f>
        <v/>
      </c>
      <c r="Q76" s="35" t="str">
        <f>IF(Q$15="","",IF(Q75="No",0,IF(Q15="Storage",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
SUMIFS('Background (from TC)'!$G$4:$G$1048576,'Background (from TC)'!$D$4:$D$1048576,Q$15,'Background (from TC)'!$E$4:$E$1048576,Q$16,'Background (from TC)'!$O$4:$O$1048576,Q$17)))*Q29)</f>
        <v/>
      </c>
      <c r="R76" s="35" t="str">
        <f>IF(R$15="","",IF(R75="No",0,IF(R15="Storage",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
SUMIFS('Background (from TC)'!$G$4:$G$1048576,'Background (from TC)'!$D$4:$D$1048576,R$15,'Background (from TC)'!$E$4:$E$1048576,R$16,'Background (from TC)'!$O$4:$O$1048576,R$17)))*R29)</f>
        <v/>
      </c>
      <c r="S76" s="35" t="str">
        <f>IF(S$15="","",IF(S75="No",0,IF(S15="Storage",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
SUMIFS('Background (from TC)'!$G$4:$G$1048576,'Background (from TC)'!$D$4:$D$1048576,S$15,'Background (from TC)'!$E$4:$E$1048576,S$16,'Background (from TC)'!$O$4:$O$1048576,S$17)))*S29)</f>
        <v/>
      </c>
      <c r="T76" s="35" t="str">
        <f>IF(T$15="","",IF(T75="No",0,IF(T15="Storage",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
SUMIFS('Background (from TC)'!$G$4:$G$1048576,'Background (from TC)'!$D$4:$D$1048576,T$15,'Background (from TC)'!$E$4:$E$1048576,T$16,'Background (from TC)'!$O$4:$O$1048576,T$17)))*T29)</f>
        <v/>
      </c>
      <c r="U76" s="35" t="str">
        <f>IF(U$15="","",IF(U75="No",0,IF(U15="Storage",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
SUMIFS('Background (from TC)'!$G$4:$G$1048576,'Background (from TC)'!$D$4:$D$1048576,U$15,'Background (from TC)'!$E$4:$E$1048576,U$16,'Background (from TC)'!$O$4:$O$1048576,U$17)))*U29)</f>
        <v/>
      </c>
      <c r="V76" s="35" t="str">
        <f>IF(V$15="","",IF(V75="No",0,IF(V15="Storage",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
SUMIFS('Background (from TC)'!$G$4:$G$1048576,'Background (from TC)'!$D$4:$D$1048576,V$15,'Background (from TC)'!$E$4:$E$1048576,V$16,'Background (from TC)'!$O$4:$O$1048576,V$17)))*V29)</f>
        <v/>
      </c>
      <c r="W76" s="35" t="str">
        <f>IF(W$15="","",IF(W75="No",0,IF(W15="Storage",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
SUMIFS('Background (from TC)'!$G$4:$G$1048576,'Background (from TC)'!$D$4:$D$1048576,W$15,'Background (from TC)'!$E$4:$E$1048576,W$16,'Background (from TC)'!$O$4:$O$1048576,W$17)))*W29)</f>
        <v/>
      </c>
      <c r="X76" s="35" t="str">
        <f>IF(X$15="","",IF(X75="No",0,IF(X15="Storage",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
SUMIFS('Background (from TC)'!$G$4:$G$1048576,'Background (from TC)'!$D$4:$D$1048576,X$15,'Background (from TC)'!$E$4:$E$1048576,X$16,'Background (from TC)'!$O$4:$O$1048576,X$17)))*X29)</f>
        <v/>
      </c>
      <c r="Y76" s="35" t="str">
        <f>IF(Y$15="","",IF(Y75="No",0,IF(Y15="Storage",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
SUMIFS('Background (from TC)'!$G$4:$G$1048576,'Background (from TC)'!$D$4:$D$1048576,Y$15,'Background (from TC)'!$E$4:$E$1048576,Y$16,'Background (from TC)'!$O$4:$O$1048576,Y$17)))*Y29)</f>
        <v/>
      </c>
      <c r="Z76" s="35" t="str">
        <f>IF(Z$15="","",IF(Z75="No",0,IF(Z15="Storage",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
SUMIFS('Background (from TC)'!$G$4:$G$1048576,'Background (from TC)'!$D$4:$D$1048576,Z$15,'Background (from TC)'!$E$4:$E$1048576,Z$16,'Background (from TC)'!$O$4:$O$1048576,Z$17)))*Z29)</f>
        <v/>
      </c>
    </row>
    <row r="77" spans="1:27">
      <c r="B77" s="278" t="s">
        <v>959</v>
      </c>
      <c r="C77" s="35" t="str">
        <f>IF(C$15="","",SUMIFS('Background (from TC)'!$H$4:$H$1048576,'Background (from TC)'!$D$4:$D$1048576,C$15,'Background (from TC)'!$E$4:$E$1048576,C$16,'Background (from TC)'!$O$4:$O$1048576,C$17)*C29)</f>
        <v/>
      </c>
      <c r="D77" s="35" t="str">
        <f>IF(D$15="","",SUMIFS('Background (from TC)'!$H$4:$H$1048576,'Background (from TC)'!$D$4:$D$1048576,D$15,'Background (from TC)'!$E$4:$E$1048576,D$16,'Background (from TC)'!$O$4:$O$1048576,D$17)*D29)</f>
        <v/>
      </c>
      <c r="E77" s="35" t="str">
        <f>IF(E$15="","",SUMIFS('Background (from TC)'!$H$4:$H$1048576,'Background (from TC)'!$D$4:$D$1048576,E$15,'Background (from TC)'!$E$4:$E$1048576,E$16,'Background (from TC)'!$O$4:$O$1048576,E$17)*E29)</f>
        <v/>
      </c>
      <c r="F77" s="35" t="str">
        <f>IF(F$15="","",SUMIFS('Background (from TC)'!$H$4:$H$1048576,'Background (from TC)'!$D$4:$D$1048576,F$15,'Background (from TC)'!$E$4:$E$1048576,F$16,'Background (from TC)'!$O$4:$O$1048576,F$17)*F29)</f>
        <v/>
      </c>
      <c r="G77" s="35" t="str">
        <f>IF(G$15="","",SUMIFS('Background (from TC)'!$H$4:$H$1048576,'Background (from TC)'!$D$4:$D$1048576,G$15,'Background (from TC)'!$E$4:$E$1048576,G$16,'Background (from TC)'!$O$4:$O$1048576,G$17)*G29)</f>
        <v/>
      </c>
      <c r="H77" s="35" t="str">
        <f>IF(H$15="","",SUMIFS('Background (from TC)'!$H$4:$H$1048576,'Background (from TC)'!$D$4:$D$1048576,H$15,'Background (from TC)'!$E$4:$E$1048576,H$16,'Background (from TC)'!$O$4:$O$1048576,H$17)*H29)</f>
        <v/>
      </c>
      <c r="I77" s="35" t="str">
        <f>IF(I$15="","",SUMIFS('Background (from TC)'!$H$4:$H$1048576,'Background (from TC)'!$D$4:$D$1048576,I$15,'Background (from TC)'!$E$4:$E$1048576,I$16,'Background (from TC)'!$O$4:$O$1048576,I$17)*I29)</f>
        <v/>
      </c>
      <c r="J77" s="35" t="str">
        <f>IF(J$15="","",SUMIFS('Background (from TC)'!$H$4:$H$1048576,'Background (from TC)'!$D$4:$D$1048576,J$15,'Background (from TC)'!$E$4:$E$1048576,J$16,'Background (from TC)'!$O$4:$O$1048576,J$17)*J29)</f>
        <v/>
      </c>
      <c r="K77" s="35" t="str">
        <f>IF(K$15="","",SUMIFS('Background (from TC)'!$H$4:$H$1048576,'Background (from TC)'!$D$4:$D$1048576,K$15,'Background (from TC)'!$E$4:$E$1048576,K$16,'Background (from TC)'!$O$4:$O$1048576,K$17)*K29)</f>
        <v/>
      </c>
      <c r="L77" s="35" t="str">
        <f>IF(L$15="","",SUMIFS('Background (from TC)'!$H$4:$H$1048576,'Background (from TC)'!$D$4:$D$1048576,L$15,'Background (from TC)'!$E$4:$E$1048576,L$16,'Background (from TC)'!$O$4:$O$1048576,L$17)*L29)</f>
        <v/>
      </c>
      <c r="M77" s="35" t="str">
        <f>IF(M$15="","",SUMIFS('Background (from TC)'!$H$4:$H$1048576,'Background (from TC)'!$D$4:$D$1048576,M$15,'Background (from TC)'!$E$4:$E$1048576,M$16,'Background (from TC)'!$O$4:$O$1048576,M$17)*M29)</f>
        <v/>
      </c>
      <c r="N77" s="35" t="str">
        <f>IF(N$15="","",SUMIFS('Background (from TC)'!$H$4:$H$1048576,'Background (from TC)'!$D$4:$D$1048576,N$15,'Background (from TC)'!$E$4:$E$1048576,N$16,'Background (from TC)'!$O$4:$O$1048576,N$17)*N29)</f>
        <v/>
      </c>
      <c r="O77" s="35" t="str">
        <f>IF(O$15="","",SUMIFS('Background (from TC)'!$H$4:$H$1048576,'Background (from TC)'!$D$4:$D$1048576,O$15,'Background (from TC)'!$E$4:$E$1048576,O$16,'Background (from TC)'!$O$4:$O$1048576,O$17)*O29)</f>
        <v/>
      </c>
      <c r="P77" s="35" t="str">
        <f>IF(P$15="","",SUMIFS('Background (from TC)'!$H$4:$H$1048576,'Background (from TC)'!$D$4:$D$1048576,P$15,'Background (from TC)'!$E$4:$E$1048576,P$16,'Background (from TC)'!$O$4:$O$1048576,P$17)*P29)</f>
        <v/>
      </c>
      <c r="Q77" s="35" t="str">
        <f>IF(Q$15="","",SUMIFS('Background (from TC)'!$H$4:$H$1048576,'Background (from TC)'!$D$4:$D$1048576,Q$15,'Background (from TC)'!$E$4:$E$1048576,Q$16,'Background (from TC)'!$O$4:$O$1048576,Q$17)*Q29)</f>
        <v/>
      </c>
      <c r="R77" s="35" t="str">
        <f>IF(R$15="","",SUMIFS('Background (from TC)'!$H$4:$H$1048576,'Background (from TC)'!$D$4:$D$1048576,R$15,'Background (from TC)'!$E$4:$E$1048576,R$16,'Background (from TC)'!$O$4:$O$1048576,R$17)*R29)</f>
        <v/>
      </c>
      <c r="S77" s="35" t="str">
        <f>IF(S$15="","",SUMIFS('Background (from TC)'!$H$4:$H$1048576,'Background (from TC)'!$D$4:$D$1048576,S$15,'Background (from TC)'!$E$4:$E$1048576,S$16,'Background (from TC)'!$O$4:$O$1048576,S$17)*S29)</f>
        <v/>
      </c>
      <c r="T77" s="35" t="str">
        <f>IF(T$15="","",SUMIFS('Background (from TC)'!$H$4:$H$1048576,'Background (from TC)'!$D$4:$D$1048576,T$15,'Background (from TC)'!$E$4:$E$1048576,T$16,'Background (from TC)'!$O$4:$O$1048576,T$17)*T29)</f>
        <v/>
      </c>
      <c r="U77" s="35" t="str">
        <f>IF(U$15="","",SUMIFS('Background (from TC)'!$H$4:$H$1048576,'Background (from TC)'!$D$4:$D$1048576,U$15,'Background (from TC)'!$E$4:$E$1048576,U$16,'Background (from TC)'!$O$4:$O$1048576,U$17)*U29)</f>
        <v/>
      </c>
      <c r="V77" s="35" t="str">
        <f>IF(V$15="","",SUMIFS('Background (from TC)'!$H$4:$H$1048576,'Background (from TC)'!$D$4:$D$1048576,V$15,'Background (from TC)'!$E$4:$E$1048576,V$16,'Background (from TC)'!$O$4:$O$1048576,V$17)*V29)</f>
        <v/>
      </c>
      <c r="W77" s="35" t="str">
        <f>IF(W$15="","",SUMIFS('Background (from TC)'!$H$4:$H$1048576,'Background (from TC)'!$D$4:$D$1048576,W$15,'Background (from TC)'!$E$4:$E$1048576,W$16,'Background (from TC)'!$O$4:$O$1048576,W$17)*W29)</f>
        <v/>
      </c>
      <c r="X77" s="35" t="str">
        <f>IF(X$15="","",SUMIFS('Background (from TC)'!$H$4:$H$1048576,'Background (from TC)'!$D$4:$D$1048576,X$15,'Background (from TC)'!$E$4:$E$1048576,X$16,'Background (from TC)'!$O$4:$O$1048576,X$17)*X29)</f>
        <v/>
      </c>
      <c r="Y77" s="35" t="str">
        <f>IF(Y$15="","",SUMIFS('Background (from TC)'!$H$4:$H$1048576,'Background (from TC)'!$D$4:$D$1048576,Y$15,'Background (from TC)'!$E$4:$E$1048576,Y$16,'Background (from TC)'!$O$4:$O$1048576,Y$17)*Y29)</f>
        <v/>
      </c>
      <c r="Z77" s="35" t="str">
        <f>IF(Z$15="","",SUMIFS('Background (from TC)'!$H$4:$H$1048576,'Background (from TC)'!$D$4:$D$1048576,Z$15,'Background (from TC)'!$E$4:$E$1048576,Z$16,'Background (from TC)'!$O$4:$O$1048576,Z$17)*Z29)</f>
        <v/>
      </c>
    </row>
    <row r="78" spans="1:27">
      <c r="B78" s="278" t="s">
        <v>960</v>
      </c>
      <c r="C78" s="1074" t="str">
        <f>IF(C$15="","",SUMIFS('Background (from TC)'!$I$4:$I$1048576,'Background (from TC)'!$D$4:$D$1048576,C$15,'Background (from TC)'!$E$4:$E$1048576,C$16,'Background (from TC)'!$O$4:$O$1048576,C$17)*C29)</f>
        <v/>
      </c>
      <c r="D78" s="1074" t="str">
        <f>IF(D$15="","",SUMIFS('Background (from TC)'!$I$4:$I$1048576,'Background (from TC)'!$D$4:$D$1048576,D$15,'Background (from TC)'!$E$4:$E$1048576,D$16,'Background (from TC)'!$O$4:$O$1048576,D$17)*D29)</f>
        <v/>
      </c>
      <c r="E78" s="1074" t="str">
        <f>IF(E$15="","",SUMIFS('Background (from TC)'!$I$4:$I$1048576,'Background (from TC)'!$D$4:$D$1048576,E$15,'Background (from TC)'!$E$4:$E$1048576,E$16,'Background (from TC)'!$O$4:$O$1048576,E$17)*E29)</f>
        <v/>
      </c>
      <c r="F78" s="1074" t="str">
        <f>IF(F$15="","",SUMIFS('Background (from TC)'!$I$4:$I$1048576,'Background (from TC)'!$D$4:$D$1048576,F$15,'Background (from TC)'!$E$4:$E$1048576,F$16,'Background (from TC)'!$O$4:$O$1048576,F$17)*F29)</f>
        <v/>
      </c>
      <c r="G78" s="1074" t="str">
        <f>IF(G$15="","",SUMIFS('Background (from TC)'!$I$4:$I$1048576,'Background (from TC)'!$D$4:$D$1048576,G$15,'Background (from TC)'!$E$4:$E$1048576,G$16,'Background (from TC)'!$O$4:$O$1048576,G$17)*G29)</f>
        <v/>
      </c>
      <c r="H78" s="1074" t="str">
        <f>IF(H$15="","",SUMIFS('Background (from TC)'!$I$4:$I$1048576,'Background (from TC)'!$D$4:$D$1048576,H$15,'Background (from TC)'!$E$4:$E$1048576,H$16,'Background (from TC)'!$O$4:$O$1048576,H$17)*H29)</f>
        <v/>
      </c>
      <c r="I78" s="1074" t="str">
        <f>IF(I$15="","",SUMIFS('Background (from TC)'!$I$4:$I$1048576,'Background (from TC)'!$D$4:$D$1048576,I$15,'Background (from TC)'!$E$4:$E$1048576,I$16,'Background (from TC)'!$O$4:$O$1048576,I$17)*I29)</f>
        <v/>
      </c>
      <c r="J78" s="1074" t="str">
        <f>IF(J$15="","",SUMIFS('Background (from TC)'!$I$4:$I$1048576,'Background (from TC)'!$D$4:$D$1048576,J$15,'Background (from TC)'!$E$4:$E$1048576,J$16,'Background (from TC)'!$O$4:$O$1048576,J$17)*J29)</f>
        <v/>
      </c>
      <c r="K78" s="1074" t="str">
        <f>IF(K$15="","",SUMIFS('Background (from TC)'!$I$4:$I$1048576,'Background (from TC)'!$D$4:$D$1048576,K$15,'Background (from TC)'!$E$4:$E$1048576,K$16,'Background (from TC)'!$O$4:$O$1048576,K$17)*K29)</f>
        <v/>
      </c>
      <c r="L78" s="1074" t="str">
        <f>IF(L$15="","",SUMIFS('Background (from TC)'!$I$4:$I$1048576,'Background (from TC)'!$D$4:$D$1048576,L$15,'Background (from TC)'!$E$4:$E$1048576,L$16,'Background (from TC)'!$O$4:$O$1048576,L$17)*L29)</f>
        <v/>
      </c>
      <c r="M78" s="1074" t="str">
        <f>IF(M$15="","",SUMIFS('Background (from TC)'!$I$4:$I$1048576,'Background (from TC)'!$D$4:$D$1048576,M$15,'Background (from TC)'!$E$4:$E$1048576,M$16,'Background (from TC)'!$O$4:$O$1048576,M$17)*M29)</f>
        <v/>
      </c>
      <c r="N78" s="1074" t="str">
        <f>IF(N$15="","",SUMIFS('Background (from TC)'!$I$4:$I$1048576,'Background (from TC)'!$D$4:$D$1048576,N$15,'Background (from TC)'!$E$4:$E$1048576,N$16,'Background (from TC)'!$O$4:$O$1048576,N$17)*N29)</f>
        <v/>
      </c>
      <c r="O78" s="1074" t="str">
        <f>IF(O$15="","",SUMIFS('Background (from TC)'!$I$4:$I$1048576,'Background (from TC)'!$D$4:$D$1048576,O$15,'Background (from TC)'!$E$4:$E$1048576,O$16,'Background (from TC)'!$O$4:$O$1048576,O$17)*O29)</f>
        <v/>
      </c>
      <c r="P78" s="1074" t="str">
        <f>IF(P$15="","",SUMIFS('Background (from TC)'!$I$4:$I$1048576,'Background (from TC)'!$D$4:$D$1048576,P$15,'Background (from TC)'!$E$4:$E$1048576,P$16,'Background (from TC)'!$O$4:$O$1048576,P$17)*P29)</f>
        <v/>
      </c>
      <c r="Q78" s="1074" t="str">
        <f>IF(Q$15="","",SUMIFS('Background (from TC)'!$I$4:$I$1048576,'Background (from TC)'!$D$4:$D$1048576,Q$15,'Background (from TC)'!$E$4:$E$1048576,Q$16,'Background (from TC)'!$O$4:$O$1048576,Q$17)*Q29)</f>
        <v/>
      </c>
      <c r="R78" s="1074" t="str">
        <f>IF(R$15="","",SUMIFS('Background (from TC)'!$I$4:$I$1048576,'Background (from TC)'!$D$4:$D$1048576,R$15,'Background (from TC)'!$E$4:$E$1048576,R$16,'Background (from TC)'!$O$4:$O$1048576,R$17)*R29)</f>
        <v/>
      </c>
      <c r="S78" s="1074" t="str">
        <f>IF(S$15="","",SUMIFS('Background (from TC)'!$I$4:$I$1048576,'Background (from TC)'!$D$4:$D$1048576,S$15,'Background (from TC)'!$E$4:$E$1048576,S$16,'Background (from TC)'!$O$4:$O$1048576,S$17)*S29)</f>
        <v/>
      </c>
      <c r="T78" s="1074" t="str">
        <f>IF(T$15="","",SUMIFS('Background (from TC)'!$I$4:$I$1048576,'Background (from TC)'!$D$4:$D$1048576,T$15,'Background (from TC)'!$E$4:$E$1048576,T$16,'Background (from TC)'!$O$4:$O$1048576,T$17)*T29)</f>
        <v/>
      </c>
      <c r="U78" s="1074" t="str">
        <f>IF(U$15="","",SUMIFS('Background (from TC)'!$I$4:$I$1048576,'Background (from TC)'!$D$4:$D$1048576,U$15,'Background (from TC)'!$E$4:$E$1048576,U$16,'Background (from TC)'!$O$4:$O$1048576,U$17)*U29)</f>
        <v/>
      </c>
      <c r="V78" s="1074" t="str">
        <f>IF(V$15="","",SUMIFS('Background (from TC)'!$I$4:$I$1048576,'Background (from TC)'!$D$4:$D$1048576,V$15,'Background (from TC)'!$E$4:$E$1048576,V$16,'Background (from TC)'!$O$4:$O$1048576,V$17)*V29)</f>
        <v/>
      </c>
      <c r="W78" s="1074" t="str">
        <f>IF(W$15="","",SUMIFS('Background (from TC)'!$I$4:$I$1048576,'Background (from TC)'!$D$4:$D$1048576,W$15,'Background (from TC)'!$E$4:$E$1048576,W$16,'Background (from TC)'!$O$4:$O$1048576,W$17)*W29)</f>
        <v/>
      </c>
      <c r="X78" s="1074" t="str">
        <f>IF(X$15="","",SUMIFS('Background (from TC)'!$I$4:$I$1048576,'Background (from TC)'!$D$4:$D$1048576,X$15,'Background (from TC)'!$E$4:$E$1048576,X$16,'Background (from TC)'!$O$4:$O$1048576,X$17)*X29)</f>
        <v/>
      </c>
      <c r="Y78" s="1074" t="str">
        <f>IF(Y$15="","",SUMIFS('Background (from TC)'!$I$4:$I$1048576,'Background (from TC)'!$D$4:$D$1048576,Y$15,'Background (from TC)'!$E$4:$E$1048576,Y$16,'Background (from TC)'!$O$4:$O$1048576,Y$17)*Y29)</f>
        <v/>
      </c>
      <c r="Z78" s="1074" t="str">
        <f>IF(Z$15="","",SUMIFS('Background (from TC)'!$I$4:$I$1048576,'Background (from TC)'!$D$4:$D$1048576,Z$15,'Background (from TC)'!$E$4:$E$1048576,Z$16,'Background (from TC)'!$O$4:$O$1048576,Z$17)*Z29)</f>
        <v/>
      </c>
    </row>
    <row r="79" spans="1:27">
      <c r="B79" s="278" t="s">
        <v>961</v>
      </c>
      <c r="C79" s="35" t="str">
        <f t="shared" ref="C79:Z79" si="12">IF(C$15="","",IF(C60="",0,C60))</f>
        <v/>
      </c>
      <c r="D79" s="35" t="str">
        <f t="shared" si="12"/>
        <v/>
      </c>
      <c r="E79" s="35" t="str">
        <f t="shared" si="12"/>
        <v/>
      </c>
      <c r="F79" s="35" t="str">
        <f t="shared" si="12"/>
        <v/>
      </c>
      <c r="G79" s="35" t="str">
        <f t="shared" si="12"/>
        <v/>
      </c>
      <c r="H79" s="35" t="str">
        <f t="shared" si="12"/>
        <v/>
      </c>
      <c r="I79" s="35" t="str">
        <f t="shared" si="12"/>
        <v/>
      </c>
      <c r="J79" s="35" t="str">
        <f t="shared" si="12"/>
        <v/>
      </c>
      <c r="K79" s="35" t="str">
        <f t="shared" si="12"/>
        <v/>
      </c>
      <c r="L79" s="35" t="str">
        <f t="shared" si="12"/>
        <v/>
      </c>
      <c r="M79" s="35" t="str">
        <f t="shared" si="12"/>
        <v/>
      </c>
      <c r="N79" s="35" t="str">
        <f t="shared" si="12"/>
        <v/>
      </c>
      <c r="O79" s="35" t="str">
        <f t="shared" si="12"/>
        <v/>
      </c>
      <c r="P79" s="35" t="str">
        <f t="shared" si="12"/>
        <v/>
      </c>
      <c r="Q79" s="35" t="str">
        <f t="shared" si="12"/>
        <v/>
      </c>
      <c r="R79" s="35" t="str">
        <f t="shared" si="12"/>
        <v/>
      </c>
      <c r="S79" s="35" t="str">
        <f t="shared" si="12"/>
        <v/>
      </c>
      <c r="T79" s="35" t="str">
        <f t="shared" si="12"/>
        <v/>
      </c>
      <c r="U79" s="35" t="str">
        <f t="shared" si="12"/>
        <v/>
      </c>
      <c r="V79" s="35" t="str">
        <f t="shared" si="12"/>
        <v/>
      </c>
      <c r="W79" s="35" t="str">
        <f t="shared" si="12"/>
        <v/>
      </c>
      <c r="X79" s="35" t="str">
        <f t="shared" si="12"/>
        <v/>
      </c>
      <c r="Y79" s="35" t="str">
        <f t="shared" si="12"/>
        <v/>
      </c>
      <c r="Z79" s="35" t="str">
        <f t="shared" si="12"/>
        <v/>
      </c>
    </row>
    <row r="80" spans="1:27">
      <c r="B80" s="278" t="s">
        <v>962</v>
      </c>
      <c r="C80" s="35" t="str">
        <f>IF(C$15="","",SUMIFS('Background (from TC)'!$J$4:$J$1048576,'Background (from TC)'!$D$4:$D$1048576,C$15,'Background (from TC)'!$E$4:$E$1048576,C$16,'Background (from TC)'!$O$4:$O$1048576,C$17)*C29*C64)</f>
        <v/>
      </c>
      <c r="D80" s="35" t="str">
        <f>IF(D$15="","",SUMIFS('Background (from TC)'!$J$4:$J$1048576,'Background (from TC)'!$D$4:$D$1048576,D$15,'Background (from TC)'!$E$4:$E$1048576,D$16,'Background (from TC)'!$O$4:$O$1048576,D$17)*D29*D64)</f>
        <v/>
      </c>
      <c r="E80" s="35" t="str">
        <f>IF(E$15="","",SUMIFS('Background (from TC)'!$J$4:$J$1048576,'Background (from TC)'!$D$4:$D$1048576,E$15,'Background (from TC)'!$E$4:$E$1048576,E$16,'Background (from TC)'!$O$4:$O$1048576,E$17)*E29*E64)</f>
        <v/>
      </c>
      <c r="F80" s="35" t="str">
        <f>IF(F$15="","",SUMIFS('Background (from TC)'!$J$4:$J$1048576,'Background (from TC)'!$D$4:$D$1048576,F$15,'Background (from TC)'!$E$4:$E$1048576,F$16,'Background (from TC)'!$O$4:$O$1048576,F$17)*F29*F64)</f>
        <v/>
      </c>
      <c r="G80" s="35" t="str">
        <f>IF(G$15="","",SUMIFS('Background (from TC)'!$J$4:$J$1048576,'Background (from TC)'!$D$4:$D$1048576,G$15,'Background (from TC)'!$E$4:$E$1048576,G$16,'Background (from TC)'!$O$4:$O$1048576,G$17)*G29*G64)</f>
        <v/>
      </c>
      <c r="H80" s="35" t="str">
        <f>IF(H$15="","",SUMIFS('Background (from TC)'!$J$4:$J$1048576,'Background (from TC)'!$D$4:$D$1048576,H$15,'Background (from TC)'!$E$4:$E$1048576,H$16,'Background (from TC)'!$O$4:$O$1048576,H$17)*H29*H64)</f>
        <v/>
      </c>
      <c r="I80" s="35" t="str">
        <f>IF(I$15="","",SUMIFS('Background (from TC)'!$J$4:$J$1048576,'Background (from TC)'!$D$4:$D$1048576,I$15,'Background (from TC)'!$E$4:$E$1048576,I$16,'Background (from TC)'!$O$4:$O$1048576,I$17)*I29*I64)</f>
        <v/>
      </c>
      <c r="J80" s="35" t="str">
        <f>IF(J$15="","",SUMIFS('Background (from TC)'!$J$4:$J$1048576,'Background (from TC)'!$D$4:$D$1048576,J$15,'Background (from TC)'!$E$4:$E$1048576,J$16,'Background (from TC)'!$O$4:$O$1048576,J$17)*J29*J64)</f>
        <v/>
      </c>
      <c r="K80" s="35" t="str">
        <f>IF(K$15="","",SUMIFS('Background (from TC)'!$J$4:$J$1048576,'Background (from TC)'!$D$4:$D$1048576,K$15,'Background (from TC)'!$E$4:$E$1048576,K$16,'Background (from TC)'!$O$4:$O$1048576,K$17)*K29*K64)</f>
        <v/>
      </c>
      <c r="L80" s="35" t="str">
        <f>IF(L$15="","",SUMIFS('Background (from TC)'!$J$4:$J$1048576,'Background (from TC)'!$D$4:$D$1048576,L$15,'Background (from TC)'!$E$4:$E$1048576,L$16,'Background (from TC)'!$O$4:$O$1048576,L$17)*L29*L64)</f>
        <v/>
      </c>
      <c r="M80" s="35" t="str">
        <f>IF(M$15="","",SUMIFS('Background (from TC)'!$J$4:$J$1048576,'Background (from TC)'!$D$4:$D$1048576,M$15,'Background (from TC)'!$E$4:$E$1048576,M$16,'Background (from TC)'!$O$4:$O$1048576,M$17)*M29*M64)</f>
        <v/>
      </c>
      <c r="N80" s="35" t="str">
        <f>IF(N$15="","",SUMIFS('Background (from TC)'!$J$4:$J$1048576,'Background (from TC)'!$D$4:$D$1048576,N$15,'Background (from TC)'!$E$4:$E$1048576,N$16,'Background (from TC)'!$O$4:$O$1048576,N$17)*N29*N64)</f>
        <v/>
      </c>
      <c r="O80" s="35" t="str">
        <f>IF(O$15="","",SUMIFS('Background (from TC)'!$J$4:$J$1048576,'Background (from TC)'!$D$4:$D$1048576,O$15,'Background (from TC)'!$E$4:$E$1048576,O$16,'Background (from TC)'!$O$4:$O$1048576,O$17)*O29*O64)</f>
        <v/>
      </c>
      <c r="P80" s="35" t="str">
        <f>IF(P$15="","",SUMIFS('Background (from TC)'!$J$4:$J$1048576,'Background (from TC)'!$D$4:$D$1048576,P$15,'Background (from TC)'!$E$4:$E$1048576,P$16,'Background (from TC)'!$O$4:$O$1048576,P$17)*P29*P64)</f>
        <v/>
      </c>
      <c r="Q80" s="35" t="str">
        <f>IF(Q$15="","",SUMIFS('Background (from TC)'!$J$4:$J$1048576,'Background (from TC)'!$D$4:$D$1048576,Q$15,'Background (from TC)'!$E$4:$E$1048576,Q$16,'Background (from TC)'!$O$4:$O$1048576,Q$17)*Q29*Q64)</f>
        <v/>
      </c>
      <c r="R80" s="35" t="str">
        <f>IF(R$15="","",SUMIFS('Background (from TC)'!$J$4:$J$1048576,'Background (from TC)'!$D$4:$D$1048576,R$15,'Background (from TC)'!$E$4:$E$1048576,R$16,'Background (from TC)'!$O$4:$O$1048576,R$17)*R29*R64)</f>
        <v/>
      </c>
      <c r="S80" s="35" t="str">
        <f>IF(S$15="","",SUMIFS('Background (from TC)'!$J$4:$J$1048576,'Background (from TC)'!$D$4:$D$1048576,S$15,'Background (from TC)'!$E$4:$E$1048576,S$16,'Background (from TC)'!$O$4:$O$1048576,S$17)*S29*S64)</f>
        <v/>
      </c>
      <c r="T80" s="35" t="str">
        <f>IF(T$15="","",SUMIFS('Background (from TC)'!$J$4:$J$1048576,'Background (from TC)'!$D$4:$D$1048576,T$15,'Background (from TC)'!$E$4:$E$1048576,T$16,'Background (from TC)'!$O$4:$O$1048576,T$17)*T29*T64)</f>
        <v/>
      </c>
      <c r="U80" s="35" t="str">
        <f>IF(U$15="","",SUMIFS('Background (from TC)'!$J$4:$J$1048576,'Background (from TC)'!$D$4:$D$1048576,U$15,'Background (from TC)'!$E$4:$E$1048576,U$16,'Background (from TC)'!$O$4:$O$1048576,U$17)*U29*U64)</f>
        <v/>
      </c>
      <c r="V80" s="35" t="str">
        <f>IF(V$15="","",SUMIFS('Background (from TC)'!$J$4:$J$1048576,'Background (from TC)'!$D$4:$D$1048576,V$15,'Background (from TC)'!$E$4:$E$1048576,V$16,'Background (from TC)'!$O$4:$O$1048576,V$17)*V29*V64)</f>
        <v/>
      </c>
      <c r="W80" s="35" t="str">
        <f>IF(W$15="","",SUMIFS('Background (from TC)'!$J$4:$J$1048576,'Background (from TC)'!$D$4:$D$1048576,W$15,'Background (from TC)'!$E$4:$E$1048576,W$16,'Background (from TC)'!$O$4:$O$1048576,W$17)*W29*W64)</f>
        <v/>
      </c>
      <c r="X80" s="35" t="str">
        <f>IF(X$15="","",SUMIFS('Background (from TC)'!$J$4:$J$1048576,'Background (from TC)'!$D$4:$D$1048576,X$15,'Background (from TC)'!$E$4:$E$1048576,X$16,'Background (from TC)'!$O$4:$O$1048576,X$17)*X29*X64)</f>
        <v/>
      </c>
      <c r="Y80" s="35" t="str">
        <f>IF(Y$15="","",SUMIFS('Background (from TC)'!$J$4:$J$1048576,'Background (from TC)'!$D$4:$D$1048576,Y$15,'Background (from TC)'!$E$4:$E$1048576,Y$16,'Background (from TC)'!$O$4:$O$1048576,Y$17)*Y29*Y64)</f>
        <v/>
      </c>
      <c r="Z80" s="35" t="str">
        <f>IF(Z$15="","",SUMIFS('Background (from TC)'!$J$4:$J$1048576,'Background (from TC)'!$D$4:$D$1048576,Z$15,'Background (from TC)'!$E$4:$E$1048576,Z$16,'Background (from TC)'!$O$4:$O$1048576,Z$17)*Z29*Z64)</f>
        <v/>
      </c>
    </row>
    <row r="81" spans="2:26">
      <c r="B81" s="278" t="s">
        <v>963</v>
      </c>
      <c r="C81" s="35" t="str">
        <f>IF(C$15="","",SUMIFS('Background (from TC)'!$N$4:$N$1048576,'Background (from TC)'!$D$4:$D$1048576,C$15,'Background (from TC)'!$E$4:$E$1048576,C$16,'Background (from TC)'!$O$4:$O$1048576,C$17))</f>
        <v/>
      </c>
      <c r="D81" s="35" t="str">
        <f>IF(D$15="","",SUMIFS('Background (from TC)'!$N$4:$N$1048576,'Background (from TC)'!$D$4:$D$1048576,D$15,'Background (from TC)'!$E$4:$E$1048576,D$16,'Background (from TC)'!$O$4:$O$1048576,D$17))</f>
        <v/>
      </c>
      <c r="E81" s="35" t="str">
        <f>IF(E$15="","",SUMIFS('Background (from TC)'!$N$4:$N$1048576,'Background (from TC)'!$D$4:$D$1048576,E$15,'Background (from TC)'!$E$4:$E$1048576,E$16,'Background (from TC)'!$O$4:$O$1048576,E$17))</f>
        <v/>
      </c>
      <c r="F81" s="35" t="str">
        <f>IF(F$15="","",SUMIFS('Background (from TC)'!$N$4:$N$1048576,'Background (from TC)'!$D$4:$D$1048576,F$15,'Background (from TC)'!$E$4:$E$1048576,F$16,'Background (from TC)'!$O$4:$O$1048576,F$17))</f>
        <v/>
      </c>
      <c r="G81" s="35" t="str">
        <f>IF(G$15="","",SUMIFS('Background (from TC)'!$N$4:$N$1048576,'Background (from TC)'!$D$4:$D$1048576,G$15,'Background (from TC)'!$E$4:$E$1048576,G$16,'Background (from TC)'!$O$4:$O$1048576,G$17))</f>
        <v/>
      </c>
      <c r="H81" s="35" t="str">
        <f>IF(H$15="","",SUMIFS('Background (from TC)'!$N$4:$N$1048576,'Background (from TC)'!$D$4:$D$1048576,H$15,'Background (from TC)'!$E$4:$E$1048576,H$16,'Background (from TC)'!$O$4:$O$1048576,H$17))</f>
        <v/>
      </c>
      <c r="I81" s="35" t="str">
        <f>IF(I$15="","",SUMIFS('Background (from TC)'!$N$4:$N$1048576,'Background (from TC)'!$D$4:$D$1048576,I$15,'Background (from TC)'!$E$4:$E$1048576,I$16,'Background (from TC)'!$O$4:$O$1048576,I$17))</f>
        <v/>
      </c>
      <c r="J81" s="35" t="str">
        <f>IF(J$15="","",SUMIFS('Background (from TC)'!$N$4:$N$1048576,'Background (from TC)'!$D$4:$D$1048576,J$15,'Background (from TC)'!$E$4:$E$1048576,J$16,'Background (from TC)'!$O$4:$O$1048576,J$17))</f>
        <v/>
      </c>
      <c r="K81" s="35" t="str">
        <f>IF(K$15="","",SUMIFS('Background (from TC)'!$N$4:$N$1048576,'Background (from TC)'!$D$4:$D$1048576,K$15,'Background (from TC)'!$E$4:$E$1048576,K$16,'Background (from TC)'!$O$4:$O$1048576,K$17))</f>
        <v/>
      </c>
      <c r="L81" s="35" t="str">
        <f>IF(L$15="","",SUMIFS('Background (from TC)'!$N$4:$N$1048576,'Background (from TC)'!$D$4:$D$1048576,L$15,'Background (from TC)'!$E$4:$E$1048576,L$16,'Background (from TC)'!$O$4:$O$1048576,L$17))</f>
        <v/>
      </c>
      <c r="M81" s="35" t="str">
        <f>IF(M$15="","",SUMIFS('Background (from TC)'!$N$4:$N$1048576,'Background (from TC)'!$D$4:$D$1048576,M$15,'Background (from TC)'!$E$4:$E$1048576,M$16,'Background (from TC)'!$O$4:$O$1048576,M$17))</f>
        <v/>
      </c>
      <c r="N81" s="35" t="str">
        <f>IF(N$15="","",SUMIFS('Background (from TC)'!$N$4:$N$1048576,'Background (from TC)'!$D$4:$D$1048576,N$15,'Background (from TC)'!$E$4:$E$1048576,N$16,'Background (from TC)'!$O$4:$O$1048576,N$17))</f>
        <v/>
      </c>
      <c r="O81" s="35" t="str">
        <f>IF(O$15="","",SUMIFS('Background (from TC)'!$N$4:$N$1048576,'Background (from TC)'!$D$4:$D$1048576,O$15,'Background (from TC)'!$E$4:$E$1048576,O$16,'Background (from TC)'!$O$4:$O$1048576,O$17))</f>
        <v/>
      </c>
      <c r="P81" s="35" t="str">
        <f>IF(P$15="","",SUMIFS('Background (from TC)'!$N$4:$N$1048576,'Background (from TC)'!$D$4:$D$1048576,P$15,'Background (from TC)'!$E$4:$E$1048576,P$16,'Background (from TC)'!$O$4:$O$1048576,P$17))</f>
        <v/>
      </c>
      <c r="Q81" s="35" t="str">
        <f>IF(Q$15="","",SUMIFS('Background (from TC)'!$N$4:$N$1048576,'Background (from TC)'!$D$4:$D$1048576,Q$15,'Background (from TC)'!$E$4:$E$1048576,Q$16,'Background (from TC)'!$O$4:$O$1048576,Q$17))</f>
        <v/>
      </c>
      <c r="R81" s="35" t="str">
        <f>IF(R$15="","",SUMIFS('Background (from TC)'!$N$4:$N$1048576,'Background (from TC)'!$D$4:$D$1048576,R$15,'Background (from TC)'!$E$4:$E$1048576,R$16,'Background (from TC)'!$O$4:$O$1048576,R$17))</f>
        <v/>
      </c>
      <c r="S81" s="35" t="str">
        <f>IF(S$15="","",SUMIFS('Background (from TC)'!$N$4:$N$1048576,'Background (from TC)'!$D$4:$D$1048576,S$15,'Background (from TC)'!$E$4:$E$1048576,S$16,'Background (from TC)'!$O$4:$O$1048576,S$17))</f>
        <v/>
      </c>
      <c r="T81" s="35" t="str">
        <f>IF(T$15="","",SUMIFS('Background (from TC)'!$N$4:$N$1048576,'Background (from TC)'!$D$4:$D$1048576,T$15,'Background (from TC)'!$E$4:$E$1048576,T$16,'Background (from TC)'!$O$4:$O$1048576,T$17))</f>
        <v/>
      </c>
      <c r="U81" s="35" t="str">
        <f>IF(U$15="","",SUMIFS('Background (from TC)'!$N$4:$N$1048576,'Background (from TC)'!$D$4:$D$1048576,U$15,'Background (from TC)'!$E$4:$E$1048576,U$16,'Background (from TC)'!$O$4:$O$1048576,U$17))</f>
        <v/>
      </c>
      <c r="V81" s="35" t="str">
        <f>IF(V$15="","",SUMIFS('Background (from TC)'!$N$4:$N$1048576,'Background (from TC)'!$D$4:$D$1048576,V$15,'Background (from TC)'!$E$4:$E$1048576,V$16,'Background (from TC)'!$O$4:$O$1048576,V$17))</f>
        <v/>
      </c>
      <c r="W81" s="35" t="str">
        <f>IF(W$15="","",SUMIFS('Background (from TC)'!$N$4:$N$1048576,'Background (from TC)'!$D$4:$D$1048576,W$15,'Background (from TC)'!$E$4:$E$1048576,W$16,'Background (from TC)'!$O$4:$O$1048576,W$17))</f>
        <v/>
      </c>
      <c r="X81" s="35" t="str">
        <f>IF(X$15="","",SUMIFS('Background (from TC)'!$N$4:$N$1048576,'Background (from TC)'!$D$4:$D$1048576,X$15,'Background (from TC)'!$E$4:$E$1048576,X$16,'Background (from TC)'!$O$4:$O$1048576,X$17))</f>
        <v/>
      </c>
      <c r="Y81" s="35" t="str">
        <f>IF(Y$15="","",SUMIFS('Background (from TC)'!$N$4:$N$1048576,'Background (from TC)'!$D$4:$D$1048576,Y$15,'Background (from TC)'!$E$4:$E$1048576,Y$16,'Background (from TC)'!$O$4:$O$1048576,Y$17))</f>
        <v/>
      </c>
      <c r="Z81" s="35" t="str">
        <f>IF(Z$15="","",SUMIFS('Background (from TC)'!$N$4:$N$1048576,'Background (from TC)'!$D$4:$D$1048576,Z$15,'Background (from TC)'!$E$4:$E$1048576,Z$16,'Background (from TC)'!$O$4:$O$1048576,Z$17))</f>
        <v/>
      </c>
    </row>
    <row r="82" spans="2:26">
      <c r="B82" s="278"/>
      <c r="C82" s="35"/>
      <c r="D82" s="35"/>
      <c r="E82" s="35"/>
      <c r="F82" s="43"/>
      <c r="G82" s="43"/>
      <c r="H82" s="43"/>
      <c r="I82" s="43"/>
      <c r="J82" s="43"/>
      <c r="K82" s="43"/>
      <c r="L82" s="43"/>
      <c r="M82" s="43"/>
      <c r="N82" s="43"/>
      <c r="O82" s="43"/>
      <c r="P82" s="43"/>
      <c r="Q82" s="43"/>
      <c r="R82" s="43"/>
      <c r="S82" s="43"/>
      <c r="T82" s="43"/>
      <c r="U82" s="43"/>
      <c r="V82" s="43"/>
      <c r="W82" s="43"/>
      <c r="X82" s="43"/>
      <c r="Y82" s="43"/>
      <c r="Z82" s="43"/>
    </row>
    <row r="83" spans="2:26">
      <c r="B83" s="278" t="s">
        <v>97</v>
      </c>
      <c r="C83" s="35"/>
      <c r="D83" s="35"/>
      <c r="E83" s="35"/>
      <c r="F83" s="43"/>
      <c r="G83" s="43"/>
      <c r="H83" s="43"/>
      <c r="I83" s="43"/>
      <c r="J83" s="43"/>
      <c r="K83" s="43"/>
      <c r="L83" s="43"/>
      <c r="M83" s="43"/>
      <c r="N83" s="43"/>
      <c r="O83" s="43"/>
      <c r="P83" s="43"/>
      <c r="Q83" s="43"/>
      <c r="R83" s="43"/>
      <c r="S83" s="43"/>
      <c r="T83" s="43"/>
      <c r="U83" s="43"/>
      <c r="V83" s="43"/>
      <c r="W83" s="43"/>
      <c r="X83" s="43"/>
      <c r="Y83" s="43"/>
      <c r="Z83" s="43"/>
    </row>
    <row r="84" spans="2:26">
      <c r="B84" s="278" t="s">
        <v>98</v>
      </c>
      <c r="C84" s="35" t="str">
        <f t="shared" ref="C84:Z84" si="13">IF(C15="","",C76*10^6*C25/IF(C15="Storage",C50,C34))</f>
        <v/>
      </c>
      <c r="D84" s="35" t="str">
        <f t="shared" si="13"/>
        <v/>
      </c>
      <c r="E84" s="35" t="str">
        <f t="shared" si="13"/>
        <v/>
      </c>
      <c r="F84" s="35" t="str">
        <f t="shared" si="13"/>
        <v/>
      </c>
      <c r="G84" s="35" t="str">
        <f t="shared" si="13"/>
        <v/>
      </c>
      <c r="H84" s="35" t="str">
        <f t="shared" si="13"/>
        <v/>
      </c>
      <c r="I84" s="35" t="str">
        <f t="shared" si="13"/>
        <v/>
      </c>
      <c r="J84" s="35" t="str">
        <f t="shared" si="13"/>
        <v/>
      </c>
      <c r="K84" s="35" t="str">
        <f t="shared" si="13"/>
        <v/>
      </c>
      <c r="L84" s="35" t="str">
        <f t="shared" si="13"/>
        <v/>
      </c>
      <c r="M84" s="35" t="str">
        <f t="shared" si="13"/>
        <v/>
      </c>
      <c r="N84" s="35" t="str">
        <f t="shared" si="13"/>
        <v/>
      </c>
      <c r="O84" s="35" t="str">
        <f t="shared" si="13"/>
        <v/>
      </c>
      <c r="P84" s="35" t="str">
        <f t="shared" si="13"/>
        <v/>
      </c>
      <c r="Q84" s="35" t="str">
        <f t="shared" si="13"/>
        <v/>
      </c>
      <c r="R84" s="35" t="str">
        <f t="shared" si="13"/>
        <v/>
      </c>
      <c r="S84" s="35" t="str">
        <f t="shared" si="13"/>
        <v/>
      </c>
      <c r="T84" s="35" t="str">
        <f t="shared" si="13"/>
        <v/>
      </c>
      <c r="U84" s="35" t="str">
        <f t="shared" si="13"/>
        <v/>
      </c>
      <c r="V84" s="35" t="str">
        <f t="shared" si="13"/>
        <v/>
      </c>
      <c r="W84" s="35" t="str">
        <f t="shared" si="13"/>
        <v/>
      </c>
      <c r="X84" s="35" t="str">
        <f t="shared" si="13"/>
        <v/>
      </c>
      <c r="Y84" s="35" t="str">
        <f t="shared" si="13"/>
        <v/>
      </c>
      <c r="Z84" s="35" t="str">
        <f t="shared" si="13"/>
        <v/>
      </c>
    </row>
    <row r="85" spans="2:26">
      <c r="B85" s="278" t="s">
        <v>99</v>
      </c>
      <c r="C85" s="35" t="str">
        <f t="shared" ref="C85:Z85" si="14">IF(C15="","",C77*10^3/IF(C15="Storage",C50,C34))</f>
        <v/>
      </c>
      <c r="D85" s="35" t="str">
        <f t="shared" si="14"/>
        <v/>
      </c>
      <c r="E85" s="35" t="str">
        <f t="shared" si="14"/>
        <v/>
      </c>
      <c r="F85" s="35" t="str">
        <f t="shared" si="14"/>
        <v/>
      </c>
      <c r="G85" s="35" t="str">
        <f t="shared" si="14"/>
        <v/>
      </c>
      <c r="H85" s="35" t="str">
        <f t="shared" si="14"/>
        <v/>
      </c>
      <c r="I85" s="35" t="str">
        <f t="shared" si="14"/>
        <v/>
      </c>
      <c r="J85" s="35" t="str">
        <f t="shared" si="14"/>
        <v/>
      </c>
      <c r="K85" s="35" t="str">
        <f t="shared" si="14"/>
        <v/>
      </c>
      <c r="L85" s="35" t="str">
        <f t="shared" si="14"/>
        <v/>
      </c>
      <c r="M85" s="35" t="str">
        <f t="shared" si="14"/>
        <v/>
      </c>
      <c r="N85" s="35" t="str">
        <f t="shared" si="14"/>
        <v/>
      </c>
      <c r="O85" s="35" t="str">
        <f t="shared" si="14"/>
        <v/>
      </c>
      <c r="P85" s="35" t="str">
        <f t="shared" si="14"/>
        <v/>
      </c>
      <c r="Q85" s="35" t="str">
        <f t="shared" si="14"/>
        <v/>
      </c>
      <c r="R85" s="35" t="str">
        <f t="shared" si="14"/>
        <v/>
      </c>
      <c r="S85" s="35" t="str">
        <f t="shared" si="14"/>
        <v/>
      </c>
      <c r="T85" s="35" t="str">
        <f t="shared" si="14"/>
        <v/>
      </c>
      <c r="U85" s="35" t="str">
        <f t="shared" si="14"/>
        <v/>
      </c>
      <c r="V85" s="35" t="str">
        <f t="shared" si="14"/>
        <v/>
      </c>
      <c r="W85" s="35" t="str">
        <f t="shared" si="14"/>
        <v/>
      </c>
      <c r="X85" s="35" t="str">
        <f t="shared" si="14"/>
        <v/>
      </c>
      <c r="Y85" s="35" t="str">
        <f t="shared" si="14"/>
        <v/>
      </c>
      <c r="Z85" s="35" t="str">
        <f t="shared" si="14"/>
        <v/>
      </c>
    </row>
    <row r="86" spans="2:26">
      <c r="B86" s="278" t="s">
        <v>100</v>
      </c>
      <c r="C86" s="1074" t="str">
        <f t="shared" ref="C86:Z87" si="15">IF(C15="","",C78)</f>
        <v/>
      </c>
      <c r="D86" s="1074" t="str">
        <f t="shared" si="15"/>
        <v/>
      </c>
      <c r="E86" s="1074" t="str">
        <f t="shared" si="15"/>
        <v/>
      </c>
      <c r="F86" s="1074" t="str">
        <f t="shared" si="15"/>
        <v/>
      </c>
      <c r="G86" s="1074" t="str">
        <f t="shared" si="15"/>
        <v/>
      </c>
      <c r="H86" s="1074" t="str">
        <f t="shared" si="15"/>
        <v/>
      </c>
      <c r="I86" s="1074" t="str">
        <f t="shared" si="15"/>
        <v/>
      </c>
      <c r="J86" s="1074" t="str">
        <f t="shared" si="15"/>
        <v/>
      </c>
      <c r="K86" s="1074" t="str">
        <f t="shared" si="15"/>
        <v/>
      </c>
      <c r="L86" s="1074" t="str">
        <f t="shared" si="15"/>
        <v/>
      </c>
      <c r="M86" s="1074" t="str">
        <f t="shared" si="15"/>
        <v/>
      </c>
      <c r="N86" s="1074" t="str">
        <f t="shared" si="15"/>
        <v/>
      </c>
      <c r="O86" s="1074" t="str">
        <f t="shared" si="15"/>
        <v/>
      </c>
      <c r="P86" s="1074" t="str">
        <f t="shared" si="15"/>
        <v/>
      </c>
      <c r="Q86" s="1074" t="str">
        <f t="shared" si="15"/>
        <v/>
      </c>
      <c r="R86" s="1074" t="str">
        <f t="shared" si="15"/>
        <v/>
      </c>
      <c r="S86" s="1074" t="str">
        <f t="shared" si="15"/>
        <v/>
      </c>
      <c r="T86" s="1074" t="str">
        <f t="shared" si="15"/>
        <v/>
      </c>
      <c r="U86" s="1074" t="str">
        <f t="shared" si="15"/>
        <v/>
      </c>
      <c r="V86" s="1074" t="str">
        <f t="shared" si="15"/>
        <v/>
      </c>
      <c r="W86" s="1074" t="str">
        <f t="shared" si="15"/>
        <v/>
      </c>
      <c r="X86" s="1074" t="str">
        <f t="shared" si="15"/>
        <v/>
      </c>
      <c r="Y86" s="1074" t="str">
        <f t="shared" si="15"/>
        <v/>
      </c>
      <c r="Z86" s="1074" t="str">
        <f t="shared" si="15"/>
        <v/>
      </c>
    </row>
    <row r="87" spans="2:26">
      <c r="B87" s="278" t="s">
        <v>101</v>
      </c>
      <c r="C87" s="35" t="str">
        <f t="shared" ref="C87:Z87" si="16">IF(C15="","",C79)</f>
        <v/>
      </c>
      <c r="D87" s="35" t="str">
        <f t="shared" si="16"/>
        <v/>
      </c>
      <c r="E87" s="35" t="str">
        <f t="shared" si="16"/>
        <v/>
      </c>
      <c r="F87" s="35" t="str">
        <f t="shared" si="16"/>
        <v/>
      </c>
      <c r="G87" s="35" t="str">
        <f t="shared" si="16"/>
        <v/>
      </c>
      <c r="H87" s="35" t="str">
        <f t="shared" si="15"/>
        <v/>
      </c>
      <c r="I87" s="35" t="str">
        <f t="shared" si="16"/>
        <v/>
      </c>
      <c r="J87" s="35" t="str">
        <f t="shared" si="16"/>
        <v/>
      </c>
      <c r="K87" s="35" t="str">
        <f t="shared" si="16"/>
        <v/>
      </c>
      <c r="L87" s="35" t="str">
        <f t="shared" si="16"/>
        <v/>
      </c>
      <c r="M87" s="35" t="str">
        <f t="shared" si="16"/>
        <v/>
      </c>
      <c r="N87" s="35" t="str">
        <f t="shared" si="16"/>
        <v/>
      </c>
      <c r="O87" s="35" t="str">
        <f t="shared" si="16"/>
        <v/>
      </c>
      <c r="P87" s="35" t="str">
        <f t="shared" si="16"/>
        <v/>
      </c>
      <c r="Q87" s="35" t="str">
        <f t="shared" si="16"/>
        <v/>
      </c>
      <c r="R87" s="35" t="str">
        <f t="shared" si="16"/>
        <v/>
      </c>
      <c r="S87" s="35" t="str">
        <f t="shared" si="16"/>
        <v/>
      </c>
      <c r="T87" s="35" t="str">
        <f t="shared" si="16"/>
        <v/>
      </c>
      <c r="U87" s="35" t="str">
        <f t="shared" si="16"/>
        <v/>
      </c>
      <c r="V87" s="35" t="str">
        <f t="shared" si="16"/>
        <v/>
      </c>
      <c r="W87" s="35" t="str">
        <f t="shared" si="16"/>
        <v/>
      </c>
      <c r="X87" s="35" t="str">
        <f t="shared" si="16"/>
        <v/>
      </c>
      <c r="Y87" s="35" t="str">
        <f t="shared" si="16"/>
        <v/>
      </c>
      <c r="Z87" s="35" t="str">
        <f t="shared" si="16"/>
        <v/>
      </c>
    </row>
    <row r="88" spans="2:26">
      <c r="B88" s="278" t="s">
        <v>102</v>
      </c>
      <c r="C88" s="35" t="str">
        <f t="shared" ref="C88:Z88" si="17">IF(C15="","",C80/IF(C15="Storage",C50,C34))</f>
        <v/>
      </c>
      <c r="D88" s="35" t="str">
        <f t="shared" si="17"/>
        <v/>
      </c>
      <c r="E88" s="35" t="str">
        <f t="shared" si="17"/>
        <v/>
      </c>
      <c r="F88" s="35" t="str">
        <f t="shared" si="17"/>
        <v/>
      </c>
      <c r="G88" s="35" t="str">
        <f t="shared" si="17"/>
        <v/>
      </c>
      <c r="H88" s="35" t="str">
        <f t="shared" si="17"/>
        <v/>
      </c>
      <c r="I88" s="35" t="str">
        <f t="shared" si="17"/>
        <v/>
      </c>
      <c r="J88" s="35" t="str">
        <f t="shared" si="17"/>
        <v/>
      </c>
      <c r="K88" s="35" t="str">
        <f t="shared" si="17"/>
        <v/>
      </c>
      <c r="L88" s="35" t="str">
        <f t="shared" si="17"/>
        <v/>
      </c>
      <c r="M88" s="35" t="str">
        <f t="shared" si="17"/>
        <v/>
      </c>
      <c r="N88" s="35" t="str">
        <f t="shared" si="17"/>
        <v/>
      </c>
      <c r="O88" s="35" t="str">
        <f t="shared" si="17"/>
        <v/>
      </c>
      <c r="P88" s="35" t="str">
        <f t="shared" si="17"/>
        <v/>
      </c>
      <c r="Q88" s="35" t="str">
        <f t="shared" si="17"/>
        <v/>
      </c>
      <c r="R88" s="35" t="str">
        <f t="shared" si="17"/>
        <v/>
      </c>
      <c r="S88" s="35" t="str">
        <f t="shared" si="17"/>
        <v/>
      </c>
      <c r="T88" s="35" t="str">
        <f t="shared" si="17"/>
        <v/>
      </c>
      <c r="U88" s="35" t="str">
        <f t="shared" si="17"/>
        <v/>
      </c>
      <c r="V88" s="35" t="str">
        <f t="shared" si="17"/>
        <v/>
      </c>
      <c r="W88" s="35" t="str">
        <f t="shared" si="17"/>
        <v/>
      </c>
      <c r="X88" s="35" t="str">
        <f t="shared" si="17"/>
        <v/>
      </c>
      <c r="Y88" s="35" t="str">
        <f t="shared" si="17"/>
        <v/>
      </c>
      <c r="Z88" s="35" t="str">
        <f t="shared" si="17"/>
        <v/>
      </c>
    </row>
    <row r="89" spans="2:26">
      <c r="B89" s="278" t="s">
        <v>103</v>
      </c>
      <c r="C89" s="35" t="str">
        <f t="shared" ref="C89:Z89" si="18">IF(C15="","",C81*10^6*C25/IF(C15="Storage",C50,C34))</f>
        <v/>
      </c>
      <c r="D89" s="35" t="str">
        <f t="shared" si="18"/>
        <v/>
      </c>
      <c r="E89" s="35" t="str">
        <f t="shared" si="18"/>
        <v/>
      </c>
      <c r="F89" s="35" t="str">
        <f t="shared" si="18"/>
        <v/>
      </c>
      <c r="G89" s="35" t="str">
        <f t="shared" si="18"/>
        <v/>
      </c>
      <c r="H89" s="35" t="str">
        <f t="shared" si="18"/>
        <v/>
      </c>
      <c r="I89" s="35" t="str">
        <f t="shared" si="18"/>
        <v/>
      </c>
      <c r="J89" s="35" t="str">
        <f t="shared" si="18"/>
        <v/>
      </c>
      <c r="K89" s="35" t="str">
        <f t="shared" si="18"/>
        <v/>
      </c>
      <c r="L89" s="35" t="str">
        <f t="shared" si="18"/>
        <v/>
      </c>
      <c r="M89" s="35" t="str">
        <f t="shared" si="18"/>
        <v/>
      </c>
      <c r="N89" s="35" t="str">
        <f t="shared" si="18"/>
        <v/>
      </c>
      <c r="O89" s="35" t="str">
        <f t="shared" si="18"/>
        <v/>
      </c>
      <c r="P89" s="35" t="str">
        <f t="shared" si="18"/>
        <v/>
      </c>
      <c r="Q89" s="35" t="str">
        <f t="shared" si="18"/>
        <v/>
      </c>
      <c r="R89" s="35" t="str">
        <f t="shared" si="18"/>
        <v/>
      </c>
      <c r="S89" s="35" t="str">
        <f t="shared" si="18"/>
        <v/>
      </c>
      <c r="T89" s="35" t="str">
        <f t="shared" si="18"/>
        <v/>
      </c>
      <c r="U89" s="35" t="str">
        <f t="shared" si="18"/>
        <v/>
      </c>
      <c r="V89" s="35" t="str">
        <f t="shared" si="18"/>
        <v/>
      </c>
      <c r="W89" s="35" t="str">
        <f t="shared" si="18"/>
        <v/>
      </c>
      <c r="X89" s="35" t="str">
        <f t="shared" si="18"/>
        <v/>
      </c>
      <c r="Y89" s="35" t="str">
        <f t="shared" si="18"/>
        <v/>
      </c>
      <c r="Z89" s="35" t="str">
        <f t="shared" si="18"/>
        <v/>
      </c>
    </row>
    <row r="90" spans="2:26">
      <c r="B90" s="278" t="s">
        <v>104</v>
      </c>
      <c r="C90" s="35" t="str">
        <f t="shared" ref="C90:Z90" si="19">IF(C15="","",IF(C67="Yes",C68*C72,0))</f>
        <v/>
      </c>
      <c r="D90" s="35" t="str">
        <f t="shared" si="19"/>
        <v/>
      </c>
      <c r="E90" s="35" t="str">
        <f t="shared" si="19"/>
        <v/>
      </c>
      <c r="F90" s="35" t="str">
        <f t="shared" si="19"/>
        <v/>
      </c>
      <c r="G90" s="35" t="str">
        <f t="shared" si="19"/>
        <v/>
      </c>
      <c r="H90" s="35" t="str">
        <f t="shared" si="19"/>
        <v/>
      </c>
      <c r="I90" s="35" t="str">
        <f t="shared" si="19"/>
        <v/>
      </c>
      <c r="J90" s="35" t="str">
        <f t="shared" si="19"/>
        <v/>
      </c>
      <c r="K90" s="35" t="str">
        <f t="shared" si="19"/>
        <v/>
      </c>
      <c r="L90" s="35" t="str">
        <f t="shared" si="19"/>
        <v/>
      </c>
      <c r="M90" s="35" t="str">
        <f t="shared" si="19"/>
        <v/>
      </c>
      <c r="N90" s="35" t="str">
        <f t="shared" si="19"/>
        <v/>
      </c>
      <c r="O90" s="35" t="str">
        <f t="shared" si="19"/>
        <v/>
      </c>
      <c r="P90" s="35" t="str">
        <f t="shared" si="19"/>
        <v/>
      </c>
      <c r="Q90" s="35" t="str">
        <f t="shared" si="19"/>
        <v/>
      </c>
      <c r="R90" s="35" t="str">
        <f t="shared" si="19"/>
        <v/>
      </c>
      <c r="S90" s="35" t="str">
        <f t="shared" si="19"/>
        <v/>
      </c>
      <c r="T90" s="35" t="str">
        <f t="shared" si="19"/>
        <v/>
      </c>
      <c r="U90" s="35" t="str">
        <f t="shared" si="19"/>
        <v/>
      </c>
      <c r="V90" s="35" t="str">
        <f t="shared" si="19"/>
        <v/>
      </c>
      <c r="W90" s="35" t="str">
        <f t="shared" si="19"/>
        <v/>
      </c>
      <c r="X90" s="35" t="str">
        <f t="shared" si="19"/>
        <v/>
      </c>
      <c r="Y90" s="35" t="str">
        <f t="shared" si="19"/>
        <v/>
      </c>
      <c r="Z90" s="35" t="str">
        <f t="shared" si="19"/>
        <v/>
      </c>
    </row>
    <row r="91" spans="2:26">
      <c r="B91" s="278"/>
      <c r="C91" s="18"/>
      <c r="D91" s="18"/>
      <c r="E91" s="18"/>
      <c r="F91" s="56"/>
      <c r="G91" s="56"/>
      <c r="H91" s="56"/>
      <c r="I91" s="56"/>
      <c r="J91" s="56"/>
      <c r="K91" s="56"/>
      <c r="L91" s="56"/>
      <c r="M91" s="56"/>
      <c r="N91" s="56"/>
      <c r="O91" s="56"/>
      <c r="P91" s="56"/>
      <c r="Q91" s="56"/>
      <c r="R91" s="56"/>
      <c r="S91" s="56"/>
      <c r="T91" s="56"/>
      <c r="U91" s="56"/>
      <c r="V91" s="56"/>
      <c r="W91" s="56"/>
      <c r="X91" s="56"/>
      <c r="Y91" s="56"/>
      <c r="Z91" s="56"/>
    </row>
    <row r="92" spans="2:26" ht="15.75" thickBot="1">
      <c r="B92" s="272" t="s">
        <v>105</v>
      </c>
      <c r="C92" s="408" t="str">
        <f>IF(C15="","",SUM(C84:C90))</f>
        <v/>
      </c>
      <c r="D92" s="408" t="str">
        <f t="shared" ref="D92:Z92" si="20">IF(D15="","",SUM(D84:D90))</f>
        <v/>
      </c>
      <c r="E92" s="408" t="str">
        <f t="shared" si="20"/>
        <v/>
      </c>
      <c r="F92" s="408" t="str">
        <f t="shared" si="20"/>
        <v/>
      </c>
      <c r="G92" s="408" t="str">
        <f t="shared" si="20"/>
        <v/>
      </c>
      <c r="H92" s="408" t="str">
        <f t="shared" si="20"/>
        <v/>
      </c>
      <c r="I92" s="408" t="str">
        <f t="shared" si="20"/>
        <v/>
      </c>
      <c r="J92" s="408" t="str">
        <f t="shared" si="20"/>
        <v/>
      </c>
      <c r="K92" s="408" t="str">
        <f t="shared" si="20"/>
        <v/>
      </c>
      <c r="L92" s="408" t="str">
        <f t="shared" si="20"/>
        <v/>
      </c>
      <c r="M92" s="408" t="str">
        <f t="shared" si="20"/>
        <v/>
      </c>
      <c r="N92" s="408" t="str">
        <f t="shared" si="20"/>
        <v/>
      </c>
      <c r="O92" s="408" t="str">
        <f t="shared" si="20"/>
        <v/>
      </c>
      <c r="P92" s="408" t="str">
        <f t="shared" si="20"/>
        <v/>
      </c>
      <c r="Q92" s="408" t="str">
        <f t="shared" si="20"/>
        <v/>
      </c>
      <c r="R92" s="408" t="str">
        <f t="shared" si="20"/>
        <v/>
      </c>
      <c r="S92" s="408" t="str">
        <f t="shared" si="20"/>
        <v/>
      </c>
      <c r="T92" s="79" t="str">
        <f t="shared" si="20"/>
        <v/>
      </c>
      <c r="U92" s="79" t="str">
        <f t="shared" si="20"/>
        <v/>
      </c>
      <c r="V92" s="79" t="str">
        <f t="shared" si="20"/>
        <v/>
      </c>
      <c r="W92" s="79" t="str">
        <f t="shared" si="20"/>
        <v/>
      </c>
      <c r="X92" s="79" t="str">
        <f t="shared" si="20"/>
        <v/>
      </c>
      <c r="Y92" s="79" t="str">
        <f t="shared" si="20"/>
        <v/>
      </c>
      <c r="Z92" s="79" t="str">
        <f t="shared" si="20"/>
        <v/>
      </c>
    </row>
    <row r="93" spans="2:26" ht="15.75" thickBot="1">
      <c r="B93" s="273" t="s">
        <v>43</v>
      </c>
      <c r="C93" s="59" t="str">
        <f>IF(ISERROR(C92),"Populate cells above","")</f>
        <v/>
      </c>
      <c r="D93" s="59" t="str">
        <f t="shared" ref="D93:Z93" si="21">IF(ISERROR(D92),"Populate cells above","")</f>
        <v/>
      </c>
      <c r="E93" s="59" t="str">
        <f t="shared" si="21"/>
        <v/>
      </c>
      <c r="F93" s="57" t="str">
        <f t="shared" si="21"/>
        <v/>
      </c>
      <c r="G93" s="57" t="str">
        <f t="shared" si="21"/>
        <v/>
      </c>
      <c r="H93" s="57" t="str">
        <f t="shared" si="21"/>
        <v/>
      </c>
      <c r="I93" s="57" t="str">
        <f t="shared" si="21"/>
        <v/>
      </c>
      <c r="J93" s="57" t="str">
        <f t="shared" si="21"/>
        <v/>
      </c>
      <c r="K93" s="57" t="str">
        <f t="shared" si="21"/>
        <v/>
      </c>
      <c r="L93" s="57" t="str">
        <f t="shared" si="21"/>
        <v/>
      </c>
      <c r="M93" s="57" t="str">
        <f t="shared" si="21"/>
        <v/>
      </c>
      <c r="N93" s="57" t="str">
        <f t="shared" si="21"/>
        <v/>
      </c>
      <c r="O93" s="57" t="str">
        <f t="shared" si="21"/>
        <v/>
      </c>
      <c r="P93" s="57" t="str">
        <f t="shared" si="21"/>
        <v/>
      </c>
      <c r="Q93" s="57" t="str">
        <f t="shared" si="21"/>
        <v/>
      </c>
      <c r="R93" s="57" t="str">
        <f t="shared" si="21"/>
        <v/>
      </c>
      <c r="S93" s="57" t="str">
        <f t="shared" si="21"/>
        <v/>
      </c>
      <c r="T93" s="57" t="str">
        <f t="shared" si="21"/>
        <v/>
      </c>
      <c r="U93" s="57" t="str">
        <f t="shared" si="21"/>
        <v/>
      </c>
      <c r="V93" s="57" t="str">
        <f t="shared" si="21"/>
        <v/>
      </c>
      <c r="W93" s="57" t="str">
        <f t="shared" si="21"/>
        <v/>
      </c>
      <c r="X93" s="57" t="str">
        <f t="shared" si="21"/>
        <v/>
      </c>
      <c r="Y93" s="57" t="str">
        <f t="shared" si="21"/>
        <v/>
      </c>
      <c r="Z93" s="58" t="str">
        <f t="shared" si="21"/>
        <v/>
      </c>
    </row>
    <row r="94" spans="2:26">
      <c r="B94" s="278" t="s">
        <v>106</v>
      </c>
      <c r="C94" t="str">
        <f>IF(C92="","",TEXT(C92,"#,#0")&amp;" $/MWh")</f>
        <v/>
      </c>
      <c r="D94" t="str">
        <f t="shared" ref="D94:Z94" si="22">IF(D92="","",TEXT(D92,"#,#0")&amp;" $/MWh")</f>
        <v/>
      </c>
      <c r="E94" t="str">
        <f t="shared" si="22"/>
        <v/>
      </c>
      <c r="F94" t="str">
        <f t="shared" si="22"/>
        <v/>
      </c>
      <c r="G94" t="str">
        <f t="shared" si="22"/>
        <v/>
      </c>
      <c r="H94" t="str">
        <f t="shared" si="22"/>
        <v/>
      </c>
      <c r="I94" t="str">
        <f t="shared" si="22"/>
        <v/>
      </c>
      <c r="J94" t="str">
        <f t="shared" si="22"/>
        <v/>
      </c>
      <c r="K94" t="str">
        <f t="shared" si="22"/>
        <v/>
      </c>
      <c r="L94" t="str">
        <f t="shared" si="22"/>
        <v/>
      </c>
      <c r="M94" t="str">
        <f t="shared" si="22"/>
        <v/>
      </c>
      <c r="N94" t="str">
        <f t="shared" si="22"/>
        <v/>
      </c>
      <c r="O94" t="str">
        <f t="shared" si="22"/>
        <v/>
      </c>
      <c r="P94" t="str">
        <f t="shared" si="22"/>
        <v/>
      </c>
      <c r="Q94" t="str">
        <f t="shared" si="22"/>
        <v/>
      </c>
      <c r="R94" t="str">
        <f t="shared" si="22"/>
        <v/>
      </c>
      <c r="S94" t="str">
        <f t="shared" si="22"/>
        <v/>
      </c>
      <c r="T94" t="str">
        <f t="shared" si="22"/>
        <v/>
      </c>
      <c r="U94" t="str">
        <f t="shared" si="22"/>
        <v/>
      </c>
      <c r="V94" t="str">
        <f t="shared" si="22"/>
        <v/>
      </c>
      <c r="W94" t="str">
        <f t="shared" si="22"/>
        <v/>
      </c>
      <c r="X94" t="str">
        <f t="shared" si="22"/>
        <v/>
      </c>
      <c r="Y94" t="str">
        <f t="shared" si="22"/>
        <v/>
      </c>
      <c r="Z94" t="str">
        <f t="shared" si="22"/>
        <v/>
      </c>
    </row>
    <row r="95" spans="2:26">
      <c r="B95" s="1"/>
    </row>
    <row r="98" spans="1:30">
      <c r="D98" s="54"/>
      <c r="E98" s="54"/>
    </row>
    <row r="99" spans="1:30" s="19" customFormat="1">
      <c r="C99" s="11"/>
      <c r="D99"/>
      <c r="E99" s="54"/>
      <c r="AA99" s="39"/>
      <c r="AB99"/>
      <c r="AC99"/>
      <c r="AD99"/>
    </row>
    <row r="100" spans="1:30" s="19" customFormat="1">
      <c r="A100"/>
      <c r="C100" s="8"/>
      <c r="D100" s="8"/>
      <c r="E100" s="8"/>
      <c r="F100" s="8"/>
      <c r="G100" s="8"/>
      <c r="H100" s="8"/>
      <c r="I100" s="8"/>
      <c r="J100" s="8"/>
      <c r="K100" s="8"/>
      <c r="L100" s="8"/>
      <c r="T100" s="8"/>
      <c r="AA100" s="39"/>
      <c r="AB100"/>
      <c r="AC100"/>
      <c r="AD100"/>
    </row>
    <row r="101" spans="1:30">
      <c r="B101" s="63" t="s">
        <v>1005</v>
      </c>
      <c r="C101" s="409"/>
      <c r="D101" s="409"/>
      <c r="E101" s="409"/>
      <c r="F101" s="409"/>
      <c r="G101" s="409"/>
      <c r="H101" s="409"/>
      <c r="I101" s="409"/>
      <c r="J101"/>
      <c r="K101"/>
      <c r="L101"/>
      <c r="T101"/>
    </row>
    <row r="102" spans="1:30">
      <c r="A102" s="1"/>
      <c r="B102" s="390" t="s">
        <v>1006</v>
      </c>
      <c r="E102" s="19"/>
    </row>
    <row r="103" spans="1:30" s="19" customFormat="1">
      <c r="A103" s="274"/>
      <c r="B103"/>
      <c r="C103" s="9"/>
      <c r="D103"/>
      <c r="AA103" s="39"/>
      <c r="AB103"/>
      <c r="AC103"/>
      <c r="AD103"/>
    </row>
    <row r="104" spans="1:30">
      <c r="A104" s="274"/>
      <c r="C104" s="409"/>
      <c r="D104" s="409"/>
      <c r="E104" s="409"/>
      <c r="F104" s="409"/>
      <c r="G104" s="409"/>
      <c r="H104" s="409"/>
      <c r="I104" s="409"/>
      <c r="J104" s="409"/>
      <c r="K104" s="409"/>
      <c r="L104" s="409"/>
      <c r="T104" s="409"/>
    </row>
    <row r="105" spans="1:30" s="19" customFormat="1">
      <c r="A105" s="274"/>
      <c r="B105" s="274"/>
      <c r="C105" s="409"/>
      <c r="D105" s="409"/>
      <c r="E105" s="409"/>
      <c r="F105" s="409"/>
      <c r="G105" s="409"/>
      <c r="H105" s="409"/>
      <c r="I105" s="409"/>
      <c r="J105" s="409"/>
      <c r="K105" s="409"/>
      <c r="L105" s="409"/>
      <c r="T105" s="409"/>
      <c r="AA105" s="39"/>
      <c r="AB105"/>
      <c r="AC105"/>
      <c r="AD105"/>
    </row>
    <row r="106" spans="1:30">
      <c r="C106" s="409"/>
      <c r="D106" s="409"/>
      <c r="E106" s="409"/>
      <c r="F106" s="409"/>
      <c r="G106" s="409"/>
      <c r="H106" s="409"/>
      <c r="I106" s="409"/>
      <c r="J106" s="409"/>
      <c r="K106" s="409"/>
      <c r="L106" s="409"/>
      <c r="T106" s="409"/>
    </row>
    <row r="107" spans="1:30" s="19" customFormat="1">
      <c r="A107"/>
      <c r="B107"/>
      <c r="C107" s="409"/>
      <c r="D107" s="409"/>
      <c r="E107" s="409"/>
      <c r="F107" s="409"/>
      <c r="G107" s="409"/>
      <c r="H107" s="409"/>
      <c r="I107" s="409"/>
      <c r="J107" s="409"/>
      <c r="K107" s="409"/>
      <c r="L107" s="409"/>
      <c r="T107" s="409"/>
      <c r="AA107" s="39"/>
      <c r="AB107"/>
      <c r="AC107"/>
      <c r="AD107"/>
    </row>
    <row r="108" spans="1:30">
      <c r="C108" s="409"/>
      <c r="D108" s="409"/>
      <c r="E108" s="409"/>
      <c r="F108" s="409"/>
      <c r="G108" s="409"/>
      <c r="H108" s="409"/>
      <c r="I108" s="409"/>
      <c r="J108" s="409"/>
      <c r="K108" s="409"/>
      <c r="L108" s="409"/>
      <c r="T108" s="409"/>
    </row>
    <row r="109" spans="1:30">
      <c r="C109" s="409"/>
      <c r="D109" s="409"/>
      <c r="E109" s="409"/>
      <c r="F109" s="409"/>
      <c r="G109" s="409"/>
      <c r="H109" s="409"/>
      <c r="I109" s="409"/>
      <c r="J109" s="409"/>
      <c r="K109" s="409"/>
      <c r="L109" s="409"/>
      <c r="T109" s="409"/>
    </row>
    <row r="110" spans="1:30" s="19" customFormat="1">
      <c r="A110"/>
      <c r="B110"/>
      <c r="C110" s="409"/>
      <c r="D110" s="409"/>
      <c r="E110" s="409"/>
      <c r="F110" s="409"/>
      <c r="G110" s="409"/>
      <c r="H110" s="409"/>
      <c r="I110" s="409"/>
      <c r="J110" s="409"/>
      <c r="K110" s="409"/>
      <c r="L110" s="409"/>
      <c r="T110" s="409"/>
      <c r="AA110" s="39"/>
      <c r="AB110"/>
      <c r="AC110"/>
      <c r="AD110"/>
    </row>
    <row r="111" spans="1:30">
      <c r="C111" s="409"/>
      <c r="D111" s="409"/>
      <c r="E111" s="409"/>
      <c r="F111" s="409"/>
      <c r="G111" s="409"/>
      <c r="H111" s="409"/>
      <c r="I111" s="409"/>
      <c r="J111" s="409"/>
      <c r="K111" s="409"/>
      <c r="L111" s="409"/>
      <c r="T111" s="409"/>
    </row>
    <row r="112" spans="1:30">
      <c r="C112" s="8"/>
      <c r="D112" s="8"/>
      <c r="E112" s="8"/>
      <c r="F112" s="8"/>
      <c r="G112" s="8"/>
      <c r="H112" s="8"/>
      <c r="I112" s="8"/>
      <c r="J112" s="8"/>
      <c r="K112" s="8"/>
    </row>
    <row r="113" spans="1:30" s="19" customFormat="1">
      <c r="A113"/>
      <c r="B113"/>
      <c r="C113" s="409"/>
      <c r="D113" s="409"/>
      <c r="E113" s="409"/>
      <c r="F113" s="409"/>
      <c r="G113" s="409"/>
      <c r="H113" s="409"/>
      <c r="I113" s="409"/>
      <c r="J113" s="409"/>
      <c r="K113" s="409"/>
      <c r="AA113" s="39"/>
      <c r="AB113"/>
      <c r="AC113"/>
      <c r="AD113"/>
    </row>
  </sheetData>
  <mergeCells count="1">
    <mergeCell ref="A11:A14"/>
  </mergeCells>
  <conditionalFormatting sqref="C32:Y32">
    <cfRule type="expression" dxfId="434" priority="54">
      <formula>NOT(ISBLANK(C$15))</formula>
    </cfRule>
  </conditionalFormatting>
  <conditionalFormatting sqref="C15:Z15">
    <cfRule type="notContainsBlanks" dxfId="433" priority="60">
      <formula>LEN(TRIM(C15))&gt;0</formula>
    </cfRule>
  </conditionalFormatting>
  <conditionalFormatting sqref="C16:Z17">
    <cfRule type="expression" dxfId="432" priority="40">
      <formula>NOT(ISBLANK(C$15))</formula>
    </cfRule>
  </conditionalFormatting>
  <conditionalFormatting sqref="C18:Z18">
    <cfRule type="notContainsBlanks" dxfId="431" priority="35">
      <formula>LEN(TRIM(C18))&gt;0</formula>
    </cfRule>
  </conditionalFormatting>
  <conditionalFormatting sqref="C19:Z19">
    <cfRule type="containsText" dxfId="430" priority="3" operator="containsText" text="Technology unavailable in this year. Please revise">
      <formula>NOT(ISERROR(SEARCH("Technology unavailable in this year. Please revise",C19)))</formula>
    </cfRule>
  </conditionalFormatting>
  <conditionalFormatting sqref="C19:Z20">
    <cfRule type="containsText" dxfId="429" priority="39" operator="containsText" text="Incompatible combination of Fuel and Technology">
      <formula>NOT(ISERROR(SEARCH("Incompatible combination of Fuel and Technology",C19)))</formula>
    </cfRule>
  </conditionalFormatting>
  <conditionalFormatting sqref="C22:Z22">
    <cfRule type="expression" dxfId="428" priority="58">
      <formula>NOT(ISBLANK(C$15))</formula>
    </cfRule>
  </conditionalFormatting>
  <conditionalFormatting sqref="C23:Z23">
    <cfRule type="expression" dxfId="427" priority="2">
      <formula>C15=""</formula>
    </cfRule>
    <cfRule type="expression" dxfId="426" priority="59">
      <formula>C22="Generic"</formula>
    </cfRule>
    <cfRule type="expression" dxfId="425" priority="57">
      <formula>C22="User defined"</formula>
    </cfRule>
  </conditionalFormatting>
  <conditionalFormatting sqref="C24:Z25">
    <cfRule type="notContainsBlanks" dxfId="424" priority="55">
      <formula>LEN(TRIM(C24))&gt;0</formula>
    </cfRule>
  </conditionalFormatting>
  <conditionalFormatting sqref="C26:Z27 C30:Z30">
    <cfRule type="containsText" dxfId="423" priority="50" operator="containsText" text="Value should be between 0 and 1">
      <formula>NOT(ISERROR(SEARCH("Value should be between 0 and 1",C26)))</formula>
    </cfRule>
    <cfRule type="containsText" dxfId="422" priority="56" operator="containsText" text="Insert value above">
      <formula>NOT(ISERROR(SEARCH("Insert value above",C26)))</formula>
    </cfRule>
  </conditionalFormatting>
  <conditionalFormatting sqref="C28:Z29">
    <cfRule type="notContainsBlanks" dxfId="421" priority="4">
      <formula>LEN(TRIM(C28))&gt;0</formula>
    </cfRule>
  </conditionalFormatting>
  <conditionalFormatting sqref="C32:Z32">
    <cfRule type="expression" dxfId="420" priority="43">
      <formula>C$15="Storage"</formula>
    </cfRule>
  </conditionalFormatting>
  <conditionalFormatting sqref="C33:Z33">
    <cfRule type="expression" dxfId="419" priority="53">
      <formula>C32="Generic"</formula>
    </cfRule>
    <cfRule type="expression" dxfId="418" priority="52">
      <formula>C32="User defined"</formula>
    </cfRule>
  </conditionalFormatting>
  <conditionalFormatting sqref="C33:Z34">
    <cfRule type="expression" dxfId="417" priority="42">
      <formula>C$15=""</formula>
    </cfRule>
    <cfRule type="expression" dxfId="416" priority="1">
      <formula>C$15="Storage"</formula>
    </cfRule>
  </conditionalFormatting>
  <conditionalFormatting sqref="C34:Z34">
    <cfRule type="notContainsBlanks" dxfId="415" priority="51">
      <formula>LEN(TRIM(C34))&gt;0</formula>
    </cfRule>
  </conditionalFormatting>
  <conditionalFormatting sqref="C35:Z37">
    <cfRule type="containsText" dxfId="414" priority="49" operator="containsText" text="Insert value above">
      <formula>NOT(ISERROR(SEARCH("Insert value above",C35)))</formula>
    </cfRule>
    <cfRule type="containsText" dxfId="413" priority="48" operator="containsText" text="Value should be between 0 and 1">
      <formula>NOT(ISERROR(SEARCH("Value should be between 0 and 1",C35)))</formula>
    </cfRule>
    <cfRule type="containsText" dxfId="412" priority="31" operator="containsText" text="Absence of generic data, please switch to User Defined and insert FLHs">
      <formula>NOT(ISERROR(SEARCH("Absence of generic data, please switch to User Defined and insert FLHs",C35)))</formula>
    </cfRule>
  </conditionalFormatting>
  <conditionalFormatting sqref="C38:Z38">
    <cfRule type="expression" dxfId="411" priority="9">
      <formula>C$15="Storage"</formula>
    </cfRule>
  </conditionalFormatting>
  <conditionalFormatting sqref="C38:Z48">
    <cfRule type="expression" dxfId="410" priority="8">
      <formula>C$15&lt;&gt;"Storage"</formula>
    </cfRule>
  </conditionalFormatting>
  <conditionalFormatting sqref="C38:Z52">
    <cfRule type="expression" dxfId="409" priority="7">
      <formula>C$15=""</formula>
    </cfRule>
  </conditionalFormatting>
  <conditionalFormatting sqref="C39:Z41">
    <cfRule type="expression" dxfId="408" priority="47">
      <formula>C$38&lt;&gt;"User defined"</formula>
    </cfRule>
    <cfRule type="expression" dxfId="407" priority="33">
      <formula>C$38="User defined"</formula>
    </cfRule>
  </conditionalFormatting>
  <conditionalFormatting sqref="C42:Z46">
    <cfRule type="expression" dxfId="406" priority="32">
      <formula>C$38&lt;&gt;""</formula>
    </cfRule>
  </conditionalFormatting>
  <conditionalFormatting sqref="C45:Z48">
    <cfRule type="expression" dxfId="405" priority="46">
      <formula>C$38&lt;&gt;""</formula>
    </cfRule>
    <cfRule type="expression" dxfId="404" priority="34">
      <formula>C$38=""</formula>
    </cfRule>
  </conditionalFormatting>
  <conditionalFormatting sqref="C47:Z48">
    <cfRule type="expression" dxfId="403" priority="45">
      <formula>C$38="Generic"</formula>
    </cfRule>
    <cfRule type="expression" dxfId="402" priority="44">
      <formula>C$38="User defined"</formula>
    </cfRule>
  </conditionalFormatting>
  <conditionalFormatting sqref="C49:Z52">
    <cfRule type="expression" dxfId="401" priority="64">
      <formula>C$15&lt;&gt;"Storage"</formula>
    </cfRule>
    <cfRule type="expression" dxfId="400" priority="62">
      <formula>C$38=""</formula>
    </cfRule>
    <cfRule type="expression" dxfId="399" priority="63">
      <formula>C$15="Storage"</formula>
    </cfRule>
  </conditionalFormatting>
  <conditionalFormatting sqref="C53:Z53">
    <cfRule type="containsText" dxfId="398" priority="10" operator="containsText" text="Exceeding maximum possible annual cycles. Please revise">
      <formula>NOT(ISERROR(SEARCH("Exceeding maximum possible annual cycles. Please revise",C53)))</formula>
    </cfRule>
  </conditionalFormatting>
  <conditionalFormatting sqref="C56:Z56">
    <cfRule type="expression" dxfId="397" priority="61">
      <formula>NOT(ISBLANK(C$15))</formula>
    </cfRule>
  </conditionalFormatting>
  <conditionalFormatting sqref="C57:Z57">
    <cfRule type="expression" dxfId="396" priority="30">
      <formula>C56&lt;&gt;"User Defined"</formula>
    </cfRule>
  </conditionalFormatting>
  <conditionalFormatting sqref="C57:Z58">
    <cfRule type="expression" dxfId="395" priority="26">
      <formula>C56="User defined"</formula>
    </cfRule>
  </conditionalFormatting>
  <conditionalFormatting sqref="C57:Z61">
    <cfRule type="expression" dxfId="394" priority="5">
      <formula>C$15=""</formula>
    </cfRule>
  </conditionalFormatting>
  <conditionalFormatting sqref="C58:Z60">
    <cfRule type="expression" dxfId="393" priority="6">
      <formula>C$15&lt;&gt;""</formula>
    </cfRule>
  </conditionalFormatting>
  <conditionalFormatting sqref="C59:Z59">
    <cfRule type="expression" dxfId="392" priority="65">
      <formula>NOT(OR(C$15="Storage",C$56="User Defined"))</formula>
    </cfRule>
  </conditionalFormatting>
  <conditionalFormatting sqref="C61:Z61">
    <cfRule type="containsText" dxfId="391" priority="28" operator="containsText" text="Value should be between 0 and 1">
      <formula>NOT(ISERROR(SEARCH("Value should be between 0 and 1",C61)))</formula>
    </cfRule>
    <cfRule type="containsText" dxfId="390" priority="29" operator="containsText" text="Insert value above">
      <formula>NOT(ISERROR(SEARCH("Insert value above",C61)))</formula>
    </cfRule>
    <cfRule type="containsText" dxfId="389" priority="27" operator="containsText" text="Absence of generic data, please switch to User Defined and insert FLHs">
      <formula>NOT(ISERROR(SEARCH("Absence of generic data, please switch to User Defined and insert FLHs",C61)))</formula>
    </cfRule>
  </conditionalFormatting>
  <conditionalFormatting sqref="C64:Z64">
    <cfRule type="expression" dxfId="388" priority="70">
      <formula>C$15=""</formula>
    </cfRule>
  </conditionalFormatting>
  <conditionalFormatting sqref="C67:Z67">
    <cfRule type="expression" dxfId="387" priority="21">
      <formula>NOT(ISBLANK(C$15))</formula>
    </cfRule>
    <cfRule type="expression" dxfId="386" priority="20">
      <formula>AND(NOT(ISBLANK(C$15)),C67="Yes")</formula>
    </cfRule>
    <cfRule type="expression" dxfId="385" priority="19">
      <formula>AND(NOT(ISBLANK(C$15)),C67="No")</formula>
    </cfRule>
  </conditionalFormatting>
  <conditionalFormatting sqref="C67:Z68 C72:Z72">
    <cfRule type="expression" dxfId="384" priority="12">
      <formula>ISBLANK(C$15)</formula>
    </cfRule>
  </conditionalFormatting>
  <conditionalFormatting sqref="C68:Z68 C72:Z72">
    <cfRule type="expression" dxfId="383" priority="18">
      <formula>C$67="Yes"</formula>
    </cfRule>
  </conditionalFormatting>
  <conditionalFormatting sqref="C68:Z72">
    <cfRule type="expression" dxfId="382" priority="13">
      <formula>C$67="No"</formula>
    </cfRule>
  </conditionalFormatting>
  <conditionalFormatting sqref="C69:Z69">
    <cfRule type="expression" dxfId="381" priority="66">
      <formula>NOT(ISNUMBER(C$60))</formula>
    </cfRule>
    <cfRule type="expression" dxfId="380" priority="67">
      <formula>NOT(ISBLANK(C$15))</formula>
    </cfRule>
  </conditionalFormatting>
  <conditionalFormatting sqref="C69:Z71">
    <cfRule type="expression" dxfId="379" priority="11">
      <formula>C$15=""</formula>
    </cfRule>
    <cfRule type="expression" dxfId="378" priority="69">
      <formula>C$15="Storage"</formula>
    </cfRule>
  </conditionalFormatting>
  <conditionalFormatting sqref="C70:Z70">
    <cfRule type="expression" dxfId="377" priority="16">
      <formula>C69&lt;&gt;"User defined"</formula>
    </cfRule>
    <cfRule type="expression" dxfId="376" priority="17">
      <formula>C69="User defined"</formula>
    </cfRule>
  </conditionalFormatting>
  <conditionalFormatting sqref="C71:Z71">
    <cfRule type="expression" dxfId="375" priority="15">
      <formula>C69&lt;&gt;"User defined"</formula>
    </cfRule>
    <cfRule type="expression" dxfId="374" priority="14">
      <formula>C69="User defined"</formula>
    </cfRule>
  </conditionalFormatting>
  <conditionalFormatting sqref="C75:Z75">
    <cfRule type="expression" dxfId="373" priority="22">
      <formula>ISBLANK(C$15)</formula>
    </cfRule>
    <cfRule type="expression" dxfId="372" priority="23">
      <formula>AND(NOT(ISBLANK(C$15)),C75="No")</formula>
    </cfRule>
    <cfRule type="expression" dxfId="371" priority="24">
      <formula>AND(NOT(ISBLANK(C$15)),C75="Yes")</formula>
    </cfRule>
    <cfRule type="expression" dxfId="370" priority="25">
      <formula>NOT(ISBLANK(C$15))</formula>
    </cfRule>
  </conditionalFormatting>
  <conditionalFormatting sqref="C76:Z81 C84:Z90">
    <cfRule type="expression" dxfId="369" priority="37">
      <formula>NOT(ISBLANK(C$15))</formula>
    </cfRule>
  </conditionalFormatting>
  <conditionalFormatting sqref="C92:Z92">
    <cfRule type="expression" dxfId="368" priority="36">
      <formula>NOT(ISBLANK(C$15))</formula>
    </cfRule>
  </conditionalFormatting>
  <conditionalFormatting sqref="C93:Z93">
    <cfRule type="containsText" dxfId="367" priority="41" operator="containsText" text="Populate cells above">
      <formula>NOT(ISERROR(SEARCH("Populate cells above",C93)))</formula>
    </cfRule>
  </conditionalFormatting>
  <conditionalFormatting sqref="Z73">
    <cfRule type="expression" dxfId="366" priority="38">
      <formula>NOT(ISBLANK(Z$15))</formula>
    </cfRule>
  </conditionalFormatting>
  <dataValidations count="2">
    <dataValidation type="list" allowBlank="1" showInputMessage="1" showErrorMessage="1" sqref="C38:Z38 C32:Y32 C69:Z69 C22:Z22 C56:Z56" xr:uid="{F8E5EE44-0EC8-45A7-8A84-5344695AB4EC}">
      <formula1>"Generic, User defined"</formula1>
    </dataValidation>
    <dataValidation type="list" allowBlank="1" showInputMessage="1" showErrorMessage="1" sqref="C75:Z75 C67:Z67" xr:uid="{2D3C5E4D-502C-413D-BED2-1331DA273A2C}">
      <formula1>"Yes, No"</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73" id="{4194E37D-D1DB-4306-B5DF-A455CF656EE6}">
            <xm:f>SUMIFS('Background (from TC)'!$J$4:$J$1048576,'Background (from TC)'!$D$4:$D$1048576,C$15,'Background (from TC)'!$E$4:$E$1048576,C$16,'Background (from TC)'!$O$4:$O$1048576,C$17)=""</xm:f>
            <x14:dxf>
              <font>
                <color theme="0" tint="-0.24994659260841701"/>
              </font>
              <fill>
                <patternFill>
                  <bgColor theme="0" tint="-0.24994659260841701"/>
                </patternFill>
              </fill>
            </x14:dxf>
          </x14:cfRule>
          <x14:cfRule type="expression" priority="71" id="{65C67593-7696-4EB6-83FC-9BBED73BCBE8}">
            <xm:f>SUMIFS('Background (from TC)'!$J$4:$J$1048576,'Background (from TC)'!$D$4:$D$1048576,C$15,'Background (from TC)'!$E$4:$E$1048576,C$16,'Background (from TC)'!$O$4:$O$1048576,C$17)&gt;0</xm:f>
            <x14:dxf>
              <fill>
                <patternFill>
                  <bgColor theme="6" tint="0.79998168889431442"/>
                </patternFill>
              </fill>
            </x14:dxf>
          </x14:cfRule>
          <x14:cfRule type="expression" priority="72" id="{80B9D087-0065-440A-A093-28198A55ABA9}">
            <xm:f>SUMIFS('Background (from TC)'!$J$4:$J$1048576,'Background (from TC)'!$D$4:$D$1048576,C$15,'Background (from TC)'!$E$4:$E$1048576,C$16,'Background (from TC)'!$O$4:$O$1048576,C$17)=0</xm:f>
            <x14:dxf>
              <font>
                <color theme="0" tint="-0.24994659260841701"/>
              </font>
              <fill>
                <patternFill>
                  <bgColor theme="0" tint="-0.24994659260841701"/>
                </patternFill>
              </fill>
            </x14:dxf>
          </x14:cfRule>
          <xm:sqref>C64:Z64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3B874313-0141-4759-A2B4-BBDA1C8B8FF3}">
          <x14:formula1>
            <xm:f>OFFSET('Background (from TC)'!$A$4,,,COUNTIF('Background (from TC)'!$A$4:$A$1048576,"?*"))</xm:f>
          </x14:formula1>
          <xm:sqref>C15:Z15</xm:sqref>
        </x14:dataValidation>
        <x14:dataValidation type="list" allowBlank="1" showInputMessage="1" showErrorMessage="1" xr:uid="{D2926C06-C2B7-473A-A15F-ECB77D741387}">
          <x14:formula1>
            <xm:f>OFFSET('Background (from TC)'!$C$4,,,COUNTIF('Background (from TC)'!$C$4:$C$1048576,"&lt;&gt;"))</xm:f>
          </x14:formula1>
          <xm:sqref>C17:Z17</xm:sqref>
        </x14:dataValidation>
        <x14:dataValidation type="list" allowBlank="1" showInputMessage="1" showErrorMessage="1" xr:uid="{824D20BD-BAF1-445F-AC91-969C24F31460}">
          <x14:formula1>
            <xm:f>OFFSET('Fuel - Technology Mapping'!$A$3,0,MATCH(C$15,'Fuel - Technology Mapping'!1:1,0)-1,1000000)</xm:f>
          </x14:formula1>
          <xm:sqref>C16:Z16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145E2-8FCC-4D7E-8380-730137921B49}">
  <sheetPr codeName="Sheet35">
    <tabColor theme="3" tint="0.39997558519241921"/>
  </sheetPr>
  <dimension ref="A1:T66"/>
  <sheetViews>
    <sheetView zoomScaleNormal="10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7" style="93" bestFit="1" customWidth="1"/>
    <col min="12" max="12" width="6.7109375" style="93" customWidth="1"/>
    <col min="13" max="13" width="1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c r="C1" s="416"/>
    </row>
    <row r="2" spans="2:19">
      <c r="K2" s="415"/>
    </row>
    <row r="3" spans="2:19" ht="14.1" customHeight="1">
      <c r="B3" s="699" t="s">
        <v>145</v>
      </c>
      <c r="C3" s="1169" t="s">
        <v>949</v>
      </c>
      <c r="D3" s="1169"/>
      <c r="E3" s="1169"/>
      <c r="F3" s="1169"/>
      <c r="G3" s="1169"/>
      <c r="H3" s="1169"/>
      <c r="I3" s="1169"/>
      <c r="J3" s="1169"/>
      <c r="K3" s="1170"/>
      <c r="M3" s="97"/>
      <c r="N3" s="1183"/>
      <c r="O3" s="1144"/>
      <c r="P3" s="1144"/>
      <c r="Q3" s="1144"/>
      <c r="R3" s="1144"/>
      <c r="S3" s="1144"/>
    </row>
    <row r="4" spans="2:19" ht="14.1" customHeight="1">
      <c r="B4" s="701"/>
      <c r="C4" s="650">
        <v>2023</v>
      </c>
      <c r="D4" s="650">
        <v>2030</v>
      </c>
      <c r="E4" s="650">
        <v>2050</v>
      </c>
      <c r="F4" s="1171" t="s">
        <v>236</v>
      </c>
      <c r="G4" s="1170"/>
      <c r="H4" s="1171" t="s">
        <v>237</v>
      </c>
      <c r="I4" s="1170"/>
      <c r="J4" s="650" t="s">
        <v>238</v>
      </c>
      <c r="K4" s="650" t="s">
        <v>239</v>
      </c>
      <c r="M4" s="100"/>
      <c r="N4" s="101"/>
      <c r="O4" s="101"/>
      <c r="P4" s="101"/>
      <c r="Q4" s="101"/>
      <c r="R4" s="101"/>
      <c r="S4" s="101"/>
    </row>
    <row r="5" spans="2:19">
      <c r="B5" s="702" t="s">
        <v>240</v>
      </c>
      <c r="C5" s="672"/>
      <c r="D5" s="672"/>
      <c r="E5" s="672"/>
      <c r="F5" s="700" t="s">
        <v>241</v>
      </c>
      <c r="G5" s="700" t="s">
        <v>242</v>
      </c>
      <c r="H5" s="700" t="s">
        <v>241</v>
      </c>
      <c r="I5" s="700" t="s">
        <v>242</v>
      </c>
      <c r="J5" s="672"/>
      <c r="K5" s="703"/>
      <c r="M5" s="1146"/>
      <c r="N5" s="1146"/>
      <c r="O5" s="1146"/>
      <c r="P5" s="1146"/>
      <c r="Q5" s="1146"/>
      <c r="R5" s="1146"/>
      <c r="S5" s="1146"/>
    </row>
    <row r="6" spans="2:19">
      <c r="B6" s="538" t="s">
        <v>243</v>
      </c>
      <c r="C6" s="973">
        <v>186</v>
      </c>
      <c r="D6" s="973">
        <v>186</v>
      </c>
      <c r="E6" s="973">
        <v>186</v>
      </c>
      <c r="F6" s="704"/>
      <c r="G6" s="704"/>
      <c r="H6" s="704"/>
      <c r="I6" s="704"/>
      <c r="J6" s="674" t="s">
        <v>246</v>
      </c>
      <c r="K6" s="675">
        <v>1</v>
      </c>
      <c r="M6" s="109"/>
      <c r="N6" s="1139"/>
      <c r="O6" s="1140"/>
      <c r="P6" s="1140"/>
      <c r="Q6" s="1140"/>
      <c r="R6" s="1140"/>
      <c r="S6" s="1140"/>
    </row>
    <row r="7" spans="2:19" ht="22.5" customHeight="1">
      <c r="B7" s="538" t="s">
        <v>244</v>
      </c>
      <c r="C7" s="742">
        <v>534</v>
      </c>
      <c r="D7" s="742">
        <v>534</v>
      </c>
      <c r="E7" s="742">
        <v>534</v>
      </c>
      <c r="F7" s="704"/>
      <c r="G7" s="704"/>
      <c r="H7" s="704"/>
      <c r="I7" s="704"/>
      <c r="J7" s="674" t="s">
        <v>743</v>
      </c>
      <c r="K7" s="675">
        <v>1</v>
      </c>
      <c r="M7" s="109"/>
      <c r="N7" s="110"/>
      <c r="O7" s="111"/>
      <c r="P7" s="111"/>
      <c r="Q7" s="111"/>
      <c r="R7" s="111"/>
      <c r="S7" s="111"/>
    </row>
    <row r="8" spans="2:19">
      <c r="B8" s="538" t="s">
        <v>245</v>
      </c>
      <c r="C8" s="743">
        <v>33</v>
      </c>
      <c r="D8" s="743">
        <v>34</v>
      </c>
      <c r="E8" s="743">
        <v>36</v>
      </c>
      <c r="F8" s="744"/>
      <c r="G8" s="745"/>
      <c r="H8" s="745"/>
      <c r="I8" s="745"/>
      <c r="J8" s="674" t="s">
        <v>246</v>
      </c>
      <c r="K8" s="675" t="s">
        <v>737</v>
      </c>
      <c r="M8" s="109"/>
      <c r="N8" s="113"/>
      <c r="O8" s="113"/>
      <c r="P8" s="113"/>
      <c r="Q8" s="113"/>
      <c r="R8" s="113"/>
      <c r="S8" s="113"/>
    </row>
    <row r="9" spans="2:19">
      <c r="B9" s="539" t="s">
        <v>247</v>
      </c>
      <c r="C9" s="743">
        <v>31</v>
      </c>
      <c r="D9" s="743">
        <v>32</v>
      </c>
      <c r="E9" s="743">
        <v>34</v>
      </c>
      <c r="F9" s="744"/>
      <c r="G9" s="745"/>
      <c r="H9" s="745"/>
      <c r="I9" s="745"/>
      <c r="J9" s="676" t="s">
        <v>246</v>
      </c>
      <c r="K9" s="675" t="s">
        <v>737</v>
      </c>
      <c r="M9" s="109"/>
      <c r="N9" s="113"/>
      <c r="O9" s="113"/>
      <c r="P9" s="113"/>
      <c r="Q9" s="113"/>
      <c r="R9" s="113"/>
      <c r="S9" s="113"/>
    </row>
    <row r="10" spans="2:19">
      <c r="B10" s="538" t="s">
        <v>663</v>
      </c>
      <c r="C10" s="746"/>
      <c r="D10" s="704"/>
      <c r="E10" s="704"/>
      <c r="F10" s="747"/>
      <c r="G10" s="747"/>
      <c r="H10" s="704"/>
      <c r="I10" s="704"/>
      <c r="J10" s="674"/>
      <c r="K10" s="675"/>
      <c r="M10" s="109"/>
      <c r="N10" s="113"/>
      <c r="O10" s="113"/>
      <c r="P10" s="113"/>
      <c r="Q10" s="113"/>
      <c r="R10" s="113"/>
      <c r="S10" s="113"/>
    </row>
    <row r="11" spans="2:19">
      <c r="B11" s="538" t="s">
        <v>248</v>
      </c>
      <c r="C11" s="735">
        <v>0.12</v>
      </c>
      <c r="D11" s="735">
        <v>0.12</v>
      </c>
      <c r="E11" s="735">
        <v>0.12</v>
      </c>
      <c r="F11" s="704"/>
      <c r="G11" s="704"/>
      <c r="H11" s="704"/>
      <c r="I11" s="704"/>
      <c r="J11" s="674"/>
      <c r="K11" s="675"/>
      <c r="M11" s="93"/>
      <c r="N11" s="116"/>
      <c r="O11" s="116"/>
      <c r="P11" s="116"/>
      <c r="Q11" s="116"/>
      <c r="R11" s="116"/>
      <c r="S11" s="113"/>
    </row>
    <row r="12" spans="2:19">
      <c r="B12" s="533" t="s">
        <v>249</v>
      </c>
      <c r="C12" s="746"/>
      <c r="D12" s="745"/>
      <c r="E12" s="745"/>
      <c r="F12" s="704"/>
      <c r="G12" s="704"/>
      <c r="H12" s="704"/>
      <c r="I12" s="704"/>
      <c r="J12" s="674"/>
      <c r="K12" s="675"/>
      <c r="M12" s="93"/>
      <c r="N12" s="116"/>
      <c r="O12" s="116"/>
      <c r="P12" s="116"/>
      <c r="Q12" s="116"/>
      <c r="R12" s="116"/>
      <c r="S12" s="113"/>
    </row>
    <row r="13" spans="2:19">
      <c r="B13" s="533" t="s">
        <v>250</v>
      </c>
      <c r="C13" s="746" t="s">
        <v>146</v>
      </c>
      <c r="D13" s="745"/>
      <c r="E13" s="745"/>
      <c r="F13" s="704"/>
      <c r="G13" s="704"/>
      <c r="H13" s="674"/>
      <c r="I13" s="704"/>
      <c r="J13" s="674"/>
      <c r="K13" s="675"/>
      <c r="M13" s="109"/>
      <c r="N13" s="113"/>
      <c r="O13" s="113"/>
      <c r="P13" s="113"/>
      <c r="Q13" s="113"/>
      <c r="R13" s="113"/>
      <c r="S13" s="113"/>
    </row>
    <row r="14" spans="2:19">
      <c r="B14" s="533" t="s">
        <v>252</v>
      </c>
      <c r="C14" s="746"/>
      <c r="D14" s="745"/>
      <c r="E14" s="745"/>
      <c r="F14" s="674"/>
      <c r="G14" s="674"/>
      <c r="H14" s="748"/>
      <c r="I14" s="673"/>
      <c r="J14" s="673"/>
      <c r="K14" s="678"/>
      <c r="M14" s="109"/>
      <c r="N14" s="113"/>
      <c r="O14" s="113"/>
      <c r="P14" s="113"/>
      <c r="Q14" s="113"/>
      <c r="R14" s="113"/>
      <c r="S14" s="113"/>
    </row>
    <row r="15" spans="2:19">
      <c r="B15" s="734" t="s">
        <v>939</v>
      </c>
      <c r="C15" s="735">
        <v>0.9</v>
      </c>
      <c r="D15" s="735">
        <v>0.9</v>
      </c>
      <c r="E15" s="735">
        <v>0.9</v>
      </c>
      <c r="F15" s="736">
        <v>0.5</v>
      </c>
      <c r="G15" s="736">
        <v>0.95</v>
      </c>
      <c r="H15" s="737">
        <v>0.7</v>
      </c>
      <c r="I15" s="735">
        <v>0.99</v>
      </c>
      <c r="J15" s="674" t="s">
        <v>300</v>
      </c>
      <c r="K15" s="675" t="s">
        <v>737</v>
      </c>
      <c r="M15" s="109"/>
      <c r="N15" s="113"/>
      <c r="O15" s="113"/>
      <c r="P15" s="113"/>
      <c r="Q15" s="113"/>
      <c r="R15" s="113"/>
      <c r="S15" s="113"/>
    </row>
    <row r="16" spans="2:19">
      <c r="B16" s="540" t="s">
        <v>484</v>
      </c>
      <c r="C16" s="749" t="s">
        <v>597</v>
      </c>
      <c r="D16" s="678" t="s">
        <v>597</v>
      </c>
      <c r="E16" s="678" t="s">
        <v>597</v>
      </c>
      <c r="F16" s="678" t="s">
        <v>597</v>
      </c>
      <c r="G16" s="678" t="s">
        <v>597</v>
      </c>
      <c r="H16" s="678" t="s">
        <v>597</v>
      </c>
      <c r="I16" s="678" t="s">
        <v>597</v>
      </c>
      <c r="J16" s="709"/>
      <c r="K16" s="674"/>
      <c r="M16" s="109"/>
      <c r="N16" s="113"/>
      <c r="O16" s="113"/>
      <c r="P16" s="113"/>
      <c r="Q16" s="113"/>
      <c r="R16" s="113"/>
      <c r="S16" s="113"/>
    </row>
    <row r="17" spans="2:19">
      <c r="B17" s="541" t="s">
        <v>255</v>
      </c>
      <c r="C17" s="750"/>
      <c r="D17" s="712"/>
      <c r="E17" s="712"/>
      <c r="F17" s="712"/>
      <c r="G17" s="712"/>
      <c r="H17" s="712"/>
      <c r="I17" s="712"/>
      <c r="J17" s="712"/>
      <c r="K17" s="751"/>
      <c r="M17" s="109"/>
      <c r="N17" s="113"/>
      <c r="O17" s="113"/>
      <c r="P17" s="113"/>
      <c r="Q17" s="113"/>
      <c r="R17" s="113"/>
      <c r="S17" s="113"/>
    </row>
    <row r="18" spans="2:19">
      <c r="B18" s="540" t="s">
        <v>256</v>
      </c>
      <c r="C18" s="749" t="s">
        <v>597</v>
      </c>
      <c r="D18" s="678" t="s">
        <v>146</v>
      </c>
      <c r="E18" s="678" t="s">
        <v>146</v>
      </c>
      <c r="F18" s="678" t="s">
        <v>146</v>
      </c>
      <c r="G18" s="678" t="s">
        <v>146</v>
      </c>
      <c r="H18" s="678" t="s">
        <v>146</v>
      </c>
      <c r="I18" s="678" t="s">
        <v>146</v>
      </c>
      <c r="J18" s="709"/>
      <c r="K18" s="674"/>
      <c r="M18" s="109"/>
      <c r="N18" s="113"/>
      <c r="O18" s="113"/>
      <c r="P18" s="113"/>
      <c r="Q18" s="113"/>
      <c r="R18" s="113"/>
      <c r="S18" s="113"/>
    </row>
    <row r="19" spans="2:19">
      <c r="B19" s="540" t="s">
        <v>257</v>
      </c>
      <c r="C19" s="749" t="s">
        <v>597</v>
      </c>
      <c r="D19" s="678" t="s">
        <v>146</v>
      </c>
      <c r="E19" s="678" t="s">
        <v>146</v>
      </c>
      <c r="F19" s="678" t="s">
        <v>146</v>
      </c>
      <c r="G19" s="678" t="s">
        <v>146</v>
      </c>
      <c r="H19" s="678" t="s">
        <v>146</v>
      </c>
      <c r="I19" s="678" t="s">
        <v>146</v>
      </c>
      <c r="J19" s="709"/>
      <c r="K19" s="674"/>
      <c r="M19" s="109"/>
      <c r="N19" s="113"/>
      <c r="O19" s="113"/>
      <c r="P19" s="113"/>
      <c r="Q19" s="113"/>
      <c r="R19" s="113"/>
      <c r="S19" s="113"/>
    </row>
    <row r="20" spans="2:19">
      <c r="B20" s="542" t="s">
        <v>258</v>
      </c>
      <c r="C20" s="752"/>
      <c r="D20" s="681"/>
      <c r="E20" s="681"/>
      <c r="F20" s="681"/>
      <c r="G20" s="681"/>
      <c r="H20" s="681"/>
      <c r="I20" s="681"/>
      <c r="J20" s="681"/>
      <c r="K20" s="682"/>
      <c r="M20" s="109"/>
      <c r="N20" s="113"/>
      <c r="O20" s="113"/>
      <c r="P20" s="113"/>
      <c r="Q20" s="113"/>
      <c r="R20" s="113"/>
      <c r="S20" s="113"/>
    </row>
    <row r="21" spans="2:19">
      <c r="B21" s="533" t="s">
        <v>259</v>
      </c>
      <c r="C21" s="735">
        <v>0.03</v>
      </c>
      <c r="D21" s="735">
        <v>0.03</v>
      </c>
      <c r="E21" s="735">
        <v>0.03</v>
      </c>
      <c r="F21" s="674"/>
      <c r="G21" s="674"/>
      <c r="H21" s="674"/>
      <c r="I21" s="674"/>
      <c r="J21" s="709" t="s">
        <v>265</v>
      </c>
      <c r="K21" s="675">
        <v>4</v>
      </c>
      <c r="L21" s="130"/>
      <c r="M21" s="109"/>
      <c r="N21" s="113"/>
      <c r="O21" s="113"/>
      <c r="P21" s="113"/>
      <c r="Q21" s="113"/>
      <c r="R21" s="113"/>
      <c r="S21" s="113"/>
    </row>
    <row r="22" spans="2:19">
      <c r="B22" s="533" t="s">
        <v>260</v>
      </c>
      <c r="C22" s="735">
        <v>0.5</v>
      </c>
      <c r="D22" s="735">
        <v>0.5</v>
      </c>
      <c r="E22" s="735">
        <v>0.5</v>
      </c>
      <c r="F22" s="674"/>
      <c r="G22" s="674"/>
      <c r="H22" s="674"/>
      <c r="I22" s="674"/>
      <c r="J22" s="709" t="s">
        <v>303</v>
      </c>
      <c r="K22" s="675">
        <v>4</v>
      </c>
      <c r="M22" s="109"/>
      <c r="N22" s="113"/>
      <c r="O22" s="113"/>
      <c r="P22" s="113"/>
      <c r="Q22" s="113"/>
      <c r="R22" s="113"/>
      <c r="S22" s="113"/>
    </row>
    <row r="23" spans="2:19">
      <c r="B23" s="533" t="s">
        <v>261</v>
      </c>
      <c r="C23" s="704">
        <v>6</v>
      </c>
      <c r="D23" s="704">
        <v>6</v>
      </c>
      <c r="E23" s="704">
        <v>6</v>
      </c>
      <c r="F23" s="674"/>
      <c r="G23" s="674"/>
      <c r="H23" s="674"/>
      <c r="I23" s="674"/>
      <c r="J23" s="709"/>
      <c r="K23" s="675">
        <v>3</v>
      </c>
      <c r="M23" s="109"/>
      <c r="N23" s="113"/>
      <c r="O23" s="113"/>
      <c r="P23" s="113"/>
      <c r="Q23" s="113"/>
      <c r="R23" s="113"/>
      <c r="S23" s="113"/>
    </row>
    <row r="24" spans="2:19">
      <c r="B24" s="533" t="s">
        <v>262</v>
      </c>
      <c r="C24" s="704">
        <v>50</v>
      </c>
      <c r="D24" s="704">
        <v>50</v>
      </c>
      <c r="E24" s="704">
        <v>50</v>
      </c>
      <c r="F24" s="674">
        <v>15</v>
      </c>
      <c r="G24" s="674">
        <v>80</v>
      </c>
      <c r="H24" s="674">
        <v>15</v>
      </c>
      <c r="I24" s="674">
        <v>80</v>
      </c>
      <c r="J24" s="709"/>
      <c r="K24" s="709" t="s">
        <v>557</v>
      </c>
      <c r="M24" s="109"/>
      <c r="N24" s="113"/>
      <c r="O24" s="113"/>
      <c r="P24" s="113"/>
      <c r="Q24" s="113"/>
      <c r="R24" s="113"/>
      <c r="S24" s="113"/>
    </row>
    <row r="25" spans="2:19">
      <c r="B25" s="542" t="s">
        <v>263</v>
      </c>
      <c r="C25" s="753"/>
      <c r="D25" s="532"/>
      <c r="E25" s="532"/>
      <c r="F25" s="532"/>
      <c r="G25" s="532"/>
      <c r="H25" s="532"/>
      <c r="I25" s="532"/>
      <c r="J25" s="532"/>
      <c r="K25" s="671"/>
      <c r="M25" s="1146"/>
      <c r="N25" s="1146"/>
      <c r="O25" s="1146"/>
      <c r="P25" s="1146"/>
      <c r="Q25" s="1146"/>
      <c r="R25" s="1146"/>
      <c r="S25" s="1146"/>
    </row>
    <row r="26" spans="2:19">
      <c r="B26" s="533" t="s">
        <v>664</v>
      </c>
      <c r="C26" s="708">
        <v>115</v>
      </c>
      <c r="D26" s="708">
        <v>115</v>
      </c>
      <c r="E26" s="708">
        <v>115</v>
      </c>
      <c r="F26" s="748"/>
      <c r="G26" s="708"/>
      <c r="H26" s="708"/>
      <c r="I26" s="708"/>
      <c r="J26" s="722"/>
      <c r="K26" s="675" t="s">
        <v>582</v>
      </c>
      <c r="M26" s="109"/>
      <c r="N26" s="113"/>
      <c r="O26" s="113"/>
      <c r="P26" s="113"/>
      <c r="Q26" s="113"/>
      <c r="R26" s="113"/>
      <c r="S26" s="113"/>
    </row>
    <row r="27" spans="2:19">
      <c r="B27" s="533" t="s">
        <v>444</v>
      </c>
      <c r="C27" s="708">
        <v>99</v>
      </c>
      <c r="D27" s="708">
        <v>99</v>
      </c>
      <c r="E27" s="708">
        <v>99</v>
      </c>
      <c r="F27" s="708"/>
      <c r="G27" s="708"/>
      <c r="H27" s="708"/>
      <c r="I27" s="708"/>
      <c r="J27" s="722"/>
      <c r="K27" s="675" t="s">
        <v>582</v>
      </c>
      <c r="M27" s="109"/>
      <c r="N27" s="113"/>
      <c r="O27" s="113"/>
      <c r="P27" s="113"/>
      <c r="Q27" s="113"/>
      <c r="R27" s="113"/>
      <c r="S27" s="113"/>
    </row>
    <row r="28" spans="2:19" ht="15" customHeight="1">
      <c r="B28" s="533" t="s">
        <v>445</v>
      </c>
      <c r="C28" s="708">
        <v>173</v>
      </c>
      <c r="D28" s="708">
        <v>173</v>
      </c>
      <c r="E28" s="708">
        <v>173</v>
      </c>
      <c r="F28" s="708"/>
      <c r="G28" s="708"/>
      <c r="H28" s="708"/>
      <c r="I28" s="708"/>
      <c r="J28" s="723"/>
      <c r="K28" s="675" t="s">
        <v>582</v>
      </c>
      <c r="M28" s="109"/>
      <c r="N28" s="113"/>
      <c r="O28" s="113"/>
      <c r="P28" s="113"/>
      <c r="Q28" s="113"/>
      <c r="R28" s="113"/>
      <c r="S28" s="113"/>
    </row>
    <row r="29" spans="2:19">
      <c r="B29" s="533" t="s">
        <v>667</v>
      </c>
      <c r="C29" s="741"/>
      <c r="D29" s="708"/>
      <c r="E29" s="708"/>
      <c r="F29" s="708"/>
      <c r="G29" s="708"/>
      <c r="H29" s="708"/>
      <c r="I29" s="708"/>
      <c r="J29" s="709"/>
      <c r="K29" s="709"/>
      <c r="M29" s="109"/>
      <c r="N29" s="137"/>
      <c r="O29" s="137"/>
      <c r="P29" s="137"/>
      <c r="Q29" s="137"/>
      <c r="R29" s="113"/>
      <c r="S29" s="113"/>
    </row>
    <row r="30" spans="2:19">
      <c r="B30" s="542" t="s">
        <v>270</v>
      </c>
      <c r="C30" s="753"/>
      <c r="D30" s="532"/>
      <c r="E30" s="968"/>
      <c r="F30" s="532"/>
      <c r="G30" s="532"/>
      <c r="H30" s="532"/>
      <c r="I30" s="532"/>
      <c r="J30" s="532"/>
      <c r="K30" s="671"/>
      <c r="M30" s="109"/>
      <c r="N30" s="113"/>
      <c r="O30" s="113"/>
      <c r="P30" s="113"/>
      <c r="Q30" s="113"/>
      <c r="R30" s="113"/>
      <c r="S30" s="113"/>
    </row>
    <row r="31" spans="2:19">
      <c r="B31" s="533" t="s">
        <v>271</v>
      </c>
      <c r="C31" s="974">
        <v>4.7699999999999996</v>
      </c>
      <c r="D31" s="679">
        <f>MROUND(C31*0.9,0.01)</f>
        <v>4.29</v>
      </c>
      <c r="E31" s="970">
        <f>MROUND(D31*0.8,0.01)</f>
        <v>3.43</v>
      </c>
      <c r="F31" s="739">
        <f>ROUND(C31*73%,1)</f>
        <v>3.5</v>
      </c>
      <c r="G31" s="707">
        <f>ROUND(C31*137%,1)</f>
        <v>6.5</v>
      </c>
      <c r="H31" s="739">
        <f>ROUND(E31*73%,1)</f>
        <v>2.5</v>
      </c>
      <c r="I31" s="707">
        <f>ROUND(E31*137%,1)</f>
        <v>4.7</v>
      </c>
      <c r="J31" s="709" t="s">
        <v>805</v>
      </c>
      <c r="K31" s="675" t="s">
        <v>724</v>
      </c>
      <c r="M31" s="109"/>
      <c r="N31" s="141"/>
      <c r="O31" s="141"/>
      <c r="P31" s="141"/>
      <c r="Q31" s="141"/>
      <c r="R31" s="113"/>
      <c r="S31" s="113"/>
    </row>
    <row r="32" spans="2:19">
      <c r="B32" s="533" t="s">
        <v>544</v>
      </c>
      <c r="C32" s="736">
        <v>0.3</v>
      </c>
      <c r="D32" s="736">
        <v>0.3</v>
      </c>
      <c r="E32" s="972">
        <v>0.3</v>
      </c>
      <c r="F32" s="736">
        <v>0.25</v>
      </c>
      <c r="G32" s="736">
        <v>0.5</v>
      </c>
      <c r="H32" s="736">
        <v>0.25</v>
      </c>
      <c r="I32" s="736">
        <v>0.5</v>
      </c>
      <c r="J32" s="674"/>
      <c r="K32" s="709">
        <v>1</v>
      </c>
      <c r="M32" s="109"/>
      <c r="N32" s="141"/>
      <c r="O32" s="141"/>
      <c r="P32" s="141"/>
      <c r="Q32" s="141"/>
      <c r="R32" s="113"/>
      <c r="S32" s="113"/>
    </row>
    <row r="33" spans="1:20">
      <c r="B33" s="533" t="s">
        <v>545</v>
      </c>
      <c r="C33" s="736">
        <v>0.7</v>
      </c>
      <c r="D33" s="736">
        <v>0.7</v>
      </c>
      <c r="E33" s="736">
        <v>0.7</v>
      </c>
      <c r="F33" s="736">
        <v>0.5</v>
      </c>
      <c r="G33" s="736">
        <v>0.75</v>
      </c>
      <c r="H33" s="736">
        <v>0.5</v>
      </c>
      <c r="I33" s="736">
        <v>0.75</v>
      </c>
      <c r="J33" s="674"/>
      <c r="K33" s="709">
        <v>1</v>
      </c>
      <c r="M33" s="109"/>
      <c r="N33" s="141"/>
      <c r="O33" s="141"/>
      <c r="P33" s="141"/>
      <c r="Q33" s="141"/>
      <c r="R33" s="113"/>
      <c r="S33" s="113"/>
    </row>
    <row r="34" spans="1:20">
      <c r="B34" s="533" t="s">
        <v>276</v>
      </c>
      <c r="C34" s="875">
        <v>123000</v>
      </c>
      <c r="D34" s="875">
        <f>MROUND(C34*0.99,100)</f>
        <v>121800</v>
      </c>
      <c r="E34" s="875">
        <f>MROUND(C34*0.95,100)</f>
        <v>116900</v>
      </c>
      <c r="F34" s="875">
        <f xml:space="preserve"> ROUND(C34*0.74,-3)</f>
        <v>91000</v>
      </c>
      <c r="G34" s="875">
        <f>ROUND(C34*1.73,-3)</f>
        <v>213000</v>
      </c>
      <c r="H34" s="875">
        <f xml:space="preserve"> ROUND(E34*0.74,-3)</f>
        <v>87000</v>
      </c>
      <c r="I34" s="875">
        <f>ROUND(E34*1.73,-3)</f>
        <v>202000</v>
      </c>
      <c r="J34" s="709"/>
      <c r="K34" s="675" t="s">
        <v>724</v>
      </c>
      <c r="M34" s="109"/>
      <c r="N34" s="141"/>
      <c r="O34" s="141"/>
      <c r="P34" s="141"/>
      <c r="Q34" s="141"/>
      <c r="R34" s="113"/>
      <c r="S34" s="113"/>
    </row>
    <row r="35" spans="1:20">
      <c r="B35" s="533" t="s">
        <v>279</v>
      </c>
      <c r="C35" s="974">
        <v>22</v>
      </c>
      <c r="D35" s="969">
        <f xml:space="preserve"> MROUND(C35*0.99,0.01)</f>
        <v>21.78</v>
      </c>
      <c r="E35" s="969">
        <f xml:space="preserve"> MROUND(C35*0.96,0.01)</f>
        <v>21.12</v>
      </c>
      <c r="F35" s="743">
        <f xml:space="preserve"> MROUND(C35*0.98,0.01)</f>
        <v>21.56</v>
      </c>
      <c r="G35" s="743">
        <f xml:space="preserve"> MROUND(C35*1.02,0.01)</f>
        <v>22.44</v>
      </c>
      <c r="H35" s="743">
        <f xml:space="preserve"> MROUND(E35*0.98,0.01)</f>
        <v>20.7</v>
      </c>
      <c r="I35" s="743">
        <f xml:space="preserve"> MROUND(E35*1.02,0.01)</f>
        <v>21.54</v>
      </c>
      <c r="J35" s="709"/>
      <c r="K35" s="675" t="s">
        <v>724</v>
      </c>
      <c r="M35" s="109"/>
      <c r="N35" s="141"/>
      <c r="O35" s="141"/>
      <c r="P35" s="141"/>
      <c r="Q35" s="141"/>
      <c r="R35" s="113"/>
      <c r="S35" s="113"/>
      <c r="T35" s="94" t="s">
        <v>744</v>
      </c>
    </row>
    <row r="36" spans="1:20">
      <c r="A36" s="130"/>
      <c r="B36" s="1210" t="s">
        <v>950</v>
      </c>
      <c r="C36" s="1210"/>
      <c r="D36" s="1210"/>
      <c r="E36" s="1210"/>
      <c r="F36" s="1210"/>
      <c r="G36" s="1210"/>
      <c r="H36" s="1210"/>
      <c r="I36" s="1210"/>
      <c r="J36" s="1210"/>
      <c r="K36" s="1210"/>
      <c r="L36" s="94"/>
    </row>
    <row r="37" spans="1:20" s="93" customFormat="1">
      <c r="A37" s="130" t="s">
        <v>286</v>
      </c>
      <c r="C37" s="150"/>
      <c r="D37" s="150"/>
      <c r="E37" s="150"/>
      <c r="F37" s="150"/>
      <c r="G37" s="150"/>
      <c r="I37" s="975"/>
      <c r="N37" s="976"/>
      <c r="O37" s="977"/>
      <c r="P37" s="978"/>
      <c r="Q37" s="978"/>
    </row>
    <row r="38" spans="1:20">
      <c r="A38" s="152">
        <v>1</v>
      </c>
      <c r="B38" s="1148" t="s">
        <v>988</v>
      </c>
      <c r="C38" s="1148"/>
      <c r="D38" s="1148"/>
      <c r="E38" s="1148"/>
      <c r="F38" s="1148"/>
      <c r="G38" s="1148"/>
      <c r="H38" s="1148"/>
      <c r="I38" s="1148"/>
      <c r="J38" s="1148"/>
      <c r="K38" s="1148"/>
      <c r="L38" s="151"/>
      <c r="O38" s="979"/>
      <c r="P38" s="980"/>
      <c r="Q38" s="980"/>
    </row>
    <row r="39" spans="1:20">
      <c r="A39" s="152">
        <v>2</v>
      </c>
      <c r="B39" s="1148" t="s">
        <v>679</v>
      </c>
      <c r="C39" s="1148"/>
      <c r="D39" s="1148"/>
      <c r="E39" s="1148"/>
      <c r="F39" s="1148"/>
      <c r="G39" s="1148"/>
      <c r="H39" s="1148"/>
      <c r="I39" s="1148"/>
      <c r="J39" s="1148"/>
      <c r="K39" s="1148"/>
      <c r="L39" s="151"/>
      <c r="N39" s="976"/>
      <c r="O39" s="979"/>
      <c r="P39" s="980"/>
      <c r="Q39" s="980"/>
    </row>
    <row r="40" spans="1:20">
      <c r="A40" s="152">
        <v>3</v>
      </c>
      <c r="B40" s="1148" t="s">
        <v>677</v>
      </c>
      <c r="C40" s="1148"/>
      <c r="D40" s="1148"/>
      <c r="E40" s="1148"/>
      <c r="F40" s="1148"/>
      <c r="G40" s="1148"/>
      <c r="H40" s="1148"/>
      <c r="I40" s="1148"/>
      <c r="J40" s="1148"/>
      <c r="K40" s="1148"/>
      <c r="L40" s="151"/>
    </row>
    <row r="41" spans="1:20" s="93" customFormat="1">
      <c r="A41" s="152">
        <v>4</v>
      </c>
      <c r="B41" s="1148" t="s">
        <v>989</v>
      </c>
      <c r="C41" s="1148"/>
      <c r="D41" s="1148"/>
      <c r="E41" s="1148"/>
      <c r="F41" s="1148"/>
      <c r="G41" s="1148"/>
      <c r="H41" s="1148"/>
      <c r="I41" s="1148"/>
      <c r="J41" s="1148"/>
      <c r="K41" s="1148"/>
      <c r="L41" s="151"/>
      <c r="M41" s="154"/>
      <c r="N41" s="779"/>
      <c r="O41" s="779"/>
      <c r="P41" s="94"/>
      <c r="Q41" s="94"/>
      <c r="R41" s="94"/>
    </row>
    <row r="42" spans="1:20" s="93" customFormat="1" ht="15" customHeight="1">
      <c r="A42" s="152">
        <v>5</v>
      </c>
      <c r="B42" s="1148" t="s">
        <v>990</v>
      </c>
      <c r="C42" s="1148"/>
      <c r="D42" s="1148"/>
      <c r="E42" s="1148"/>
      <c r="F42" s="1148"/>
      <c r="G42" s="1148"/>
      <c r="H42" s="1148"/>
      <c r="I42" s="1148"/>
      <c r="J42" s="1148"/>
      <c r="K42" s="1148"/>
      <c r="L42" s="151"/>
      <c r="M42" s="94"/>
      <c r="N42" s="94"/>
      <c r="O42" s="94"/>
      <c r="P42" s="94"/>
      <c r="Q42" s="94"/>
      <c r="R42" s="94"/>
    </row>
    <row r="43" spans="1:20" s="93" customFormat="1">
      <c r="A43" s="152">
        <v>6</v>
      </c>
      <c r="B43" s="1148" t="s">
        <v>727</v>
      </c>
      <c r="C43" s="1148"/>
      <c r="D43" s="1148"/>
      <c r="E43" s="1148"/>
      <c r="F43" s="1148"/>
      <c r="G43" s="1148"/>
      <c r="H43" s="1148"/>
      <c r="I43" s="1148"/>
      <c r="J43" s="1148"/>
      <c r="K43" s="1148"/>
      <c r="L43" s="412"/>
      <c r="M43" s="94"/>
      <c r="N43" s="94"/>
      <c r="O43" s="94"/>
      <c r="P43" s="94"/>
      <c r="Q43" s="94"/>
      <c r="R43" s="94"/>
    </row>
    <row r="44" spans="1:20" s="93" customFormat="1">
      <c r="A44" s="152">
        <v>7</v>
      </c>
      <c r="B44" s="1148" t="s">
        <v>728</v>
      </c>
      <c r="C44" s="1148"/>
      <c r="D44" s="1148"/>
      <c r="E44" s="1148"/>
      <c r="F44" s="1148"/>
      <c r="G44" s="1148"/>
      <c r="H44" s="1148"/>
      <c r="I44" s="1148"/>
      <c r="J44" s="1148"/>
      <c r="K44" s="1148"/>
      <c r="L44" s="151"/>
      <c r="M44" s="94"/>
      <c r="N44" s="94"/>
      <c r="O44" s="94"/>
      <c r="P44" s="94"/>
      <c r="Q44" s="94"/>
      <c r="R44" s="94"/>
    </row>
    <row r="45" spans="1:20" s="93" customFormat="1" ht="12.6" customHeight="1">
      <c r="A45" s="152">
        <v>8</v>
      </c>
      <c r="B45" s="1148" t="s">
        <v>942</v>
      </c>
      <c r="C45" s="1148"/>
      <c r="D45" s="1148"/>
      <c r="E45" s="1148"/>
      <c r="F45" s="1148"/>
      <c r="G45" s="1148"/>
      <c r="H45" s="1148"/>
      <c r="I45" s="1148"/>
      <c r="J45" s="1148"/>
      <c r="K45" s="1148"/>
      <c r="L45" s="151"/>
      <c r="M45" s="94"/>
      <c r="N45" s="94"/>
      <c r="O45" s="94"/>
      <c r="P45" s="94"/>
      <c r="Q45" s="94"/>
      <c r="R45" s="94"/>
    </row>
    <row r="46" spans="1:20" s="93" customFormat="1">
      <c r="A46" s="152">
        <v>9</v>
      </c>
      <c r="B46" s="1148" t="s">
        <v>729</v>
      </c>
      <c r="C46" s="1148"/>
      <c r="D46" s="1148"/>
      <c r="E46" s="1148"/>
      <c r="F46" s="1148"/>
      <c r="G46" s="1148"/>
      <c r="H46" s="1148"/>
      <c r="I46" s="1148"/>
      <c r="J46" s="1148"/>
      <c r="K46" s="1148"/>
      <c r="L46" s="151"/>
      <c r="M46" s="94"/>
      <c r="N46" s="94"/>
      <c r="O46" s="94"/>
      <c r="P46" s="94"/>
      <c r="Q46" s="94"/>
      <c r="R46" s="94"/>
    </row>
    <row r="47" spans="1:20">
      <c r="A47" s="130" t="s">
        <v>298</v>
      </c>
      <c r="L47" s="94"/>
    </row>
    <row r="48" spans="1:20" ht="36" customHeight="1">
      <c r="A48" s="152" t="s">
        <v>246</v>
      </c>
      <c r="B48" s="1148" t="s">
        <v>951</v>
      </c>
      <c r="C48" s="1148"/>
      <c r="D48" s="1148"/>
      <c r="E48" s="1148"/>
      <c r="F48" s="1148"/>
      <c r="G48" s="1148"/>
      <c r="H48" s="1148"/>
      <c r="I48" s="1148"/>
      <c r="J48" s="1148"/>
      <c r="K48" s="1148"/>
      <c r="L48" s="94"/>
    </row>
    <row r="49" spans="1:19" ht="28.5" customHeight="1">
      <c r="A49" s="152" t="s">
        <v>300</v>
      </c>
      <c r="B49" s="1148" t="s">
        <v>730</v>
      </c>
      <c r="C49" s="1148"/>
      <c r="D49" s="1148"/>
      <c r="E49" s="1148"/>
      <c r="F49" s="1148"/>
      <c r="G49" s="1148"/>
      <c r="H49" s="1148"/>
      <c r="I49" s="1148"/>
      <c r="J49" s="1148"/>
      <c r="K49" s="1148"/>
      <c r="L49" s="94"/>
    </row>
    <row r="50" spans="1:19" s="93" customFormat="1" ht="15" customHeight="1">
      <c r="A50" s="152" t="s">
        <v>265</v>
      </c>
      <c r="B50" s="1148" t="s">
        <v>731</v>
      </c>
      <c r="C50" s="1148"/>
      <c r="D50" s="1148"/>
      <c r="E50" s="1148"/>
      <c r="F50" s="1148"/>
      <c r="G50" s="1148"/>
      <c r="H50" s="1148"/>
      <c r="I50" s="1148"/>
      <c r="J50" s="1148"/>
      <c r="K50" s="1148"/>
      <c r="L50" s="94"/>
      <c r="M50" s="94"/>
      <c r="N50" s="94"/>
      <c r="O50" s="94"/>
      <c r="P50" s="94"/>
      <c r="Q50" s="94"/>
      <c r="R50" s="94"/>
    </row>
    <row r="51" spans="1:19" s="93" customFormat="1">
      <c r="A51" s="152" t="s">
        <v>303</v>
      </c>
      <c r="B51" s="1148" t="s">
        <v>732</v>
      </c>
      <c r="C51" s="1148"/>
      <c r="D51" s="1148"/>
      <c r="E51" s="1148"/>
      <c r="F51" s="1148"/>
      <c r="G51" s="1148"/>
      <c r="H51" s="1148"/>
      <c r="I51" s="1148"/>
      <c r="J51" s="1148"/>
      <c r="K51" s="1148"/>
      <c r="L51" s="94"/>
      <c r="M51" s="94"/>
      <c r="N51" s="94"/>
      <c r="O51" s="94"/>
      <c r="P51" s="94"/>
      <c r="Q51" s="94"/>
      <c r="R51" s="94"/>
    </row>
    <row r="52" spans="1:19" s="93" customFormat="1" ht="15" customHeight="1">
      <c r="A52" s="152" t="s">
        <v>305</v>
      </c>
      <c r="B52" s="1148" t="s">
        <v>745</v>
      </c>
      <c r="C52" s="1148"/>
      <c r="D52" s="1148"/>
      <c r="E52" s="1148"/>
      <c r="F52" s="1148"/>
      <c r="G52" s="1148"/>
      <c r="H52" s="1148"/>
      <c r="I52" s="1148"/>
      <c r="J52" s="1148"/>
      <c r="K52" s="1148"/>
      <c r="L52" s="94"/>
      <c r="M52" s="94"/>
      <c r="N52" s="94"/>
      <c r="O52" s="94"/>
      <c r="P52" s="94"/>
      <c r="Q52" s="94"/>
      <c r="R52" s="94"/>
    </row>
    <row r="53" spans="1:19" s="93" customFormat="1" ht="27.75" customHeight="1">
      <c r="A53" s="152" t="s">
        <v>307</v>
      </c>
      <c r="B53" s="1148" t="s">
        <v>746</v>
      </c>
      <c r="C53" s="1148"/>
      <c r="D53" s="1148"/>
      <c r="E53" s="1148"/>
      <c r="F53" s="1148"/>
      <c r="G53" s="1148"/>
      <c r="H53" s="1148"/>
      <c r="I53" s="1148"/>
      <c r="J53" s="1148"/>
      <c r="K53" s="1148"/>
      <c r="L53" s="94"/>
      <c r="M53" s="94"/>
      <c r="N53" s="94"/>
      <c r="O53" s="94"/>
      <c r="P53" s="94"/>
      <c r="Q53" s="94"/>
      <c r="R53" s="94"/>
    </row>
    <row r="54" spans="1:19" s="93" customFormat="1">
      <c r="A54" s="152" t="s">
        <v>309</v>
      </c>
      <c r="B54" s="1148" t="s">
        <v>945</v>
      </c>
      <c r="C54" s="1148"/>
      <c r="D54" s="1148"/>
      <c r="E54" s="1148"/>
      <c r="F54" s="1148"/>
      <c r="G54" s="1148"/>
      <c r="H54" s="1148"/>
      <c r="I54" s="1148"/>
      <c r="J54" s="1148"/>
      <c r="K54" s="1148"/>
      <c r="L54" s="94"/>
      <c r="M54" s="94"/>
      <c r="N54" s="94"/>
      <c r="O54" s="94"/>
      <c r="P54" s="94"/>
      <c r="Q54" s="94"/>
      <c r="R54" s="94"/>
    </row>
    <row r="55" spans="1:19" s="93" customFormat="1">
      <c r="C55" s="151"/>
      <c r="D55" s="151"/>
      <c r="E55" s="151"/>
      <c r="F55" s="151"/>
      <c r="G55" s="151"/>
      <c r="H55" s="151"/>
      <c r="I55" s="151"/>
      <c r="J55" s="151"/>
      <c r="K55" s="151"/>
      <c r="M55" s="94"/>
      <c r="N55" s="94"/>
      <c r="O55" s="94"/>
      <c r="P55" s="94"/>
      <c r="Q55" s="94"/>
      <c r="R55" s="94"/>
      <c r="S55" s="94"/>
    </row>
    <row r="56" spans="1:19" s="93" customFormat="1">
      <c r="M56" s="94"/>
      <c r="N56" s="94"/>
      <c r="O56" s="94"/>
      <c r="P56" s="94"/>
      <c r="Q56" s="94"/>
      <c r="R56" s="94"/>
      <c r="S56" s="94"/>
    </row>
    <row r="57" spans="1:19" s="93" customFormat="1">
      <c r="B57" s="151"/>
      <c r="M57" s="94"/>
      <c r="N57" s="94"/>
      <c r="O57" s="94"/>
      <c r="P57" s="94"/>
      <c r="Q57" s="94"/>
      <c r="R57" s="94"/>
      <c r="S57" s="94"/>
    </row>
    <row r="66" spans="8:8">
      <c r="H66" s="219"/>
    </row>
  </sheetData>
  <mergeCells count="24">
    <mergeCell ref="B46:K46"/>
    <mergeCell ref="B48:K48"/>
    <mergeCell ref="B40:K40"/>
    <mergeCell ref="B41:K41"/>
    <mergeCell ref="B42:K42"/>
    <mergeCell ref="B43:K43"/>
    <mergeCell ref="B44:K44"/>
    <mergeCell ref="B45:K45"/>
    <mergeCell ref="B49:K49"/>
    <mergeCell ref="B51:K51"/>
    <mergeCell ref="B54:K54"/>
    <mergeCell ref="C3:K3"/>
    <mergeCell ref="N3:S3"/>
    <mergeCell ref="F4:G4"/>
    <mergeCell ref="H4:I4"/>
    <mergeCell ref="M5:S5"/>
    <mergeCell ref="B50:K50"/>
    <mergeCell ref="B53:K53"/>
    <mergeCell ref="M25:S25"/>
    <mergeCell ref="N6:S6"/>
    <mergeCell ref="B52:K52"/>
    <mergeCell ref="B36:K36"/>
    <mergeCell ref="B38:K38"/>
    <mergeCell ref="B39:K39"/>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CD82-582E-40D6-938A-58A7CDF0C444}">
  <sheetPr codeName="Sheet34">
    <tabColor theme="3" tint="0.59999389629810485"/>
  </sheetPr>
  <dimension ref="A1:Q57"/>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12.42578125" style="93" customWidth="1"/>
    <col min="12" max="12" width="6.7109375" style="93" customWidth="1"/>
    <col min="13" max="16384" width="9.140625" style="94"/>
  </cols>
  <sheetData>
    <row r="1" spans="2:17" ht="20.25">
      <c r="B1" s="92" t="s">
        <v>234</v>
      </c>
      <c r="C1" s="416"/>
    </row>
    <row r="2" spans="2:17">
      <c r="K2" s="415"/>
    </row>
    <row r="3" spans="2:17" ht="14.1" customHeight="1">
      <c r="B3" s="699" t="s">
        <v>145</v>
      </c>
      <c r="C3" s="1169" t="s">
        <v>736</v>
      </c>
      <c r="D3" s="1169"/>
      <c r="E3" s="1169"/>
      <c r="F3" s="1169"/>
      <c r="G3" s="1169"/>
      <c r="H3" s="1169"/>
      <c r="I3" s="1169"/>
      <c r="J3" s="1169"/>
      <c r="K3" s="1170"/>
    </row>
    <row r="4" spans="2:17" ht="14.1" customHeight="1">
      <c r="B4" s="701"/>
      <c r="C4" s="650">
        <v>2023</v>
      </c>
      <c r="D4" s="650">
        <v>2030</v>
      </c>
      <c r="E4" s="650">
        <v>2050</v>
      </c>
      <c r="F4" s="1171" t="s">
        <v>236</v>
      </c>
      <c r="G4" s="1170"/>
      <c r="H4" s="1171" t="s">
        <v>237</v>
      </c>
      <c r="I4" s="1170"/>
      <c r="J4" s="650" t="s">
        <v>238</v>
      </c>
      <c r="K4" s="650" t="s">
        <v>239</v>
      </c>
    </row>
    <row r="5" spans="2:17" ht="15" customHeight="1">
      <c r="B5" s="702" t="s">
        <v>240</v>
      </c>
      <c r="C5" s="672"/>
      <c r="D5" s="672"/>
      <c r="E5" s="672"/>
      <c r="F5" s="700" t="s">
        <v>241</v>
      </c>
      <c r="G5" s="700" t="s">
        <v>242</v>
      </c>
      <c r="H5" s="700" t="s">
        <v>241</v>
      </c>
      <c r="I5" s="700" t="s">
        <v>242</v>
      </c>
      <c r="J5" s="672"/>
      <c r="K5" s="703"/>
    </row>
    <row r="6" spans="2:17" ht="15" customHeight="1">
      <c r="B6" s="538" t="s">
        <v>243</v>
      </c>
      <c r="C6" s="973">
        <v>93</v>
      </c>
      <c r="D6" s="973">
        <v>93</v>
      </c>
      <c r="E6" s="973">
        <v>93</v>
      </c>
      <c r="F6" s="704"/>
      <c r="G6" s="704"/>
      <c r="H6" s="704"/>
      <c r="I6" s="704"/>
      <c r="J6" s="674" t="s">
        <v>246</v>
      </c>
      <c r="K6" s="675">
        <v>1</v>
      </c>
    </row>
    <row r="7" spans="2:17" ht="17.25" customHeight="1">
      <c r="B7" s="538" t="s">
        <v>244</v>
      </c>
      <c r="C7" s="973">
        <v>372</v>
      </c>
      <c r="D7" s="973">
        <v>372</v>
      </c>
      <c r="E7" s="973">
        <v>372</v>
      </c>
      <c r="F7" s="704"/>
      <c r="G7" s="704"/>
      <c r="H7" s="704"/>
      <c r="I7" s="704"/>
      <c r="J7" s="674" t="s">
        <v>581</v>
      </c>
      <c r="K7" s="675">
        <v>1</v>
      </c>
    </row>
    <row r="8" spans="2:17">
      <c r="B8" s="538" t="s">
        <v>245</v>
      </c>
      <c r="C8" s="981">
        <v>48</v>
      </c>
      <c r="D8" s="981">
        <v>51</v>
      </c>
      <c r="E8" s="981">
        <v>52</v>
      </c>
      <c r="F8" s="704"/>
      <c r="G8" s="704"/>
      <c r="H8" s="704"/>
      <c r="I8" s="704"/>
      <c r="J8" s="674" t="s">
        <v>246</v>
      </c>
      <c r="K8" s="675" t="s">
        <v>737</v>
      </c>
    </row>
    <row r="9" spans="2:17">
      <c r="B9" s="539" t="s">
        <v>247</v>
      </c>
      <c r="C9" s="981">
        <v>47</v>
      </c>
      <c r="D9" s="981">
        <v>50</v>
      </c>
      <c r="E9" s="981">
        <v>51</v>
      </c>
      <c r="F9" s="704"/>
      <c r="G9" s="704"/>
      <c r="H9" s="704"/>
      <c r="I9" s="704"/>
      <c r="J9" s="676" t="s">
        <v>246</v>
      </c>
      <c r="K9" s="675" t="s">
        <v>737</v>
      </c>
    </row>
    <row r="10" spans="2:17">
      <c r="B10" s="538" t="s">
        <v>248</v>
      </c>
      <c r="C10" s="735">
        <v>0.1</v>
      </c>
      <c r="D10" s="735">
        <v>0.1</v>
      </c>
      <c r="E10" s="735">
        <v>0.1</v>
      </c>
      <c r="F10" s="704"/>
      <c r="G10" s="704"/>
      <c r="H10" s="704"/>
      <c r="I10" s="704"/>
      <c r="J10" s="674"/>
      <c r="K10" s="675"/>
    </row>
    <row r="11" spans="2:17">
      <c r="B11" s="533" t="s">
        <v>249</v>
      </c>
      <c r="C11" s="746"/>
      <c r="D11" s="704"/>
      <c r="E11" s="704"/>
      <c r="F11" s="704"/>
      <c r="G11" s="704"/>
      <c r="H11" s="704"/>
      <c r="I11" s="704"/>
      <c r="J11" s="674"/>
      <c r="K11" s="675"/>
      <c r="Q11" s="499"/>
    </row>
    <row r="12" spans="2:17">
      <c r="B12" s="533" t="s">
        <v>250</v>
      </c>
      <c r="C12" s="746" t="s">
        <v>146</v>
      </c>
      <c r="D12" s="704"/>
      <c r="E12" s="704"/>
      <c r="F12" s="704"/>
      <c r="G12" s="704"/>
      <c r="H12" s="704"/>
      <c r="I12" s="704"/>
      <c r="J12" s="674"/>
      <c r="K12" s="675"/>
    </row>
    <row r="13" spans="2:17">
      <c r="B13" s="533" t="s">
        <v>252</v>
      </c>
      <c r="C13" s="746"/>
      <c r="D13" s="706"/>
      <c r="E13" s="706"/>
      <c r="F13" s="674"/>
      <c r="G13" s="674"/>
      <c r="H13" s="674"/>
      <c r="I13" s="704"/>
      <c r="J13" s="674"/>
      <c r="K13" s="675"/>
    </row>
    <row r="14" spans="2:17">
      <c r="B14" s="734" t="s">
        <v>939</v>
      </c>
      <c r="C14" s="735">
        <v>0.9</v>
      </c>
      <c r="D14" s="735">
        <v>0.9</v>
      </c>
      <c r="E14" s="735">
        <v>0.9</v>
      </c>
      <c r="F14" s="736">
        <v>0.5</v>
      </c>
      <c r="G14" s="736">
        <v>0.95</v>
      </c>
      <c r="H14" s="737">
        <v>0.7</v>
      </c>
      <c r="I14" s="735">
        <v>0.99</v>
      </c>
      <c r="J14" s="674" t="s">
        <v>300</v>
      </c>
      <c r="K14" s="675" t="s">
        <v>737</v>
      </c>
    </row>
    <row r="15" spans="2:17">
      <c r="B15" s="540" t="s">
        <v>484</v>
      </c>
      <c r="C15" s="746"/>
      <c r="D15" s="704"/>
      <c r="E15" s="704"/>
      <c r="F15" s="704"/>
      <c r="G15" s="704"/>
      <c r="H15" s="704"/>
      <c r="I15" s="704"/>
      <c r="J15" s="674"/>
      <c r="K15" s="674"/>
    </row>
    <row r="16" spans="2:17">
      <c r="B16" s="541" t="s">
        <v>255</v>
      </c>
      <c r="C16" s="755"/>
      <c r="D16" s="711"/>
      <c r="E16" s="711"/>
      <c r="F16" s="711"/>
      <c r="G16" s="711"/>
      <c r="H16" s="711"/>
      <c r="I16" s="712"/>
      <c r="J16" s="712"/>
      <c r="K16" s="751"/>
    </row>
    <row r="17" spans="2:12">
      <c r="B17" s="540" t="s">
        <v>256</v>
      </c>
      <c r="C17" s="746" t="s">
        <v>146</v>
      </c>
      <c r="D17" s="704" t="s">
        <v>146</v>
      </c>
      <c r="E17" s="704" t="s">
        <v>146</v>
      </c>
      <c r="F17" s="704"/>
      <c r="G17" s="704"/>
      <c r="H17" s="704"/>
      <c r="I17" s="704"/>
      <c r="J17" s="674"/>
      <c r="K17" s="678"/>
    </row>
    <row r="18" spans="2:12">
      <c r="B18" s="540" t="s">
        <v>257</v>
      </c>
      <c r="C18" s="746" t="s">
        <v>146</v>
      </c>
      <c r="D18" s="704" t="s">
        <v>146</v>
      </c>
      <c r="E18" s="704" t="s">
        <v>146</v>
      </c>
      <c r="F18" s="704"/>
      <c r="G18" s="704"/>
      <c r="H18" s="704"/>
      <c r="I18" s="704"/>
      <c r="J18" s="674"/>
      <c r="K18" s="678"/>
    </row>
    <row r="19" spans="2:12">
      <c r="B19" s="542" t="s">
        <v>258</v>
      </c>
      <c r="C19" s="756"/>
      <c r="D19" s="715"/>
      <c r="E19" s="715"/>
      <c r="F19" s="715"/>
      <c r="G19" s="715"/>
      <c r="H19" s="715"/>
      <c r="I19" s="681"/>
      <c r="J19" s="681"/>
      <c r="K19" s="682"/>
    </row>
    <row r="20" spans="2:12">
      <c r="B20" s="533" t="s">
        <v>259</v>
      </c>
      <c r="C20" s="735">
        <v>0.2</v>
      </c>
      <c r="D20" s="735">
        <v>0.2</v>
      </c>
      <c r="E20" s="735">
        <v>0.2</v>
      </c>
      <c r="F20" s="704"/>
      <c r="G20" s="704"/>
      <c r="H20" s="704"/>
      <c r="I20" s="678"/>
      <c r="J20" s="709" t="s">
        <v>265</v>
      </c>
      <c r="K20" s="675">
        <v>4</v>
      </c>
      <c r="L20" s="130"/>
    </row>
    <row r="21" spans="2:12">
      <c r="B21" s="533" t="s">
        <v>260</v>
      </c>
      <c r="C21" s="735">
        <v>0.45</v>
      </c>
      <c r="D21" s="735">
        <v>0.45</v>
      </c>
      <c r="E21" s="735">
        <v>0.45</v>
      </c>
      <c r="F21" s="704"/>
      <c r="G21" s="704"/>
      <c r="H21" s="704"/>
      <c r="I21" s="678"/>
      <c r="J21" s="709" t="s">
        <v>303</v>
      </c>
      <c r="K21" s="675">
        <v>4</v>
      </c>
    </row>
    <row r="22" spans="2:12">
      <c r="B22" s="533" t="s">
        <v>261</v>
      </c>
      <c r="C22" s="704">
        <v>2</v>
      </c>
      <c r="D22" s="704">
        <v>2</v>
      </c>
      <c r="E22" s="704">
        <v>2</v>
      </c>
      <c r="F22" s="704"/>
      <c r="G22" s="704"/>
      <c r="H22" s="706"/>
      <c r="I22" s="678"/>
      <c r="J22" s="709" t="s">
        <v>305</v>
      </c>
      <c r="K22" s="675">
        <v>3</v>
      </c>
    </row>
    <row r="23" spans="2:12">
      <c r="B23" s="533" t="s">
        <v>262</v>
      </c>
      <c r="C23" s="704">
        <v>4</v>
      </c>
      <c r="D23" s="704">
        <v>4</v>
      </c>
      <c r="E23" s="704">
        <v>4</v>
      </c>
      <c r="F23" s="704"/>
      <c r="G23" s="704"/>
      <c r="H23" s="704"/>
      <c r="I23" s="704"/>
      <c r="J23" s="674" t="s">
        <v>305</v>
      </c>
      <c r="K23" s="675">
        <v>3</v>
      </c>
    </row>
    <row r="24" spans="2:12">
      <c r="B24" s="542" t="s">
        <v>263</v>
      </c>
      <c r="C24" s="757"/>
      <c r="D24" s="720"/>
      <c r="E24" s="720"/>
      <c r="F24" s="720"/>
      <c r="G24" s="720"/>
      <c r="H24" s="720"/>
      <c r="I24" s="720"/>
      <c r="J24" s="720"/>
      <c r="K24" s="758"/>
    </row>
    <row r="25" spans="2:12">
      <c r="B25" s="533" t="s">
        <v>664</v>
      </c>
      <c r="C25" s="708">
        <v>30</v>
      </c>
      <c r="D25" s="708">
        <v>30</v>
      </c>
      <c r="E25" s="708">
        <v>30</v>
      </c>
      <c r="F25" s="708"/>
      <c r="G25" s="708"/>
      <c r="H25" s="708"/>
      <c r="I25" s="708"/>
      <c r="J25" s="722"/>
      <c r="K25" s="675" t="s">
        <v>582</v>
      </c>
    </row>
    <row r="26" spans="2:12">
      <c r="B26" s="533" t="s">
        <v>444</v>
      </c>
      <c r="C26" s="735">
        <v>0.99</v>
      </c>
      <c r="D26" s="735">
        <v>0.99</v>
      </c>
      <c r="E26" s="735">
        <v>0.99</v>
      </c>
      <c r="F26" s="708"/>
      <c r="G26" s="708"/>
      <c r="H26" s="708"/>
      <c r="I26" s="708"/>
      <c r="J26" s="722"/>
      <c r="K26" s="675" t="s">
        <v>582</v>
      </c>
    </row>
    <row r="27" spans="2:12" ht="15" customHeight="1">
      <c r="B27" s="533" t="s">
        <v>445</v>
      </c>
      <c r="C27" s="708">
        <v>80</v>
      </c>
      <c r="D27" s="708">
        <v>80</v>
      </c>
      <c r="E27" s="708">
        <v>80</v>
      </c>
      <c r="F27" s="708"/>
      <c r="G27" s="708"/>
      <c r="H27" s="708"/>
      <c r="I27" s="708"/>
      <c r="J27" s="723"/>
      <c r="K27" s="675" t="s">
        <v>582</v>
      </c>
    </row>
    <row r="28" spans="2:12">
      <c r="B28" s="533" t="s">
        <v>446</v>
      </c>
      <c r="C28" s="708" t="s">
        <v>146</v>
      </c>
      <c r="D28" s="708" t="s">
        <v>146</v>
      </c>
      <c r="E28" s="708" t="s">
        <v>146</v>
      </c>
      <c r="F28" s="708"/>
      <c r="G28" s="708"/>
      <c r="H28" s="708"/>
      <c r="I28" s="708"/>
      <c r="J28" s="709"/>
      <c r="K28" s="709"/>
    </row>
    <row r="29" spans="2:12">
      <c r="B29" s="533" t="s">
        <v>447</v>
      </c>
      <c r="C29" s="708" t="s">
        <v>146</v>
      </c>
      <c r="D29" s="708" t="s">
        <v>146</v>
      </c>
      <c r="E29" s="708" t="s">
        <v>146</v>
      </c>
      <c r="F29" s="708"/>
      <c r="G29" s="708"/>
      <c r="H29" s="708"/>
      <c r="I29" s="708"/>
      <c r="J29" s="709"/>
      <c r="K29" s="709"/>
      <c r="L29" s="138"/>
    </row>
    <row r="30" spans="2:12">
      <c r="B30" s="542" t="s">
        <v>270</v>
      </c>
      <c r="C30" s="757"/>
      <c r="D30" s="720"/>
      <c r="E30" s="857"/>
      <c r="F30" s="857"/>
      <c r="G30" s="720"/>
      <c r="H30" s="720"/>
      <c r="I30" s="720"/>
      <c r="J30" s="720"/>
      <c r="K30" s="758"/>
    </row>
    <row r="31" spans="2:12">
      <c r="B31" s="734" t="s">
        <v>271</v>
      </c>
      <c r="C31" s="982">
        <v>2.39</v>
      </c>
      <c r="D31" s="679">
        <f>MROUND(C31*0.9,0.01)</f>
        <v>2.15</v>
      </c>
      <c r="E31" s="679">
        <f>MROUND(D31*0.8,0.01)</f>
        <v>1.72</v>
      </c>
      <c r="F31" s="983">
        <f>ROUND(C31*56%,1)</f>
        <v>1.3</v>
      </c>
      <c r="G31" s="739">
        <f>ROUND(C31*120%,1)</f>
        <v>2.9</v>
      </c>
      <c r="H31" s="739">
        <f>ROUND(E31*56%,1)</f>
        <v>1</v>
      </c>
      <c r="I31" s="707">
        <f>ROUND(E31*120%,1)</f>
        <v>2.1</v>
      </c>
      <c r="J31" s="709" t="s">
        <v>946</v>
      </c>
      <c r="K31" s="678" t="s">
        <v>724</v>
      </c>
      <c r="L31" s="500"/>
    </row>
    <row r="32" spans="2:12">
      <c r="B32" s="533" t="s">
        <v>544</v>
      </c>
      <c r="C32" s="725">
        <v>0.4</v>
      </c>
      <c r="D32" s="725">
        <v>0.4</v>
      </c>
      <c r="E32" s="984">
        <v>0.4</v>
      </c>
      <c r="F32" s="984">
        <v>0.3</v>
      </c>
      <c r="G32" s="725">
        <v>0.6</v>
      </c>
      <c r="H32" s="725">
        <v>0.3</v>
      </c>
      <c r="I32" s="725">
        <v>0.6</v>
      </c>
      <c r="J32" s="709"/>
      <c r="K32" s="709">
        <v>1</v>
      </c>
    </row>
    <row r="33" spans="1:17">
      <c r="B33" s="533" t="s">
        <v>545</v>
      </c>
      <c r="C33" s="725">
        <v>0.6</v>
      </c>
      <c r="D33" s="725">
        <v>0.6</v>
      </c>
      <c r="E33" s="725">
        <v>0.6</v>
      </c>
      <c r="F33" s="725">
        <v>0.4</v>
      </c>
      <c r="G33" s="725">
        <v>0.7</v>
      </c>
      <c r="H33" s="725">
        <v>0.4</v>
      </c>
      <c r="I33" s="725">
        <v>0.7</v>
      </c>
      <c r="J33" s="709"/>
      <c r="K33" s="709">
        <v>1</v>
      </c>
    </row>
    <row r="34" spans="1:17">
      <c r="B34" s="734" t="s">
        <v>276</v>
      </c>
      <c r="C34" s="971">
        <v>59000</v>
      </c>
      <c r="D34" s="971">
        <f>MROUND(C34*0.85,100)</f>
        <v>50200</v>
      </c>
      <c r="E34" s="971">
        <f>MROUND(C34*0.64,100)</f>
        <v>37800</v>
      </c>
      <c r="F34" s="971">
        <f>ROUND(C34*53%,-3)</f>
        <v>31000</v>
      </c>
      <c r="G34" s="971">
        <f>ROUND(C34*110%,-3)</f>
        <v>65000</v>
      </c>
      <c r="H34" s="971">
        <f>ROUND(E34*53%,-3)</f>
        <v>20000</v>
      </c>
      <c r="I34" s="971">
        <f>ROUND(E34*110%,-3)</f>
        <v>42000</v>
      </c>
      <c r="J34" s="709"/>
      <c r="K34" s="675" t="s">
        <v>738</v>
      </c>
    </row>
    <row r="35" spans="1:17">
      <c r="B35" s="533" t="s">
        <v>279</v>
      </c>
      <c r="C35" s="982">
        <v>4.96</v>
      </c>
      <c r="D35" s="679">
        <f>MROUND(C35*0.88,0.01)</f>
        <v>4.3600000000000003</v>
      </c>
      <c r="E35" s="679">
        <f>MROUND(C35*0.73,0.01)</f>
        <v>3.62</v>
      </c>
      <c r="F35" s="707">
        <f>ROUND(C35*95%,1)</f>
        <v>4.7</v>
      </c>
      <c r="G35" s="707">
        <f>ROUND(C35*102%,1)</f>
        <v>5.0999999999999996</v>
      </c>
      <c r="H35" s="707">
        <f>ROUND(E35*95%,1)</f>
        <v>3.4</v>
      </c>
      <c r="I35" s="707">
        <f>ROUND(E35*102%,1)</f>
        <v>3.7</v>
      </c>
      <c r="J35" s="709"/>
      <c r="K35" s="675" t="s">
        <v>739</v>
      </c>
    </row>
    <row r="36" spans="1:17">
      <c r="A36" s="130"/>
      <c r="B36" s="1210" t="s">
        <v>947</v>
      </c>
      <c r="C36" s="1210"/>
      <c r="D36" s="1210"/>
      <c r="E36" s="1210"/>
      <c r="F36" s="1210"/>
      <c r="G36" s="1210"/>
      <c r="H36" s="1210"/>
      <c r="I36" s="1210"/>
      <c r="J36" s="1210"/>
      <c r="K36" s="1210"/>
      <c r="L36" s="94"/>
    </row>
    <row r="37" spans="1:17" s="93" customFormat="1">
      <c r="A37" s="130" t="s">
        <v>286</v>
      </c>
      <c r="C37" s="150"/>
      <c r="D37" s="150"/>
      <c r="E37" s="150"/>
      <c r="F37" s="150"/>
      <c r="G37" s="985"/>
      <c r="N37" s="94"/>
      <c r="O37" s="979"/>
      <c r="P37" s="980"/>
      <c r="Q37" s="980"/>
    </row>
    <row r="38" spans="1:17" ht="14.1" customHeight="1">
      <c r="A38" s="152">
        <v>1</v>
      </c>
      <c r="B38" s="1148" t="s">
        <v>988</v>
      </c>
      <c r="C38" s="1148"/>
      <c r="D38" s="1148"/>
      <c r="E38" s="1148"/>
      <c r="F38" s="1148"/>
      <c r="G38" s="1148"/>
      <c r="H38" s="1148"/>
      <c r="I38" s="1148"/>
      <c r="J38" s="1148"/>
      <c r="K38" s="1148"/>
      <c r="L38" s="151"/>
      <c r="N38" s="976"/>
      <c r="O38" s="977"/>
      <c r="P38" s="978"/>
      <c r="Q38" s="978"/>
    </row>
    <row r="39" spans="1:17">
      <c r="A39" s="152">
        <v>2</v>
      </c>
      <c r="B39" s="1148" t="s">
        <v>679</v>
      </c>
      <c r="C39" s="1148"/>
      <c r="D39" s="1148"/>
      <c r="E39" s="1148"/>
      <c r="F39" s="1148"/>
      <c r="G39" s="1148"/>
      <c r="H39" s="1148"/>
      <c r="I39" s="1148"/>
      <c r="J39" s="1148"/>
      <c r="K39" s="1148"/>
      <c r="L39" s="151"/>
      <c r="O39" s="979"/>
      <c r="P39" s="980"/>
      <c r="Q39" s="980"/>
    </row>
    <row r="40" spans="1:17">
      <c r="A40" s="152">
        <v>3</v>
      </c>
      <c r="B40" s="1148" t="s">
        <v>677</v>
      </c>
      <c r="C40" s="1148"/>
      <c r="D40" s="1148"/>
      <c r="E40" s="1148"/>
      <c r="F40" s="1148"/>
      <c r="G40" s="1148"/>
      <c r="H40" s="1148"/>
      <c r="I40" s="1148"/>
      <c r="J40" s="1148"/>
      <c r="K40" s="1148"/>
      <c r="L40" s="151"/>
      <c r="N40" s="976"/>
      <c r="O40" s="977"/>
      <c r="P40" s="978"/>
      <c r="Q40" s="978"/>
    </row>
    <row r="41" spans="1:17">
      <c r="A41" s="152">
        <v>4</v>
      </c>
      <c r="B41" s="1148" t="s">
        <v>991</v>
      </c>
      <c r="C41" s="1148"/>
      <c r="D41" s="1148"/>
      <c r="E41" s="1148"/>
      <c r="F41" s="1148"/>
      <c r="G41" s="1148"/>
      <c r="H41" s="1148"/>
      <c r="I41" s="1148"/>
      <c r="J41" s="1148"/>
      <c r="K41" s="1148"/>
      <c r="L41" s="151"/>
      <c r="O41" s="979"/>
    </row>
    <row r="42" spans="1:17" ht="14.1" customHeight="1">
      <c r="A42" s="152">
        <v>5</v>
      </c>
      <c r="B42" s="1148" t="s">
        <v>990</v>
      </c>
      <c r="C42" s="1148"/>
      <c r="D42" s="1148"/>
      <c r="E42" s="1148"/>
      <c r="F42" s="1148"/>
      <c r="G42" s="1148"/>
      <c r="H42" s="1148"/>
      <c r="I42" s="1148"/>
      <c r="J42" s="1148"/>
      <c r="K42" s="1148"/>
      <c r="L42" s="151"/>
      <c r="N42" s="976"/>
      <c r="O42" s="977"/>
    </row>
    <row r="43" spans="1:17">
      <c r="A43" s="152">
        <v>6</v>
      </c>
      <c r="B43" s="1148" t="s">
        <v>992</v>
      </c>
      <c r="C43" s="1148"/>
      <c r="D43" s="1148"/>
      <c r="E43" s="1148"/>
      <c r="F43" s="1148"/>
      <c r="G43" s="1148"/>
      <c r="H43" s="1148"/>
      <c r="I43" s="1148"/>
      <c r="J43" s="1148"/>
      <c r="K43" s="1148"/>
      <c r="L43" s="151"/>
    </row>
    <row r="44" spans="1:17" ht="15" customHeight="1">
      <c r="A44" s="152">
        <v>7</v>
      </c>
      <c r="B44" s="1148" t="s">
        <v>993</v>
      </c>
      <c r="C44" s="1148"/>
      <c r="D44" s="1148"/>
      <c r="E44" s="1148"/>
      <c r="F44" s="1148"/>
      <c r="G44" s="1148"/>
      <c r="H44" s="1148"/>
      <c r="I44" s="1148"/>
      <c r="J44" s="1148"/>
      <c r="K44" s="1148"/>
      <c r="L44" s="151"/>
      <c r="O44" s="986"/>
    </row>
    <row r="45" spans="1:17" ht="15" customHeight="1">
      <c r="A45" s="152">
        <v>8</v>
      </c>
      <c r="B45" s="1148" t="s">
        <v>942</v>
      </c>
      <c r="C45" s="1148"/>
      <c r="D45" s="1148"/>
      <c r="E45" s="1148"/>
      <c r="F45" s="1148"/>
      <c r="G45" s="1148"/>
      <c r="H45" s="1148"/>
      <c r="I45" s="1148"/>
      <c r="J45" s="1148"/>
      <c r="K45" s="1148"/>
      <c r="L45" s="151"/>
    </row>
    <row r="46" spans="1:17">
      <c r="A46" s="152">
        <v>9</v>
      </c>
      <c r="B46" s="1148" t="s">
        <v>994</v>
      </c>
      <c r="C46" s="1148"/>
      <c r="D46" s="1148"/>
      <c r="E46" s="1148"/>
      <c r="F46" s="1148"/>
      <c r="G46" s="1148"/>
      <c r="H46" s="1148"/>
      <c r="I46" s="1148"/>
      <c r="J46" s="1148"/>
      <c r="K46" s="1148"/>
      <c r="L46" s="151"/>
      <c r="M46" s="154"/>
      <c r="N46" s="779"/>
      <c r="O46" s="779"/>
    </row>
    <row r="47" spans="1:17">
      <c r="A47" s="130" t="s">
        <v>298</v>
      </c>
    </row>
    <row r="48" spans="1:17" ht="24.75" customHeight="1">
      <c r="A48" s="152" t="s">
        <v>246</v>
      </c>
      <c r="B48" s="1148" t="s">
        <v>948</v>
      </c>
      <c r="C48" s="1148"/>
      <c r="D48" s="1148"/>
      <c r="E48" s="1148"/>
      <c r="F48" s="1148"/>
      <c r="G48" s="1148"/>
      <c r="H48" s="1148"/>
      <c r="I48" s="1148"/>
      <c r="J48" s="1148"/>
      <c r="K48" s="1148"/>
    </row>
    <row r="49" spans="1:11" ht="22.5" customHeight="1">
      <c r="A49" s="152" t="s">
        <v>300</v>
      </c>
      <c r="B49" s="1148" t="s">
        <v>730</v>
      </c>
      <c r="C49" s="1148"/>
      <c r="D49" s="1148"/>
      <c r="E49" s="1148"/>
      <c r="F49" s="1148"/>
      <c r="G49" s="1148"/>
      <c r="H49" s="1148"/>
      <c r="I49" s="1148"/>
      <c r="J49" s="1148"/>
      <c r="K49" s="1148"/>
    </row>
    <row r="50" spans="1:11" ht="15" customHeight="1">
      <c r="A50" s="152" t="s">
        <v>265</v>
      </c>
      <c r="B50" s="1148" t="s">
        <v>731</v>
      </c>
      <c r="C50" s="1148"/>
      <c r="D50" s="1148"/>
      <c r="E50" s="1148"/>
      <c r="F50" s="1148"/>
      <c r="G50" s="1148"/>
      <c r="H50" s="1148"/>
      <c r="I50" s="1148"/>
      <c r="J50" s="1148"/>
      <c r="K50" s="1148"/>
    </row>
    <row r="51" spans="1:11">
      <c r="A51" s="152" t="s">
        <v>303</v>
      </c>
      <c r="B51" s="1148" t="s">
        <v>732</v>
      </c>
      <c r="C51" s="1148"/>
      <c r="D51" s="1148"/>
      <c r="E51" s="1148"/>
      <c r="F51" s="1148"/>
      <c r="G51" s="1148"/>
      <c r="H51" s="1148"/>
      <c r="I51" s="1148"/>
      <c r="J51" s="1148"/>
      <c r="K51" s="1148"/>
    </row>
    <row r="52" spans="1:11">
      <c r="A52" s="152" t="s">
        <v>305</v>
      </c>
      <c r="B52" s="1148" t="s">
        <v>733</v>
      </c>
      <c r="C52" s="1148"/>
      <c r="D52" s="1148"/>
      <c r="E52" s="1148"/>
      <c r="F52" s="1148"/>
      <c r="G52" s="1148"/>
      <c r="H52" s="1148"/>
      <c r="I52" s="1148"/>
      <c r="J52" s="1148"/>
      <c r="K52" s="1148"/>
    </row>
    <row r="53" spans="1:11" ht="13.5" customHeight="1">
      <c r="A53" s="152" t="s">
        <v>307</v>
      </c>
      <c r="B53" s="1148" t="s">
        <v>740</v>
      </c>
      <c r="C53" s="1148"/>
      <c r="D53" s="1148"/>
      <c r="E53" s="1148"/>
      <c r="F53" s="1148"/>
      <c r="G53" s="1148"/>
      <c r="H53" s="1148"/>
      <c r="I53" s="1148"/>
      <c r="J53" s="1148"/>
      <c r="K53" s="1148"/>
    </row>
    <row r="54" spans="1:11" ht="15" customHeight="1">
      <c r="A54" s="152" t="s">
        <v>309</v>
      </c>
      <c r="B54" s="1148" t="s">
        <v>741</v>
      </c>
      <c r="C54" s="1148"/>
      <c r="D54" s="1148"/>
      <c r="E54" s="1148"/>
      <c r="F54" s="1148"/>
      <c r="G54" s="1148"/>
      <c r="H54" s="1148"/>
      <c r="I54" s="1148"/>
      <c r="J54" s="1148"/>
      <c r="K54" s="1148"/>
    </row>
    <row r="55" spans="1:11" ht="24.75" customHeight="1">
      <c r="A55" s="152" t="s">
        <v>253</v>
      </c>
      <c r="B55" s="1148" t="s">
        <v>742</v>
      </c>
      <c r="C55" s="1148"/>
      <c r="D55" s="1148"/>
      <c r="E55" s="1148"/>
      <c r="F55" s="1148"/>
      <c r="G55" s="1148"/>
      <c r="H55" s="1148"/>
      <c r="I55" s="1148"/>
      <c r="J55" s="1148"/>
      <c r="K55" s="1148"/>
    </row>
    <row r="56" spans="1:11">
      <c r="A56" s="152" t="s">
        <v>385</v>
      </c>
      <c r="B56" s="1148" t="s">
        <v>945</v>
      </c>
      <c r="C56" s="1148"/>
      <c r="D56" s="1148"/>
      <c r="E56" s="1148"/>
      <c r="F56" s="1148"/>
      <c r="G56" s="1148"/>
      <c r="H56" s="1148"/>
      <c r="I56" s="1148"/>
      <c r="J56" s="1148"/>
      <c r="K56" s="1148"/>
    </row>
    <row r="57" spans="1:11">
      <c r="A57" s="152"/>
      <c r="B57" s="1148"/>
      <c r="C57" s="1148"/>
      <c r="D57" s="1148"/>
      <c r="E57" s="1148"/>
      <c r="F57" s="1148"/>
      <c r="G57" s="1148"/>
      <c r="H57" s="1148"/>
      <c r="I57" s="1148"/>
      <c r="J57" s="1148"/>
      <c r="K57" s="1148"/>
    </row>
  </sheetData>
  <mergeCells count="23">
    <mergeCell ref="B44:K44"/>
    <mergeCell ref="B45:K45"/>
    <mergeCell ref="B39:K39"/>
    <mergeCell ref="B40:K40"/>
    <mergeCell ref="B41:K41"/>
    <mergeCell ref="B42:K42"/>
    <mergeCell ref="B43:K43"/>
    <mergeCell ref="C3:K3"/>
    <mergeCell ref="F4:G4"/>
    <mergeCell ref="H4:I4"/>
    <mergeCell ref="B36:K36"/>
    <mergeCell ref="B38:K38"/>
    <mergeCell ref="B53:K53"/>
    <mergeCell ref="B56:K56"/>
    <mergeCell ref="B57:K57"/>
    <mergeCell ref="B46:K46"/>
    <mergeCell ref="B49:K49"/>
    <mergeCell ref="B51:K51"/>
    <mergeCell ref="B52:K52"/>
    <mergeCell ref="B54:K54"/>
    <mergeCell ref="B55:K55"/>
    <mergeCell ref="B50:K50"/>
    <mergeCell ref="B48:K48"/>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6344-9CBF-4A23-B633-68DF424A4F70}">
  <sheetPr codeName="Sheet37">
    <tabColor theme="6" tint="0.39997558519241921"/>
  </sheetPr>
  <dimension ref="A1:U53"/>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95" t="s">
        <v>145</v>
      </c>
      <c r="C3" s="1141" t="s">
        <v>747</v>
      </c>
      <c r="D3" s="1141"/>
      <c r="E3" s="1141"/>
      <c r="F3" s="1141"/>
      <c r="G3" s="1141"/>
      <c r="H3" s="1141"/>
      <c r="I3" s="1141"/>
      <c r="J3" s="1141"/>
      <c r="K3" s="1142"/>
      <c r="M3" s="349"/>
      <c r="N3" s="1211"/>
      <c r="O3" s="1144"/>
      <c r="P3" s="1144"/>
      <c r="Q3" s="1144"/>
      <c r="R3" s="1144"/>
      <c r="S3" s="1144"/>
    </row>
    <row r="4" spans="2:19" ht="16.5" customHeight="1">
      <c r="B4" s="98"/>
      <c r="C4" s="99">
        <v>2023</v>
      </c>
      <c r="D4" s="99">
        <v>2030</v>
      </c>
      <c r="E4" s="99">
        <v>2050</v>
      </c>
      <c r="F4" s="1145" t="s">
        <v>236</v>
      </c>
      <c r="G4" s="1142"/>
      <c r="H4" s="1145" t="s">
        <v>237</v>
      </c>
      <c r="I4" s="1142"/>
      <c r="J4" s="99" t="s">
        <v>238</v>
      </c>
      <c r="K4" s="99" t="s">
        <v>239</v>
      </c>
      <c r="M4" s="351"/>
      <c r="N4" s="350"/>
      <c r="O4" s="350"/>
      <c r="P4" s="350"/>
      <c r="Q4" s="350"/>
      <c r="R4" s="350"/>
      <c r="S4" s="350"/>
    </row>
    <row r="5" spans="2:19" ht="15" customHeight="1">
      <c r="B5" s="102" t="s">
        <v>240</v>
      </c>
      <c r="C5" s="103"/>
      <c r="D5" s="103"/>
      <c r="E5" s="103"/>
      <c r="F5" s="96" t="s">
        <v>241</v>
      </c>
      <c r="G5" s="96" t="s">
        <v>242</v>
      </c>
      <c r="H5" s="96" t="s">
        <v>241</v>
      </c>
      <c r="I5" s="96" t="s">
        <v>242</v>
      </c>
      <c r="J5" s="103"/>
      <c r="K5" s="104"/>
      <c r="M5" s="1212"/>
      <c r="N5" s="1212"/>
      <c r="O5" s="1212"/>
      <c r="P5" s="1212"/>
      <c r="Q5" s="1212"/>
      <c r="R5" s="1212"/>
      <c r="S5" s="1212"/>
    </row>
    <row r="6" spans="2:19" ht="15" customHeight="1">
      <c r="B6" s="105" t="s">
        <v>243</v>
      </c>
      <c r="C6" s="704">
        <v>25</v>
      </c>
      <c r="D6" s="704">
        <f>C6</f>
        <v>25</v>
      </c>
      <c r="E6" s="704">
        <f>D6</f>
        <v>25</v>
      </c>
      <c r="F6" s="704">
        <v>1</v>
      </c>
      <c r="G6" s="704">
        <v>50</v>
      </c>
      <c r="H6" s="704">
        <v>1</v>
      </c>
      <c r="I6" s="704">
        <v>50</v>
      </c>
      <c r="J6" s="674"/>
      <c r="K6" s="709" t="s">
        <v>314</v>
      </c>
      <c r="M6" s="352"/>
      <c r="N6" s="1213"/>
      <c r="O6" s="1140"/>
      <c r="P6" s="1140"/>
      <c r="Q6" s="1140"/>
      <c r="R6" s="1140"/>
      <c r="S6" s="1140"/>
    </row>
    <row r="7" spans="2:19" ht="18.75" customHeight="1">
      <c r="B7" s="105" t="s">
        <v>244</v>
      </c>
      <c r="C7" s="704">
        <f>C6</f>
        <v>25</v>
      </c>
      <c r="D7" s="704">
        <f t="shared" ref="D7:E7" si="0">D6</f>
        <v>25</v>
      </c>
      <c r="E7" s="704">
        <f t="shared" si="0"/>
        <v>25</v>
      </c>
      <c r="F7" s="704">
        <v>1</v>
      </c>
      <c r="G7" s="704">
        <v>50</v>
      </c>
      <c r="H7" s="704">
        <v>1</v>
      </c>
      <c r="I7" s="704">
        <v>50</v>
      </c>
      <c r="J7" s="674"/>
      <c r="K7" s="709" t="s">
        <v>314</v>
      </c>
      <c r="M7" s="352"/>
      <c r="N7" s="353"/>
      <c r="O7" s="111"/>
      <c r="P7" s="111"/>
      <c r="Q7" s="111"/>
      <c r="R7" s="111"/>
      <c r="S7" s="111"/>
    </row>
    <row r="8" spans="2:19">
      <c r="B8" s="105" t="s">
        <v>245</v>
      </c>
      <c r="C8" s="987">
        <v>32</v>
      </c>
      <c r="D8" s="987">
        <v>32</v>
      </c>
      <c r="E8" s="987">
        <v>32</v>
      </c>
      <c r="F8" s="987">
        <v>25</v>
      </c>
      <c r="G8" s="987">
        <v>35</v>
      </c>
      <c r="H8" s="987">
        <v>25</v>
      </c>
      <c r="I8" s="987">
        <v>35</v>
      </c>
      <c r="J8" s="674"/>
      <c r="K8" s="855" t="s">
        <v>748</v>
      </c>
      <c r="M8" s="352"/>
      <c r="N8" s="354"/>
      <c r="O8" s="354"/>
      <c r="P8" s="354"/>
      <c r="Q8" s="354"/>
      <c r="R8" s="354"/>
      <c r="S8" s="354"/>
    </row>
    <row r="9" spans="2:19">
      <c r="B9" s="114" t="s">
        <v>247</v>
      </c>
      <c r="C9" s="988">
        <f>C8-1</f>
        <v>31</v>
      </c>
      <c r="D9" s="988">
        <f t="shared" ref="D9:E9" si="1">D8-1</f>
        <v>31</v>
      </c>
      <c r="E9" s="988">
        <f t="shared" si="1"/>
        <v>31</v>
      </c>
      <c r="F9" s="987">
        <v>25</v>
      </c>
      <c r="G9" s="987">
        <v>35</v>
      </c>
      <c r="H9" s="987">
        <v>25</v>
      </c>
      <c r="I9" s="987">
        <v>35</v>
      </c>
      <c r="J9" s="676"/>
      <c r="K9" s="855" t="s">
        <v>748</v>
      </c>
      <c r="M9" s="352"/>
      <c r="N9" s="354"/>
      <c r="O9" s="354"/>
      <c r="P9" s="354"/>
      <c r="Q9" s="354"/>
      <c r="R9" s="354"/>
      <c r="S9" s="354"/>
    </row>
    <row r="10" spans="2:19">
      <c r="B10" s="105" t="s">
        <v>248</v>
      </c>
      <c r="C10" s="729">
        <v>7</v>
      </c>
      <c r="D10" s="729">
        <v>7</v>
      </c>
      <c r="E10" s="729">
        <v>7</v>
      </c>
      <c r="F10" s="987">
        <f>C10*0.75</f>
        <v>5.25</v>
      </c>
      <c r="G10" s="987">
        <f>C10*1.25</f>
        <v>8.75</v>
      </c>
      <c r="H10" s="987">
        <f>E10*0.75</f>
        <v>5.25</v>
      </c>
      <c r="I10" s="987">
        <f>E10*1.25</f>
        <v>8.75</v>
      </c>
      <c r="J10" s="674" t="s">
        <v>246</v>
      </c>
      <c r="K10" s="674">
        <v>1</v>
      </c>
      <c r="M10" s="216"/>
      <c r="N10" s="355"/>
      <c r="O10" s="355"/>
      <c r="P10" s="355"/>
      <c r="Q10" s="355"/>
      <c r="R10" s="355"/>
      <c r="S10" s="354"/>
    </row>
    <row r="11" spans="2:19">
      <c r="B11" s="117" t="s">
        <v>249</v>
      </c>
      <c r="C11" s="729">
        <v>6</v>
      </c>
      <c r="D11" s="729">
        <v>6</v>
      </c>
      <c r="E11" s="729">
        <v>6</v>
      </c>
      <c r="F11" s="987">
        <f>C11*0.75</f>
        <v>4.5</v>
      </c>
      <c r="G11" s="987">
        <f>C11*1.25</f>
        <v>7.5</v>
      </c>
      <c r="H11" s="987">
        <f>E11*0.75</f>
        <v>4.5</v>
      </c>
      <c r="I11" s="987">
        <f>E11*1.25</f>
        <v>7.5</v>
      </c>
      <c r="J11" s="709" t="s">
        <v>246</v>
      </c>
      <c r="K11" s="674">
        <v>1</v>
      </c>
      <c r="M11" s="216"/>
      <c r="N11" s="355"/>
      <c r="O11" s="355"/>
      <c r="P11" s="355"/>
      <c r="Q11" s="355"/>
      <c r="R11" s="355"/>
      <c r="S11" s="354"/>
    </row>
    <row r="12" spans="2:19">
      <c r="B12" s="117" t="s">
        <v>250</v>
      </c>
      <c r="C12" s="674">
        <v>25</v>
      </c>
      <c r="D12" s="674">
        <v>25</v>
      </c>
      <c r="E12" s="674">
        <v>25</v>
      </c>
      <c r="F12" s="987">
        <f>C12*0.75</f>
        <v>18.75</v>
      </c>
      <c r="G12" s="987">
        <f>C12*1.25</f>
        <v>31.25</v>
      </c>
      <c r="H12" s="987">
        <f>E12*0.75</f>
        <v>18.75</v>
      </c>
      <c r="I12" s="987">
        <f>E12*1.25</f>
        <v>31.25</v>
      </c>
      <c r="J12" s="709" t="s">
        <v>246</v>
      </c>
      <c r="K12" s="674" t="s">
        <v>749</v>
      </c>
      <c r="M12" s="352"/>
      <c r="N12" s="354"/>
      <c r="O12" s="354"/>
      <c r="P12" s="354"/>
      <c r="Q12" s="354"/>
      <c r="R12" s="354"/>
      <c r="S12" s="354"/>
    </row>
    <row r="13" spans="2:19">
      <c r="B13" s="117" t="s">
        <v>252</v>
      </c>
      <c r="C13" s="674">
        <v>2</v>
      </c>
      <c r="D13" s="674">
        <v>2</v>
      </c>
      <c r="E13" s="674">
        <v>2</v>
      </c>
      <c r="F13" s="987">
        <f>C13*0.75</f>
        <v>1.5</v>
      </c>
      <c r="G13" s="987">
        <f>C13*1.25</f>
        <v>2.5</v>
      </c>
      <c r="H13" s="987">
        <f>E13*0.75</f>
        <v>1.5</v>
      </c>
      <c r="I13" s="987">
        <f>E13*1.25</f>
        <v>2.5</v>
      </c>
      <c r="J13" s="709" t="s">
        <v>246</v>
      </c>
      <c r="K13" s="674">
        <v>10</v>
      </c>
      <c r="M13" s="352"/>
      <c r="N13" s="354"/>
      <c r="O13" s="354"/>
      <c r="P13" s="354"/>
      <c r="Q13" s="354"/>
      <c r="R13" s="354"/>
      <c r="S13" s="354"/>
    </row>
    <row r="14" spans="2:19">
      <c r="B14" s="119" t="s">
        <v>254</v>
      </c>
      <c r="C14" s="678">
        <v>35</v>
      </c>
      <c r="D14" s="678">
        <v>35</v>
      </c>
      <c r="E14" s="678">
        <v>35</v>
      </c>
      <c r="F14" s="987">
        <f>C14*0.75</f>
        <v>26.25</v>
      </c>
      <c r="G14" s="987">
        <f>C14*1.25</f>
        <v>43.75</v>
      </c>
      <c r="H14" s="987">
        <f>E14*0.75</f>
        <v>26.25</v>
      </c>
      <c r="I14" s="987">
        <f>E14*1.25</f>
        <v>43.75</v>
      </c>
      <c r="J14" s="709" t="s">
        <v>246</v>
      </c>
      <c r="K14" s="674" t="s">
        <v>737</v>
      </c>
      <c r="M14" s="352"/>
      <c r="N14" s="354"/>
      <c r="O14" s="354"/>
      <c r="P14" s="354"/>
      <c r="Q14" s="354"/>
      <c r="R14" s="354"/>
      <c r="S14" s="354"/>
    </row>
    <row r="15" spans="2:19">
      <c r="B15" s="121" t="s">
        <v>255</v>
      </c>
      <c r="C15" s="711"/>
      <c r="D15" s="711"/>
      <c r="E15" s="711"/>
      <c r="F15" s="711"/>
      <c r="G15" s="711"/>
      <c r="H15" s="711"/>
      <c r="I15" s="712"/>
      <c r="J15" s="712"/>
      <c r="K15" s="751"/>
      <c r="M15" s="352"/>
      <c r="N15" s="354"/>
      <c r="O15" s="354"/>
      <c r="P15" s="354"/>
      <c r="Q15" s="354"/>
      <c r="R15" s="354"/>
      <c r="S15" s="354"/>
    </row>
    <row r="16" spans="2:19">
      <c r="B16" s="119" t="s">
        <v>256</v>
      </c>
      <c r="C16" s="678" t="s">
        <v>146</v>
      </c>
      <c r="D16" s="678" t="s">
        <v>146</v>
      </c>
      <c r="E16" s="678" t="s">
        <v>146</v>
      </c>
      <c r="F16" s="678" t="s">
        <v>146</v>
      </c>
      <c r="G16" s="678" t="s">
        <v>146</v>
      </c>
      <c r="H16" s="678" t="s">
        <v>146</v>
      </c>
      <c r="I16" s="678" t="s">
        <v>146</v>
      </c>
      <c r="J16" s="709"/>
      <c r="K16" s="674"/>
      <c r="M16" s="352"/>
      <c r="N16" s="354"/>
      <c r="O16" s="354"/>
      <c r="P16" s="354"/>
      <c r="Q16" s="354"/>
      <c r="R16" s="354"/>
      <c r="S16" s="354"/>
    </row>
    <row r="17" spans="2:19">
      <c r="B17" s="119" t="s">
        <v>257</v>
      </c>
      <c r="C17" s="678" t="s">
        <v>146</v>
      </c>
      <c r="D17" s="678" t="s">
        <v>146</v>
      </c>
      <c r="E17" s="678" t="s">
        <v>146</v>
      </c>
      <c r="F17" s="678" t="s">
        <v>146</v>
      </c>
      <c r="G17" s="678" t="s">
        <v>146</v>
      </c>
      <c r="H17" s="678" t="s">
        <v>146</v>
      </c>
      <c r="I17" s="678" t="s">
        <v>146</v>
      </c>
      <c r="J17" s="709"/>
      <c r="K17" s="674"/>
      <c r="M17" s="352"/>
      <c r="N17" s="354"/>
      <c r="O17" s="354"/>
      <c r="P17" s="354"/>
      <c r="Q17" s="354"/>
      <c r="R17" s="354"/>
      <c r="S17" s="354"/>
    </row>
    <row r="18" spans="2:19">
      <c r="B18" s="125" t="s">
        <v>258</v>
      </c>
      <c r="C18" s="715"/>
      <c r="D18" s="715"/>
      <c r="E18" s="715"/>
      <c r="F18" s="715"/>
      <c r="G18" s="715"/>
      <c r="H18" s="715"/>
      <c r="I18" s="681"/>
      <c r="J18" s="681"/>
      <c r="K18" s="682"/>
      <c r="M18" s="352"/>
      <c r="N18" s="354"/>
      <c r="O18" s="354"/>
      <c r="P18" s="354"/>
      <c r="Q18" s="354"/>
      <c r="R18" s="354"/>
      <c r="S18" s="354"/>
    </row>
    <row r="19" spans="2:19">
      <c r="B19" s="117" t="s">
        <v>259</v>
      </c>
      <c r="C19" s="674">
        <v>10</v>
      </c>
      <c r="D19" s="674">
        <v>10</v>
      </c>
      <c r="E19" s="674">
        <v>10</v>
      </c>
      <c r="F19" s="674"/>
      <c r="G19" s="674"/>
      <c r="H19" s="674"/>
      <c r="I19" s="674"/>
      <c r="J19" s="709"/>
      <c r="K19" s="709">
        <v>3</v>
      </c>
      <c r="L19" s="130"/>
      <c r="M19" s="352"/>
      <c r="N19" s="354"/>
      <c r="O19" s="354"/>
      <c r="P19" s="354"/>
      <c r="Q19" s="354"/>
      <c r="R19" s="354"/>
      <c r="S19" s="354"/>
    </row>
    <row r="20" spans="2:19">
      <c r="B20" s="117" t="s">
        <v>260</v>
      </c>
      <c r="C20" s="674">
        <v>30</v>
      </c>
      <c r="D20" s="674">
        <v>30</v>
      </c>
      <c r="E20" s="674">
        <v>30</v>
      </c>
      <c r="F20" s="674"/>
      <c r="G20" s="674"/>
      <c r="H20" s="674"/>
      <c r="I20" s="674"/>
      <c r="J20" s="709"/>
      <c r="K20" s="709">
        <v>3</v>
      </c>
      <c r="M20" s="352"/>
      <c r="N20" s="354"/>
      <c r="O20" s="354"/>
      <c r="P20" s="354"/>
      <c r="Q20" s="354"/>
      <c r="R20" s="354"/>
      <c r="S20" s="354"/>
    </row>
    <row r="21" spans="2:19">
      <c r="B21" s="117" t="s">
        <v>261</v>
      </c>
      <c r="C21" s="674">
        <v>0.5</v>
      </c>
      <c r="D21" s="674">
        <v>0.5</v>
      </c>
      <c r="E21" s="674">
        <v>0.5</v>
      </c>
      <c r="F21" s="674"/>
      <c r="G21" s="674"/>
      <c r="H21" s="674"/>
      <c r="I21" s="674"/>
      <c r="J21" s="709"/>
      <c r="K21" s="709">
        <v>3</v>
      </c>
      <c r="M21" s="352"/>
      <c r="N21" s="354"/>
      <c r="O21" s="354"/>
      <c r="P21" s="354"/>
      <c r="Q21" s="354"/>
      <c r="R21" s="354"/>
      <c r="S21" s="354"/>
    </row>
    <row r="22" spans="2:19">
      <c r="B22" s="117" t="s">
        <v>262</v>
      </c>
      <c r="C22" s="674">
        <v>10</v>
      </c>
      <c r="D22" s="674">
        <v>10</v>
      </c>
      <c r="E22" s="674">
        <v>10</v>
      </c>
      <c r="F22" s="674"/>
      <c r="G22" s="674"/>
      <c r="H22" s="674"/>
      <c r="I22" s="674"/>
      <c r="J22" s="709"/>
      <c r="K22" s="709">
        <v>3</v>
      </c>
      <c r="M22" s="352"/>
      <c r="N22" s="354"/>
      <c r="O22" s="354"/>
      <c r="P22" s="354"/>
      <c r="Q22" s="354"/>
      <c r="R22" s="354"/>
      <c r="S22" s="354"/>
    </row>
    <row r="23" spans="2:19">
      <c r="B23" s="125" t="s">
        <v>263</v>
      </c>
      <c r="C23" s="720"/>
      <c r="D23" s="720"/>
      <c r="E23" s="720"/>
      <c r="F23" s="720"/>
      <c r="G23" s="720"/>
      <c r="H23" s="720"/>
      <c r="I23" s="720"/>
      <c r="J23" s="720"/>
      <c r="K23" s="758"/>
      <c r="M23" s="1212"/>
      <c r="N23" s="1212"/>
      <c r="O23" s="1212"/>
      <c r="P23" s="1212"/>
      <c r="Q23" s="1212"/>
      <c r="R23" s="1212"/>
      <c r="S23" s="1212"/>
    </row>
    <row r="24" spans="2:19">
      <c r="B24" s="117" t="s">
        <v>580</v>
      </c>
      <c r="C24" s="993">
        <v>12.5</v>
      </c>
      <c r="D24" s="993">
        <v>12.5</v>
      </c>
      <c r="E24" s="993">
        <v>12.5</v>
      </c>
      <c r="F24" s="707"/>
      <c r="G24" s="707"/>
      <c r="H24" s="707"/>
      <c r="I24" s="707"/>
      <c r="J24" s="722"/>
      <c r="K24" s="709">
        <v>3</v>
      </c>
      <c r="M24" s="349"/>
      <c r="N24" s="349"/>
      <c r="O24" s="349"/>
      <c r="P24" s="349"/>
      <c r="Q24" s="349"/>
      <c r="R24" s="349"/>
      <c r="S24" s="349"/>
    </row>
    <row r="25" spans="2:19">
      <c r="B25" s="117" t="s">
        <v>266</v>
      </c>
      <c r="C25" s="993">
        <v>0</v>
      </c>
      <c r="D25" s="993">
        <v>0</v>
      </c>
      <c r="E25" s="993">
        <v>0</v>
      </c>
      <c r="F25" s="707"/>
      <c r="G25" s="707"/>
      <c r="H25" s="707"/>
      <c r="I25" s="707"/>
      <c r="J25" s="722"/>
      <c r="K25" s="709">
        <v>3</v>
      </c>
      <c r="M25" s="352"/>
      <c r="N25" s="354"/>
      <c r="O25" s="354"/>
      <c r="P25" s="354"/>
      <c r="Q25" s="354"/>
      <c r="R25" s="354"/>
      <c r="S25" s="354"/>
    </row>
    <row r="26" spans="2:19" ht="15" customHeight="1">
      <c r="B26" s="117" t="s">
        <v>267</v>
      </c>
      <c r="C26" s="994">
        <v>125</v>
      </c>
      <c r="D26" s="994">
        <v>125</v>
      </c>
      <c r="E26" s="994">
        <v>125</v>
      </c>
      <c r="F26" s="708"/>
      <c r="G26" s="708"/>
      <c r="H26" s="708"/>
      <c r="I26" s="708"/>
      <c r="J26" s="723"/>
      <c r="K26" s="709">
        <v>3</v>
      </c>
      <c r="M26" s="352"/>
      <c r="N26" s="354"/>
      <c r="O26" s="354"/>
      <c r="P26" s="354"/>
      <c r="Q26" s="354"/>
      <c r="R26" s="354"/>
      <c r="S26" s="354"/>
    </row>
    <row r="27" spans="2:19">
      <c r="B27" s="117" t="s">
        <v>268</v>
      </c>
      <c r="C27" s="993">
        <v>0.94</v>
      </c>
      <c r="D27" s="993">
        <v>0.94</v>
      </c>
      <c r="E27" s="993">
        <v>0.94</v>
      </c>
      <c r="F27" s="708"/>
      <c r="G27" s="708"/>
      <c r="H27" s="708"/>
      <c r="I27" s="708"/>
      <c r="J27" s="709"/>
      <c r="K27" s="709">
        <v>3</v>
      </c>
      <c r="M27" s="352"/>
      <c r="N27" s="356"/>
      <c r="O27" s="356"/>
      <c r="P27" s="356"/>
      <c r="Q27" s="356"/>
      <c r="R27" s="354"/>
      <c r="S27" s="354"/>
    </row>
    <row r="28" spans="2:19">
      <c r="B28" s="117" t="s">
        <v>269</v>
      </c>
      <c r="C28" s="993">
        <v>1.1000000000000001</v>
      </c>
      <c r="D28" s="993">
        <v>1.1000000000000001</v>
      </c>
      <c r="E28" s="993">
        <v>1.1000000000000001</v>
      </c>
      <c r="F28" s="708"/>
      <c r="G28" s="708"/>
      <c r="H28" s="708"/>
      <c r="I28" s="708"/>
      <c r="J28" s="709"/>
      <c r="K28" s="709">
        <v>3</v>
      </c>
      <c r="L28" s="138"/>
      <c r="M28" s="1212"/>
      <c r="N28" s="1212"/>
      <c r="O28" s="1212"/>
      <c r="P28" s="1212"/>
      <c r="Q28" s="1212"/>
      <c r="R28" s="1212"/>
      <c r="S28" s="1212"/>
    </row>
    <row r="29" spans="2:19">
      <c r="B29" s="125" t="s">
        <v>270</v>
      </c>
      <c r="C29" s="720"/>
      <c r="D29" s="720"/>
      <c r="E29" s="720"/>
      <c r="F29" s="720"/>
      <c r="G29" s="720"/>
      <c r="H29" s="720"/>
      <c r="I29" s="720"/>
      <c r="J29" s="720"/>
      <c r="K29" s="758"/>
      <c r="M29" s="352"/>
      <c r="N29" s="354"/>
      <c r="O29" s="354"/>
      <c r="P29" s="354"/>
      <c r="Q29" s="354"/>
      <c r="R29" s="354"/>
      <c r="S29" s="354"/>
    </row>
    <row r="30" spans="2:19">
      <c r="B30" s="117" t="s">
        <v>271</v>
      </c>
      <c r="C30" s="861">
        <v>2.2799999999999998</v>
      </c>
      <c r="D30" s="861">
        <f>C30*0.91</f>
        <v>2.0747999999999998</v>
      </c>
      <c r="E30" s="861">
        <f>0.8*C30</f>
        <v>1.8239999999999998</v>
      </c>
      <c r="F30" s="991">
        <v>1.48</v>
      </c>
      <c r="G30" s="991">
        <v>2.57</v>
      </c>
      <c r="H30" s="992">
        <v>1.5</v>
      </c>
      <c r="I30" s="992">
        <v>2.6</v>
      </c>
      <c r="J30" s="722" t="s">
        <v>750</v>
      </c>
      <c r="K30" s="675" t="s">
        <v>751</v>
      </c>
      <c r="M30" s="352"/>
      <c r="N30" s="357"/>
      <c r="O30" s="357"/>
      <c r="P30" s="357"/>
      <c r="Q30" s="357"/>
      <c r="R30" s="354"/>
      <c r="S30" s="354"/>
    </row>
    <row r="31" spans="2:19">
      <c r="B31" s="117" t="s">
        <v>274</v>
      </c>
      <c r="C31" s="745">
        <v>65</v>
      </c>
      <c r="D31" s="745">
        <v>65</v>
      </c>
      <c r="E31" s="745">
        <v>65</v>
      </c>
      <c r="F31" s="729">
        <v>50</v>
      </c>
      <c r="G31" s="729">
        <v>85</v>
      </c>
      <c r="H31" s="729">
        <v>50</v>
      </c>
      <c r="I31" s="729">
        <v>85</v>
      </c>
      <c r="J31" s="709"/>
      <c r="K31" s="675" t="s">
        <v>355</v>
      </c>
      <c r="M31" s="352"/>
      <c r="N31" s="357"/>
      <c r="O31" s="357"/>
      <c r="P31" s="357"/>
      <c r="Q31" s="357"/>
      <c r="R31" s="354"/>
      <c r="S31" s="354"/>
    </row>
    <row r="32" spans="2:19">
      <c r="B32" s="117" t="s">
        <v>275</v>
      </c>
      <c r="C32" s="745">
        <v>35</v>
      </c>
      <c r="D32" s="745">
        <v>35</v>
      </c>
      <c r="E32" s="745">
        <v>35</v>
      </c>
      <c r="F32" s="729">
        <v>15</v>
      </c>
      <c r="G32" s="729">
        <v>50</v>
      </c>
      <c r="H32" s="729">
        <v>15</v>
      </c>
      <c r="I32" s="729">
        <v>50</v>
      </c>
      <c r="J32" s="709"/>
      <c r="K32" s="675" t="s">
        <v>355</v>
      </c>
      <c r="M32" s="352"/>
      <c r="N32" s="357"/>
      <c r="O32" s="357"/>
      <c r="P32" s="357"/>
      <c r="Q32" s="357"/>
      <c r="R32" s="354"/>
      <c r="S32" s="354"/>
    </row>
    <row r="33" spans="1:21">
      <c r="B33" s="117" t="s">
        <v>276</v>
      </c>
      <c r="C33" s="729">
        <v>54000</v>
      </c>
      <c r="D33" s="729">
        <f>MROUND(C33*0.92,100)</f>
        <v>49700</v>
      </c>
      <c r="E33" s="729">
        <f>MROUND(C33*0.8,100)</f>
        <v>43200</v>
      </c>
      <c r="F33" s="987">
        <v>43000</v>
      </c>
      <c r="G33" s="987">
        <v>72000</v>
      </c>
      <c r="H33" s="987">
        <v>36500</v>
      </c>
      <c r="I33" s="987">
        <v>61000</v>
      </c>
      <c r="J33" s="709" t="s">
        <v>246</v>
      </c>
      <c r="K33" s="709" t="s">
        <v>752</v>
      </c>
      <c r="M33" s="352"/>
      <c r="N33" s="357"/>
      <c r="O33" s="357"/>
      <c r="P33" s="357"/>
      <c r="Q33" s="357"/>
      <c r="R33" s="354"/>
      <c r="S33" s="354"/>
    </row>
    <row r="34" spans="1:21">
      <c r="B34" s="117" t="s">
        <v>279</v>
      </c>
      <c r="C34" s="861">
        <v>3.4</v>
      </c>
      <c r="D34" s="861">
        <f>C34*0.92</f>
        <v>3.1280000000000001</v>
      </c>
      <c r="E34" s="861">
        <f>C34*0.8</f>
        <v>2.72</v>
      </c>
      <c r="F34" s="991">
        <v>2.8</v>
      </c>
      <c r="G34" s="991">
        <v>4.5999999999999996</v>
      </c>
      <c r="H34" s="991">
        <v>2.4</v>
      </c>
      <c r="I34" s="991">
        <v>3.9</v>
      </c>
      <c r="J34" s="709" t="s">
        <v>246</v>
      </c>
      <c r="K34" s="675" t="s">
        <v>753</v>
      </c>
      <c r="M34" s="352"/>
      <c r="N34" s="357"/>
      <c r="O34" s="357"/>
      <c r="P34" s="357"/>
      <c r="Q34" s="357"/>
      <c r="R34" s="354"/>
      <c r="S34" s="354"/>
    </row>
    <row r="35" spans="1:21">
      <c r="B35" s="117" t="s">
        <v>282</v>
      </c>
      <c r="C35" s="729"/>
      <c r="D35" s="729"/>
      <c r="E35" s="729"/>
      <c r="F35" s="729"/>
      <c r="G35" s="729"/>
      <c r="H35" s="729"/>
      <c r="I35" s="729"/>
      <c r="J35" s="709"/>
      <c r="K35" s="709"/>
      <c r="M35" s="1212"/>
      <c r="N35" s="1212"/>
      <c r="O35" s="1212"/>
      <c r="P35" s="1212"/>
      <c r="Q35" s="1212"/>
      <c r="R35" s="1212"/>
      <c r="S35" s="1212"/>
    </row>
    <row r="36" spans="1:21">
      <c r="A36" s="130"/>
      <c r="L36" s="94"/>
    </row>
    <row r="37" spans="1:21" s="93" customFormat="1" ht="12">
      <c r="A37" s="130" t="s">
        <v>286</v>
      </c>
      <c r="C37" s="150"/>
      <c r="D37" s="150"/>
      <c r="E37" s="150"/>
      <c r="F37" s="150"/>
      <c r="G37" s="150"/>
      <c r="M37" s="216"/>
      <c r="N37" s="216"/>
      <c r="O37" s="216"/>
      <c r="P37" s="216"/>
      <c r="Q37" s="216"/>
      <c r="R37" s="216"/>
      <c r="S37" s="216"/>
      <c r="T37" s="216"/>
      <c r="U37" s="216"/>
    </row>
    <row r="38" spans="1:21">
      <c r="A38" s="152">
        <v>1</v>
      </c>
      <c r="B38" s="1150" t="s">
        <v>287</v>
      </c>
      <c r="C38" s="1150"/>
      <c r="D38" s="1150"/>
      <c r="E38" s="1150"/>
      <c r="F38" s="1150"/>
      <c r="G38" s="1150"/>
      <c r="H38" s="1150"/>
      <c r="I38" s="1150"/>
      <c r="J38" s="1150"/>
      <c r="K38" s="1150"/>
    </row>
    <row r="39" spans="1:21" ht="15" customHeight="1">
      <c r="A39" s="152">
        <v>2</v>
      </c>
      <c r="B39" s="1148" t="s">
        <v>754</v>
      </c>
      <c r="C39" s="1148"/>
      <c r="D39" s="1148"/>
      <c r="E39" s="1148"/>
      <c r="F39" s="1148"/>
      <c r="G39" s="1148"/>
      <c r="H39" s="1148"/>
      <c r="I39" s="1148"/>
      <c r="J39" s="1148"/>
      <c r="K39" s="1148"/>
    </row>
    <row r="40" spans="1:21">
      <c r="A40" s="152">
        <v>3</v>
      </c>
      <c r="B40" s="1148" t="s">
        <v>755</v>
      </c>
      <c r="C40" s="1148"/>
      <c r="D40" s="1148"/>
      <c r="E40" s="1148"/>
      <c r="F40" s="1148"/>
      <c r="G40" s="1148"/>
      <c r="H40" s="1148"/>
      <c r="I40" s="1148"/>
      <c r="J40" s="1148"/>
      <c r="K40" s="1148"/>
    </row>
    <row r="41" spans="1:21" ht="15" customHeight="1">
      <c r="A41" s="152">
        <v>4</v>
      </c>
      <c r="B41" s="1148" t="s">
        <v>756</v>
      </c>
      <c r="C41" s="1148"/>
      <c r="D41" s="1148"/>
      <c r="E41" s="1148"/>
      <c r="F41" s="1148"/>
      <c r="G41" s="1148"/>
      <c r="H41" s="1148"/>
      <c r="I41" s="1148"/>
      <c r="J41" s="1148"/>
      <c r="K41" s="1148"/>
    </row>
    <row r="42" spans="1:21" ht="15" customHeight="1">
      <c r="A42" s="152">
        <v>5</v>
      </c>
      <c r="B42" s="1148" t="s">
        <v>757</v>
      </c>
      <c r="C42" s="1148"/>
      <c r="D42" s="1148"/>
      <c r="E42" s="1148"/>
      <c r="F42" s="1148"/>
      <c r="G42" s="1148"/>
      <c r="H42" s="1148"/>
      <c r="I42" s="1148"/>
      <c r="J42" s="1148"/>
      <c r="K42" s="1148"/>
    </row>
    <row r="43" spans="1:21" ht="15" customHeight="1">
      <c r="A43" s="152">
        <v>6</v>
      </c>
      <c r="B43" s="1148" t="s">
        <v>758</v>
      </c>
      <c r="C43" s="1148"/>
      <c r="D43" s="1148"/>
      <c r="E43" s="1148"/>
      <c r="F43" s="1148"/>
      <c r="G43" s="1148"/>
      <c r="H43" s="1148"/>
      <c r="I43" s="1148"/>
      <c r="J43" s="1148"/>
      <c r="K43" s="1148"/>
    </row>
    <row r="44" spans="1:21" ht="15" customHeight="1">
      <c r="A44" s="152">
        <v>7</v>
      </c>
      <c r="B44" s="1148" t="s">
        <v>759</v>
      </c>
      <c r="C44" s="1148"/>
      <c r="D44" s="1148"/>
      <c r="E44" s="1148"/>
      <c r="F44" s="1148"/>
      <c r="G44" s="1148"/>
      <c r="H44" s="1148"/>
      <c r="I44" s="1148"/>
      <c r="J44" s="1148"/>
      <c r="K44" s="1148"/>
    </row>
    <row r="45" spans="1:21" ht="25.5" customHeight="1">
      <c r="A45" s="152">
        <v>8</v>
      </c>
      <c r="B45" s="1148" t="s">
        <v>760</v>
      </c>
      <c r="C45" s="1148"/>
      <c r="D45" s="1148"/>
      <c r="E45" s="1148"/>
      <c r="F45" s="1148"/>
      <c r="G45" s="1148"/>
      <c r="H45" s="1148"/>
      <c r="I45" s="1148"/>
      <c r="J45" s="1148"/>
      <c r="K45" s="1148"/>
    </row>
    <row r="46" spans="1:21">
      <c r="A46" s="152">
        <v>9</v>
      </c>
      <c r="B46" s="1148" t="s">
        <v>761</v>
      </c>
      <c r="C46" s="1148"/>
      <c r="D46" s="1148"/>
      <c r="E46" s="1148"/>
      <c r="F46" s="1148"/>
      <c r="G46" s="1148"/>
      <c r="H46" s="1148"/>
      <c r="I46" s="1148"/>
      <c r="J46" s="1148"/>
      <c r="K46" s="1148"/>
    </row>
    <row r="47" spans="1:21">
      <c r="A47" s="152">
        <v>10</v>
      </c>
      <c r="B47" s="1148" t="s">
        <v>759</v>
      </c>
      <c r="C47" s="1148"/>
      <c r="D47" s="1148"/>
      <c r="E47" s="1148"/>
      <c r="F47" s="1148"/>
      <c r="G47" s="1148"/>
      <c r="H47" s="1148"/>
      <c r="I47" s="1148"/>
      <c r="J47" s="1148"/>
      <c r="K47" s="1148"/>
    </row>
    <row r="48" spans="1:21" ht="14.1" customHeight="1">
      <c r="A48" s="152">
        <v>11</v>
      </c>
      <c r="B48" s="1149" t="s">
        <v>290</v>
      </c>
      <c r="C48" s="1149"/>
      <c r="D48" s="1149"/>
      <c r="E48" s="1149"/>
      <c r="F48" s="1149"/>
      <c r="G48" s="1149"/>
      <c r="H48" s="1149"/>
      <c r="I48" s="1149"/>
      <c r="J48" s="1149"/>
      <c r="K48" s="1149"/>
    </row>
    <row r="49" spans="1:12">
      <c r="A49" s="130" t="s">
        <v>298</v>
      </c>
      <c r="C49" s="109"/>
      <c r="D49" s="109"/>
      <c r="E49" s="109"/>
      <c r="F49" s="109"/>
      <c r="G49" s="109"/>
      <c r="H49" s="109"/>
      <c r="I49" s="109"/>
      <c r="J49" s="109"/>
      <c r="K49" s="109"/>
      <c r="L49" s="109"/>
    </row>
    <row r="50" spans="1:12">
      <c r="A50" s="152" t="s">
        <v>246</v>
      </c>
      <c r="B50" s="1148" t="s">
        <v>323</v>
      </c>
      <c r="C50" s="1148"/>
      <c r="D50" s="1148"/>
      <c r="E50" s="1148"/>
      <c r="F50" s="1148"/>
      <c r="G50" s="1148"/>
      <c r="H50" s="1148"/>
      <c r="I50" s="1148"/>
      <c r="J50" s="1148"/>
      <c r="K50" s="1148"/>
    </row>
    <row r="51" spans="1:12">
      <c r="A51" s="152" t="s">
        <v>300</v>
      </c>
      <c r="B51" s="1148" t="s">
        <v>324</v>
      </c>
      <c r="C51" s="1148"/>
      <c r="D51" s="1148"/>
      <c r="E51" s="1148"/>
      <c r="F51" s="1148"/>
      <c r="G51" s="1148"/>
      <c r="H51" s="1148"/>
      <c r="I51" s="1148"/>
      <c r="J51" s="1148"/>
      <c r="K51" s="1148"/>
    </row>
    <row r="52" spans="1:12" ht="25.5" customHeight="1">
      <c r="A52" s="152" t="s">
        <v>265</v>
      </c>
      <c r="B52" s="1148" t="s">
        <v>325</v>
      </c>
      <c r="C52" s="1148"/>
      <c r="D52" s="1148"/>
      <c r="E52" s="1148"/>
      <c r="F52" s="1148"/>
      <c r="G52" s="1148"/>
      <c r="H52" s="1148"/>
      <c r="I52" s="1148"/>
      <c r="J52" s="1148"/>
      <c r="K52" s="1148"/>
    </row>
    <row r="53" spans="1:12" ht="38.25" customHeight="1">
      <c r="A53" s="152" t="s">
        <v>303</v>
      </c>
      <c r="B53" s="1148" t="s">
        <v>762</v>
      </c>
      <c r="C53" s="1148"/>
      <c r="D53" s="1148"/>
      <c r="E53" s="1148"/>
      <c r="F53" s="1148"/>
      <c r="G53" s="1148"/>
      <c r="H53" s="1148"/>
      <c r="I53" s="1148"/>
      <c r="J53" s="1148"/>
      <c r="K53" s="1148"/>
    </row>
  </sheetData>
  <mergeCells count="24">
    <mergeCell ref="B52:K52"/>
    <mergeCell ref="B41:K41"/>
    <mergeCell ref="B42:K42"/>
    <mergeCell ref="B43:K43"/>
    <mergeCell ref="B44:K44"/>
    <mergeCell ref="B45:K45"/>
    <mergeCell ref="B46:K46"/>
    <mergeCell ref="B48:K48"/>
    <mergeCell ref="B53:K53"/>
    <mergeCell ref="B40:K40"/>
    <mergeCell ref="C3:K3"/>
    <mergeCell ref="N3:S3"/>
    <mergeCell ref="F4:G4"/>
    <mergeCell ref="H4:I4"/>
    <mergeCell ref="M5:S5"/>
    <mergeCell ref="N6:S6"/>
    <mergeCell ref="M23:S23"/>
    <mergeCell ref="M28:S28"/>
    <mergeCell ref="M35:S35"/>
    <mergeCell ref="B38:K38"/>
    <mergeCell ref="B39:K39"/>
    <mergeCell ref="B47:K47"/>
    <mergeCell ref="B50:K50"/>
    <mergeCell ref="B51:K51"/>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ECEF4-6C11-4C90-9DCC-0A32F78D33D0}">
  <sheetPr codeName="Sheet39">
    <tabColor theme="9" tint="-0.249977111117893"/>
  </sheetPr>
  <dimension ref="A1:S47"/>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c r="M1" s="101"/>
    </row>
    <row r="3" spans="2:19" ht="15" customHeight="1">
      <c r="B3" s="699" t="s">
        <v>145</v>
      </c>
      <c r="C3" s="1169" t="s">
        <v>772</v>
      </c>
      <c r="D3" s="1169"/>
      <c r="E3" s="1169"/>
      <c r="F3" s="1169"/>
      <c r="G3" s="1169"/>
      <c r="H3" s="1169"/>
      <c r="I3" s="1169"/>
      <c r="J3" s="1169"/>
      <c r="K3" s="1170"/>
      <c r="M3" s="97"/>
      <c r="N3" s="1183"/>
      <c r="O3" s="1144"/>
      <c r="P3" s="1144"/>
      <c r="Q3" s="1144"/>
      <c r="R3" s="1144"/>
      <c r="S3" s="1144"/>
    </row>
    <row r="4" spans="2:19" ht="16.5" customHeight="1">
      <c r="B4" s="701"/>
      <c r="C4" s="650">
        <v>2023</v>
      </c>
      <c r="D4" s="650">
        <v>2030</v>
      </c>
      <c r="E4" s="650">
        <v>2050</v>
      </c>
      <c r="F4" s="1171" t="s">
        <v>236</v>
      </c>
      <c r="G4" s="1170"/>
      <c r="H4" s="1171" t="s">
        <v>237</v>
      </c>
      <c r="I4" s="1170"/>
      <c r="J4" s="650" t="s">
        <v>238</v>
      </c>
      <c r="K4" s="650" t="s">
        <v>239</v>
      </c>
      <c r="M4" s="100"/>
      <c r="O4" s="101"/>
      <c r="P4" s="101"/>
      <c r="Q4" s="101"/>
      <c r="R4" s="101"/>
      <c r="S4" s="101"/>
    </row>
    <row r="5" spans="2:19" ht="15" customHeight="1">
      <c r="B5" s="702" t="s">
        <v>240</v>
      </c>
      <c r="C5" s="672"/>
      <c r="D5" s="672"/>
      <c r="E5" s="672"/>
      <c r="F5" s="700" t="s">
        <v>241</v>
      </c>
      <c r="G5" s="700" t="s">
        <v>242</v>
      </c>
      <c r="H5" s="700" t="s">
        <v>241</v>
      </c>
      <c r="I5" s="700" t="s">
        <v>242</v>
      </c>
      <c r="J5" s="672"/>
      <c r="K5" s="703"/>
      <c r="M5" s="1146"/>
      <c r="N5" s="1146"/>
      <c r="O5" s="1146"/>
      <c r="P5" s="1146"/>
      <c r="Q5" s="1146"/>
      <c r="R5" s="1146"/>
      <c r="S5" s="1146"/>
    </row>
    <row r="6" spans="2:19" ht="15" customHeight="1">
      <c r="B6" s="538" t="s">
        <v>243</v>
      </c>
      <c r="C6" s="704">
        <f>C37*(52-3)*0.99*10400*24*7/(8760*60*60)*C8</f>
        <v>21.58962284931507</v>
      </c>
      <c r="D6" s="704">
        <f>D37*(52-3)*0.99*10400*24*7/(8760*60*60)*D8</f>
        <v>22.334092602739727</v>
      </c>
      <c r="E6" s="704">
        <f>E37*(52-3)*0.99*10400*24*7/(8760*60*60)*E8</f>
        <v>23.078562356164387</v>
      </c>
      <c r="F6" s="706"/>
      <c r="G6" s="706"/>
      <c r="H6" s="706"/>
      <c r="I6" s="706"/>
      <c r="J6" s="674"/>
      <c r="K6" s="709"/>
      <c r="M6" s="109"/>
      <c r="N6" s="1139"/>
      <c r="O6" s="1140"/>
      <c r="P6" s="1140"/>
      <c r="Q6" s="1140"/>
      <c r="R6" s="1140"/>
      <c r="S6" s="1140"/>
    </row>
    <row r="7" spans="2:19" ht="27.75" customHeight="1">
      <c r="B7" s="538" t="s">
        <v>244</v>
      </c>
      <c r="C7" s="704">
        <f>C6</f>
        <v>21.58962284931507</v>
      </c>
      <c r="D7" s="704">
        <f t="shared" ref="D7:E7" si="0">D6</f>
        <v>22.334092602739727</v>
      </c>
      <c r="E7" s="704">
        <f t="shared" si="0"/>
        <v>23.078562356164387</v>
      </c>
      <c r="F7" s="706"/>
      <c r="G7" s="706"/>
      <c r="H7" s="706"/>
      <c r="I7" s="706"/>
      <c r="J7" s="674"/>
      <c r="K7" s="709"/>
      <c r="M7" s="109"/>
      <c r="N7" s="110"/>
      <c r="O7" s="111"/>
      <c r="P7" s="111"/>
      <c r="Q7" s="111"/>
      <c r="R7" s="111"/>
      <c r="S7" s="111"/>
    </row>
    <row r="8" spans="2:19">
      <c r="B8" s="538" t="s">
        <v>245</v>
      </c>
      <c r="C8" s="984">
        <v>0.28999999999999998</v>
      </c>
      <c r="D8" s="984">
        <v>0.3</v>
      </c>
      <c r="E8" s="984">
        <v>0.31</v>
      </c>
      <c r="F8" s="725">
        <f>C8-1.5%</f>
        <v>0.27499999999999997</v>
      </c>
      <c r="G8" s="725">
        <f>D8+1.5%</f>
        <v>0.315</v>
      </c>
      <c r="H8" s="725">
        <f>E8-1.5%</f>
        <v>0.29499999999999998</v>
      </c>
      <c r="I8" s="725">
        <f>E8+1.5%</f>
        <v>0.32500000000000001</v>
      </c>
      <c r="J8" s="674" t="s">
        <v>246</v>
      </c>
      <c r="K8" s="674">
        <v>1</v>
      </c>
      <c r="M8" s="109"/>
      <c r="N8" s="113"/>
      <c r="O8" s="113"/>
      <c r="P8" s="113"/>
      <c r="Q8" s="113"/>
      <c r="R8" s="113"/>
      <c r="S8" s="113"/>
    </row>
    <row r="9" spans="2:19">
      <c r="B9" s="539" t="s">
        <v>247</v>
      </c>
      <c r="C9" s="995">
        <f>0.95*C8</f>
        <v>0.27549999999999997</v>
      </c>
      <c r="D9" s="995">
        <f t="shared" ref="D9:I9" si="1">0.95*D8</f>
        <v>0.28499999999999998</v>
      </c>
      <c r="E9" s="995">
        <f t="shared" si="1"/>
        <v>0.29449999999999998</v>
      </c>
      <c r="F9" s="995">
        <f t="shared" si="1"/>
        <v>0.26124999999999998</v>
      </c>
      <c r="G9" s="995">
        <f t="shared" si="1"/>
        <v>0.29924999999999996</v>
      </c>
      <c r="H9" s="995">
        <f t="shared" si="1"/>
        <v>0.28025</v>
      </c>
      <c r="I9" s="995">
        <f t="shared" si="1"/>
        <v>0.30874999999999997</v>
      </c>
      <c r="J9" s="676"/>
      <c r="K9" s="676">
        <v>1</v>
      </c>
      <c r="M9" s="109"/>
      <c r="N9" s="113"/>
      <c r="O9" s="113"/>
      <c r="P9" s="113"/>
      <c r="Q9" s="113"/>
      <c r="R9" s="113"/>
      <c r="S9" s="113"/>
    </row>
    <row r="10" spans="2:19">
      <c r="B10" s="538" t="s">
        <v>248</v>
      </c>
      <c r="C10" s="736">
        <v>0.01</v>
      </c>
      <c r="D10" s="736">
        <v>0.01</v>
      </c>
      <c r="E10" s="736">
        <v>0.01</v>
      </c>
      <c r="F10" s="674"/>
      <c r="G10" s="674"/>
      <c r="H10" s="674"/>
      <c r="I10" s="674"/>
      <c r="J10" s="674"/>
      <c r="K10" s="674">
        <v>1</v>
      </c>
      <c r="M10" s="93"/>
      <c r="N10" s="116"/>
      <c r="O10" s="116"/>
      <c r="P10" s="116"/>
      <c r="Q10" s="116"/>
      <c r="R10" s="116"/>
      <c r="S10" s="113"/>
    </row>
    <row r="11" spans="2:19">
      <c r="B11" s="533" t="s">
        <v>249</v>
      </c>
      <c r="C11" s="759">
        <v>2.9</v>
      </c>
      <c r="D11" s="759">
        <v>2.6</v>
      </c>
      <c r="E11" s="759">
        <v>2.1</v>
      </c>
      <c r="F11" s="759"/>
      <c r="G11" s="759"/>
      <c r="H11" s="759"/>
      <c r="I11" s="759"/>
      <c r="J11" s="709"/>
      <c r="K11" s="674">
        <v>1</v>
      </c>
      <c r="M11" s="93"/>
      <c r="N11" s="116"/>
      <c r="O11" s="116"/>
      <c r="P11" s="116"/>
      <c r="Q11" s="116"/>
      <c r="R11" s="116"/>
      <c r="S11" s="113"/>
    </row>
    <row r="12" spans="2:19">
      <c r="B12" s="533" t="s">
        <v>250</v>
      </c>
      <c r="C12" s="674">
        <v>25</v>
      </c>
      <c r="D12" s="674">
        <v>25</v>
      </c>
      <c r="E12" s="674">
        <v>25</v>
      </c>
      <c r="F12" s="674"/>
      <c r="G12" s="674"/>
      <c r="H12" s="674"/>
      <c r="I12" s="674"/>
      <c r="J12" s="709"/>
      <c r="K12" s="674">
        <v>1</v>
      </c>
      <c r="M12" s="109"/>
      <c r="N12" s="113"/>
      <c r="O12" s="113"/>
      <c r="P12" s="113"/>
      <c r="Q12" s="113"/>
      <c r="R12" s="113"/>
      <c r="S12" s="113"/>
    </row>
    <row r="13" spans="2:19">
      <c r="B13" s="533" t="s">
        <v>252</v>
      </c>
      <c r="C13" s="674">
        <v>2.5</v>
      </c>
      <c r="D13" s="674">
        <v>2.5</v>
      </c>
      <c r="E13" s="674">
        <v>2.5</v>
      </c>
      <c r="F13" s="674"/>
      <c r="G13" s="674"/>
      <c r="H13" s="674"/>
      <c r="I13" s="674"/>
      <c r="J13" s="709"/>
      <c r="K13" s="674">
        <v>1</v>
      </c>
      <c r="M13" s="109"/>
      <c r="N13" s="113"/>
      <c r="O13" s="113"/>
      <c r="P13" s="113"/>
      <c r="Q13" s="113"/>
      <c r="R13" s="113"/>
      <c r="S13" s="113"/>
    </row>
    <row r="14" spans="2:19">
      <c r="B14" s="540" t="s">
        <v>484</v>
      </c>
      <c r="C14" s="678">
        <v>1.5</v>
      </c>
      <c r="D14" s="678">
        <v>1.5</v>
      </c>
      <c r="E14" s="678">
        <v>1.5</v>
      </c>
      <c r="F14" s="674"/>
      <c r="G14" s="674"/>
      <c r="H14" s="674"/>
      <c r="I14" s="674"/>
      <c r="J14" s="709"/>
      <c r="K14" s="674">
        <v>1</v>
      </c>
      <c r="M14" s="109"/>
      <c r="N14" s="113"/>
      <c r="O14" s="113"/>
      <c r="P14" s="113"/>
      <c r="Q14" s="113"/>
      <c r="R14" s="113"/>
      <c r="S14" s="113"/>
    </row>
    <row r="15" spans="2:19" ht="24" customHeight="1">
      <c r="B15" s="541" t="s">
        <v>255</v>
      </c>
      <c r="C15" s="711"/>
      <c r="D15" s="711"/>
      <c r="E15" s="711"/>
      <c r="F15" s="711"/>
      <c r="G15" s="711"/>
      <c r="H15" s="711"/>
      <c r="I15" s="712"/>
      <c r="J15" s="712"/>
      <c r="K15" s="751"/>
      <c r="M15" s="109"/>
      <c r="N15" s="113"/>
      <c r="O15" s="113"/>
      <c r="P15" s="113"/>
      <c r="Q15" s="113"/>
      <c r="R15" s="113"/>
      <c r="S15" s="113"/>
    </row>
    <row r="16" spans="2:19">
      <c r="B16" s="540" t="s">
        <v>256</v>
      </c>
      <c r="C16" s="678" t="s">
        <v>146</v>
      </c>
      <c r="D16" s="678" t="s">
        <v>146</v>
      </c>
      <c r="E16" s="678" t="s">
        <v>146</v>
      </c>
      <c r="F16" s="678" t="s">
        <v>146</v>
      </c>
      <c r="G16" s="678" t="s">
        <v>146</v>
      </c>
      <c r="H16" s="678" t="s">
        <v>146</v>
      </c>
      <c r="I16" s="678" t="s">
        <v>146</v>
      </c>
      <c r="J16" s="709"/>
      <c r="K16" s="674"/>
      <c r="M16" s="109"/>
      <c r="N16" s="113"/>
      <c r="O16" s="113"/>
      <c r="P16" s="113"/>
      <c r="Q16" s="113"/>
      <c r="R16" s="113"/>
      <c r="S16" s="113"/>
    </row>
    <row r="17" spans="2:19">
      <c r="B17" s="540" t="s">
        <v>257</v>
      </c>
      <c r="C17" s="678" t="s">
        <v>146</v>
      </c>
      <c r="D17" s="678" t="s">
        <v>146</v>
      </c>
      <c r="E17" s="678" t="s">
        <v>146</v>
      </c>
      <c r="F17" s="678" t="s">
        <v>146</v>
      </c>
      <c r="G17" s="678" t="s">
        <v>146</v>
      </c>
      <c r="H17" s="678" t="s">
        <v>146</v>
      </c>
      <c r="I17" s="678" t="s">
        <v>146</v>
      </c>
      <c r="J17" s="709"/>
      <c r="K17" s="674"/>
      <c r="M17" s="109"/>
      <c r="N17" s="113"/>
      <c r="O17" s="113"/>
      <c r="P17" s="113"/>
      <c r="Q17" s="113"/>
      <c r="R17" s="113"/>
      <c r="S17" s="113"/>
    </row>
    <row r="18" spans="2:19">
      <c r="B18" s="542" t="s">
        <v>258</v>
      </c>
      <c r="C18" s="715"/>
      <c r="D18" s="715"/>
      <c r="E18" s="715"/>
      <c r="F18" s="715"/>
      <c r="G18" s="715"/>
      <c r="H18" s="715"/>
      <c r="I18" s="681"/>
      <c r="J18" s="681"/>
      <c r="K18" s="682"/>
      <c r="M18" s="109"/>
      <c r="N18" s="113"/>
      <c r="O18" s="113"/>
      <c r="P18" s="113"/>
      <c r="Q18" s="113"/>
      <c r="R18" s="113"/>
      <c r="S18" s="113"/>
    </row>
    <row r="19" spans="2:19">
      <c r="B19" s="533" t="s">
        <v>259</v>
      </c>
      <c r="C19" s="674">
        <v>10</v>
      </c>
      <c r="D19" s="674">
        <v>10</v>
      </c>
      <c r="E19" s="674">
        <v>10</v>
      </c>
      <c r="F19" s="707">
        <f t="shared" ref="F19:F22" si="2">C19*0.75</f>
        <v>7.5</v>
      </c>
      <c r="G19" s="707">
        <f t="shared" ref="G19:G22" si="3">E19*1.25</f>
        <v>12.5</v>
      </c>
      <c r="H19" s="707">
        <f t="shared" ref="H19:H22" si="4">E19*0.75</f>
        <v>7.5</v>
      </c>
      <c r="I19" s="707">
        <f t="shared" ref="I19:I22" si="5">E19*1.25</f>
        <v>12.5</v>
      </c>
      <c r="J19" s="709" t="s">
        <v>265</v>
      </c>
      <c r="K19" s="709">
        <v>1</v>
      </c>
      <c r="M19" s="109"/>
      <c r="N19" s="113"/>
      <c r="O19" s="113"/>
      <c r="P19" s="113"/>
      <c r="Q19" s="113"/>
      <c r="R19" s="113"/>
      <c r="S19" s="113"/>
    </row>
    <row r="20" spans="2:19">
      <c r="B20" s="533" t="s">
        <v>260</v>
      </c>
      <c r="C20" s="674">
        <v>20</v>
      </c>
      <c r="D20" s="674">
        <v>20</v>
      </c>
      <c r="E20" s="674">
        <v>20</v>
      </c>
      <c r="F20" s="707">
        <f t="shared" si="2"/>
        <v>15</v>
      </c>
      <c r="G20" s="707">
        <f t="shared" si="3"/>
        <v>25</v>
      </c>
      <c r="H20" s="707">
        <f t="shared" si="4"/>
        <v>15</v>
      </c>
      <c r="I20" s="707">
        <f t="shared" si="5"/>
        <v>25</v>
      </c>
      <c r="J20" s="709" t="s">
        <v>265</v>
      </c>
      <c r="K20" s="709">
        <v>1</v>
      </c>
      <c r="M20" s="109"/>
      <c r="N20" s="113"/>
      <c r="O20" s="113"/>
      <c r="P20" s="113"/>
      <c r="Q20" s="113"/>
      <c r="R20" s="113"/>
      <c r="S20" s="113"/>
    </row>
    <row r="21" spans="2:19">
      <c r="B21" s="533" t="s">
        <v>261</v>
      </c>
      <c r="C21" s="674">
        <v>0.5</v>
      </c>
      <c r="D21" s="674">
        <v>0.5</v>
      </c>
      <c r="E21" s="674">
        <v>0.5</v>
      </c>
      <c r="F21" s="707">
        <f t="shared" si="2"/>
        <v>0.375</v>
      </c>
      <c r="G21" s="707">
        <f t="shared" si="3"/>
        <v>0.625</v>
      </c>
      <c r="H21" s="707">
        <f t="shared" si="4"/>
        <v>0.375</v>
      </c>
      <c r="I21" s="707">
        <f t="shared" si="5"/>
        <v>0.625</v>
      </c>
      <c r="J21" s="709" t="s">
        <v>265</v>
      </c>
      <c r="K21" s="709">
        <v>1</v>
      </c>
      <c r="M21" s="109"/>
      <c r="N21" s="113"/>
      <c r="O21" s="113"/>
      <c r="P21" s="113"/>
      <c r="Q21" s="113"/>
      <c r="R21" s="113"/>
      <c r="S21" s="113"/>
    </row>
    <row r="22" spans="2:19">
      <c r="B22" s="533" t="s">
        <v>262</v>
      </c>
      <c r="C22" s="674">
        <v>2</v>
      </c>
      <c r="D22" s="674">
        <v>2</v>
      </c>
      <c r="E22" s="674">
        <v>2</v>
      </c>
      <c r="F22" s="707">
        <f t="shared" si="2"/>
        <v>1.5</v>
      </c>
      <c r="G22" s="707">
        <f t="shared" si="3"/>
        <v>2.5</v>
      </c>
      <c r="H22" s="707">
        <f t="shared" si="4"/>
        <v>1.5</v>
      </c>
      <c r="I22" s="707">
        <f t="shared" si="5"/>
        <v>2.5</v>
      </c>
      <c r="J22" s="709" t="s">
        <v>265</v>
      </c>
      <c r="K22" s="709">
        <v>1</v>
      </c>
      <c r="M22" s="109"/>
      <c r="N22" s="113"/>
      <c r="O22" s="113"/>
      <c r="P22" s="113"/>
      <c r="Q22" s="113"/>
      <c r="R22" s="113"/>
      <c r="S22" s="113"/>
    </row>
    <row r="23" spans="2:19">
      <c r="B23" s="542" t="s">
        <v>263</v>
      </c>
      <c r="C23" s="720"/>
      <c r="D23" s="720"/>
      <c r="E23" s="720"/>
      <c r="F23" s="720"/>
      <c r="G23" s="720"/>
      <c r="H23" s="720"/>
      <c r="I23" s="720"/>
      <c r="J23" s="720"/>
      <c r="K23" s="758"/>
      <c r="M23" s="1146"/>
      <c r="N23" s="1146"/>
      <c r="O23" s="1146"/>
      <c r="P23" s="1146"/>
      <c r="Q23" s="1146"/>
      <c r="R23" s="1146"/>
      <c r="S23" s="1146"/>
    </row>
    <row r="24" spans="2:19">
      <c r="B24" s="533" t="s">
        <v>691</v>
      </c>
      <c r="C24" s="989"/>
      <c r="D24" s="989"/>
      <c r="E24" s="989"/>
      <c r="F24" s="707"/>
      <c r="G24" s="707"/>
      <c r="H24" s="707"/>
      <c r="I24" s="707"/>
      <c r="J24" s="722"/>
      <c r="K24" s="709"/>
      <c r="M24" s="109"/>
      <c r="N24" s="113"/>
      <c r="O24" s="113"/>
      <c r="P24" s="113"/>
      <c r="Q24" s="113"/>
      <c r="R24" s="113"/>
      <c r="S24" s="113"/>
    </row>
    <row r="25" spans="2:19">
      <c r="B25" s="533" t="s">
        <v>444</v>
      </c>
      <c r="C25" s="989"/>
      <c r="D25" s="989"/>
      <c r="E25" s="989"/>
      <c r="F25" s="707"/>
      <c r="G25" s="707"/>
      <c r="H25" s="707"/>
      <c r="I25" s="707"/>
      <c r="J25" s="722"/>
      <c r="K25" s="709"/>
      <c r="M25" s="109"/>
      <c r="N25" s="113"/>
      <c r="O25" s="113"/>
      <c r="P25" s="113"/>
      <c r="Q25" s="113"/>
      <c r="R25" s="113"/>
      <c r="S25" s="113"/>
    </row>
    <row r="26" spans="2:19" ht="15" customHeight="1">
      <c r="B26" s="533" t="s">
        <v>445</v>
      </c>
      <c r="C26" s="990"/>
      <c r="D26" s="990"/>
      <c r="E26" s="990"/>
      <c r="F26" s="708"/>
      <c r="G26" s="708"/>
      <c r="H26" s="708"/>
      <c r="I26" s="708"/>
      <c r="J26" s="723"/>
      <c r="K26" s="709"/>
      <c r="M26" s="109"/>
      <c r="N26" s="113"/>
      <c r="O26" s="113"/>
      <c r="P26" s="113"/>
      <c r="Q26" s="113"/>
      <c r="R26" s="113"/>
      <c r="S26" s="113"/>
    </row>
    <row r="27" spans="2:19">
      <c r="B27" s="533" t="s">
        <v>446</v>
      </c>
      <c r="C27" s="989"/>
      <c r="D27" s="989"/>
      <c r="E27" s="989"/>
      <c r="F27" s="708"/>
      <c r="G27" s="708"/>
      <c r="H27" s="708"/>
      <c r="I27" s="708"/>
      <c r="J27" s="709"/>
      <c r="K27" s="709"/>
      <c r="M27" s="109"/>
      <c r="N27" s="137"/>
      <c r="O27" s="137"/>
      <c r="P27" s="137"/>
      <c r="Q27" s="137"/>
      <c r="R27" s="113"/>
      <c r="S27" s="113"/>
    </row>
    <row r="28" spans="2:19">
      <c r="B28" s="533" t="s">
        <v>447</v>
      </c>
      <c r="C28" s="989"/>
      <c r="D28" s="989"/>
      <c r="E28" s="989"/>
      <c r="F28" s="708"/>
      <c r="G28" s="708"/>
      <c r="H28" s="708"/>
      <c r="I28" s="708"/>
      <c r="J28" s="709"/>
      <c r="K28" s="709"/>
      <c r="L28" s="138"/>
      <c r="M28" s="1146"/>
      <c r="N28" s="1146"/>
      <c r="O28" s="1146"/>
      <c r="P28" s="1146"/>
      <c r="Q28" s="1146"/>
      <c r="R28" s="1146"/>
      <c r="S28" s="1146"/>
    </row>
    <row r="29" spans="2:19">
      <c r="B29" s="542" t="s">
        <v>270</v>
      </c>
      <c r="C29" s="720"/>
      <c r="D29" s="720"/>
      <c r="E29" s="720"/>
      <c r="F29" s="720"/>
      <c r="G29" s="720"/>
      <c r="H29" s="720"/>
      <c r="I29" s="720"/>
      <c r="J29" s="720"/>
      <c r="K29" s="758"/>
      <c r="M29" s="109"/>
      <c r="N29" s="113"/>
      <c r="O29" s="113"/>
      <c r="P29" s="113"/>
      <c r="Q29" s="113"/>
      <c r="R29" s="113"/>
      <c r="S29" s="113"/>
    </row>
    <row r="30" spans="2:19">
      <c r="B30" s="533" t="s">
        <v>773</v>
      </c>
      <c r="C30" s="759">
        <v>7.3</v>
      </c>
      <c r="D30" s="759">
        <f>0.9246*C30</f>
        <v>6.7495799999999999</v>
      </c>
      <c r="E30" s="759">
        <f>0.828*C30</f>
        <v>6.0443999999999996</v>
      </c>
      <c r="F30" s="707">
        <f>C30*0.75</f>
        <v>5.4749999999999996</v>
      </c>
      <c r="G30" s="707">
        <f>E30*1.25</f>
        <v>7.5554999999999994</v>
      </c>
      <c r="H30" s="707">
        <f>E30*0.75</f>
        <v>4.5332999999999997</v>
      </c>
      <c r="I30" s="707">
        <f>E30*1.25</f>
        <v>7.5554999999999994</v>
      </c>
      <c r="J30" s="722" t="s">
        <v>265</v>
      </c>
      <c r="K30" s="709" t="s">
        <v>355</v>
      </c>
      <c r="M30" s="109"/>
      <c r="N30" s="141"/>
      <c r="O30" s="141"/>
      <c r="P30" s="141"/>
      <c r="Q30" s="141"/>
      <c r="R30" s="113"/>
      <c r="S30" s="113"/>
    </row>
    <row r="31" spans="2:19">
      <c r="B31" s="533" t="s">
        <v>274</v>
      </c>
      <c r="C31" s="759">
        <v>4.3</v>
      </c>
      <c r="D31" s="759">
        <f>0.54*D30</f>
        <v>3.6447732000000004</v>
      </c>
      <c r="E31" s="759">
        <f>0.5*E30</f>
        <v>3.0221999999999998</v>
      </c>
      <c r="F31" s="707">
        <f>C31*0.75</f>
        <v>3.2249999999999996</v>
      </c>
      <c r="G31" s="707">
        <f>E31*1.25</f>
        <v>3.7777499999999997</v>
      </c>
      <c r="H31" s="707">
        <f>E31*0.75</f>
        <v>2.2666499999999998</v>
      </c>
      <c r="I31" s="707">
        <f>E31*1.25</f>
        <v>3.7777499999999997</v>
      </c>
      <c r="J31" s="709"/>
      <c r="K31" s="709">
        <v>1</v>
      </c>
      <c r="M31" s="109"/>
      <c r="N31" s="141"/>
      <c r="O31" s="141"/>
      <c r="P31" s="141"/>
      <c r="Q31" s="141"/>
      <c r="R31" s="113"/>
      <c r="S31" s="113"/>
    </row>
    <row r="32" spans="2:19">
      <c r="B32" s="533" t="s">
        <v>275</v>
      </c>
      <c r="C32" s="759">
        <v>3</v>
      </c>
      <c r="D32" s="759">
        <f t="shared" ref="D32:E32" si="6">D30-D31</f>
        <v>3.1048067999999995</v>
      </c>
      <c r="E32" s="759">
        <f t="shared" si="6"/>
        <v>3.0221999999999998</v>
      </c>
      <c r="F32" s="707">
        <f t="shared" ref="F32" si="7">C32*0.75</f>
        <v>2.25</v>
      </c>
      <c r="G32" s="707">
        <f t="shared" ref="G32" si="8">E32*1.25</f>
        <v>3.7777499999999997</v>
      </c>
      <c r="H32" s="707">
        <f t="shared" ref="H32" si="9">E32*0.75</f>
        <v>2.2666499999999998</v>
      </c>
      <c r="I32" s="707">
        <f t="shared" ref="I32" si="10">E32*1.25</f>
        <v>3.7777499999999997</v>
      </c>
      <c r="J32" s="709"/>
      <c r="K32" s="709">
        <v>1</v>
      </c>
      <c r="M32" s="109"/>
      <c r="N32" s="141"/>
      <c r="O32" s="141"/>
      <c r="P32" s="141"/>
      <c r="Q32" s="141"/>
      <c r="R32" s="113"/>
      <c r="S32" s="113"/>
    </row>
    <row r="33" spans="1:19">
      <c r="B33" s="533" t="s">
        <v>276</v>
      </c>
      <c r="C33" s="729">
        <v>277818</v>
      </c>
      <c r="D33" s="729">
        <v>238288</v>
      </c>
      <c r="E33" s="729">
        <v>205110</v>
      </c>
      <c r="F33" s="729">
        <f>MROUND(C33/1.25,100)</f>
        <v>222300</v>
      </c>
      <c r="G33" s="729">
        <f>MROUND(C33*1.25,100)</f>
        <v>347300</v>
      </c>
      <c r="H33" s="729">
        <f>MROUND(E33/1.25,100)</f>
        <v>164100</v>
      </c>
      <c r="I33" s="729">
        <f>MROUND(E33*1.25,100)</f>
        <v>256400</v>
      </c>
      <c r="J33" s="709" t="s">
        <v>265</v>
      </c>
      <c r="K33" s="709">
        <v>1</v>
      </c>
      <c r="M33" s="109"/>
      <c r="N33" s="141"/>
      <c r="O33" s="141"/>
      <c r="P33" s="141"/>
      <c r="Q33" s="141"/>
      <c r="R33" s="113"/>
      <c r="S33" s="113"/>
    </row>
    <row r="34" spans="1:19">
      <c r="B34" s="533" t="s">
        <v>279</v>
      </c>
      <c r="C34" s="759">
        <v>27.5</v>
      </c>
      <c r="D34" s="759">
        <v>24.8</v>
      </c>
      <c r="E34" s="759">
        <v>23.9</v>
      </c>
      <c r="F34" s="707">
        <f>C34*0.75</f>
        <v>20.625</v>
      </c>
      <c r="G34" s="707">
        <f>C34*1.25</f>
        <v>34.375</v>
      </c>
      <c r="H34" s="707">
        <f>E34*0.75</f>
        <v>17.924999999999997</v>
      </c>
      <c r="I34" s="707">
        <f>E34*1.25</f>
        <v>29.875</v>
      </c>
      <c r="J34" s="709" t="s">
        <v>265</v>
      </c>
      <c r="K34" s="709">
        <v>1</v>
      </c>
      <c r="M34" s="109"/>
      <c r="N34" s="141"/>
      <c r="O34" s="141"/>
      <c r="P34" s="141"/>
      <c r="Q34" s="141"/>
      <c r="R34" s="113"/>
      <c r="S34" s="113"/>
    </row>
    <row r="35" spans="1:19">
      <c r="B35" s="533" t="s">
        <v>282</v>
      </c>
      <c r="C35" s="729"/>
      <c r="D35" s="729"/>
      <c r="E35" s="729"/>
      <c r="F35" s="707"/>
      <c r="G35" s="707"/>
      <c r="H35" s="707"/>
      <c r="I35" s="707"/>
      <c r="J35" s="709"/>
      <c r="K35" s="709"/>
      <c r="M35" s="1146"/>
      <c r="N35" s="1146"/>
      <c r="O35" s="1146"/>
      <c r="P35" s="1146"/>
      <c r="Q35" s="1146"/>
      <c r="R35" s="1146"/>
      <c r="S35" s="1146"/>
    </row>
    <row r="36" spans="1:19">
      <c r="B36" s="535" t="s">
        <v>283</v>
      </c>
      <c r="C36" s="536"/>
      <c r="D36" s="536"/>
      <c r="E36" s="536"/>
      <c r="F36" s="536"/>
      <c r="G36" s="536"/>
      <c r="H36" s="536"/>
      <c r="I36" s="536"/>
      <c r="J36" s="536"/>
      <c r="K36" s="537"/>
      <c r="N36" s="113"/>
      <c r="O36" s="113"/>
      <c r="P36" s="113"/>
      <c r="Q36" s="113"/>
      <c r="R36" s="113"/>
      <c r="S36" s="113"/>
    </row>
    <row r="37" spans="1:19" ht="15" customHeight="1">
      <c r="B37" s="538" t="s">
        <v>774</v>
      </c>
      <c r="C37" s="759">
        <v>27.7</v>
      </c>
      <c r="D37" s="759">
        <v>27.7</v>
      </c>
      <c r="E37" s="759">
        <v>27.7</v>
      </c>
      <c r="F37" s="759"/>
      <c r="G37" s="759"/>
      <c r="H37" s="759"/>
      <c r="I37" s="759"/>
      <c r="J37" s="709" t="s">
        <v>300</v>
      </c>
      <c r="K37" s="674"/>
      <c r="N37" s="113"/>
      <c r="O37" s="113"/>
      <c r="P37" s="113"/>
      <c r="Q37" s="113"/>
      <c r="R37" s="113"/>
      <c r="S37" s="113"/>
    </row>
    <row r="38" spans="1:19">
      <c r="A38" s="130"/>
      <c r="B38" s="538"/>
      <c r="C38" s="729"/>
      <c r="D38" s="729"/>
      <c r="E38" s="729"/>
      <c r="F38" s="729"/>
      <c r="G38" s="729"/>
      <c r="H38" s="729"/>
      <c r="I38" s="729"/>
      <c r="J38" s="709"/>
      <c r="K38" s="674"/>
    </row>
    <row r="39" spans="1:19">
      <c r="A39" s="130"/>
      <c r="L39" s="94"/>
    </row>
    <row r="40" spans="1:19" s="93" customFormat="1" ht="12">
      <c r="A40" s="130" t="s">
        <v>286</v>
      </c>
      <c r="C40" s="150"/>
      <c r="D40" s="150"/>
      <c r="E40" s="150"/>
      <c r="F40" s="150"/>
      <c r="G40" s="150"/>
    </row>
    <row r="41" spans="1:19" s="93" customFormat="1" ht="11.45" customHeight="1">
      <c r="A41" s="152">
        <v>1</v>
      </c>
      <c r="B41" s="1214" t="s">
        <v>995</v>
      </c>
      <c r="C41" s="1214"/>
      <c r="D41" s="1214"/>
      <c r="E41" s="1214"/>
      <c r="F41" s="1214"/>
      <c r="G41" s="1214"/>
      <c r="H41" s="1214"/>
      <c r="I41" s="1214"/>
      <c r="J41" s="1214"/>
      <c r="K41" s="1214"/>
    </row>
    <row r="42" spans="1:19">
      <c r="A42" s="996">
        <v>2</v>
      </c>
      <c r="B42" s="1150" t="s">
        <v>287</v>
      </c>
      <c r="C42" s="1150"/>
      <c r="D42" s="1150"/>
      <c r="E42" s="1150"/>
      <c r="F42" s="1150"/>
      <c r="G42" s="1150"/>
      <c r="H42" s="1150"/>
      <c r="I42" s="1150"/>
      <c r="J42" s="1150"/>
      <c r="K42" s="1150"/>
    </row>
    <row r="43" spans="1:19" ht="29.25" customHeight="1">
      <c r="A43" s="130" t="s">
        <v>298</v>
      </c>
    </row>
    <row r="44" spans="1:19" ht="38.25" customHeight="1">
      <c r="A44" s="152" t="s">
        <v>246</v>
      </c>
      <c r="B44" s="1148" t="s">
        <v>775</v>
      </c>
      <c r="C44" s="1148"/>
      <c r="D44" s="1148"/>
      <c r="E44" s="1148"/>
      <c r="F44" s="1148"/>
      <c r="G44" s="1148"/>
      <c r="H44" s="1148"/>
      <c r="I44" s="1148"/>
      <c r="J44" s="1148"/>
      <c r="K44" s="1148"/>
    </row>
    <row r="45" spans="1:19">
      <c r="A45" s="152" t="s">
        <v>300</v>
      </c>
      <c r="B45" s="1148" t="s">
        <v>776</v>
      </c>
      <c r="C45" s="1148"/>
      <c r="D45" s="1148"/>
      <c r="E45" s="1148"/>
      <c r="F45" s="1148"/>
      <c r="G45" s="1148"/>
      <c r="H45" s="1148"/>
      <c r="I45" s="1148"/>
      <c r="J45" s="1148"/>
      <c r="K45" s="1148"/>
    </row>
    <row r="46" spans="1:19">
      <c r="A46" s="152" t="s">
        <v>265</v>
      </c>
      <c r="B46" s="1149" t="s">
        <v>323</v>
      </c>
      <c r="C46" s="1149"/>
      <c r="D46" s="1149"/>
      <c r="E46" s="1149"/>
      <c r="F46" s="1149"/>
      <c r="G46" s="1149"/>
      <c r="H46" s="1149"/>
      <c r="I46" s="1149"/>
      <c r="J46" s="1149"/>
      <c r="K46" s="1149"/>
    </row>
    <row r="47" spans="1:19">
      <c r="A47" s="152" t="s">
        <v>303</v>
      </c>
      <c r="B47" s="1149" t="s">
        <v>777</v>
      </c>
      <c r="C47" s="1149"/>
      <c r="D47" s="1149"/>
      <c r="E47" s="1149"/>
      <c r="F47" s="1149"/>
      <c r="G47" s="1149"/>
      <c r="H47" s="1149"/>
      <c r="I47" s="1149"/>
      <c r="J47" s="1149"/>
      <c r="K47" s="1149"/>
    </row>
  </sheetData>
  <mergeCells count="15">
    <mergeCell ref="B45:K45"/>
    <mergeCell ref="B46:K46"/>
    <mergeCell ref="B47:K47"/>
    <mergeCell ref="N6:S6"/>
    <mergeCell ref="C3:K3"/>
    <mergeCell ref="N3:S3"/>
    <mergeCell ref="F4:G4"/>
    <mergeCell ref="H4:I4"/>
    <mergeCell ref="M5:S5"/>
    <mergeCell ref="M23:S23"/>
    <mergeCell ref="M28:S28"/>
    <mergeCell ref="M35:S35"/>
    <mergeCell ref="B44:K44"/>
    <mergeCell ref="B41:K41"/>
    <mergeCell ref="B42:K42"/>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70344-E0BB-46AA-8F61-D0821B1D0938}">
  <sheetPr codeName="Sheet40">
    <tabColor theme="9" tint="-0.249977111117893"/>
  </sheetPr>
  <dimension ref="A1:S47"/>
  <sheetViews>
    <sheetView zoomScaleNormal="100" zoomScaleSheetLayoutView="120" workbookViewId="0">
      <selection activeCell="B47" sqref="B47:K47"/>
    </sheetView>
  </sheetViews>
  <sheetFormatPr defaultColWidth="9.140625" defaultRowHeight="15"/>
  <cols>
    <col min="1" max="1" width="3" style="93" customWidth="1"/>
    <col min="2" max="2" width="35.2851562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95" t="s">
        <v>145</v>
      </c>
      <c r="C3" s="1141" t="s">
        <v>778</v>
      </c>
      <c r="D3" s="1141"/>
      <c r="E3" s="1141"/>
      <c r="F3" s="1141"/>
      <c r="G3" s="1141"/>
      <c r="H3" s="1141"/>
      <c r="I3" s="1141"/>
      <c r="J3" s="1141"/>
      <c r="K3" s="1142"/>
      <c r="M3" s="97"/>
      <c r="N3" s="1183"/>
      <c r="O3" s="1144"/>
      <c r="P3" s="1144"/>
      <c r="Q3" s="1144"/>
      <c r="R3" s="1144"/>
      <c r="S3" s="1144"/>
    </row>
    <row r="4" spans="2:19" ht="16.5" customHeight="1">
      <c r="B4" s="98"/>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03"/>
      <c r="D5" s="103"/>
      <c r="E5" s="103"/>
      <c r="F5" s="96" t="s">
        <v>241</v>
      </c>
      <c r="G5" s="96" t="s">
        <v>242</v>
      </c>
      <c r="H5" s="96" t="s">
        <v>241</v>
      </c>
      <c r="I5" s="96" t="s">
        <v>242</v>
      </c>
      <c r="J5" s="103"/>
      <c r="K5" s="104"/>
      <c r="M5" s="1146"/>
      <c r="N5" s="1146"/>
      <c r="O5" s="1146"/>
      <c r="P5" s="1146"/>
      <c r="Q5" s="1146"/>
      <c r="R5" s="1146"/>
      <c r="S5" s="1146"/>
    </row>
    <row r="6" spans="2:19" ht="15" customHeight="1">
      <c r="B6" s="105" t="s">
        <v>243</v>
      </c>
      <c r="C6" s="106">
        <v>1</v>
      </c>
      <c r="D6" s="106">
        <v>1</v>
      </c>
      <c r="E6" s="106">
        <v>1</v>
      </c>
      <c r="F6" s="118">
        <v>0.5</v>
      </c>
      <c r="G6" s="106">
        <v>10</v>
      </c>
      <c r="H6" s="118">
        <v>0.5</v>
      </c>
      <c r="I6" s="106">
        <v>10</v>
      </c>
      <c r="J6" s="107"/>
      <c r="K6" s="120">
        <v>1</v>
      </c>
      <c r="M6" s="109"/>
      <c r="N6" s="1139"/>
      <c r="O6" s="1140"/>
      <c r="P6" s="1140"/>
      <c r="Q6" s="1140"/>
      <c r="R6" s="1140"/>
      <c r="S6" s="1140"/>
    </row>
    <row r="7" spans="2:19" ht="15" customHeight="1">
      <c r="B7" s="105" t="s">
        <v>244</v>
      </c>
      <c r="C7" s="106">
        <v>1</v>
      </c>
      <c r="D7" s="106">
        <v>1</v>
      </c>
      <c r="E7" s="106">
        <v>1</v>
      </c>
      <c r="F7" s="118">
        <v>0.5</v>
      </c>
      <c r="G7" s="106">
        <v>10</v>
      </c>
      <c r="H7" s="118">
        <v>0.5</v>
      </c>
      <c r="I7" s="106">
        <v>10</v>
      </c>
      <c r="J7" s="107"/>
      <c r="K7" s="120">
        <v>1</v>
      </c>
      <c r="M7" s="109"/>
      <c r="N7" s="110"/>
      <c r="O7" s="111"/>
      <c r="P7" s="111"/>
      <c r="Q7" s="111"/>
      <c r="R7" s="111"/>
      <c r="S7" s="111"/>
    </row>
    <row r="8" spans="2:19">
      <c r="B8" s="105" t="s">
        <v>245</v>
      </c>
      <c r="C8" s="106">
        <v>35</v>
      </c>
      <c r="D8" s="106">
        <v>35</v>
      </c>
      <c r="E8" s="106">
        <v>35</v>
      </c>
      <c r="F8" s="106">
        <v>25</v>
      </c>
      <c r="G8" s="106">
        <v>37</v>
      </c>
      <c r="H8" s="106">
        <v>25</v>
      </c>
      <c r="I8" s="106">
        <v>37</v>
      </c>
      <c r="J8" s="106"/>
      <c r="K8" s="107">
        <v>2</v>
      </c>
      <c r="M8" s="109"/>
      <c r="N8" s="113"/>
      <c r="O8" s="113"/>
      <c r="P8" s="113"/>
      <c r="Q8" s="113"/>
      <c r="R8" s="113"/>
      <c r="S8" s="113"/>
    </row>
    <row r="9" spans="2:19">
      <c r="B9" s="114" t="s">
        <v>247</v>
      </c>
      <c r="C9" s="106">
        <v>34</v>
      </c>
      <c r="D9" s="106">
        <v>34</v>
      </c>
      <c r="E9" s="106">
        <v>34</v>
      </c>
      <c r="F9" s="106">
        <v>25</v>
      </c>
      <c r="G9" s="106">
        <v>37</v>
      </c>
      <c r="H9" s="106">
        <v>25</v>
      </c>
      <c r="I9" s="106">
        <v>37</v>
      </c>
      <c r="J9" s="106"/>
      <c r="K9" s="115">
        <v>2</v>
      </c>
      <c r="M9" s="109"/>
      <c r="N9" s="113"/>
      <c r="O9" s="113"/>
      <c r="P9" s="113"/>
      <c r="Q9" s="113"/>
      <c r="R9" s="113"/>
      <c r="S9" s="113"/>
    </row>
    <row r="10" spans="2:19">
      <c r="B10" s="105" t="s">
        <v>248</v>
      </c>
      <c r="C10" s="106">
        <v>5</v>
      </c>
      <c r="D10" s="106">
        <v>5</v>
      </c>
      <c r="E10" s="106">
        <v>5</v>
      </c>
      <c r="F10" s="106">
        <v>2</v>
      </c>
      <c r="G10" s="106">
        <v>15</v>
      </c>
      <c r="H10" s="106">
        <v>2</v>
      </c>
      <c r="I10" s="106">
        <v>15</v>
      </c>
      <c r="J10" s="106"/>
      <c r="K10" s="107">
        <v>4</v>
      </c>
      <c r="M10" s="93"/>
      <c r="N10" s="116"/>
      <c r="O10" s="116"/>
      <c r="P10" s="116"/>
      <c r="Q10" s="116"/>
      <c r="R10" s="116"/>
      <c r="S10" s="113"/>
    </row>
    <row r="11" spans="2:19">
      <c r="B11" s="117" t="s">
        <v>249</v>
      </c>
      <c r="C11" s="106">
        <v>5</v>
      </c>
      <c r="D11" s="106">
        <v>5</v>
      </c>
      <c r="E11" s="106">
        <v>5</v>
      </c>
      <c r="F11" s="106">
        <v>2</v>
      </c>
      <c r="G11" s="106">
        <v>15</v>
      </c>
      <c r="H11" s="106">
        <v>2</v>
      </c>
      <c r="I11" s="106">
        <v>15</v>
      </c>
      <c r="J11" s="106"/>
      <c r="K11" s="107">
        <v>4</v>
      </c>
      <c r="M11" s="93"/>
      <c r="N11" s="116"/>
      <c r="O11" s="116"/>
      <c r="P11" s="116"/>
      <c r="Q11" s="116"/>
      <c r="R11" s="116"/>
      <c r="S11" s="113"/>
    </row>
    <row r="12" spans="2:19">
      <c r="B12" s="117" t="s">
        <v>250</v>
      </c>
      <c r="C12" s="106">
        <v>25</v>
      </c>
      <c r="D12" s="106">
        <v>25</v>
      </c>
      <c r="E12" s="106">
        <v>25</v>
      </c>
      <c r="F12" s="106">
        <v>20</v>
      </c>
      <c r="G12" s="106">
        <v>30</v>
      </c>
      <c r="H12" s="106">
        <v>20</v>
      </c>
      <c r="I12" s="106">
        <v>30</v>
      </c>
      <c r="J12" s="106"/>
      <c r="K12" s="107">
        <v>3</v>
      </c>
      <c r="M12" s="109"/>
      <c r="N12" s="113"/>
      <c r="O12" s="113"/>
      <c r="P12" s="113"/>
      <c r="Q12" s="113"/>
      <c r="R12" s="113"/>
      <c r="S12" s="113"/>
    </row>
    <row r="13" spans="2:19">
      <c r="B13" s="117" t="s">
        <v>252</v>
      </c>
      <c r="C13" s="118">
        <v>1.5</v>
      </c>
      <c r="D13" s="118">
        <v>1.5</v>
      </c>
      <c r="E13" s="118">
        <v>1.5</v>
      </c>
      <c r="F13" s="106">
        <v>1</v>
      </c>
      <c r="G13" s="106">
        <v>3</v>
      </c>
      <c r="H13" s="106">
        <v>1</v>
      </c>
      <c r="I13" s="106">
        <v>3</v>
      </c>
      <c r="J13" s="106"/>
      <c r="K13" s="107">
        <v>3</v>
      </c>
      <c r="M13" s="109"/>
      <c r="N13" s="113"/>
      <c r="O13" s="113"/>
      <c r="P13" s="113"/>
      <c r="Q13" s="113"/>
      <c r="R13" s="113"/>
      <c r="S13" s="113"/>
    </row>
    <row r="14" spans="2:19">
      <c r="B14" s="119" t="s">
        <v>254</v>
      </c>
      <c r="C14" s="106"/>
      <c r="D14" s="106"/>
      <c r="E14" s="106"/>
      <c r="F14" s="106"/>
      <c r="G14" s="106"/>
      <c r="H14" s="106"/>
      <c r="I14" s="106"/>
      <c r="J14" s="106"/>
      <c r="K14" s="107"/>
      <c r="M14" s="109"/>
      <c r="N14" s="113"/>
      <c r="O14" s="113"/>
      <c r="P14" s="113"/>
      <c r="Q14" s="113"/>
      <c r="R14" s="113"/>
      <c r="S14" s="113"/>
    </row>
    <row r="15" spans="2:19">
      <c r="B15" s="121" t="s">
        <v>255</v>
      </c>
      <c r="C15" s="122"/>
      <c r="D15" s="122"/>
      <c r="E15" s="122"/>
      <c r="F15" s="122"/>
      <c r="G15" s="122"/>
      <c r="H15" s="122"/>
      <c r="I15" s="123"/>
      <c r="J15" s="123"/>
      <c r="K15" s="124"/>
      <c r="M15" s="109"/>
      <c r="N15" s="113"/>
      <c r="O15" s="113"/>
      <c r="P15" s="113"/>
      <c r="Q15" s="113"/>
      <c r="R15" s="113"/>
      <c r="S15" s="113"/>
    </row>
    <row r="16" spans="2:19">
      <c r="B16" s="119" t="s">
        <v>256</v>
      </c>
      <c r="C16" s="112" t="s">
        <v>146</v>
      </c>
      <c r="D16" s="112" t="s">
        <v>146</v>
      </c>
      <c r="E16" s="112" t="s">
        <v>146</v>
      </c>
      <c r="F16" s="112" t="s">
        <v>146</v>
      </c>
      <c r="G16" s="112" t="s">
        <v>146</v>
      </c>
      <c r="H16" s="112" t="s">
        <v>146</v>
      </c>
      <c r="I16" s="112" t="s">
        <v>146</v>
      </c>
      <c r="J16" s="120"/>
      <c r="K16" s="107"/>
      <c r="M16" s="109"/>
      <c r="N16" s="113"/>
      <c r="O16" s="113"/>
      <c r="P16" s="113"/>
      <c r="Q16" s="113"/>
      <c r="R16" s="113"/>
      <c r="S16" s="113"/>
    </row>
    <row r="17" spans="2:19">
      <c r="B17" s="119" t="s">
        <v>257</v>
      </c>
      <c r="C17" s="112" t="s">
        <v>146</v>
      </c>
      <c r="D17" s="112" t="s">
        <v>146</v>
      </c>
      <c r="E17" s="112" t="s">
        <v>146</v>
      </c>
      <c r="F17" s="112" t="s">
        <v>146</v>
      </c>
      <c r="G17" s="112" t="s">
        <v>146</v>
      </c>
      <c r="H17" s="112" t="s">
        <v>146</v>
      </c>
      <c r="I17" s="112" t="s">
        <v>146</v>
      </c>
      <c r="J17" s="120"/>
      <c r="K17" s="107"/>
      <c r="M17" s="109"/>
      <c r="N17" s="113"/>
      <c r="O17" s="113"/>
      <c r="P17" s="113"/>
      <c r="Q17" s="113"/>
      <c r="R17" s="113"/>
      <c r="S17" s="113"/>
    </row>
    <row r="18" spans="2:19">
      <c r="B18" s="125" t="s">
        <v>258</v>
      </c>
      <c r="C18" s="126"/>
      <c r="D18" s="126"/>
      <c r="E18" s="126"/>
      <c r="F18" s="126"/>
      <c r="G18" s="126"/>
      <c r="H18" s="126"/>
      <c r="I18" s="127"/>
      <c r="J18" s="127"/>
      <c r="K18" s="128"/>
      <c r="M18" s="109"/>
      <c r="N18" s="113"/>
      <c r="O18" s="113"/>
      <c r="P18" s="113"/>
      <c r="Q18" s="113"/>
      <c r="R18" s="113"/>
      <c r="S18" s="113"/>
    </row>
    <row r="19" spans="2:19">
      <c r="B19" s="117" t="s">
        <v>259</v>
      </c>
      <c r="C19" s="107"/>
      <c r="D19" s="107"/>
      <c r="E19" s="107"/>
      <c r="F19" s="107"/>
      <c r="G19" s="107"/>
      <c r="H19" s="107"/>
      <c r="I19" s="107"/>
      <c r="J19" s="120"/>
      <c r="K19" s="120"/>
      <c r="M19" s="109"/>
      <c r="N19" s="113"/>
      <c r="O19" s="113"/>
      <c r="P19" s="113"/>
      <c r="Q19" s="113"/>
      <c r="R19" s="113"/>
      <c r="S19" s="113"/>
    </row>
    <row r="20" spans="2:19">
      <c r="B20" s="117" t="s">
        <v>260</v>
      </c>
      <c r="C20" s="107"/>
      <c r="D20" s="107"/>
      <c r="E20" s="107"/>
      <c r="F20" s="107"/>
      <c r="G20" s="107"/>
      <c r="H20" s="107"/>
      <c r="I20" s="107"/>
      <c r="J20" s="120"/>
      <c r="K20" s="120"/>
      <c r="M20" s="109"/>
      <c r="N20" s="113"/>
      <c r="O20" s="113"/>
      <c r="P20" s="113"/>
      <c r="Q20" s="113"/>
      <c r="R20" s="113"/>
      <c r="S20" s="113"/>
    </row>
    <row r="21" spans="2:19">
      <c r="B21" s="117" t="s">
        <v>261</v>
      </c>
      <c r="C21" s="107"/>
      <c r="D21" s="107"/>
      <c r="E21" s="107"/>
      <c r="F21" s="107"/>
      <c r="G21" s="107"/>
      <c r="H21" s="107"/>
      <c r="I21" s="107"/>
      <c r="J21" s="120"/>
      <c r="K21" s="120"/>
      <c r="M21" s="109"/>
      <c r="N21" s="113"/>
      <c r="O21" s="113"/>
      <c r="P21" s="113"/>
      <c r="Q21" s="113"/>
      <c r="R21" s="113"/>
      <c r="S21" s="113"/>
    </row>
    <row r="22" spans="2:19">
      <c r="B22" s="117" t="s">
        <v>262</v>
      </c>
      <c r="C22" s="107"/>
      <c r="D22" s="107"/>
      <c r="E22" s="107"/>
      <c r="F22" s="107"/>
      <c r="G22" s="107"/>
      <c r="H22" s="107"/>
      <c r="I22" s="107"/>
      <c r="J22" s="120"/>
      <c r="K22" s="120"/>
      <c r="M22" s="109"/>
      <c r="N22" s="113"/>
      <c r="O22" s="113"/>
      <c r="P22" s="113"/>
      <c r="Q22" s="113"/>
      <c r="R22" s="113"/>
      <c r="S22" s="113"/>
    </row>
    <row r="23" spans="2:19">
      <c r="B23" s="125" t="s">
        <v>263</v>
      </c>
      <c r="C23" s="132"/>
      <c r="D23" s="132"/>
      <c r="E23" s="132"/>
      <c r="F23" s="132"/>
      <c r="G23" s="132"/>
      <c r="H23" s="132"/>
      <c r="I23" s="132"/>
      <c r="J23" s="132"/>
      <c r="K23" s="133"/>
      <c r="M23" s="1146"/>
      <c r="N23" s="1146"/>
      <c r="O23" s="1146"/>
      <c r="P23" s="1146"/>
      <c r="Q23" s="1146"/>
      <c r="R23" s="1146"/>
      <c r="S23" s="1146"/>
    </row>
    <row r="24" spans="2:19">
      <c r="B24" s="117" t="s">
        <v>580</v>
      </c>
      <c r="C24" s="222"/>
      <c r="D24" s="222"/>
      <c r="E24" s="222"/>
      <c r="F24" s="161"/>
      <c r="G24" s="161"/>
      <c r="H24" s="161"/>
      <c r="I24" s="161"/>
      <c r="J24" s="135"/>
      <c r="K24" s="120"/>
      <c r="M24" s="109"/>
      <c r="N24" s="113"/>
      <c r="O24" s="113"/>
      <c r="P24" s="113"/>
      <c r="Q24" s="113"/>
      <c r="R24" s="113"/>
      <c r="S24" s="113"/>
    </row>
    <row r="25" spans="2:19">
      <c r="B25" s="117" t="s">
        <v>266</v>
      </c>
      <c r="C25" s="222"/>
      <c r="D25" s="222"/>
      <c r="E25" s="222"/>
      <c r="F25" s="161"/>
      <c r="G25" s="161"/>
      <c r="H25" s="161"/>
      <c r="I25" s="161"/>
      <c r="J25" s="135"/>
      <c r="K25" s="120"/>
      <c r="M25" s="109"/>
      <c r="N25" s="113"/>
      <c r="O25" s="113"/>
      <c r="P25" s="113"/>
      <c r="Q25" s="113"/>
      <c r="R25" s="113"/>
      <c r="S25" s="113"/>
    </row>
    <row r="26" spans="2:19" ht="15" customHeight="1">
      <c r="B26" s="117" t="s">
        <v>267</v>
      </c>
      <c r="C26" s="223"/>
      <c r="D26" s="223"/>
      <c r="E26" s="223"/>
      <c r="F26" s="134"/>
      <c r="G26" s="134"/>
      <c r="H26" s="134"/>
      <c r="I26" s="134"/>
      <c r="J26" s="136"/>
      <c r="K26" s="120"/>
      <c r="M26" s="109"/>
      <c r="N26" s="113"/>
      <c r="O26" s="113"/>
      <c r="P26" s="113"/>
      <c r="Q26" s="113"/>
      <c r="R26" s="113"/>
      <c r="S26" s="113"/>
    </row>
    <row r="27" spans="2:19">
      <c r="B27" s="117" t="s">
        <v>268</v>
      </c>
      <c r="C27" s="222"/>
      <c r="D27" s="222"/>
      <c r="E27" s="222"/>
      <c r="F27" s="134"/>
      <c r="G27" s="134"/>
      <c r="H27" s="134"/>
      <c r="I27" s="134"/>
      <c r="J27" s="120"/>
      <c r="K27" s="120"/>
      <c r="M27" s="109"/>
      <c r="N27" s="137"/>
      <c r="O27" s="137"/>
      <c r="P27" s="137"/>
      <c r="Q27" s="137"/>
      <c r="R27" s="113"/>
      <c r="S27" s="113"/>
    </row>
    <row r="28" spans="2:19">
      <c r="B28" s="117" t="s">
        <v>269</v>
      </c>
      <c r="C28" s="222"/>
      <c r="D28" s="222"/>
      <c r="E28" s="222"/>
      <c r="F28" s="134"/>
      <c r="G28" s="134"/>
      <c r="H28" s="134"/>
      <c r="I28" s="134"/>
      <c r="J28" s="120"/>
      <c r="K28" s="120"/>
      <c r="L28" s="138"/>
      <c r="M28" s="1146"/>
      <c r="N28" s="1146"/>
      <c r="O28" s="1146"/>
      <c r="P28" s="1146"/>
      <c r="Q28" s="1146"/>
      <c r="R28" s="1146"/>
      <c r="S28" s="1146"/>
    </row>
    <row r="29" spans="2:19">
      <c r="B29" s="125" t="s">
        <v>270</v>
      </c>
      <c r="C29" s="132"/>
      <c r="D29" s="132"/>
      <c r="E29" s="132"/>
      <c r="F29" s="132"/>
      <c r="G29" s="132"/>
      <c r="H29" s="132"/>
      <c r="I29" s="132"/>
      <c r="J29" s="132"/>
      <c r="K29" s="133"/>
      <c r="M29" s="109"/>
      <c r="N29" s="113"/>
      <c r="O29" s="113"/>
      <c r="P29" s="113"/>
      <c r="Q29" s="113"/>
      <c r="R29" s="113"/>
      <c r="S29" s="113"/>
    </row>
    <row r="30" spans="2:19">
      <c r="B30" s="117" t="s">
        <v>271</v>
      </c>
      <c r="C30" s="172">
        <v>2.9</v>
      </c>
      <c r="D30" s="172">
        <v>2.9</v>
      </c>
      <c r="E30" s="172">
        <v>2.9</v>
      </c>
      <c r="F30" s="172">
        <f>C30/1.1</f>
        <v>2.6363636363636362</v>
      </c>
      <c r="G30" s="172">
        <f>C30*1.1</f>
        <v>3.19</v>
      </c>
      <c r="H30" s="172">
        <f>E30/1.1</f>
        <v>2.6363636363636362</v>
      </c>
      <c r="I30" s="172">
        <f>E30*1.15</f>
        <v>3.3349999999999995</v>
      </c>
      <c r="J30" s="135" t="s">
        <v>246</v>
      </c>
      <c r="K30" s="120">
        <v>3</v>
      </c>
      <c r="M30" s="109"/>
      <c r="N30" s="141"/>
      <c r="O30" s="141"/>
      <c r="P30" s="141"/>
      <c r="Q30" s="141"/>
      <c r="R30" s="113"/>
      <c r="S30" s="113"/>
    </row>
    <row r="31" spans="2:19">
      <c r="B31" s="117" t="s">
        <v>274</v>
      </c>
      <c r="C31" s="172">
        <v>0.6</v>
      </c>
      <c r="D31" s="172">
        <v>0.6</v>
      </c>
      <c r="E31" s="172">
        <v>0.6</v>
      </c>
      <c r="F31" s="172">
        <f t="shared" ref="F31:F32" si="0">C31/1.1</f>
        <v>0.54545454545454541</v>
      </c>
      <c r="G31" s="172">
        <f t="shared" ref="G31:G33" si="1">C31*1.1</f>
        <v>0.66</v>
      </c>
      <c r="H31" s="172">
        <f t="shared" ref="H31:H33" si="2">E31/1.1</f>
        <v>0.54545454545454541</v>
      </c>
      <c r="I31" s="172">
        <f t="shared" ref="I31:I33" si="3">E31*1.15</f>
        <v>0.69</v>
      </c>
      <c r="J31" s="120"/>
      <c r="K31" s="120">
        <v>5</v>
      </c>
      <c r="M31" s="109"/>
      <c r="N31" s="141"/>
      <c r="O31" s="141"/>
      <c r="P31" s="141"/>
      <c r="Q31" s="141"/>
      <c r="R31" s="113"/>
      <c r="S31" s="113"/>
    </row>
    <row r="32" spans="2:19">
      <c r="B32" s="117" t="s">
        <v>275</v>
      </c>
      <c r="C32" s="172">
        <v>0.4</v>
      </c>
      <c r="D32" s="172">
        <v>0.4</v>
      </c>
      <c r="E32" s="172">
        <v>0.4</v>
      </c>
      <c r="F32" s="172">
        <f t="shared" si="0"/>
        <v>0.36363636363636365</v>
      </c>
      <c r="G32" s="172">
        <f t="shared" si="1"/>
        <v>0.44000000000000006</v>
      </c>
      <c r="H32" s="172">
        <f t="shared" si="2"/>
        <v>0.36363636363636365</v>
      </c>
      <c r="I32" s="172">
        <f t="shared" si="3"/>
        <v>0.45999999999999996</v>
      </c>
      <c r="J32" s="120"/>
      <c r="K32" s="120">
        <v>5</v>
      </c>
      <c r="M32" s="109"/>
      <c r="N32" s="141"/>
      <c r="O32" s="141"/>
      <c r="P32" s="141"/>
      <c r="Q32" s="141"/>
      <c r="R32" s="113"/>
      <c r="S32" s="113"/>
    </row>
    <row r="33" spans="1:19">
      <c r="B33" s="117" t="s">
        <v>276</v>
      </c>
      <c r="C33" s="145">
        <v>142500</v>
      </c>
      <c r="D33" s="145">
        <v>142500</v>
      </c>
      <c r="E33" s="145">
        <v>142500</v>
      </c>
      <c r="F33" s="145">
        <f>MROUND(C33/1.1,10)</f>
        <v>129550</v>
      </c>
      <c r="G33" s="145">
        <f t="shared" si="1"/>
        <v>156750</v>
      </c>
      <c r="H33" s="145">
        <f t="shared" si="2"/>
        <v>129545.45454545453</v>
      </c>
      <c r="I33" s="145">
        <f t="shared" si="3"/>
        <v>163875</v>
      </c>
      <c r="J33" s="120" t="s">
        <v>246</v>
      </c>
      <c r="K33" s="120">
        <v>3</v>
      </c>
      <c r="M33" s="109"/>
      <c r="N33" s="141"/>
      <c r="O33" s="141"/>
      <c r="P33" s="141"/>
      <c r="Q33" s="141"/>
      <c r="R33" s="113"/>
      <c r="S33" s="113"/>
    </row>
    <row r="34" spans="1:19">
      <c r="B34" s="117" t="s">
        <v>279</v>
      </c>
      <c r="C34" s="172">
        <v>15.4</v>
      </c>
      <c r="D34" s="172">
        <v>15.4</v>
      </c>
      <c r="E34" s="172">
        <v>15.4</v>
      </c>
      <c r="F34" s="161">
        <f>C34*0.75</f>
        <v>11.55</v>
      </c>
      <c r="G34" s="161">
        <f>C34*1.25</f>
        <v>19.25</v>
      </c>
      <c r="H34" s="161">
        <f>E34*0.75</f>
        <v>11.55</v>
      </c>
      <c r="I34" s="161">
        <f>E34*1.25</f>
        <v>19.25</v>
      </c>
      <c r="J34" s="120"/>
      <c r="K34" s="120"/>
      <c r="M34" s="109"/>
      <c r="N34" s="141"/>
      <c r="O34" s="141"/>
      <c r="P34" s="141"/>
      <c r="Q34" s="141"/>
      <c r="R34" s="113"/>
      <c r="S34" s="113"/>
    </row>
    <row r="35" spans="1:19">
      <c r="B35" s="117" t="s">
        <v>282</v>
      </c>
      <c r="C35" s="145"/>
      <c r="D35" s="145"/>
      <c r="E35" s="145"/>
      <c r="F35" s="145"/>
      <c r="G35" s="145"/>
      <c r="H35" s="145"/>
      <c r="I35" s="145"/>
      <c r="J35" s="120"/>
      <c r="K35" s="120"/>
      <c r="M35" s="1146"/>
      <c r="N35" s="1146"/>
      <c r="O35" s="1146"/>
      <c r="P35" s="1146"/>
      <c r="Q35" s="1146"/>
      <c r="R35" s="1146"/>
      <c r="S35" s="1146"/>
    </row>
    <row r="36" spans="1:19">
      <c r="B36" s="146" t="s">
        <v>283</v>
      </c>
      <c r="C36" s="147"/>
      <c r="D36" s="147"/>
      <c r="E36" s="147"/>
      <c r="F36" s="147"/>
      <c r="G36" s="147"/>
      <c r="H36" s="147"/>
      <c r="I36" s="147"/>
      <c r="J36" s="147"/>
      <c r="K36" s="148"/>
      <c r="N36" s="113"/>
      <c r="O36" s="113"/>
      <c r="P36" s="113"/>
      <c r="Q36" s="113"/>
      <c r="R36" s="113"/>
      <c r="S36" s="113"/>
    </row>
    <row r="37" spans="1:19" ht="15" customHeight="1">
      <c r="B37" s="105"/>
      <c r="C37" s="172"/>
      <c r="D37" s="172"/>
      <c r="E37" s="172"/>
      <c r="F37" s="172"/>
      <c r="G37" s="172"/>
      <c r="H37" s="172"/>
      <c r="I37" s="172"/>
      <c r="J37" s="120"/>
      <c r="K37" s="107"/>
      <c r="N37" s="113"/>
      <c r="O37" s="113"/>
      <c r="P37" s="113"/>
      <c r="Q37" s="113"/>
      <c r="R37" s="113"/>
      <c r="S37" s="113"/>
    </row>
    <row r="38" spans="1:19">
      <c r="A38" s="130"/>
      <c r="L38" s="94"/>
    </row>
    <row r="39" spans="1:19" s="93" customFormat="1" ht="12">
      <c r="A39" s="130" t="s">
        <v>286</v>
      </c>
      <c r="C39" s="150"/>
      <c r="D39" s="150"/>
      <c r="E39" s="150"/>
      <c r="F39" s="150"/>
      <c r="G39" s="150"/>
    </row>
    <row r="40" spans="1:19">
      <c r="A40" s="93">
        <v>1</v>
      </c>
      <c r="B40" s="93" t="s">
        <v>779</v>
      </c>
    </row>
    <row r="41" spans="1:19">
      <c r="A41" s="93">
        <v>2</v>
      </c>
      <c r="B41" s="93" t="s">
        <v>780</v>
      </c>
    </row>
    <row r="42" spans="1:19">
      <c r="A42" s="93">
        <v>3</v>
      </c>
      <c r="B42" s="93" t="s">
        <v>781</v>
      </c>
    </row>
    <row r="43" spans="1:19">
      <c r="A43" s="93">
        <v>4</v>
      </c>
      <c r="B43" s="93" t="s">
        <v>599</v>
      </c>
    </row>
    <row r="44" spans="1:19">
      <c r="A44" s="93">
        <v>5</v>
      </c>
      <c r="B44" s="93" t="s">
        <v>782</v>
      </c>
    </row>
    <row r="45" spans="1:19">
      <c r="A45" s="130" t="s">
        <v>298</v>
      </c>
    </row>
    <row r="46" spans="1:19">
      <c r="A46" s="152" t="s">
        <v>246</v>
      </c>
      <c r="B46" s="1148" t="s">
        <v>783</v>
      </c>
      <c r="C46" s="1148"/>
      <c r="D46" s="1148"/>
      <c r="E46" s="1148"/>
      <c r="F46" s="1148"/>
      <c r="G46" s="1148"/>
      <c r="H46" s="1148"/>
      <c r="I46" s="1148"/>
      <c r="J46" s="1148"/>
      <c r="K46" s="1148"/>
    </row>
    <row r="47" spans="1:19">
      <c r="A47" s="152"/>
      <c r="B47" s="1148"/>
      <c r="C47" s="1148"/>
      <c r="D47" s="1148"/>
      <c r="E47" s="1148"/>
      <c r="F47" s="1148"/>
      <c r="G47" s="1148"/>
      <c r="H47" s="1148"/>
      <c r="I47" s="1148"/>
      <c r="J47" s="1148"/>
      <c r="K47" s="1148"/>
    </row>
  </sheetData>
  <mergeCells count="11">
    <mergeCell ref="M23:S23"/>
    <mergeCell ref="M28:S28"/>
    <mergeCell ref="M35:S35"/>
    <mergeCell ref="B46:K46"/>
    <mergeCell ref="B47:K47"/>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CFA7-C2FA-49D1-BCD5-B288A2FCF1F6}">
  <sheetPr codeName="Sheet38">
    <tabColor theme="6" tint="0.39997558519241921"/>
  </sheetPr>
  <dimension ref="A1:S57"/>
  <sheetViews>
    <sheetView zoomScaleNormal="100" zoomScaleSheetLayoutView="120" workbookViewId="0">
      <selection activeCell="B47" sqref="B47:K47"/>
    </sheetView>
  </sheetViews>
  <sheetFormatPr defaultColWidth="9.140625" defaultRowHeight="15"/>
  <cols>
    <col min="1" max="1" width="3" style="93" customWidth="1"/>
    <col min="2" max="2" width="35.140625" style="93" customWidth="1"/>
    <col min="3" max="9" width="9.28515625" style="93" customWidth="1"/>
    <col min="10" max="10" width="8.7109375" style="93" customWidth="1"/>
    <col min="11" max="11" width="6.5703125" style="93" customWidth="1"/>
    <col min="12" max="12" width="6.7109375" style="93" customWidth="1"/>
    <col min="13" max="13" width="30.140625" style="94" customWidth="1"/>
    <col min="14" max="14" width="10.28515625" style="94" customWidth="1"/>
    <col min="15" max="15" width="9.7109375" style="94" customWidth="1"/>
    <col min="16" max="16" width="10" style="94" customWidth="1"/>
    <col min="17" max="17" width="7.85546875" style="94" customWidth="1"/>
    <col min="18" max="18" width="7.140625" style="94" customWidth="1"/>
    <col min="19" max="19" width="7.7109375" style="94" customWidth="1"/>
    <col min="20" max="16384" width="9.140625" style="94"/>
  </cols>
  <sheetData>
    <row r="1" spans="2:19" ht="20.25">
      <c r="B1" s="92" t="s">
        <v>234</v>
      </c>
    </row>
    <row r="3" spans="2:19" ht="15" customHeight="1">
      <c r="B3" s="95" t="s">
        <v>145</v>
      </c>
      <c r="C3" s="1141" t="s">
        <v>763</v>
      </c>
      <c r="D3" s="1141"/>
      <c r="E3" s="1141"/>
      <c r="F3" s="1141"/>
      <c r="G3" s="1141"/>
      <c r="H3" s="1141"/>
      <c r="I3" s="1141"/>
      <c r="J3" s="1141"/>
      <c r="K3" s="1142"/>
      <c r="M3" s="97"/>
      <c r="N3" s="1183"/>
      <c r="O3" s="1144"/>
      <c r="P3" s="1144"/>
      <c r="Q3" s="1144"/>
      <c r="R3" s="1144"/>
      <c r="S3" s="1144"/>
    </row>
    <row r="4" spans="2:19" ht="16.5" customHeight="1">
      <c r="B4" s="98"/>
      <c r="C4" s="99">
        <v>2023</v>
      </c>
      <c r="D4" s="99">
        <v>2030</v>
      </c>
      <c r="E4" s="99">
        <v>2050</v>
      </c>
      <c r="F4" s="1145" t="s">
        <v>236</v>
      </c>
      <c r="G4" s="1142"/>
      <c r="H4" s="1145" t="s">
        <v>237</v>
      </c>
      <c r="I4" s="1142"/>
      <c r="J4" s="99" t="s">
        <v>238</v>
      </c>
      <c r="K4" s="99" t="s">
        <v>239</v>
      </c>
      <c r="M4" s="100"/>
      <c r="N4" s="101"/>
      <c r="O4" s="101"/>
      <c r="P4" s="101"/>
      <c r="Q4" s="101"/>
      <c r="R4" s="101"/>
      <c r="S4" s="101"/>
    </row>
    <row r="5" spans="2:19" ht="15" customHeight="1">
      <c r="B5" s="102" t="s">
        <v>240</v>
      </c>
      <c r="C5" s="103"/>
      <c r="D5" s="103"/>
      <c r="E5" s="103"/>
      <c r="F5" s="96" t="s">
        <v>241</v>
      </c>
      <c r="G5" s="96" t="s">
        <v>242</v>
      </c>
      <c r="H5" s="96" t="s">
        <v>241</v>
      </c>
      <c r="I5" s="96" t="s">
        <v>242</v>
      </c>
      <c r="J5" s="103"/>
      <c r="K5" s="104"/>
      <c r="M5" s="1146"/>
      <c r="N5" s="1146"/>
      <c r="O5" s="1146"/>
      <c r="P5" s="1146"/>
      <c r="Q5" s="1146"/>
      <c r="R5" s="1146"/>
      <c r="S5" s="1146"/>
    </row>
    <row r="6" spans="2:19" ht="15" customHeight="1">
      <c r="B6" s="105" t="s">
        <v>243</v>
      </c>
      <c r="C6" s="106">
        <v>1</v>
      </c>
      <c r="D6" s="106">
        <v>1</v>
      </c>
      <c r="E6" s="106">
        <v>1</v>
      </c>
      <c r="F6" s="106"/>
      <c r="G6" s="106"/>
      <c r="H6" s="106"/>
      <c r="I6" s="106"/>
      <c r="J6" s="107"/>
      <c r="K6" s="120">
        <v>3</v>
      </c>
      <c r="M6" s="109"/>
      <c r="N6" s="1139"/>
      <c r="O6" s="1140"/>
      <c r="P6" s="1140"/>
      <c r="Q6" s="1140"/>
      <c r="R6" s="1140"/>
      <c r="S6" s="1140"/>
    </row>
    <row r="7" spans="2:19" ht="15" customHeight="1">
      <c r="B7" s="105" t="s">
        <v>244</v>
      </c>
      <c r="C7" s="106">
        <v>1</v>
      </c>
      <c r="D7" s="106">
        <v>1</v>
      </c>
      <c r="E7" s="106">
        <v>1</v>
      </c>
      <c r="F7" s="106"/>
      <c r="G7" s="106"/>
      <c r="H7" s="106"/>
      <c r="I7" s="106"/>
      <c r="J7" s="107"/>
      <c r="K7" s="120">
        <v>3</v>
      </c>
      <c r="M7" s="109"/>
      <c r="N7" s="110"/>
      <c r="O7" s="111"/>
      <c r="P7" s="111"/>
      <c r="Q7" s="111"/>
      <c r="R7" s="111"/>
      <c r="S7" s="111"/>
    </row>
    <row r="8" spans="2:19">
      <c r="B8" s="105" t="s">
        <v>245</v>
      </c>
      <c r="C8" s="220">
        <v>35</v>
      </c>
      <c r="D8" s="220">
        <v>35</v>
      </c>
      <c r="E8" s="220">
        <v>35</v>
      </c>
      <c r="F8" s="220"/>
      <c r="G8" s="220"/>
      <c r="H8" s="220"/>
      <c r="I8" s="220"/>
      <c r="J8" s="107"/>
      <c r="K8" s="157">
        <v>4</v>
      </c>
      <c r="M8" s="109"/>
      <c r="N8" s="113"/>
      <c r="O8" s="113"/>
      <c r="P8" s="113"/>
      <c r="Q8" s="113"/>
      <c r="R8" s="113"/>
      <c r="S8" s="113"/>
    </row>
    <row r="9" spans="2:19">
      <c r="B9" s="114" t="s">
        <v>247</v>
      </c>
      <c r="C9" s="221">
        <v>34</v>
      </c>
      <c r="D9" s="221">
        <v>34</v>
      </c>
      <c r="E9" s="221">
        <v>34</v>
      </c>
      <c r="F9" s="220"/>
      <c r="G9" s="220"/>
      <c r="H9" s="220"/>
      <c r="I9" s="220"/>
      <c r="J9" s="115"/>
      <c r="K9" s="157">
        <v>4</v>
      </c>
      <c r="M9" s="109"/>
      <c r="N9" s="113"/>
      <c r="O9" s="113"/>
      <c r="P9" s="113"/>
      <c r="Q9" s="113"/>
      <c r="R9" s="113"/>
      <c r="S9" s="113"/>
    </row>
    <row r="10" spans="2:19">
      <c r="B10" s="105" t="s">
        <v>248</v>
      </c>
      <c r="C10" s="145">
        <v>5</v>
      </c>
      <c r="D10" s="145">
        <v>5</v>
      </c>
      <c r="E10" s="145">
        <v>5</v>
      </c>
      <c r="F10" s="220"/>
      <c r="G10" s="220"/>
      <c r="H10" s="220"/>
      <c r="I10" s="220"/>
      <c r="J10" s="107"/>
      <c r="K10" s="107">
        <v>1</v>
      </c>
      <c r="M10" s="93"/>
      <c r="N10" s="116"/>
      <c r="O10" s="116"/>
      <c r="P10" s="116"/>
      <c r="Q10" s="116"/>
      <c r="R10" s="116"/>
      <c r="S10" s="113"/>
    </row>
    <row r="11" spans="2:19">
      <c r="B11" s="117" t="s">
        <v>249</v>
      </c>
      <c r="C11" s="145">
        <v>5</v>
      </c>
      <c r="D11" s="145">
        <v>5</v>
      </c>
      <c r="E11" s="145">
        <v>5</v>
      </c>
      <c r="F11" s="220"/>
      <c r="G11" s="220"/>
      <c r="H11" s="220"/>
      <c r="I11" s="220"/>
      <c r="J11" s="120"/>
      <c r="K11" s="107">
        <v>1</v>
      </c>
      <c r="M11" s="93"/>
      <c r="N11" s="116"/>
      <c r="O11" s="116"/>
      <c r="P11" s="116"/>
      <c r="Q11" s="116"/>
      <c r="R11" s="116"/>
      <c r="S11" s="113"/>
    </row>
    <row r="12" spans="2:19">
      <c r="B12" s="117" t="s">
        <v>250</v>
      </c>
      <c r="C12" s="107">
        <v>25</v>
      </c>
      <c r="D12" s="107">
        <v>25</v>
      </c>
      <c r="E12" s="107">
        <v>25</v>
      </c>
      <c r="F12" s="220"/>
      <c r="G12" s="220"/>
      <c r="H12" s="220"/>
      <c r="I12" s="220"/>
      <c r="J12" s="120"/>
      <c r="K12" s="107">
        <v>7</v>
      </c>
      <c r="M12" s="109"/>
      <c r="N12" s="113"/>
      <c r="O12" s="113"/>
      <c r="P12" s="113"/>
      <c r="Q12" s="113"/>
      <c r="R12" s="113"/>
      <c r="S12" s="113"/>
    </row>
    <row r="13" spans="2:19">
      <c r="B13" s="117" t="s">
        <v>252</v>
      </c>
      <c r="C13" s="107">
        <v>1.5</v>
      </c>
      <c r="D13" s="107">
        <v>1.5</v>
      </c>
      <c r="E13" s="107">
        <v>1.5</v>
      </c>
      <c r="F13" s="220"/>
      <c r="G13" s="220"/>
      <c r="H13" s="220"/>
      <c r="I13" s="220"/>
      <c r="J13" s="120"/>
      <c r="K13" s="107">
        <v>7</v>
      </c>
      <c r="M13" s="109"/>
      <c r="N13" s="113"/>
      <c r="O13" s="113"/>
      <c r="P13" s="113"/>
      <c r="Q13" s="113"/>
      <c r="R13" s="113"/>
      <c r="S13" s="113"/>
    </row>
    <row r="14" spans="2:19">
      <c r="B14" s="119" t="s">
        <v>254</v>
      </c>
      <c r="C14" s="112">
        <v>70</v>
      </c>
      <c r="D14" s="112">
        <v>70</v>
      </c>
      <c r="E14" s="112">
        <v>70</v>
      </c>
      <c r="F14" s="220"/>
      <c r="G14" s="220"/>
      <c r="H14" s="220"/>
      <c r="I14" s="220"/>
      <c r="J14" s="120"/>
      <c r="K14" s="107">
        <v>12</v>
      </c>
      <c r="M14" s="109"/>
      <c r="N14" s="113"/>
      <c r="O14" s="113"/>
      <c r="P14" s="113"/>
      <c r="Q14" s="113"/>
      <c r="R14" s="113"/>
      <c r="S14" s="113"/>
    </row>
    <row r="15" spans="2:19">
      <c r="B15" s="121" t="s">
        <v>255</v>
      </c>
      <c r="C15" s="122"/>
      <c r="D15" s="122"/>
      <c r="E15" s="122"/>
      <c r="F15" s="122"/>
      <c r="G15" s="122"/>
      <c r="H15" s="122"/>
      <c r="I15" s="123"/>
      <c r="J15" s="123"/>
      <c r="K15" s="124"/>
      <c r="M15" s="109"/>
      <c r="N15" s="113"/>
      <c r="O15" s="113"/>
      <c r="P15" s="113"/>
      <c r="Q15" s="113"/>
      <c r="R15" s="113"/>
      <c r="S15" s="113"/>
    </row>
    <row r="16" spans="2:19">
      <c r="B16" s="119" t="s">
        <v>256</v>
      </c>
      <c r="C16" s="112" t="s">
        <v>146</v>
      </c>
      <c r="D16" s="112" t="s">
        <v>146</v>
      </c>
      <c r="E16" s="112" t="s">
        <v>146</v>
      </c>
      <c r="F16" s="112" t="s">
        <v>146</v>
      </c>
      <c r="G16" s="112" t="s">
        <v>146</v>
      </c>
      <c r="H16" s="112" t="s">
        <v>146</v>
      </c>
      <c r="I16" s="112" t="s">
        <v>146</v>
      </c>
      <c r="J16" s="120"/>
      <c r="K16" s="107"/>
      <c r="M16" s="109"/>
      <c r="N16" s="113"/>
      <c r="O16" s="113"/>
      <c r="P16" s="113"/>
      <c r="Q16" s="113"/>
      <c r="R16" s="113"/>
      <c r="S16" s="113"/>
    </row>
    <row r="17" spans="2:19">
      <c r="B17" s="119" t="s">
        <v>257</v>
      </c>
      <c r="C17" s="112" t="s">
        <v>146</v>
      </c>
      <c r="D17" s="112" t="s">
        <v>146</v>
      </c>
      <c r="E17" s="112" t="s">
        <v>146</v>
      </c>
      <c r="F17" s="112" t="s">
        <v>146</v>
      </c>
      <c r="G17" s="112" t="s">
        <v>146</v>
      </c>
      <c r="H17" s="112" t="s">
        <v>146</v>
      </c>
      <c r="I17" s="112" t="s">
        <v>146</v>
      </c>
      <c r="J17" s="120"/>
      <c r="K17" s="107"/>
      <c r="M17" s="109"/>
      <c r="N17" s="113"/>
      <c r="O17" s="113"/>
      <c r="P17" s="113"/>
      <c r="Q17" s="113"/>
      <c r="R17" s="113"/>
      <c r="S17" s="113"/>
    </row>
    <row r="18" spans="2:19">
      <c r="B18" s="125" t="s">
        <v>258</v>
      </c>
      <c r="C18" s="126"/>
      <c r="D18" s="126"/>
      <c r="E18" s="126"/>
      <c r="F18" s="126"/>
      <c r="G18" s="126"/>
      <c r="H18" s="126"/>
      <c r="I18" s="127"/>
      <c r="J18" s="127"/>
      <c r="K18" s="128"/>
      <c r="M18" s="109"/>
      <c r="N18" s="113"/>
      <c r="O18" s="113"/>
      <c r="P18" s="113"/>
      <c r="Q18" s="113"/>
      <c r="R18" s="113"/>
      <c r="S18" s="113"/>
    </row>
    <row r="19" spans="2:19">
      <c r="B19" s="117" t="s">
        <v>259</v>
      </c>
      <c r="C19" s="106">
        <v>20</v>
      </c>
      <c r="D19" s="106">
        <v>20</v>
      </c>
      <c r="E19" s="106">
        <v>20</v>
      </c>
      <c r="F19" s="106">
        <v>10</v>
      </c>
      <c r="G19" s="106">
        <v>30</v>
      </c>
      <c r="H19" s="106">
        <v>10</v>
      </c>
      <c r="I19" s="112">
        <v>30</v>
      </c>
      <c r="J19" s="120"/>
      <c r="K19" s="120">
        <v>11</v>
      </c>
      <c r="L19" s="130"/>
      <c r="M19" s="109"/>
      <c r="N19" s="113"/>
      <c r="O19" s="113"/>
      <c r="P19" s="113"/>
      <c r="Q19" s="113"/>
      <c r="R19" s="113"/>
      <c r="S19" s="113"/>
    </row>
    <row r="20" spans="2:19">
      <c r="B20" s="117" t="s">
        <v>260</v>
      </c>
      <c r="C20" s="106">
        <v>20</v>
      </c>
      <c r="D20" s="106">
        <v>30</v>
      </c>
      <c r="E20" s="106">
        <v>15</v>
      </c>
      <c r="F20" s="106">
        <v>30</v>
      </c>
      <c r="G20" s="106">
        <v>50</v>
      </c>
      <c r="H20" s="106">
        <v>10</v>
      </c>
      <c r="I20" s="112">
        <v>40</v>
      </c>
      <c r="J20" s="120"/>
      <c r="K20" s="120">
        <v>10</v>
      </c>
      <c r="M20" s="109"/>
      <c r="N20" s="113"/>
      <c r="O20" s="113"/>
      <c r="P20" s="113"/>
      <c r="Q20" s="113"/>
      <c r="R20" s="113"/>
      <c r="S20" s="113"/>
    </row>
    <row r="21" spans="2:19">
      <c r="B21" s="117" t="s">
        <v>261</v>
      </c>
      <c r="C21" s="107"/>
      <c r="D21" s="107"/>
      <c r="E21" s="107"/>
      <c r="F21" s="107"/>
      <c r="G21" s="107"/>
      <c r="H21" s="107"/>
      <c r="I21" s="107"/>
      <c r="J21" s="120"/>
      <c r="K21" s="120"/>
      <c r="M21" s="109"/>
      <c r="N21" s="113"/>
      <c r="O21" s="113"/>
      <c r="P21" s="113"/>
      <c r="Q21" s="113"/>
      <c r="R21" s="113"/>
      <c r="S21" s="113"/>
    </row>
    <row r="22" spans="2:19">
      <c r="B22" s="117" t="s">
        <v>262</v>
      </c>
      <c r="C22" s="107"/>
      <c r="D22" s="107"/>
      <c r="E22" s="107"/>
      <c r="F22" s="107"/>
      <c r="G22" s="107"/>
      <c r="H22" s="107"/>
      <c r="I22" s="107"/>
      <c r="J22" s="120"/>
      <c r="K22" s="120"/>
      <c r="M22" s="109"/>
      <c r="N22" s="113"/>
      <c r="O22" s="113"/>
      <c r="P22" s="113"/>
      <c r="Q22" s="113"/>
      <c r="R22" s="113"/>
      <c r="S22" s="113"/>
    </row>
    <row r="23" spans="2:19">
      <c r="B23" s="125" t="s">
        <v>263</v>
      </c>
      <c r="C23" s="132"/>
      <c r="D23" s="132"/>
      <c r="E23" s="132"/>
      <c r="F23" s="132"/>
      <c r="G23" s="132"/>
      <c r="H23" s="132"/>
      <c r="I23" s="132"/>
      <c r="J23" s="132"/>
      <c r="K23" s="133"/>
      <c r="M23" s="1146"/>
      <c r="N23" s="1146"/>
      <c r="O23" s="1146"/>
      <c r="P23" s="1146"/>
      <c r="Q23" s="1146"/>
      <c r="R23" s="1146"/>
      <c r="S23" s="1146"/>
    </row>
    <row r="24" spans="2:19">
      <c r="B24" s="117" t="s">
        <v>580</v>
      </c>
      <c r="C24" s="134"/>
      <c r="D24" s="134"/>
      <c r="E24" s="134"/>
      <c r="F24" s="134"/>
      <c r="G24" s="134"/>
      <c r="H24" s="134"/>
      <c r="I24" s="134"/>
      <c r="J24" s="135"/>
      <c r="K24" s="120"/>
      <c r="M24" s="97"/>
      <c r="N24" s="97"/>
      <c r="O24" s="97"/>
      <c r="P24" s="97"/>
      <c r="Q24" s="97"/>
      <c r="R24" s="97"/>
      <c r="S24" s="97"/>
    </row>
    <row r="25" spans="2:19">
      <c r="B25" s="117" t="s">
        <v>266</v>
      </c>
      <c r="C25" s="134"/>
      <c r="D25" s="134"/>
      <c r="E25" s="134"/>
      <c r="F25" s="134"/>
      <c r="G25" s="134"/>
      <c r="H25" s="134"/>
      <c r="I25" s="134"/>
      <c r="J25" s="135"/>
      <c r="K25" s="120"/>
      <c r="M25" s="109"/>
      <c r="N25" s="113"/>
      <c r="O25" s="113"/>
      <c r="P25" s="113"/>
      <c r="Q25" s="113"/>
      <c r="R25" s="113"/>
      <c r="S25" s="113"/>
    </row>
    <row r="26" spans="2:19" ht="15" customHeight="1">
      <c r="B26" s="117" t="s">
        <v>267</v>
      </c>
      <c r="C26" s="134"/>
      <c r="D26" s="134"/>
      <c r="E26" s="134"/>
      <c r="F26" s="134"/>
      <c r="G26" s="134"/>
      <c r="H26" s="134"/>
      <c r="I26" s="134"/>
      <c r="J26" s="136"/>
      <c r="K26" s="120"/>
      <c r="M26" s="109"/>
      <c r="N26" s="113"/>
      <c r="O26" s="113"/>
      <c r="P26" s="113"/>
      <c r="Q26" s="113"/>
      <c r="R26" s="113"/>
      <c r="S26" s="113"/>
    </row>
    <row r="27" spans="2:19">
      <c r="B27" s="117" t="s">
        <v>268</v>
      </c>
      <c r="C27" s="134"/>
      <c r="D27" s="134"/>
      <c r="E27" s="134"/>
      <c r="F27" s="134"/>
      <c r="G27" s="134"/>
      <c r="H27" s="134"/>
      <c r="I27" s="134"/>
      <c r="J27" s="120"/>
      <c r="K27" s="120"/>
      <c r="M27" s="109"/>
      <c r="N27" s="137"/>
      <c r="O27" s="137"/>
      <c r="P27" s="137"/>
      <c r="Q27" s="137"/>
      <c r="R27" s="113"/>
      <c r="S27" s="113"/>
    </row>
    <row r="28" spans="2:19">
      <c r="B28" s="117" t="s">
        <v>269</v>
      </c>
      <c r="C28" s="134"/>
      <c r="D28" s="134"/>
      <c r="E28" s="134"/>
      <c r="F28" s="134"/>
      <c r="G28" s="134"/>
      <c r="H28" s="134"/>
      <c r="I28" s="134"/>
      <c r="J28" s="120"/>
      <c r="K28" s="120"/>
      <c r="L28" s="138"/>
      <c r="M28" s="1146"/>
      <c r="N28" s="1146"/>
      <c r="O28" s="1146"/>
      <c r="P28" s="1146"/>
      <c r="Q28" s="1146"/>
      <c r="R28" s="1146"/>
      <c r="S28" s="1146"/>
    </row>
    <row r="29" spans="2:19">
      <c r="B29" s="125" t="s">
        <v>270</v>
      </c>
      <c r="C29" s="132"/>
      <c r="D29" s="132"/>
      <c r="E29" s="132"/>
      <c r="F29" s="132"/>
      <c r="G29" s="132"/>
      <c r="H29" s="132"/>
      <c r="I29" s="132"/>
      <c r="J29" s="132"/>
      <c r="K29" s="133"/>
      <c r="M29" s="109"/>
      <c r="N29" s="113"/>
      <c r="O29" s="113"/>
      <c r="P29" s="113"/>
      <c r="Q29" s="113"/>
      <c r="R29" s="113"/>
      <c r="S29" s="113"/>
    </row>
    <row r="30" spans="2:19">
      <c r="B30" s="117" t="s">
        <v>271</v>
      </c>
      <c r="C30" s="144">
        <v>2.4500000000000002</v>
      </c>
      <c r="D30" s="144">
        <f>0.85*C30</f>
        <v>2.0825</v>
      </c>
      <c r="E30" s="144">
        <f>0.75*C30</f>
        <v>1.8375000000000001</v>
      </c>
      <c r="F30" s="224">
        <v>1.67</v>
      </c>
      <c r="G30" s="224">
        <v>2.31</v>
      </c>
      <c r="H30" s="225">
        <v>1.3</v>
      </c>
      <c r="I30" s="225">
        <v>2.2000000000000002</v>
      </c>
      <c r="J30" s="135" t="s">
        <v>300</v>
      </c>
      <c r="K30" s="108" t="s">
        <v>764</v>
      </c>
      <c r="M30" s="109"/>
      <c r="N30" s="141"/>
      <c r="O30" s="141"/>
      <c r="P30" s="141"/>
      <c r="Q30" s="141"/>
      <c r="R30" s="113"/>
      <c r="S30" s="113"/>
    </row>
    <row r="31" spans="2:19">
      <c r="B31" s="117" t="s">
        <v>274</v>
      </c>
      <c r="C31" s="129">
        <v>65</v>
      </c>
      <c r="D31" s="129">
        <v>65</v>
      </c>
      <c r="E31" s="129">
        <v>65</v>
      </c>
      <c r="F31" s="145">
        <v>50</v>
      </c>
      <c r="G31" s="145">
        <v>85</v>
      </c>
      <c r="H31" s="145">
        <v>50</v>
      </c>
      <c r="I31" s="145">
        <v>85</v>
      </c>
      <c r="J31" s="120"/>
      <c r="K31" s="108" t="s">
        <v>355</v>
      </c>
      <c r="M31" s="109"/>
      <c r="N31" s="141"/>
      <c r="O31" s="141"/>
      <c r="P31" s="141"/>
      <c r="Q31" s="141"/>
      <c r="R31" s="113"/>
      <c r="S31" s="113"/>
    </row>
    <row r="32" spans="2:19">
      <c r="B32" s="117" t="s">
        <v>275</v>
      </c>
      <c r="C32" s="129">
        <v>35</v>
      </c>
      <c r="D32" s="129">
        <v>35</v>
      </c>
      <c r="E32" s="129">
        <v>35</v>
      </c>
      <c r="F32" s="145">
        <v>15</v>
      </c>
      <c r="G32" s="145">
        <v>50</v>
      </c>
      <c r="H32" s="145">
        <v>15</v>
      </c>
      <c r="I32" s="145">
        <v>50</v>
      </c>
      <c r="J32" s="120"/>
      <c r="K32" s="108" t="s">
        <v>355</v>
      </c>
      <c r="M32" s="109"/>
      <c r="N32" s="141"/>
      <c r="O32" s="141"/>
      <c r="P32" s="141"/>
      <c r="Q32" s="141"/>
      <c r="R32" s="113"/>
      <c r="S32" s="113"/>
    </row>
    <row r="33" spans="1:19">
      <c r="B33" s="117" t="s">
        <v>276</v>
      </c>
      <c r="C33" s="145">
        <v>110580</v>
      </c>
      <c r="D33" s="145">
        <f>MROUND(C33*0.92,100)</f>
        <v>101700</v>
      </c>
      <c r="E33" s="145">
        <f>MROUND(C33*0.8,100)</f>
        <v>88500</v>
      </c>
      <c r="F33" s="220">
        <v>78294</v>
      </c>
      <c r="G33" s="220">
        <v>130455</v>
      </c>
      <c r="H33" s="220">
        <v>59043</v>
      </c>
      <c r="I33" s="220">
        <v>98406</v>
      </c>
      <c r="J33" s="120" t="s">
        <v>246</v>
      </c>
      <c r="K33" s="120" t="s">
        <v>765</v>
      </c>
      <c r="M33" s="109"/>
      <c r="N33" s="141"/>
      <c r="O33" s="141"/>
      <c r="P33" s="141"/>
      <c r="Q33" s="141"/>
      <c r="R33" s="113"/>
      <c r="S33" s="113"/>
    </row>
    <row r="34" spans="1:19">
      <c r="B34" s="117" t="s">
        <v>279</v>
      </c>
      <c r="C34" s="144">
        <v>0.13</v>
      </c>
      <c r="D34" s="172">
        <f>C34*0.92</f>
        <v>0.11960000000000001</v>
      </c>
      <c r="E34" s="172">
        <f>C34*0.8</f>
        <v>0.10400000000000001</v>
      </c>
      <c r="F34" s="225">
        <v>0.1</v>
      </c>
      <c r="G34" s="225">
        <v>0.2</v>
      </c>
      <c r="H34" s="225">
        <v>0.1</v>
      </c>
      <c r="I34" s="225">
        <v>0.1</v>
      </c>
      <c r="J34" s="120" t="s">
        <v>246</v>
      </c>
      <c r="K34" s="108" t="s">
        <v>766</v>
      </c>
      <c r="M34" s="109"/>
      <c r="N34" s="141"/>
      <c r="O34" s="141"/>
      <c r="P34" s="141"/>
      <c r="Q34" s="141"/>
      <c r="R34" s="113"/>
      <c r="S34" s="113"/>
    </row>
    <row r="35" spans="1:19">
      <c r="B35" s="117" t="s">
        <v>282</v>
      </c>
      <c r="C35" s="145"/>
      <c r="D35" s="145"/>
      <c r="E35" s="145"/>
      <c r="F35" s="145"/>
      <c r="G35" s="145"/>
      <c r="H35" s="145"/>
      <c r="I35" s="145"/>
      <c r="J35" s="120"/>
      <c r="K35" s="120"/>
      <c r="M35" s="1146"/>
      <c r="N35" s="1146"/>
      <c r="O35" s="1146"/>
      <c r="P35" s="1146"/>
      <c r="Q35" s="1146"/>
      <c r="R35" s="1146"/>
      <c r="S35" s="1146"/>
    </row>
    <row r="36" spans="1:19">
      <c r="A36" s="130"/>
      <c r="L36" s="94"/>
    </row>
    <row r="37" spans="1:19" s="93" customFormat="1" ht="12">
      <c r="A37" s="130" t="s">
        <v>286</v>
      </c>
      <c r="C37" s="150"/>
      <c r="D37" s="150"/>
      <c r="E37" s="150"/>
      <c r="F37" s="150"/>
      <c r="G37" s="150"/>
    </row>
    <row r="38" spans="1:19" ht="14.1" customHeight="1">
      <c r="A38" s="151">
        <v>1</v>
      </c>
      <c r="B38" s="1150" t="s">
        <v>287</v>
      </c>
      <c r="C38" s="1150"/>
      <c r="D38" s="1150"/>
      <c r="E38" s="1150"/>
      <c r="F38" s="1150"/>
      <c r="G38" s="1150"/>
      <c r="H38" s="1150"/>
      <c r="I38" s="1150"/>
      <c r="J38" s="1150"/>
      <c r="K38" s="1150"/>
    </row>
    <row r="39" spans="1:19" ht="15" customHeight="1">
      <c r="A39" s="151">
        <v>2</v>
      </c>
      <c r="B39" s="1148" t="s">
        <v>767</v>
      </c>
      <c r="C39" s="1148"/>
      <c r="D39" s="1148"/>
      <c r="E39" s="1148"/>
      <c r="F39" s="1148"/>
      <c r="G39" s="1148"/>
      <c r="H39" s="1148"/>
      <c r="I39" s="1148"/>
      <c r="J39" s="1148"/>
      <c r="K39" s="1148"/>
    </row>
    <row r="40" spans="1:19" ht="14.1" customHeight="1">
      <c r="A40" s="151">
        <v>3</v>
      </c>
      <c r="B40" s="1148" t="s">
        <v>768</v>
      </c>
      <c r="C40" s="1148"/>
      <c r="D40" s="1148"/>
      <c r="E40" s="1148"/>
      <c r="F40" s="1148"/>
      <c r="G40" s="1148"/>
      <c r="H40" s="1148"/>
      <c r="I40" s="1148"/>
      <c r="J40" s="1148"/>
      <c r="K40" s="1148"/>
    </row>
    <row r="41" spans="1:19" ht="15" customHeight="1">
      <c r="A41" s="151">
        <v>4</v>
      </c>
      <c r="B41" s="1148" t="s">
        <v>769</v>
      </c>
      <c r="C41" s="1148"/>
      <c r="D41" s="1148"/>
      <c r="E41" s="1148"/>
      <c r="F41" s="1148"/>
      <c r="G41" s="1148"/>
      <c r="H41" s="1148"/>
      <c r="I41" s="1148"/>
      <c r="J41" s="1148"/>
      <c r="K41" s="1148"/>
    </row>
    <row r="42" spans="1:19" ht="15" customHeight="1">
      <c r="A42" s="151">
        <v>5</v>
      </c>
      <c r="B42" s="1148" t="s">
        <v>770</v>
      </c>
      <c r="C42" s="1148"/>
      <c r="D42" s="1148"/>
      <c r="E42" s="1148"/>
      <c r="F42" s="1148"/>
      <c r="G42" s="1148"/>
      <c r="H42" s="1148"/>
      <c r="I42" s="1148"/>
      <c r="J42" s="1148"/>
      <c r="K42" s="1148"/>
    </row>
    <row r="43" spans="1:19" ht="15" customHeight="1">
      <c r="A43" s="151">
        <v>6</v>
      </c>
      <c r="B43" s="1148" t="s">
        <v>758</v>
      </c>
      <c r="C43" s="1148"/>
      <c r="D43" s="1148"/>
      <c r="E43" s="1148"/>
      <c r="F43" s="1148"/>
      <c r="G43" s="1148"/>
      <c r="H43" s="1148"/>
      <c r="I43" s="1148"/>
      <c r="J43" s="1148"/>
      <c r="K43" s="1148"/>
    </row>
    <row r="44" spans="1:19" ht="15" customHeight="1">
      <c r="A44" s="151">
        <v>7</v>
      </c>
      <c r="B44" s="1148" t="s">
        <v>759</v>
      </c>
      <c r="C44" s="1148"/>
      <c r="D44" s="1148"/>
      <c r="E44" s="1148"/>
      <c r="F44" s="1148"/>
      <c r="G44" s="1148"/>
      <c r="H44" s="1148"/>
      <c r="I44" s="1148"/>
      <c r="J44" s="1148"/>
      <c r="K44" s="1148"/>
    </row>
    <row r="45" spans="1:19" ht="25.5" customHeight="1">
      <c r="A45" s="151">
        <v>8</v>
      </c>
      <c r="B45" s="1148" t="s">
        <v>760</v>
      </c>
      <c r="C45" s="1148"/>
      <c r="D45" s="1148"/>
      <c r="E45" s="1148"/>
      <c r="F45" s="1148"/>
      <c r="G45" s="1148"/>
      <c r="H45" s="1148"/>
      <c r="I45" s="1148"/>
      <c r="J45" s="1148"/>
      <c r="K45" s="1148"/>
    </row>
    <row r="46" spans="1:19" ht="14.1" customHeight="1">
      <c r="A46" s="151">
        <v>9</v>
      </c>
      <c r="B46" s="1148" t="s">
        <v>290</v>
      </c>
      <c r="C46" s="1148"/>
      <c r="D46" s="1148"/>
      <c r="E46" s="1148"/>
      <c r="F46" s="1148"/>
      <c r="G46" s="1148"/>
      <c r="H46" s="1148"/>
      <c r="I46" s="1148"/>
      <c r="J46" s="1148"/>
      <c r="K46" s="1148"/>
    </row>
    <row r="47" spans="1:19" ht="14.1" customHeight="1">
      <c r="A47" s="151">
        <v>10</v>
      </c>
      <c r="B47" s="1148" t="s">
        <v>694</v>
      </c>
      <c r="C47" s="1148"/>
      <c r="D47" s="1148"/>
      <c r="E47" s="1148"/>
      <c r="F47" s="1148"/>
      <c r="G47" s="1148"/>
      <c r="H47" s="1148"/>
      <c r="I47" s="1148"/>
      <c r="J47" s="1148"/>
      <c r="K47" s="1148"/>
    </row>
    <row r="48" spans="1:19" ht="14.1" customHeight="1">
      <c r="A48" s="151">
        <v>11</v>
      </c>
      <c r="B48" s="1148" t="s">
        <v>589</v>
      </c>
      <c r="C48" s="1148"/>
      <c r="D48" s="1148"/>
      <c r="E48" s="1148"/>
      <c r="F48" s="1148"/>
      <c r="G48" s="1148"/>
      <c r="H48" s="1148"/>
      <c r="I48" s="1148"/>
      <c r="J48" s="1148"/>
      <c r="K48" s="1148"/>
    </row>
    <row r="49" spans="1:12" ht="24.75" customHeight="1">
      <c r="A49" s="151">
        <v>12</v>
      </c>
      <c r="B49" s="1148" t="s">
        <v>771</v>
      </c>
      <c r="C49" s="1148"/>
      <c r="D49" s="1148"/>
      <c r="E49" s="1148"/>
      <c r="F49" s="1148"/>
      <c r="G49" s="1148"/>
      <c r="H49" s="1148"/>
      <c r="I49" s="1148"/>
      <c r="J49" s="1148"/>
      <c r="K49" s="1148"/>
    </row>
    <row r="50" spans="1:12">
      <c r="A50" s="130" t="s">
        <v>298</v>
      </c>
      <c r="C50" s="109"/>
      <c r="D50" s="109"/>
      <c r="E50" s="109"/>
      <c r="F50" s="109"/>
      <c r="G50" s="109"/>
      <c r="H50" s="109"/>
      <c r="I50" s="109"/>
      <c r="J50" s="109"/>
      <c r="K50" s="109"/>
      <c r="L50" s="109"/>
    </row>
    <row r="51" spans="1:12" ht="14.1" customHeight="1">
      <c r="A51" s="152" t="s">
        <v>246</v>
      </c>
      <c r="B51" s="1148" t="s">
        <v>323</v>
      </c>
      <c r="C51" s="1148"/>
      <c r="D51" s="1148"/>
      <c r="E51" s="1148"/>
      <c r="F51" s="1148"/>
      <c r="G51" s="1148"/>
      <c r="H51" s="1148"/>
      <c r="I51" s="1148"/>
      <c r="J51" s="1148"/>
      <c r="K51" s="1148"/>
    </row>
    <row r="52" spans="1:12" ht="43.5" customHeight="1">
      <c r="A52" s="154" t="s">
        <v>300</v>
      </c>
      <c r="B52" s="1155" t="s">
        <v>325</v>
      </c>
      <c r="C52" s="1155"/>
      <c r="D52" s="1155"/>
      <c r="E52" s="1155"/>
      <c r="F52" s="1155"/>
      <c r="G52" s="1155"/>
      <c r="H52" s="1155"/>
      <c r="I52" s="1155"/>
      <c r="J52" s="1155"/>
      <c r="K52" s="1155"/>
    </row>
    <row r="53" spans="1:12">
      <c r="A53" s="152"/>
      <c r="B53" s="151"/>
    </row>
    <row r="54" spans="1:12">
      <c r="A54" s="152"/>
    </row>
    <row r="55" spans="1:12">
      <c r="A55" s="152"/>
    </row>
    <row r="56" spans="1:12">
      <c r="A56" s="152"/>
    </row>
    <row r="57" spans="1:12">
      <c r="A57" s="152"/>
    </row>
  </sheetData>
  <mergeCells count="23">
    <mergeCell ref="B47:K47"/>
    <mergeCell ref="B48:K48"/>
    <mergeCell ref="B49:K49"/>
    <mergeCell ref="B51:K51"/>
    <mergeCell ref="B52:K52"/>
    <mergeCell ref="B46:K46"/>
    <mergeCell ref="M23:S23"/>
    <mergeCell ref="M28:S28"/>
    <mergeCell ref="M35:S35"/>
    <mergeCell ref="B38:K38"/>
    <mergeCell ref="B39:K39"/>
    <mergeCell ref="B40:K40"/>
    <mergeCell ref="B41:K41"/>
    <mergeCell ref="B42:K42"/>
    <mergeCell ref="B43:K43"/>
    <mergeCell ref="B44:K44"/>
    <mergeCell ref="B45:K45"/>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4347D-E5CD-4F4B-893B-CC2E78BCE5F0}">
  <sheetPr codeName="Sheet41">
    <tabColor theme="1"/>
  </sheetPr>
  <dimension ref="A1:M54"/>
  <sheetViews>
    <sheetView zoomScaleNormal="100" zoomScaleSheetLayoutView="120" workbookViewId="0">
      <selection activeCell="B47" sqref="B47:K47"/>
    </sheetView>
  </sheetViews>
  <sheetFormatPr defaultColWidth="9.140625" defaultRowHeight="15"/>
  <cols>
    <col min="1" max="1" width="3" style="151" customWidth="1"/>
    <col min="2" max="2" width="35.140625" style="151" customWidth="1"/>
    <col min="3" max="9" width="9.28515625" style="194" customWidth="1"/>
    <col min="10" max="10" width="8.7109375" style="194" customWidth="1"/>
    <col min="11" max="11" width="6.5703125" style="194" customWidth="1"/>
    <col min="12" max="16384" width="9.140625" style="94"/>
  </cols>
  <sheetData>
    <row r="1" spans="1:13" ht="20.25">
      <c r="A1" s="358" t="s">
        <v>327</v>
      </c>
      <c r="B1" s="359" t="s">
        <v>234</v>
      </c>
      <c r="C1" s="360" t="s">
        <v>327</v>
      </c>
      <c r="D1" s="360" t="s">
        <v>327</v>
      </c>
      <c r="E1" s="360" t="s">
        <v>327</v>
      </c>
      <c r="F1" s="360" t="s">
        <v>327</v>
      </c>
      <c r="G1" s="360" t="s">
        <v>327</v>
      </c>
      <c r="H1" s="360" t="s">
        <v>327</v>
      </c>
      <c r="I1" s="360" t="s">
        <v>327</v>
      </c>
      <c r="J1" s="360" t="s">
        <v>327</v>
      </c>
      <c r="K1" s="360" t="s">
        <v>327</v>
      </c>
      <c r="L1" s="319"/>
      <c r="M1" s="319" t="s">
        <v>327</v>
      </c>
    </row>
    <row r="2" spans="1:13">
      <c r="A2" s="358" t="s">
        <v>327</v>
      </c>
      <c r="B2" s="358" t="s">
        <v>327</v>
      </c>
      <c r="C2" s="360" t="s">
        <v>327</v>
      </c>
      <c r="D2" s="360" t="s">
        <v>327</v>
      </c>
      <c r="E2" s="360" t="s">
        <v>327</v>
      </c>
      <c r="F2" s="360" t="s">
        <v>327</v>
      </c>
      <c r="G2" s="360" t="s">
        <v>327</v>
      </c>
      <c r="H2" s="360" t="s">
        <v>327</v>
      </c>
      <c r="I2" s="360" t="s">
        <v>327</v>
      </c>
      <c r="J2" s="360" t="s">
        <v>327</v>
      </c>
      <c r="K2" s="360" t="s">
        <v>327</v>
      </c>
      <c r="L2" s="319"/>
      <c r="M2" s="94" t="s">
        <v>578</v>
      </c>
    </row>
    <row r="3" spans="1:13" ht="15" customHeight="1">
      <c r="A3" s="358" t="s">
        <v>327</v>
      </c>
      <c r="B3" s="361" t="s">
        <v>145</v>
      </c>
      <c r="C3" s="1215" t="s">
        <v>784</v>
      </c>
      <c r="D3" s="1215"/>
      <c r="E3" s="1215"/>
      <c r="F3" s="1215"/>
      <c r="G3" s="1215"/>
      <c r="H3" s="1215"/>
      <c r="I3" s="1215"/>
      <c r="J3" s="1215"/>
      <c r="K3" s="1216"/>
      <c r="L3" s="319"/>
      <c r="M3" s="319" t="s">
        <v>327</v>
      </c>
    </row>
    <row r="4" spans="1:13" ht="16.5" customHeight="1">
      <c r="A4" s="358" t="s">
        <v>327</v>
      </c>
      <c r="B4" s="362" t="s">
        <v>327</v>
      </c>
      <c r="C4" s="99">
        <v>2023</v>
      </c>
      <c r="D4" s="99">
        <v>2030</v>
      </c>
      <c r="E4" s="99">
        <v>2050</v>
      </c>
      <c r="F4" s="1145" t="s">
        <v>236</v>
      </c>
      <c r="G4" s="1142"/>
      <c r="H4" s="1145" t="s">
        <v>237</v>
      </c>
      <c r="I4" s="1142"/>
      <c r="J4" s="363" t="s">
        <v>238</v>
      </c>
      <c r="K4" s="363" t="s">
        <v>239</v>
      </c>
      <c r="L4" s="319"/>
      <c r="M4" s="319" t="s">
        <v>327</v>
      </c>
    </row>
    <row r="5" spans="1:13" ht="15" customHeight="1">
      <c r="A5" s="358" t="s">
        <v>327</v>
      </c>
      <c r="B5" s="364" t="s">
        <v>240</v>
      </c>
      <c r="C5" s="365" t="s">
        <v>327</v>
      </c>
      <c r="D5" s="365" t="s">
        <v>327</v>
      </c>
      <c r="E5" s="365" t="s">
        <v>327</v>
      </c>
      <c r="F5" s="365" t="s">
        <v>241</v>
      </c>
      <c r="G5" s="365" t="s">
        <v>242</v>
      </c>
      <c r="H5" s="365" t="s">
        <v>241</v>
      </c>
      <c r="I5" s="365" t="s">
        <v>242</v>
      </c>
      <c r="J5" s="365" t="s">
        <v>327</v>
      </c>
      <c r="K5" s="363" t="s">
        <v>327</v>
      </c>
      <c r="L5" s="319"/>
      <c r="M5" s="319" t="s">
        <v>327</v>
      </c>
    </row>
    <row r="6" spans="1:13" ht="15" customHeight="1">
      <c r="A6" s="358" t="s">
        <v>327</v>
      </c>
      <c r="B6" s="362" t="s">
        <v>243</v>
      </c>
      <c r="C6" s="366">
        <v>3</v>
      </c>
      <c r="D6" s="367">
        <v>3</v>
      </c>
      <c r="E6" s="367">
        <v>3</v>
      </c>
      <c r="F6" s="367">
        <v>0.5</v>
      </c>
      <c r="G6" s="367">
        <v>18</v>
      </c>
      <c r="H6" s="367">
        <v>0.5</v>
      </c>
      <c r="I6" s="367">
        <v>18</v>
      </c>
      <c r="J6" s="368" t="s">
        <v>305</v>
      </c>
      <c r="K6" s="369">
        <v>7</v>
      </c>
      <c r="L6" s="319"/>
      <c r="M6" s="319" t="s">
        <v>327</v>
      </c>
    </row>
    <row r="7" spans="1:13" ht="15" customHeight="1">
      <c r="A7" s="358" t="s">
        <v>327</v>
      </c>
      <c r="B7" s="362" t="s">
        <v>244</v>
      </c>
      <c r="C7" s="366">
        <v>14</v>
      </c>
      <c r="D7" s="367">
        <v>14</v>
      </c>
      <c r="E7" s="367">
        <v>14</v>
      </c>
      <c r="F7" s="367">
        <v>1</v>
      </c>
      <c r="G7" s="367">
        <v>100</v>
      </c>
      <c r="H7" s="367">
        <v>1</v>
      </c>
      <c r="I7" s="367">
        <v>100</v>
      </c>
      <c r="J7" s="368" t="s">
        <v>305</v>
      </c>
      <c r="K7" s="369" t="s">
        <v>327</v>
      </c>
      <c r="L7" s="319"/>
      <c r="M7" s="319" t="s">
        <v>327</v>
      </c>
    </row>
    <row r="8" spans="1:13">
      <c r="A8" s="358" t="s">
        <v>327</v>
      </c>
      <c r="B8" s="362" t="s">
        <v>245</v>
      </c>
      <c r="C8" s="366">
        <v>46</v>
      </c>
      <c r="D8" s="367">
        <v>47</v>
      </c>
      <c r="E8" s="367">
        <v>48</v>
      </c>
      <c r="F8" s="367" t="s">
        <v>327</v>
      </c>
      <c r="G8" s="367" t="s">
        <v>327</v>
      </c>
      <c r="H8" s="367" t="s">
        <v>327</v>
      </c>
      <c r="I8" s="367" t="s">
        <v>327</v>
      </c>
      <c r="J8" s="368" t="s">
        <v>327</v>
      </c>
      <c r="K8" s="369">
        <v>1</v>
      </c>
      <c r="L8" s="319"/>
      <c r="M8" s="319" t="s">
        <v>327</v>
      </c>
    </row>
    <row r="9" spans="1:13">
      <c r="A9" s="358" t="s">
        <v>327</v>
      </c>
      <c r="B9" s="370" t="s">
        <v>247</v>
      </c>
      <c r="C9" s="366">
        <v>45</v>
      </c>
      <c r="D9" s="367">
        <v>46</v>
      </c>
      <c r="E9" s="367">
        <v>47</v>
      </c>
      <c r="F9" s="367">
        <v>43</v>
      </c>
      <c r="G9" s="367">
        <v>47</v>
      </c>
      <c r="H9" s="367">
        <v>45</v>
      </c>
      <c r="I9" s="367">
        <v>52</v>
      </c>
      <c r="J9" s="368" t="s">
        <v>327</v>
      </c>
      <c r="K9" s="369">
        <v>1</v>
      </c>
      <c r="L9" s="319"/>
      <c r="M9" s="319" t="s">
        <v>327</v>
      </c>
    </row>
    <row r="10" spans="1:13">
      <c r="A10" s="358" t="s">
        <v>327</v>
      </c>
      <c r="B10" s="371" t="s">
        <v>248</v>
      </c>
      <c r="C10" s="366">
        <v>3</v>
      </c>
      <c r="D10" s="367">
        <v>3</v>
      </c>
      <c r="E10" s="367">
        <v>3</v>
      </c>
      <c r="F10" s="367" t="s">
        <v>327</v>
      </c>
      <c r="G10" s="367" t="s">
        <v>327</v>
      </c>
      <c r="H10" s="367" t="s">
        <v>327</v>
      </c>
      <c r="I10" s="367" t="s">
        <v>327</v>
      </c>
      <c r="J10" s="368" t="s">
        <v>327</v>
      </c>
      <c r="K10" s="369" t="s">
        <v>327</v>
      </c>
      <c r="L10" s="319"/>
      <c r="M10" s="319" t="s">
        <v>327</v>
      </c>
    </row>
    <row r="11" spans="1:13">
      <c r="A11" s="358" t="s">
        <v>327</v>
      </c>
      <c r="B11" s="362" t="s">
        <v>249</v>
      </c>
      <c r="C11" s="366">
        <v>1</v>
      </c>
      <c r="D11" s="367">
        <v>1</v>
      </c>
      <c r="E11" s="367">
        <v>1</v>
      </c>
      <c r="F11" s="367" t="s">
        <v>327</v>
      </c>
      <c r="G11" s="367" t="s">
        <v>327</v>
      </c>
      <c r="H11" s="367" t="s">
        <v>327</v>
      </c>
      <c r="I11" s="367" t="s">
        <v>327</v>
      </c>
      <c r="J11" s="368" t="s">
        <v>327</v>
      </c>
      <c r="K11" s="369">
        <v>2</v>
      </c>
      <c r="L11" s="319"/>
      <c r="M11" s="319" t="s">
        <v>327</v>
      </c>
    </row>
    <row r="12" spans="1:13">
      <c r="A12" s="358" t="s">
        <v>327</v>
      </c>
      <c r="B12" s="362" t="s">
        <v>250</v>
      </c>
      <c r="C12" s="366">
        <v>25</v>
      </c>
      <c r="D12" s="367">
        <v>25</v>
      </c>
      <c r="E12" s="367">
        <v>25</v>
      </c>
      <c r="F12" s="367" t="s">
        <v>327</v>
      </c>
      <c r="G12" s="367" t="s">
        <v>327</v>
      </c>
      <c r="H12" s="367" t="s">
        <v>327</v>
      </c>
      <c r="I12" s="367" t="s">
        <v>327</v>
      </c>
      <c r="J12" s="368" t="s">
        <v>327</v>
      </c>
      <c r="K12" s="369">
        <v>2</v>
      </c>
      <c r="L12" s="319"/>
      <c r="M12" s="319" t="s">
        <v>327</v>
      </c>
    </row>
    <row r="13" spans="1:13">
      <c r="A13" s="358" t="s">
        <v>327</v>
      </c>
      <c r="B13" s="362" t="s">
        <v>252</v>
      </c>
      <c r="C13" s="366">
        <v>1</v>
      </c>
      <c r="D13" s="367">
        <v>1</v>
      </c>
      <c r="E13" s="367">
        <v>1</v>
      </c>
      <c r="F13" s="368" t="s">
        <v>327</v>
      </c>
      <c r="G13" s="369" t="s">
        <v>327</v>
      </c>
      <c r="H13" s="369" t="s">
        <v>327</v>
      </c>
      <c r="I13" s="366" t="s">
        <v>327</v>
      </c>
      <c r="J13" s="368" t="s">
        <v>327</v>
      </c>
      <c r="K13" s="369">
        <v>2</v>
      </c>
      <c r="L13" s="319"/>
      <c r="M13" s="319" t="s">
        <v>327</v>
      </c>
    </row>
    <row r="14" spans="1:13">
      <c r="A14" s="358" t="s">
        <v>327</v>
      </c>
      <c r="B14" s="372" t="s">
        <v>254</v>
      </c>
      <c r="C14" s="367">
        <v>0.05</v>
      </c>
      <c r="D14" s="367">
        <v>0.05</v>
      </c>
      <c r="E14" s="367">
        <v>0.05</v>
      </c>
      <c r="F14" s="368" t="s">
        <v>327</v>
      </c>
      <c r="G14" s="369" t="s">
        <v>327</v>
      </c>
      <c r="H14" s="369" t="s">
        <v>327</v>
      </c>
      <c r="I14" s="369" t="s">
        <v>327</v>
      </c>
      <c r="J14" s="369" t="s">
        <v>327</v>
      </c>
      <c r="K14" s="369">
        <v>2</v>
      </c>
      <c r="L14" s="319"/>
      <c r="M14" s="319" t="s">
        <v>327</v>
      </c>
    </row>
    <row r="15" spans="1:13">
      <c r="A15" s="358" t="s">
        <v>327</v>
      </c>
      <c r="B15" s="373" t="s">
        <v>255</v>
      </c>
      <c r="C15" s="374" t="s">
        <v>327</v>
      </c>
      <c r="D15" s="374" t="s">
        <v>327</v>
      </c>
      <c r="E15" s="374" t="s">
        <v>327</v>
      </c>
      <c r="F15" s="374" t="s">
        <v>327</v>
      </c>
      <c r="G15" s="374" t="s">
        <v>327</v>
      </c>
      <c r="H15" s="374" t="s">
        <v>327</v>
      </c>
      <c r="I15" s="374" t="s">
        <v>327</v>
      </c>
      <c r="J15" s="374" t="s">
        <v>327</v>
      </c>
      <c r="K15" s="375" t="s">
        <v>327</v>
      </c>
      <c r="L15" s="319"/>
      <c r="M15" s="319" t="s">
        <v>327</v>
      </c>
    </row>
    <row r="16" spans="1:13">
      <c r="A16" s="358" t="s">
        <v>327</v>
      </c>
      <c r="B16" s="372" t="s">
        <v>256</v>
      </c>
      <c r="C16" s="376" t="s">
        <v>146</v>
      </c>
      <c r="D16" s="377" t="s">
        <v>146</v>
      </c>
      <c r="E16" s="377" t="s">
        <v>146</v>
      </c>
      <c r="F16" s="369" t="s">
        <v>327</v>
      </c>
      <c r="G16" s="369" t="s">
        <v>327</v>
      </c>
      <c r="H16" s="369" t="s">
        <v>327</v>
      </c>
      <c r="I16" s="369" t="s">
        <v>327</v>
      </c>
      <c r="J16" s="369" t="s">
        <v>327</v>
      </c>
      <c r="K16" s="369" t="s">
        <v>327</v>
      </c>
      <c r="L16" s="319"/>
      <c r="M16" s="319" t="s">
        <v>327</v>
      </c>
    </row>
    <row r="17" spans="1:13">
      <c r="A17" s="358" t="s">
        <v>327</v>
      </c>
      <c r="B17" s="372" t="s">
        <v>257</v>
      </c>
      <c r="C17" s="376" t="s">
        <v>146</v>
      </c>
      <c r="D17" s="377" t="s">
        <v>146</v>
      </c>
      <c r="E17" s="377" t="s">
        <v>146</v>
      </c>
      <c r="F17" s="369" t="s">
        <v>327</v>
      </c>
      <c r="G17" s="369" t="s">
        <v>327</v>
      </c>
      <c r="H17" s="369" t="s">
        <v>327</v>
      </c>
      <c r="I17" s="369" t="s">
        <v>327</v>
      </c>
      <c r="J17" s="369" t="s">
        <v>327</v>
      </c>
      <c r="K17" s="369" t="s">
        <v>327</v>
      </c>
      <c r="L17" s="319"/>
      <c r="M17" s="319" t="s">
        <v>327</v>
      </c>
    </row>
    <row r="18" spans="1:13">
      <c r="A18" s="358" t="s">
        <v>327</v>
      </c>
      <c r="B18" s="364" t="s">
        <v>258</v>
      </c>
      <c r="C18" s="365" t="s">
        <v>327</v>
      </c>
      <c r="D18" s="365" t="s">
        <v>327</v>
      </c>
      <c r="E18" s="365" t="s">
        <v>327</v>
      </c>
      <c r="F18" s="365" t="s">
        <v>327</v>
      </c>
      <c r="G18" s="365" t="s">
        <v>327</v>
      </c>
      <c r="H18" s="365" t="s">
        <v>327</v>
      </c>
      <c r="I18" s="365" t="s">
        <v>327</v>
      </c>
      <c r="J18" s="365" t="s">
        <v>327</v>
      </c>
      <c r="K18" s="363" t="s">
        <v>327</v>
      </c>
      <c r="L18" s="319"/>
      <c r="M18" s="319" t="s">
        <v>327</v>
      </c>
    </row>
    <row r="19" spans="1:13">
      <c r="A19" s="358" t="s">
        <v>327</v>
      </c>
      <c r="B19" s="362" t="s">
        <v>259</v>
      </c>
      <c r="C19" s="366">
        <v>25</v>
      </c>
      <c r="D19" s="367">
        <v>25</v>
      </c>
      <c r="E19" s="367">
        <v>25</v>
      </c>
      <c r="F19" s="367" t="s">
        <v>327</v>
      </c>
      <c r="G19" s="367" t="s">
        <v>327</v>
      </c>
      <c r="H19" s="367" t="s">
        <v>327</v>
      </c>
      <c r="I19" s="368" t="s">
        <v>327</v>
      </c>
      <c r="J19" s="369" t="s">
        <v>327</v>
      </c>
      <c r="K19" s="369" t="s">
        <v>327</v>
      </c>
      <c r="L19" s="319"/>
      <c r="M19" s="319" t="s">
        <v>327</v>
      </c>
    </row>
    <row r="20" spans="1:13">
      <c r="A20" s="358" t="s">
        <v>327</v>
      </c>
      <c r="B20" s="362" t="s">
        <v>260</v>
      </c>
      <c r="C20" s="366">
        <v>6</v>
      </c>
      <c r="D20" s="367">
        <v>6</v>
      </c>
      <c r="E20" s="367">
        <v>6</v>
      </c>
      <c r="F20" s="367" t="s">
        <v>327</v>
      </c>
      <c r="G20" s="367" t="s">
        <v>327</v>
      </c>
      <c r="H20" s="367" t="s">
        <v>327</v>
      </c>
      <c r="I20" s="368" t="s">
        <v>327</v>
      </c>
      <c r="J20" s="369" t="s">
        <v>246</v>
      </c>
      <c r="K20" s="369">
        <v>1</v>
      </c>
      <c r="L20" s="319"/>
      <c r="M20" s="319" t="s">
        <v>327</v>
      </c>
    </row>
    <row r="21" spans="1:13">
      <c r="A21" s="358" t="s">
        <v>327</v>
      </c>
      <c r="B21" s="362" t="s">
        <v>261</v>
      </c>
      <c r="C21" s="366">
        <v>0.05</v>
      </c>
      <c r="D21" s="367">
        <v>0.05</v>
      </c>
      <c r="E21" s="367">
        <v>0.05</v>
      </c>
      <c r="F21" s="367" t="s">
        <v>327</v>
      </c>
      <c r="G21" s="367" t="s">
        <v>327</v>
      </c>
      <c r="H21" s="367" t="s">
        <v>327</v>
      </c>
      <c r="I21" s="368" t="s">
        <v>327</v>
      </c>
      <c r="J21" s="369" t="s">
        <v>327</v>
      </c>
      <c r="K21" s="369">
        <v>1</v>
      </c>
      <c r="L21" s="319"/>
      <c r="M21" s="319" t="s">
        <v>327</v>
      </c>
    </row>
    <row r="22" spans="1:13">
      <c r="A22" s="358" t="s">
        <v>327</v>
      </c>
      <c r="B22" s="362" t="s">
        <v>262</v>
      </c>
      <c r="C22" s="366">
        <v>0.3</v>
      </c>
      <c r="D22" s="367">
        <v>0.3</v>
      </c>
      <c r="E22" s="367">
        <v>0.3</v>
      </c>
      <c r="F22" s="367" t="s">
        <v>327</v>
      </c>
      <c r="G22" s="367" t="s">
        <v>327</v>
      </c>
      <c r="H22" s="367" t="s">
        <v>327</v>
      </c>
      <c r="I22" s="368" t="s">
        <v>327</v>
      </c>
      <c r="J22" s="369" t="s">
        <v>327</v>
      </c>
      <c r="K22" s="369" t="s">
        <v>785</v>
      </c>
      <c r="L22" s="319"/>
      <c r="M22" s="319" t="s">
        <v>327</v>
      </c>
    </row>
    <row r="23" spans="1:13">
      <c r="A23" s="358" t="s">
        <v>327</v>
      </c>
      <c r="B23" s="364" t="s">
        <v>263</v>
      </c>
      <c r="C23" s="365" t="s">
        <v>327</v>
      </c>
      <c r="D23" s="365" t="s">
        <v>327</v>
      </c>
      <c r="E23" s="365" t="s">
        <v>327</v>
      </c>
      <c r="F23" s="365" t="s">
        <v>327</v>
      </c>
      <c r="G23" s="365" t="s">
        <v>327</v>
      </c>
      <c r="H23" s="365" t="s">
        <v>327</v>
      </c>
      <c r="I23" s="365" t="s">
        <v>327</v>
      </c>
      <c r="J23" s="365" t="s">
        <v>327</v>
      </c>
      <c r="K23" s="363" t="s">
        <v>327</v>
      </c>
      <c r="L23" s="319"/>
      <c r="M23" s="319" t="s">
        <v>327</v>
      </c>
    </row>
    <row r="24" spans="1:13">
      <c r="A24" s="358" t="s">
        <v>327</v>
      </c>
      <c r="B24" s="362" t="s">
        <v>264</v>
      </c>
      <c r="C24" s="369">
        <v>20</v>
      </c>
      <c r="D24" s="369">
        <v>20</v>
      </c>
      <c r="E24" s="369">
        <v>20</v>
      </c>
      <c r="F24" s="369" t="s">
        <v>327</v>
      </c>
      <c r="G24" s="369" t="s">
        <v>327</v>
      </c>
      <c r="H24" s="369" t="s">
        <v>327</v>
      </c>
      <c r="I24" s="369" t="s">
        <v>327</v>
      </c>
      <c r="J24" s="369" t="s">
        <v>786</v>
      </c>
      <c r="K24" s="369">
        <v>3.4</v>
      </c>
      <c r="L24" s="319"/>
      <c r="M24" s="319" t="s">
        <v>327</v>
      </c>
    </row>
    <row r="25" spans="1:13">
      <c r="A25" s="358" t="s">
        <v>327</v>
      </c>
      <c r="B25" s="362" t="s">
        <v>266</v>
      </c>
      <c r="C25" s="369">
        <v>0</v>
      </c>
      <c r="D25" s="369">
        <v>0</v>
      </c>
      <c r="E25" s="369">
        <v>0</v>
      </c>
      <c r="F25" s="369" t="s">
        <v>327</v>
      </c>
      <c r="G25" s="369" t="s">
        <v>327</v>
      </c>
      <c r="H25" s="369" t="s">
        <v>327</v>
      </c>
      <c r="I25" s="369" t="s">
        <v>327</v>
      </c>
      <c r="J25" s="369" t="s">
        <v>265</v>
      </c>
      <c r="K25" s="369" t="s">
        <v>787</v>
      </c>
      <c r="L25" s="319"/>
      <c r="M25" s="319" t="s">
        <v>327</v>
      </c>
    </row>
    <row r="26" spans="1:13">
      <c r="A26" s="358" t="s">
        <v>327</v>
      </c>
      <c r="B26" s="362" t="s">
        <v>788</v>
      </c>
      <c r="C26" s="369">
        <v>224</v>
      </c>
      <c r="D26" s="369">
        <v>224</v>
      </c>
      <c r="E26" s="369">
        <v>224</v>
      </c>
      <c r="F26" s="369" t="s">
        <v>327</v>
      </c>
      <c r="G26" s="369" t="s">
        <v>327</v>
      </c>
      <c r="H26" s="369" t="s">
        <v>327</v>
      </c>
      <c r="I26" s="369" t="s">
        <v>327</v>
      </c>
      <c r="J26" s="369" t="s">
        <v>265</v>
      </c>
      <c r="K26" s="369">
        <v>3.4</v>
      </c>
      <c r="L26" s="319"/>
      <c r="M26" s="319" t="s">
        <v>327</v>
      </c>
    </row>
    <row r="27" spans="1:13" ht="15" customHeight="1">
      <c r="A27" s="358" t="s">
        <v>327</v>
      </c>
      <c r="B27" s="362" t="s">
        <v>267</v>
      </c>
      <c r="C27" s="369">
        <v>280</v>
      </c>
      <c r="D27" s="369">
        <v>280</v>
      </c>
      <c r="E27" s="369">
        <v>280</v>
      </c>
      <c r="F27" s="369" t="s">
        <v>327</v>
      </c>
      <c r="G27" s="369" t="s">
        <v>327</v>
      </c>
      <c r="H27" s="369" t="s">
        <v>327</v>
      </c>
      <c r="I27" s="369" t="s">
        <v>327</v>
      </c>
      <c r="J27" s="369" t="s">
        <v>265</v>
      </c>
      <c r="K27" s="369">
        <v>3.4</v>
      </c>
      <c r="L27" s="319"/>
      <c r="M27" s="319" t="s">
        <v>327</v>
      </c>
    </row>
    <row r="28" spans="1:13">
      <c r="A28" s="358" t="s">
        <v>327</v>
      </c>
      <c r="B28" s="362" t="s">
        <v>268</v>
      </c>
      <c r="C28" s="369" t="s">
        <v>327</v>
      </c>
      <c r="D28" s="369" t="s">
        <v>327</v>
      </c>
      <c r="E28" s="369" t="s">
        <v>327</v>
      </c>
      <c r="F28" s="369" t="s">
        <v>327</v>
      </c>
      <c r="G28" s="369" t="s">
        <v>327</v>
      </c>
      <c r="H28" s="369" t="s">
        <v>327</v>
      </c>
      <c r="I28" s="369" t="s">
        <v>327</v>
      </c>
      <c r="J28" s="369" t="s">
        <v>327</v>
      </c>
      <c r="K28" s="369" t="s">
        <v>327</v>
      </c>
      <c r="L28" s="319"/>
      <c r="M28" s="319" t="s">
        <v>327</v>
      </c>
    </row>
    <row r="29" spans="1:13">
      <c r="A29" s="358" t="s">
        <v>327</v>
      </c>
      <c r="B29" s="362" t="s">
        <v>269</v>
      </c>
      <c r="C29" s="369" t="s">
        <v>327</v>
      </c>
      <c r="D29" s="369" t="s">
        <v>327</v>
      </c>
      <c r="E29" s="369" t="s">
        <v>327</v>
      </c>
      <c r="F29" s="369" t="s">
        <v>327</v>
      </c>
      <c r="G29" s="369" t="s">
        <v>327</v>
      </c>
      <c r="H29" s="369" t="s">
        <v>327</v>
      </c>
      <c r="I29" s="369" t="s">
        <v>327</v>
      </c>
      <c r="J29" s="369" t="s">
        <v>327</v>
      </c>
      <c r="K29" s="369" t="s">
        <v>327</v>
      </c>
      <c r="L29" s="319"/>
      <c r="M29" s="319" t="s">
        <v>327</v>
      </c>
    </row>
    <row r="30" spans="1:13">
      <c r="A30" s="358" t="s">
        <v>327</v>
      </c>
      <c r="B30" s="364" t="s">
        <v>270</v>
      </c>
      <c r="C30" s="365" t="s">
        <v>327</v>
      </c>
      <c r="D30" s="365" t="s">
        <v>327</v>
      </c>
      <c r="E30" s="365" t="s">
        <v>327</v>
      </c>
      <c r="F30" s="365" t="s">
        <v>327</v>
      </c>
      <c r="G30" s="365" t="s">
        <v>327</v>
      </c>
      <c r="H30" s="365" t="s">
        <v>327</v>
      </c>
      <c r="I30" s="365" t="s">
        <v>327</v>
      </c>
      <c r="J30" s="365" t="s">
        <v>327</v>
      </c>
      <c r="K30" s="363" t="s">
        <v>327</v>
      </c>
      <c r="L30" s="319"/>
      <c r="M30" s="319" t="s">
        <v>327</v>
      </c>
    </row>
    <row r="31" spans="1:13">
      <c r="A31" s="358" t="s">
        <v>327</v>
      </c>
      <c r="B31" s="362" t="s">
        <v>271</v>
      </c>
      <c r="C31" s="366">
        <v>0.91200000000000003</v>
      </c>
      <c r="D31" s="367">
        <v>0.91200000000000003</v>
      </c>
      <c r="E31" s="368">
        <v>0.88919999999999999</v>
      </c>
      <c r="F31" s="366">
        <v>0.79800000000000004</v>
      </c>
      <c r="G31" s="367">
        <v>1.026</v>
      </c>
      <c r="H31" s="367">
        <v>0.74099999999999999</v>
      </c>
      <c r="I31" s="368">
        <v>0.96899999999999997</v>
      </c>
      <c r="J31" s="369" t="s">
        <v>303</v>
      </c>
      <c r="K31" s="369" t="s">
        <v>508</v>
      </c>
      <c r="L31" s="319"/>
      <c r="M31" s="319" t="s">
        <v>327</v>
      </c>
    </row>
    <row r="32" spans="1:13">
      <c r="A32" s="358" t="s">
        <v>327</v>
      </c>
      <c r="B32" s="362" t="s">
        <v>274</v>
      </c>
      <c r="C32" s="369" t="s">
        <v>327</v>
      </c>
      <c r="D32" s="369" t="s">
        <v>327</v>
      </c>
      <c r="E32" s="369" t="s">
        <v>327</v>
      </c>
      <c r="F32" s="369" t="s">
        <v>327</v>
      </c>
      <c r="G32" s="369" t="s">
        <v>327</v>
      </c>
      <c r="H32" s="369" t="s">
        <v>327</v>
      </c>
      <c r="I32" s="369" t="s">
        <v>327</v>
      </c>
      <c r="J32" s="369" t="s">
        <v>327</v>
      </c>
      <c r="K32" s="369" t="s">
        <v>327</v>
      </c>
      <c r="L32" s="319"/>
      <c r="M32" s="319" t="s">
        <v>327</v>
      </c>
    </row>
    <row r="33" spans="1:13">
      <c r="A33" s="358" t="s">
        <v>327</v>
      </c>
      <c r="B33" s="362" t="s">
        <v>275</v>
      </c>
      <c r="C33" s="369" t="s">
        <v>327</v>
      </c>
      <c r="D33" s="369" t="s">
        <v>327</v>
      </c>
      <c r="E33" s="369" t="s">
        <v>327</v>
      </c>
      <c r="F33" s="369" t="s">
        <v>327</v>
      </c>
      <c r="G33" s="369" t="s">
        <v>327</v>
      </c>
      <c r="H33" s="369" t="s">
        <v>327</v>
      </c>
      <c r="I33" s="369" t="s">
        <v>327</v>
      </c>
      <c r="J33" s="369" t="s">
        <v>327</v>
      </c>
      <c r="K33" s="369" t="s">
        <v>327</v>
      </c>
      <c r="L33" s="319"/>
      <c r="M33" s="319" t="s">
        <v>327</v>
      </c>
    </row>
    <row r="34" spans="1:13">
      <c r="A34" s="358" t="s">
        <v>327</v>
      </c>
      <c r="B34" s="362" t="s">
        <v>276</v>
      </c>
      <c r="C34" s="378">
        <v>9120</v>
      </c>
      <c r="D34" s="378">
        <v>9120</v>
      </c>
      <c r="E34" s="378">
        <v>8847</v>
      </c>
      <c r="F34" s="369" t="s">
        <v>327</v>
      </c>
      <c r="G34" s="369" t="s">
        <v>327</v>
      </c>
      <c r="H34" s="369" t="s">
        <v>327</v>
      </c>
      <c r="I34" s="369" t="s">
        <v>327</v>
      </c>
      <c r="J34" s="369" t="s">
        <v>327</v>
      </c>
      <c r="K34" s="369">
        <v>2</v>
      </c>
      <c r="L34" s="319"/>
      <c r="M34" s="319" t="s">
        <v>327</v>
      </c>
    </row>
    <row r="35" spans="1:13">
      <c r="A35" s="358" t="s">
        <v>327</v>
      </c>
      <c r="B35" s="362" t="s">
        <v>279</v>
      </c>
      <c r="C35" s="366">
        <v>7.2960000000000003</v>
      </c>
      <c r="D35" s="367">
        <v>6.84</v>
      </c>
      <c r="E35" s="367">
        <v>6.6120000000000001</v>
      </c>
      <c r="F35" s="367" t="s">
        <v>327</v>
      </c>
      <c r="G35" s="367" t="s">
        <v>327</v>
      </c>
      <c r="H35" s="367" t="s">
        <v>327</v>
      </c>
      <c r="I35" s="368" t="s">
        <v>327</v>
      </c>
      <c r="J35" s="369" t="s">
        <v>327</v>
      </c>
      <c r="K35" s="369">
        <v>2</v>
      </c>
      <c r="L35" s="319"/>
      <c r="M35" s="319" t="s">
        <v>327</v>
      </c>
    </row>
    <row r="36" spans="1:13">
      <c r="A36" s="358" t="s">
        <v>327</v>
      </c>
      <c r="B36" s="362" t="s">
        <v>282</v>
      </c>
      <c r="C36" s="379" t="s">
        <v>146</v>
      </c>
      <c r="D36" s="380" t="s">
        <v>146</v>
      </c>
      <c r="E36" s="380" t="s">
        <v>146</v>
      </c>
      <c r="F36" s="367" t="s">
        <v>327</v>
      </c>
      <c r="G36" s="367" t="s">
        <v>327</v>
      </c>
      <c r="H36" s="367" t="s">
        <v>327</v>
      </c>
      <c r="I36" s="368" t="s">
        <v>327</v>
      </c>
      <c r="J36" s="369" t="s">
        <v>327</v>
      </c>
      <c r="K36" s="369" t="s">
        <v>327</v>
      </c>
      <c r="L36" s="319"/>
      <c r="M36" s="319" t="s">
        <v>327</v>
      </c>
    </row>
    <row r="37" spans="1:13">
      <c r="A37" s="381" t="s">
        <v>327</v>
      </c>
      <c r="B37" s="358" t="s">
        <v>327</v>
      </c>
      <c r="C37" s="360" t="s">
        <v>327</v>
      </c>
      <c r="D37" s="360" t="s">
        <v>327</v>
      </c>
      <c r="E37" s="360" t="s">
        <v>327</v>
      </c>
      <c r="F37" s="360" t="s">
        <v>327</v>
      </c>
      <c r="G37" s="360" t="s">
        <v>327</v>
      </c>
      <c r="H37" s="360" t="s">
        <v>327</v>
      </c>
      <c r="I37" s="360" t="s">
        <v>327</v>
      </c>
      <c r="J37" s="360" t="s">
        <v>327</v>
      </c>
      <c r="K37" s="360" t="s">
        <v>327</v>
      </c>
      <c r="L37" s="319"/>
      <c r="M37" s="319" t="s">
        <v>327</v>
      </c>
    </row>
    <row r="38" spans="1:13" s="93" customFormat="1" ht="12">
      <c r="A38" s="381" t="s">
        <v>286</v>
      </c>
      <c r="B38" s="381"/>
      <c r="C38" s="360" t="s">
        <v>327</v>
      </c>
      <c r="D38" s="360" t="s">
        <v>327</v>
      </c>
      <c r="E38" s="360" t="s">
        <v>327</v>
      </c>
      <c r="F38" s="360" t="s">
        <v>327</v>
      </c>
      <c r="G38" s="360" t="s">
        <v>327</v>
      </c>
      <c r="H38" s="360" t="s">
        <v>327</v>
      </c>
      <c r="I38" s="360" t="s">
        <v>327</v>
      </c>
      <c r="J38" s="360" t="s">
        <v>327</v>
      </c>
      <c r="K38" s="360" t="s">
        <v>327</v>
      </c>
      <c r="L38" s="317"/>
      <c r="M38" s="317" t="s">
        <v>327</v>
      </c>
    </row>
    <row r="39" spans="1:13">
      <c r="A39" s="444">
        <v>1</v>
      </c>
      <c r="B39" s="501" t="s">
        <v>789</v>
      </c>
      <c r="C39" s="360"/>
      <c r="D39" s="360"/>
      <c r="E39" s="360"/>
      <c r="F39" s="360"/>
      <c r="G39" s="360"/>
      <c r="H39" s="360"/>
      <c r="I39" s="360"/>
      <c r="J39" s="360" t="s">
        <v>327</v>
      </c>
      <c r="K39" s="360" t="s">
        <v>327</v>
      </c>
      <c r="L39" s="319"/>
      <c r="M39" s="319" t="s">
        <v>327</v>
      </c>
    </row>
    <row r="40" spans="1:13">
      <c r="A40" s="444">
        <v>2</v>
      </c>
      <c r="B40" s="358" t="s">
        <v>790</v>
      </c>
      <c r="C40" s="360"/>
      <c r="D40" s="360"/>
      <c r="E40" s="360" t="s">
        <v>327</v>
      </c>
      <c r="F40" s="360" t="s">
        <v>327</v>
      </c>
      <c r="G40" s="360" t="s">
        <v>327</v>
      </c>
      <c r="H40" s="360" t="s">
        <v>327</v>
      </c>
      <c r="I40" s="360" t="s">
        <v>327</v>
      </c>
      <c r="J40" s="360" t="s">
        <v>327</v>
      </c>
      <c r="K40" s="360" t="s">
        <v>327</v>
      </c>
      <c r="L40" s="319"/>
      <c r="M40" s="319" t="s">
        <v>327</v>
      </c>
    </row>
    <row r="41" spans="1:13">
      <c r="A41" s="444">
        <v>3</v>
      </c>
      <c r="B41" s="358" t="s">
        <v>791</v>
      </c>
      <c r="C41" s="360" t="s">
        <v>327</v>
      </c>
      <c r="D41" s="360" t="s">
        <v>327</v>
      </c>
      <c r="E41" s="360" t="s">
        <v>327</v>
      </c>
      <c r="F41" s="360" t="s">
        <v>327</v>
      </c>
      <c r="G41" s="360" t="s">
        <v>327</v>
      </c>
      <c r="H41" s="360" t="s">
        <v>327</v>
      </c>
      <c r="I41" s="360" t="s">
        <v>327</v>
      </c>
      <c r="J41" s="360" t="s">
        <v>327</v>
      </c>
      <c r="K41" s="360" t="s">
        <v>327</v>
      </c>
      <c r="L41" s="319"/>
      <c r="M41" s="319" t="s">
        <v>327</v>
      </c>
    </row>
    <row r="42" spans="1:13">
      <c r="A42" s="444">
        <v>4</v>
      </c>
      <c r="B42" s="358" t="s">
        <v>792</v>
      </c>
      <c r="C42" s="360"/>
      <c r="D42" s="360"/>
      <c r="E42" s="360"/>
      <c r="F42" s="360"/>
      <c r="G42" s="360"/>
      <c r="H42" s="360"/>
      <c r="I42" s="360"/>
      <c r="J42" s="360" t="s">
        <v>327</v>
      </c>
      <c r="K42" s="360" t="s">
        <v>327</v>
      </c>
      <c r="L42" s="319"/>
      <c r="M42" s="319" t="s">
        <v>327</v>
      </c>
    </row>
    <row r="43" spans="1:13">
      <c r="A43" s="444">
        <v>5</v>
      </c>
      <c r="B43" s="358" t="s">
        <v>793</v>
      </c>
      <c r="C43" s="360"/>
      <c r="D43" s="360"/>
      <c r="E43" s="360"/>
      <c r="F43" s="360" t="s">
        <v>327</v>
      </c>
      <c r="G43" s="360" t="s">
        <v>327</v>
      </c>
      <c r="H43" s="360" t="s">
        <v>327</v>
      </c>
      <c r="I43" s="360" t="s">
        <v>327</v>
      </c>
      <c r="J43" s="360" t="s">
        <v>327</v>
      </c>
      <c r="K43" s="360" t="s">
        <v>327</v>
      </c>
      <c r="L43" s="319"/>
      <c r="M43" s="319" t="s">
        <v>327</v>
      </c>
    </row>
    <row r="44" spans="1:13">
      <c r="A44" s="444">
        <v>6</v>
      </c>
      <c r="B44" s="358" t="s">
        <v>794</v>
      </c>
      <c r="C44" s="360"/>
      <c r="D44" s="360"/>
      <c r="E44" s="360" t="s">
        <v>327</v>
      </c>
      <c r="F44" s="360" t="s">
        <v>327</v>
      </c>
      <c r="G44" s="360" t="s">
        <v>327</v>
      </c>
      <c r="H44" s="360" t="s">
        <v>327</v>
      </c>
      <c r="I44" s="360" t="s">
        <v>327</v>
      </c>
      <c r="J44" s="360" t="s">
        <v>327</v>
      </c>
      <c r="K44" s="360" t="s">
        <v>327</v>
      </c>
      <c r="L44" s="319"/>
      <c r="M44" s="319" t="s">
        <v>327</v>
      </c>
    </row>
    <row r="45" spans="1:13">
      <c r="A45" s="444">
        <v>7</v>
      </c>
      <c r="B45" s="358" t="s">
        <v>602</v>
      </c>
      <c r="C45" s="360"/>
      <c r="D45" s="360" t="s">
        <v>327</v>
      </c>
      <c r="E45" s="360" t="s">
        <v>327</v>
      </c>
      <c r="F45" s="360" t="s">
        <v>327</v>
      </c>
      <c r="G45" s="360" t="s">
        <v>327</v>
      </c>
      <c r="H45" s="360" t="s">
        <v>327</v>
      </c>
      <c r="I45" s="360" t="s">
        <v>327</v>
      </c>
      <c r="J45" s="360" t="s">
        <v>327</v>
      </c>
      <c r="K45" s="360" t="s">
        <v>327</v>
      </c>
      <c r="L45" s="319"/>
      <c r="M45" s="319" t="s">
        <v>327</v>
      </c>
    </row>
    <row r="46" spans="1:13">
      <c r="A46" s="381" t="s">
        <v>298</v>
      </c>
      <c r="B46" s="381"/>
      <c r="C46" s="360" t="s">
        <v>327</v>
      </c>
      <c r="D46" s="360" t="s">
        <v>327</v>
      </c>
      <c r="E46" s="360" t="s">
        <v>327</v>
      </c>
      <c r="F46" s="360" t="s">
        <v>327</v>
      </c>
      <c r="G46" s="360" t="s">
        <v>327</v>
      </c>
      <c r="H46" s="360" t="s">
        <v>327</v>
      </c>
      <c r="I46" s="360" t="s">
        <v>327</v>
      </c>
      <c r="J46" s="360" t="s">
        <v>327</v>
      </c>
      <c r="K46" s="360" t="s">
        <v>327</v>
      </c>
      <c r="L46" s="319"/>
      <c r="M46" s="319" t="s">
        <v>327</v>
      </c>
    </row>
    <row r="47" spans="1:13">
      <c r="A47" s="444" t="s">
        <v>246</v>
      </c>
      <c r="B47" s="358" t="s">
        <v>795</v>
      </c>
      <c r="C47" s="360"/>
      <c r="D47" s="360"/>
      <c r="E47" s="360"/>
      <c r="F47" s="360" t="s">
        <v>327</v>
      </c>
      <c r="G47" s="360" t="s">
        <v>327</v>
      </c>
      <c r="H47" s="360" t="s">
        <v>327</v>
      </c>
      <c r="I47" s="360" t="s">
        <v>327</v>
      </c>
      <c r="J47" s="360" t="s">
        <v>327</v>
      </c>
      <c r="K47" s="360" t="s">
        <v>327</v>
      </c>
      <c r="L47" s="319"/>
      <c r="M47" s="319" t="s">
        <v>327</v>
      </c>
    </row>
    <row r="48" spans="1:13" ht="13.5" customHeight="1">
      <c r="A48" s="444" t="s">
        <v>300</v>
      </c>
      <c r="B48" s="358" t="s">
        <v>796</v>
      </c>
      <c r="C48" s="360" t="s">
        <v>327</v>
      </c>
      <c r="D48" s="360" t="s">
        <v>327</v>
      </c>
      <c r="E48" s="360" t="s">
        <v>327</v>
      </c>
      <c r="F48" s="360" t="s">
        <v>327</v>
      </c>
      <c r="G48" s="360" t="s">
        <v>327</v>
      </c>
      <c r="H48" s="360" t="s">
        <v>327</v>
      </c>
      <c r="I48" s="360" t="s">
        <v>327</v>
      </c>
      <c r="J48" s="360" t="s">
        <v>327</v>
      </c>
      <c r="K48" s="360" t="s">
        <v>327</v>
      </c>
      <c r="L48" s="319"/>
      <c r="M48" s="319" t="s">
        <v>327</v>
      </c>
    </row>
    <row r="49" spans="1:13" ht="25.5" customHeight="1">
      <c r="A49" s="444" t="s">
        <v>265</v>
      </c>
      <c r="B49" s="1181" t="s">
        <v>797</v>
      </c>
      <c r="C49" s="1181"/>
      <c r="D49" s="1181"/>
      <c r="E49" s="1181"/>
      <c r="F49" s="1181"/>
      <c r="G49" s="1181"/>
      <c r="H49" s="1181"/>
      <c r="I49" s="1181"/>
      <c r="J49" s="1181"/>
      <c r="K49" s="1181"/>
      <c r="L49" s="319"/>
      <c r="M49" s="319" t="s">
        <v>327</v>
      </c>
    </row>
    <row r="50" spans="1:13">
      <c r="A50" s="444" t="s">
        <v>303</v>
      </c>
      <c r="B50" s="358" t="s">
        <v>324</v>
      </c>
      <c r="C50" s="360"/>
      <c r="D50" s="360"/>
      <c r="E50" s="360"/>
      <c r="F50" s="360"/>
      <c r="G50" s="360"/>
      <c r="H50" s="360" t="s">
        <v>327</v>
      </c>
      <c r="I50" s="360" t="s">
        <v>327</v>
      </c>
      <c r="J50" s="360" t="s">
        <v>327</v>
      </c>
      <c r="K50" s="360" t="s">
        <v>327</v>
      </c>
      <c r="L50" s="319"/>
      <c r="M50" s="319" t="s">
        <v>327</v>
      </c>
    </row>
    <row r="51" spans="1:13">
      <c r="A51" s="444" t="s">
        <v>305</v>
      </c>
      <c r="B51" s="358" t="s">
        <v>344</v>
      </c>
      <c r="C51" s="360" t="s">
        <v>327</v>
      </c>
      <c r="D51" s="360" t="s">
        <v>327</v>
      </c>
      <c r="E51" s="360" t="s">
        <v>327</v>
      </c>
      <c r="F51" s="360" t="s">
        <v>327</v>
      </c>
      <c r="G51" s="360" t="s">
        <v>327</v>
      </c>
      <c r="H51" s="360" t="s">
        <v>327</v>
      </c>
      <c r="I51" s="360" t="s">
        <v>327</v>
      </c>
      <c r="J51" s="360" t="s">
        <v>327</v>
      </c>
      <c r="K51" s="360" t="s">
        <v>327</v>
      </c>
      <c r="L51" s="319"/>
      <c r="M51" s="319" t="s">
        <v>327</v>
      </c>
    </row>
    <row r="52" spans="1:13">
      <c r="A52" s="152"/>
    </row>
    <row r="53" spans="1:13">
      <c r="A53" s="152"/>
    </row>
    <row r="54" spans="1:13">
      <c r="A54" s="152"/>
    </row>
  </sheetData>
  <mergeCells count="4">
    <mergeCell ref="B49:K49"/>
    <mergeCell ref="C3:K3"/>
    <mergeCell ref="F4:G4"/>
    <mergeCell ref="H4:I4"/>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C25F-E4CC-4A02-BF6B-8D38447E8E50}">
  <sheetPr codeName="Sheet43">
    <tabColor rgb="FFC00000"/>
  </sheetPr>
  <dimension ref="A1:M65"/>
  <sheetViews>
    <sheetView showGridLines="0" zoomScaleNormal="100" workbookViewId="0">
      <selection activeCell="B47" sqref="B47:K47"/>
    </sheetView>
  </sheetViews>
  <sheetFormatPr defaultColWidth="8.7109375" defaultRowHeight="15"/>
  <cols>
    <col min="1" max="1" width="3" style="151" customWidth="1"/>
    <col min="2" max="2" width="35.28515625" style="3" customWidth="1"/>
    <col min="3" max="9" width="9.28515625" style="3" customWidth="1"/>
    <col min="10" max="10" width="8.7109375" style="3"/>
    <col min="11" max="11" width="6.5703125" style="3" customWidth="1"/>
    <col min="12" max="16384" width="8.7109375" style="3"/>
  </cols>
  <sheetData>
    <row r="1" spans="1:13" s="94" customFormat="1" ht="20.25">
      <c r="A1" s="997" t="s">
        <v>327</v>
      </c>
      <c r="B1" s="998" t="s">
        <v>234</v>
      </c>
      <c r="C1" s="999" t="s">
        <v>327</v>
      </c>
      <c r="D1" s="999" t="s">
        <v>327</v>
      </c>
      <c r="E1" s="999" t="s">
        <v>327</v>
      </c>
      <c r="F1" s="999" t="s">
        <v>327</v>
      </c>
      <c r="G1" s="999" t="s">
        <v>327</v>
      </c>
      <c r="H1" s="999" t="s">
        <v>327</v>
      </c>
      <c r="I1" s="999" t="s">
        <v>327</v>
      </c>
      <c r="J1" s="999" t="s">
        <v>327</v>
      </c>
      <c r="K1" s="999" t="s">
        <v>327</v>
      </c>
      <c r="L1" s="1000"/>
      <c r="M1" s="1000" t="s">
        <v>327</v>
      </c>
    </row>
    <row r="2" spans="1:13" s="94" customFormat="1">
      <c r="A2" s="997" t="s">
        <v>327</v>
      </c>
      <c r="B2" s="997" t="s">
        <v>327</v>
      </c>
      <c r="C2" s="999" t="s">
        <v>327</v>
      </c>
      <c r="D2" s="999" t="s">
        <v>327</v>
      </c>
      <c r="E2" s="999" t="s">
        <v>327</v>
      </c>
      <c r="F2" s="999" t="s">
        <v>327</v>
      </c>
      <c r="G2" s="999" t="s">
        <v>327</v>
      </c>
      <c r="H2" s="999" t="s">
        <v>327</v>
      </c>
      <c r="I2" s="999" t="s">
        <v>327</v>
      </c>
      <c r="J2" s="999" t="s">
        <v>327</v>
      </c>
      <c r="K2" s="999" t="s">
        <v>327</v>
      </c>
      <c r="L2" s="1000"/>
    </row>
    <row r="3" spans="1:13" ht="14.45" customHeight="1">
      <c r="A3" s="997"/>
      <c r="B3" s="1001" t="s">
        <v>145</v>
      </c>
      <c r="C3" s="1217" t="s">
        <v>798</v>
      </c>
      <c r="D3" s="1217"/>
      <c r="E3" s="1217"/>
      <c r="F3" s="1217"/>
      <c r="G3" s="1217"/>
      <c r="H3" s="1217"/>
      <c r="I3" s="1217"/>
      <c r="J3" s="1217"/>
      <c r="K3" s="1217"/>
    </row>
    <row r="4" spans="1:13" ht="14.45" customHeight="1">
      <c r="A4" s="997"/>
      <c r="B4" s="1002"/>
      <c r="C4" s="650">
        <v>2023</v>
      </c>
      <c r="D4" s="650">
        <v>2030</v>
      </c>
      <c r="E4" s="650">
        <v>2050</v>
      </c>
      <c r="F4" s="1171" t="s">
        <v>236</v>
      </c>
      <c r="G4" s="1170"/>
      <c r="H4" s="1171" t="s">
        <v>237</v>
      </c>
      <c r="I4" s="1170"/>
      <c r="J4" s="1002" t="s">
        <v>238</v>
      </c>
      <c r="K4" s="1002" t="s">
        <v>239</v>
      </c>
    </row>
    <row r="5" spans="1:13">
      <c r="A5" s="997"/>
      <c r="B5" s="1003" t="s">
        <v>240</v>
      </c>
      <c r="C5" s="1004" t="s">
        <v>327</v>
      </c>
      <c r="D5" s="1004" t="s">
        <v>327</v>
      </c>
      <c r="E5" s="1004" t="s">
        <v>327</v>
      </c>
      <c r="F5" s="1004" t="s">
        <v>241</v>
      </c>
      <c r="G5" s="1004" t="s">
        <v>242</v>
      </c>
      <c r="H5" s="1004" t="s">
        <v>241</v>
      </c>
      <c r="I5" s="1004" t="s">
        <v>242</v>
      </c>
      <c r="J5" s="1004" t="s">
        <v>327</v>
      </c>
      <c r="K5" s="1005" t="s">
        <v>327</v>
      </c>
    </row>
    <row r="6" spans="1:13" ht="14.45" customHeight="1">
      <c r="A6" s="997"/>
      <c r="B6" s="1006" t="s">
        <v>243</v>
      </c>
      <c r="C6" s="1007">
        <v>1000</v>
      </c>
      <c r="D6" s="1007">
        <v>1000</v>
      </c>
      <c r="E6" s="1007">
        <v>1000</v>
      </c>
      <c r="F6" s="1007"/>
      <c r="G6" s="1007"/>
      <c r="H6" s="1007"/>
      <c r="I6" s="1007"/>
      <c r="J6" s="1007"/>
      <c r="K6" s="1007"/>
    </row>
    <row r="7" spans="1:13" ht="14.45" customHeight="1">
      <c r="A7" s="997"/>
      <c r="B7" s="1006" t="s">
        <v>244</v>
      </c>
      <c r="C7" s="1007">
        <v>2000</v>
      </c>
      <c r="D7" s="1007">
        <v>2000</v>
      </c>
      <c r="E7" s="1007">
        <v>2000</v>
      </c>
      <c r="F7" s="1007"/>
      <c r="G7" s="1007"/>
      <c r="H7" s="1007"/>
      <c r="I7" s="1007"/>
      <c r="J7" s="1007" t="s">
        <v>300</v>
      </c>
      <c r="K7" s="1007"/>
    </row>
    <row r="8" spans="1:13" ht="14.45" customHeight="1">
      <c r="A8" s="997"/>
      <c r="B8" s="1006" t="s">
        <v>245</v>
      </c>
      <c r="C8" s="1007">
        <v>36.53</v>
      </c>
      <c r="D8" s="1007">
        <v>38</v>
      </c>
      <c r="E8" s="1007">
        <v>42</v>
      </c>
      <c r="F8" s="1007"/>
      <c r="G8" s="1007"/>
      <c r="H8" s="1007"/>
      <c r="I8" s="1007"/>
      <c r="J8" s="1007" t="s">
        <v>265</v>
      </c>
      <c r="K8" s="1007">
        <v>4</v>
      </c>
    </row>
    <row r="9" spans="1:13" ht="14.45" customHeight="1">
      <c r="A9" s="997"/>
      <c r="B9" s="1006" t="s">
        <v>247</v>
      </c>
      <c r="C9" s="1007">
        <v>33.64</v>
      </c>
      <c r="D9" s="1007">
        <v>36</v>
      </c>
      <c r="E9" s="1007">
        <v>40</v>
      </c>
      <c r="F9" s="1007"/>
      <c r="G9" s="1007"/>
      <c r="H9" s="1007"/>
      <c r="I9" s="1007"/>
      <c r="J9" s="1007" t="s">
        <v>265</v>
      </c>
      <c r="K9" s="1007">
        <v>4</v>
      </c>
    </row>
    <row r="10" spans="1:13" ht="14.45" customHeight="1">
      <c r="A10" s="997"/>
      <c r="B10" s="1006" t="s">
        <v>248</v>
      </c>
      <c r="C10" s="1008">
        <v>0.02</v>
      </c>
      <c r="D10" s="1008">
        <v>0.02</v>
      </c>
      <c r="E10" s="1008">
        <v>0.01</v>
      </c>
      <c r="F10" s="1007"/>
      <c r="G10" s="1007"/>
      <c r="H10" s="1007"/>
      <c r="I10" s="1007"/>
      <c r="J10" s="1007"/>
      <c r="K10" s="1007">
        <v>4</v>
      </c>
    </row>
    <row r="11" spans="1:13" ht="14.45" customHeight="1">
      <c r="A11" s="997"/>
      <c r="B11" s="1006" t="s">
        <v>249</v>
      </c>
      <c r="C11" s="1007">
        <v>0.09</v>
      </c>
      <c r="D11" s="1007">
        <v>8</v>
      </c>
      <c r="E11" s="1007">
        <v>6</v>
      </c>
      <c r="F11" s="1007"/>
      <c r="G11" s="1007"/>
      <c r="H11" s="1007"/>
      <c r="I11" s="1007"/>
      <c r="J11" s="1007"/>
      <c r="K11" s="1007">
        <v>4</v>
      </c>
    </row>
    <row r="12" spans="1:13" ht="14.45" customHeight="1">
      <c r="A12" s="997"/>
      <c r="B12" s="1006" t="s">
        <v>250</v>
      </c>
      <c r="C12" s="1007">
        <v>60</v>
      </c>
      <c r="D12" s="1007">
        <v>60</v>
      </c>
      <c r="E12" s="1007">
        <v>60</v>
      </c>
      <c r="F12" s="1007"/>
      <c r="G12" s="1007"/>
      <c r="H12" s="1007"/>
      <c r="I12" s="1007"/>
      <c r="J12" s="1007"/>
      <c r="K12" s="1007" t="s">
        <v>281</v>
      </c>
    </row>
    <row r="13" spans="1:13" ht="14.45" customHeight="1">
      <c r="A13" s="997"/>
      <c r="B13" s="1006" t="s">
        <v>252</v>
      </c>
      <c r="C13" s="1007">
        <v>7.4</v>
      </c>
      <c r="D13" s="1007">
        <v>7.4</v>
      </c>
      <c r="E13" s="1007">
        <v>7.4</v>
      </c>
      <c r="F13" s="1007">
        <v>4</v>
      </c>
      <c r="G13" s="1007">
        <v>10</v>
      </c>
      <c r="H13" s="1007"/>
      <c r="I13" s="1007"/>
      <c r="J13" s="1007"/>
      <c r="K13" s="1007" t="s">
        <v>281</v>
      </c>
    </row>
    <row r="14" spans="1:13" s="511" customFormat="1" ht="14.45" customHeight="1">
      <c r="A14" s="997"/>
      <c r="B14" s="592" t="s">
        <v>484</v>
      </c>
      <c r="C14" s="1009">
        <v>2.6206091851851849</v>
      </c>
      <c r="D14" s="1009">
        <f>C14</f>
        <v>2.6206091851851849</v>
      </c>
      <c r="E14" s="1009">
        <f>D14</f>
        <v>2.6206091851851849</v>
      </c>
      <c r="F14" s="1010">
        <v>2.0230000000000001</v>
      </c>
      <c r="G14" s="1010">
        <v>3.3662719999999999</v>
      </c>
      <c r="H14" s="1010">
        <f>F14</f>
        <v>2.0230000000000001</v>
      </c>
      <c r="I14" s="1010">
        <f>G14</f>
        <v>3.3662719999999999</v>
      </c>
      <c r="J14" s="1011" t="s">
        <v>303</v>
      </c>
      <c r="K14" s="1011" t="s">
        <v>348</v>
      </c>
    </row>
    <row r="15" spans="1:13" ht="14.45" customHeight="1">
      <c r="A15" s="997"/>
      <c r="B15" s="1001" t="s">
        <v>255</v>
      </c>
      <c r="C15" s="1002"/>
      <c r="D15" s="1002"/>
      <c r="E15" s="1002"/>
      <c r="F15" s="1002"/>
      <c r="G15" s="1002"/>
      <c r="H15" s="1002"/>
      <c r="I15" s="1002"/>
      <c r="J15" s="1002"/>
      <c r="K15" s="1002"/>
    </row>
    <row r="16" spans="1:13" ht="14.45" customHeight="1">
      <c r="A16" s="997"/>
      <c r="B16" s="1006" t="s">
        <v>256</v>
      </c>
      <c r="C16" s="1007"/>
      <c r="D16" s="1007"/>
      <c r="E16" s="1007"/>
      <c r="F16" s="1007"/>
      <c r="G16" s="1007"/>
      <c r="H16" s="1007"/>
      <c r="I16" s="1007"/>
      <c r="J16" s="1007"/>
      <c r="K16" s="1007"/>
    </row>
    <row r="17" spans="1:11" ht="14.45" customHeight="1">
      <c r="A17" s="997"/>
      <c r="B17" s="1006" t="s">
        <v>257</v>
      </c>
      <c r="C17" s="1007"/>
      <c r="D17" s="1007"/>
      <c r="E17" s="1007"/>
      <c r="F17" s="1007"/>
      <c r="G17" s="1007"/>
      <c r="H17" s="1007"/>
      <c r="I17" s="1007"/>
      <c r="J17" s="1007"/>
      <c r="K17" s="1007"/>
    </row>
    <row r="18" spans="1:11" ht="14.45" customHeight="1">
      <c r="A18" s="997"/>
      <c r="B18" s="1012" t="s">
        <v>258</v>
      </c>
      <c r="C18" s="1002"/>
      <c r="D18" s="1002"/>
      <c r="E18" s="1002"/>
      <c r="F18" s="1002"/>
      <c r="G18" s="1002"/>
      <c r="H18" s="1002"/>
      <c r="I18" s="1002"/>
      <c r="J18" s="1002"/>
      <c r="K18" s="1002"/>
    </row>
    <row r="19" spans="1:11" ht="14.45" customHeight="1">
      <c r="A19" s="997"/>
      <c r="B19" s="1006" t="s">
        <v>259</v>
      </c>
      <c r="C19" s="1013">
        <v>4</v>
      </c>
      <c r="D19" s="1013">
        <v>4</v>
      </c>
      <c r="E19" s="1013">
        <v>3</v>
      </c>
      <c r="F19" s="1013">
        <v>3</v>
      </c>
      <c r="G19" s="1013">
        <v>5</v>
      </c>
      <c r="H19" s="1013"/>
      <c r="I19" s="1013"/>
      <c r="J19" s="1013" t="s">
        <v>246</v>
      </c>
      <c r="K19" s="1013" t="s">
        <v>799</v>
      </c>
    </row>
    <row r="20" spans="1:11" ht="14.45" customHeight="1">
      <c r="A20" s="997"/>
      <c r="B20" s="1006" t="s">
        <v>260</v>
      </c>
      <c r="C20" s="1013">
        <v>25</v>
      </c>
      <c r="D20" s="1013">
        <v>25</v>
      </c>
      <c r="E20" s="1013">
        <v>25</v>
      </c>
      <c r="F20" s="1013"/>
      <c r="G20" s="1013"/>
      <c r="H20" s="1013"/>
      <c r="I20" s="1013"/>
      <c r="J20" s="1013" t="s">
        <v>246</v>
      </c>
      <c r="K20" s="1013">
        <v>5</v>
      </c>
    </row>
    <row r="21" spans="1:11" ht="14.45" customHeight="1">
      <c r="A21" s="997"/>
      <c r="B21" s="1006" t="s">
        <v>261</v>
      </c>
      <c r="C21" s="1013">
        <v>2</v>
      </c>
      <c r="D21" s="1013">
        <v>2</v>
      </c>
      <c r="E21" s="1013">
        <v>1</v>
      </c>
      <c r="F21" s="1013">
        <v>2</v>
      </c>
      <c r="G21" s="1013">
        <v>6</v>
      </c>
      <c r="H21" s="1013"/>
      <c r="I21" s="1013"/>
      <c r="J21" s="1013"/>
      <c r="K21" s="1013">
        <v>5</v>
      </c>
    </row>
    <row r="22" spans="1:11">
      <c r="A22" s="997"/>
      <c r="B22" s="1006" t="s">
        <v>262</v>
      </c>
      <c r="C22" s="1013">
        <v>30</v>
      </c>
      <c r="D22" s="1013">
        <v>30</v>
      </c>
      <c r="E22" s="1013">
        <v>30</v>
      </c>
      <c r="F22" s="1013">
        <v>24</v>
      </c>
      <c r="G22" s="1013">
        <v>48</v>
      </c>
      <c r="H22" s="1013"/>
      <c r="I22" s="1218"/>
      <c r="J22" s="1218"/>
      <c r="K22" s="1013">
        <v>4</v>
      </c>
    </row>
    <row r="23" spans="1:11" ht="14.45" customHeight="1">
      <c r="A23" s="997"/>
      <c r="B23" s="1014" t="s">
        <v>263</v>
      </c>
      <c r="C23" s="932"/>
      <c r="D23" s="932"/>
      <c r="E23" s="932"/>
      <c r="F23" s="932"/>
      <c r="G23" s="932"/>
      <c r="H23" s="932"/>
      <c r="I23" s="932"/>
      <c r="J23" s="932"/>
      <c r="K23" s="933"/>
    </row>
    <row r="24" spans="1:11" ht="14.45" customHeight="1">
      <c r="A24" s="997"/>
      <c r="B24" s="1006" t="s">
        <v>800</v>
      </c>
      <c r="C24" s="1007" t="s">
        <v>146</v>
      </c>
      <c r="D24" s="1007" t="s">
        <v>146</v>
      </c>
      <c r="E24" s="1007" t="s">
        <v>146</v>
      </c>
      <c r="F24" s="1007"/>
      <c r="G24" s="1007"/>
      <c r="H24" s="1007"/>
      <c r="I24" s="1007"/>
      <c r="J24" s="1007"/>
      <c r="K24" s="1007"/>
    </row>
    <row r="25" spans="1:11" ht="14.45" customHeight="1">
      <c r="A25" s="997"/>
      <c r="B25" s="1006" t="s">
        <v>801</v>
      </c>
      <c r="C25" s="1007" t="s">
        <v>146</v>
      </c>
      <c r="D25" s="1007" t="s">
        <v>146</v>
      </c>
      <c r="E25" s="1007" t="s">
        <v>146</v>
      </c>
      <c r="F25" s="1007"/>
      <c r="G25" s="1007"/>
      <c r="H25" s="1007"/>
      <c r="I25" s="1007"/>
      <c r="J25" s="1007"/>
      <c r="K25" s="1007"/>
    </row>
    <row r="26" spans="1:11" ht="14.45" customHeight="1">
      <c r="A26" s="997"/>
      <c r="B26" s="1006" t="s">
        <v>802</v>
      </c>
      <c r="C26" s="1007" t="s">
        <v>146</v>
      </c>
      <c r="D26" s="1007" t="s">
        <v>146</v>
      </c>
      <c r="E26" s="1007" t="s">
        <v>146</v>
      </c>
      <c r="F26" s="1007"/>
      <c r="G26" s="1007"/>
      <c r="H26" s="1007"/>
      <c r="I26" s="1007"/>
      <c r="J26" s="1007"/>
      <c r="K26" s="1007"/>
    </row>
    <row r="27" spans="1:11" ht="14.45" customHeight="1">
      <c r="A27" s="997"/>
      <c r="B27" s="1006" t="s">
        <v>803</v>
      </c>
      <c r="C27" s="1007" t="s">
        <v>146</v>
      </c>
      <c r="D27" s="1007" t="s">
        <v>146</v>
      </c>
      <c r="E27" s="1007" t="s">
        <v>146</v>
      </c>
      <c r="F27" s="1007"/>
      <c r="G27" s="1007"/>
      <c r="H27" s="1007"/>
      <c r="I27" s="1007"/>
      <c r="J27" s="1007"/>
      <c r="K27" s="1007"/>
    </row>
    <row r="28" spans="1:11" ht="14.45" customHeight="1">
      <c r="A28" s="997"/>
      <c r="B28" s="1006" t="s">
        <v>804</v>
      </c>
      <c r="C28" s="1007" t="s">
        <v>146</v>
      </c>
      <c r="D28" s="1007" t="s">
        <v>146</v>
      </c>
      <c r="E28" s="1007" t="s">
        <v>146</v>
      </c>
      <c r="F28" s="1007"/>
      <c r="G28" s="1007"/>
      <c r="H28" s="1007"/>
      <c r="I28" s="1007"/>
      <c r="J28" s="1007"/>
      <c r="K28" s="1007"/>
    </row>
    <row r="29" spans="1:11" ht="14.45" customHeight="1">
      <c r="A29" s="997"/>
      <c r="B29" s="1014" t="s">
        <v>393</v>
      </c>
      <c r="C29" s="932"/>
      <c r="D29" s="932"/>
      <c r="E29" s="932"/>
      <c r="F29" s="932"/>
      <c r="G29" s="932"/>
      <c r="H29" s="932"/>
      <c r="I29" s="932"/>
      <c r="J29" s="932"/>
      <c r="K29" s="933"/>
    </row>
    <row r="30" spans="1:11" ht="14.45" customHeight="1">
      <c r="A30" s="997"/>
      <c r="B30" s="1006" t="s">
        <v>542</v>
      </c>
      <c r="C30" s="1015">
        <v>9</v>
      </c>
      <c r="D30" s="1015">
        <v>7.9</v>
      </c>
      <c r="E30" s="1015">
        <v>6.8</v>
      </c>
      <c r="F30" s="1007">
        <v>7</v>
      </c>
      <c r="G30" s="1007">
        <v>12</v>
      </c>
      <c r="H30" s="1007">
        <v>5</v>
      </c>
      <c r="I30" s="1007">
        <v>10</v>
      </c>
      <c r="J30" s="1007" t="s">
        <v>805</v>
      </c>
      <c r="K30" s="1007" t="s">
        <v>806</v>
      </c>
    </row>
    <row r="31" spans="1:11" ht="14.45" customHeight="1">
      <c r="A31" s="997"/>
      <c r="B31" s="1006" t="s">
        <v>807</v>
      </c>
      <c r="C31" s="1016">
        <v>0.33</v>
      </c>
      <c r="D31" s="1016">
        <v>0.33</v>
      </c>
      <c r="E31" s="1016">
        <v>0.33</v>
      </c>
      <c r="F31" s="1013"/>
      <c r="G31" s="1013"/>
      <c r="H31" s="1013"/>
      <c r="I31" s="1013"/>
      <c r="J31" s="1013" t="s">
        <v>307</v>
      </c>
      <c r="K31" s="1013"/>
    </row>
    <row r="32" spans="1:11" ht="14.45" customHeight="1">
      <c r="A32" s="997"/>
      <c r="B32" s="1006" t="s">
        <v>808</v>
      </c>
      <c r="C32" s="1016">
        <f>1-C31</f>
        <v>0.66999999999999993</v>
      </c>
      <c r="D32" s="1016">
        <f>1-D31</f>
        <v>0.66999999999999993</v>
      </c>
      <c r="E32" s="1016">
        <f>1-E31</f>
        <v>0.66999999999999993</v>
      </c>
      <c r="F32" s="1013"/>
      <c r="G32" s="1013"/>
      <c r="H32" s="1013"/>
      <c r="I32" s="1013"/>
      <c r="J32" s="1013" t="s">
        <v>307</v>
      </c>
      <c r="K32" s="1013"/>
    </row>
    <row r="33" spans="1:11" ht="14.45" customHeight="1">
      <c r="A33" s="997"/>
      <c r="B33" s="1006" t="s">
        <v>276</v>
      </c>
      <c r="C33" s="1017">
        <v>127000</v>
      </c>
      <c r="D33" s="1017">
        <v>120000</v>
      </c>
      <c r="E33" s="1017">
        <v>113000</v>
      </c>
      <c r="F33" s="1017">
        <v>20000</v>
      </c>
      <c r="G33" s="1017">
        <v>180000</v>
      </c>
      <c r="H33" s="1017">
        <v>20000</v>
      </c>
      <c r="I33" s="1017">
        <v>180000</v>
      </c>
      <c r="J33" s="1013"/>
      <c r="K33" s="1013" t="s">
        <v>451</v>
      </c>
    </row>
    <row r="34" spans="1:11" ht="14.45" customHeight="1">
      <c r="A34" s="997"/>
      <c r="B34" s="1006" t="s">
        <v>809</v>
      </c>
      <c r="C34" s="1018">
        <v>2.4</v>
      </c>
      <c r="D34" s="1018">
        <v>2.2999999999999998</v>
      </c>
      <c r="E34" s="1018">
        <v>2.2000000000000002</v>
      </c>
      <c r="F34" s="1015">
        <f>C34*0.75</f>
        <v>1.7999999999999998</v>
      </c>
      <c r="G34" s="1015">
        <f>D34*1.25</f>
        <v>2.875</v>
      </c>
      <c r="H34" s="1015">
        <f>E34*0.75</f>
        <v>1.6500000000000001</v>
      </c>
      <c r="I34" s="1015">
        <f>F34*1.25</f>
        <v>2.25</v>
      </c>
      <c r="J34" s="1007" t="s">
        <v>385</v>
      </c>
      <c r="K34" s="1007" t="s">
        <v>996</v>
      </c>
    </row>
    <row r="35" spans="1:11" ht="14.45" customHeight="1">
      <c r="A35" s="997"/>
      <c r="B35" s="1006" t="s">
        <v>282</v>
      </c>
      <c r="C35" s="1007" t="s">
        <v>146</v>
      </c>
      <c r="D35" s="1007" t="s">
        <v>146</v>
      </c>
      <c r="E35" s="1007" t="s">
        <v>146</v>
      </c>
      <c r="F35" s="1007"/>
      <c r="G35" s="1007"/>
      <c r="H35" s="1007"/>
      <c r="I35" s="1007"/>
      <c r="J35" s="1007"/>
      <c r="K35" s="1007"/>
    </row>
    <row r="36" spans="1:11">
      <c r="A36" s="997"/>
      <c r="B36" s="1019"/>
      <c r="C36" s="1019"/>
      <c r="D36" s="1019"/>
      <c r="E36" s="1019"/>
      <c r="F36" s="1019"/>
      <c r="G36" s="1019"/>
      <c r="H36" s="1019"/>
      <c r="I36" s="1019"/>
      <c r="J36" s="1019"/>
      <c r="K36" s="1020"/>
    </row>
    <row r="37" spans="1:11">
      <c r="A37" s="1021" t="s">
        <v>286</v>
      </c>
      <c r="K37" s="4"/>
    </row>
    <row r="38" spans="1:11" ht="26.25" customHeight="1">
      <c r="A38" s="1022">
        <v>1</v>
      </c>
      <c r="B38" s="1148" t="s">
        <v>810</v>
      </c>
      <c r="C38" s="1148"/>
      <c r="D38" s="1148"/>
      <c r="E38" s="1148"/>
      <c r="F38" s="1148"/>
      <c r="G38" s="1148"/>
      <c r="H38" s="1148"/>
      <c r="I38" s="1148"/>
      <c r="J38" s="1148"/>
      <c r="K38" s="1148"/>
    </row>
    <row r="39" spans="1:11">
      <c r="A39" s="1022">
        <v>2</v>
      </c>
      <c r="B39" s="1148" t="s">
        <v>811</v>
      </c>
      <c r="C39" s="1148"/>
      <c r="D39" s="1148"/>
      <c r="E39" s="1148"/>
      <c r="F39" s="1148"/>
      <c r="G39" s="1148"/>
      <c r="H39" s="1148"/>
      <c r="I39" s="1148"/>
      <c r="J39" s="1148"/>
      <c r="K39" s="1148"/>
    </row>
    <row r="40" spans="1:11" ht="27.75" customHeight="1">
      <c r="A40" s="1022">
        <v>3</v>
      </c>
      <c r="B40" s="1148" t="s">
        <v>812</v>
      </c>
      <c r="C40" s="1148"/>
      <c r="D40" s="1148"/>
      <c r="E40" s="1148"/>
      <c r="F40" s="1148"/>
      <c r="G40" s="1148"/>
      <c r="H40" s="1148"/>
      <c r="I40" s="1148"/>
      <c r="J40" s="1148"/>
      <c r="K40" s="1148"/>
    </row>
    <row r="41" spans="1:11">
      <c r="A41" s="1022">
        <v>4</v>
      </c>
      <c r="B41" s="1148" t="s">
        <v>813</v>
      </c>
      <c r="C41" s="1148"/>
      <c r="D41" s="1148"/>
      <c r="E41" s="1148"/>
      <c r="F41" s="1148"/>
      <c r="G41" s="1148"/>
      <c r="H41" s="1148"/>
      <c r="I41" s="1148"/>
      <c r="J41" s="1148"/>
      <c r="K41" s="1148"/>
    </row>
    <row r="42" spans="1:11" ht="21" customHeight="1">
      <c r="A42" s="1022">
        <v>5</v>
      </c>
      <c r="B42" s="1148" t="s">
        <v>814</v>
      </c>
      <c r="C42" s="1148"/>
      <c r="D42" s="1148"/>
      <c r="E42" s="1148"/>
      <c r="F42" s="1148"/>
      <c r="G42" s="1148"/>
      <c r="H42" s="1148"/>
      <c r="I42" s="1148"/>
      <c r="J42" s="1148"/>
      <c r="K42" s="1148"/>
    </row>
    <row r="43" spans="1:11">
      <c r="A43" s="1022">
        <v>6</v>
      </c>
      <c r="B43" s="1219" t="s">
        <v>815</v>
      </c>
      <c r="C43" s="1219"/>
      <c r="D43" s="1219"/>
      <c r="E43" s="1219"/>
      <c r="F43" s="1219"/>
      <c r="G43" s="1219"/>
      <c r="H43" s="1219"/>
      <c r="I43" s="1219"/>
      <c r="J43" s="1219"/>
      <c r="K43" s="1219"/>
    </row>
    <row r="44" spans="1:11" ht="15" customHeight="1">
      <c r="A44" s="1022">
        <v>7</v>
      </c>
      <c r="B44" s="1148" t="s">
        <v>816</v>
      </c>
      <c r="C44" s="1148"/>
      <c r="D44" s="1148"/>
      <c r="E44" s="1148"/>
      <c r="F44" s="1148"/>
      <c r="G44" s="1148"/>
      <c r="H44" s="1148"/>
      <c r="I44" s="1148"/>
      <c r="J44" s="1148"/>
      <c r="K44" s="1148"/>
    </row>
    <row r="45" spans="1:11" ht="15" customHeight="1">
      <c r="A45" s="1022" t="s">
        <v>817</v>
      </c>
      <c r="B45" s="1148" t="s">
        <v>818</v>
      </c>
      <c r="C45" s="1148"/>
      <c r="D45" s="1148"/>
      <c r="E45" s="1148"/>
      <c r="F45" s="1148"/>
      <c r="G45" s="1148"/>
      <c r="H45" s="1148"/>
      <c r="I45" s="1148"/>
      <c r="J45" s="1148"/>
      <c r="K45" s="1148"/>
    </row>
    <row r="46" spans="1:11" ht="15" customHeight="1">
      <c r="A46" s="1022" t="s">
        <v>819</v>
      </c>
      <c r="B46" s="1148" t="s">
        <v>820</v>
      </c>
      <c r="C46" s="1148"/>
      <c r="D46" s="1148"/>
      <c r="E46" s="1148"/>
      <c r="F46" s="1148"/>
      <c r="G46" s="1148"/>
      <c r="H46" s="1148"/>
      <c r="I46" s="1148"/>
      <c r="J46" s="1148"/>
      <c r="K46" s="1148"/>
    </row>
    <row r="47" spans="1:11" ht="15" customHeight="1">
      <c r="A47" s="1022">
        <v>10</v>
      </c>
      <c r="B47" s="153" t="s">
        <v>821</v>
      </c>
      <c r="C47" s="153"/>
      <c r="D47" s="153"/>
      <c r="E47" s="153"/>
      <c r="F47" s="153"/>
      <c r="G47" s="153"/>
      <c r="H47" s="153"/>
      <c r="I47" s="153"/>
      <c r="J47" s="153"/>
      <c r="K47" s="153"/>
    </row>
    <row r="48" spans="1:11">
      <c r="A48" s="1021" t="s">
        <v>638</v>
      </c>
      <c r="B48" s="1023"/>
      <c r="C48" s="1023"/>
      <c r="D48" s="1023"/>
      <c r="E48" s="1023"/>
      <c r="F48" s="1023"/>
      <c r="G48" s="1023"/>
      <c r="H48" s="1023"/>
      <c r="I48" s="1024"/>
      <c r="J48" s="1023"/>
      <c r="K48" s="1023"/>
    </row>
    <row r="49" spans="1:11" ht="15" customHeight="1">
      <c r="A49" s="1022" t="s">
        <v>246</v>
      </c>
      <c r="B49" s="1148" t="s">
        <v>822</v>
      </c>
      <c r="C49" s="1148"/>
      <c r="D49" s="1148"/>
      <c r="E49" s="1148"/>
      <c r="F49" s="1148"/>
      <c r="G49" s="1148"/>
      <c r="H49" s="1148"/>
      <c r="I49" s="1148"/>
      <c r="J49" s="1148"/>
      <c r="K49" s="1148"/>
    </row>
    <row r="50" spans="1:11" ht="15" customHeight="1">
      <c r="A50" s="1022" t="s">
        <v>300</v>
      </c>
      <c r="B50" s="1148" t="s">
        <v>823</v>
      </c>
      <c r="C50" s="1148"/>
      <c r="D50" s="1148"/>
      <c r="E50" s="1148"/>
      <c r="F50" s="1148"/>
      <c r="G50" s="1148"/>
      <c r="H50" s="1148"/>
      <c r="I50" s="1148"/>
      <c r="J50" s="1148"/>
      <c r="K50" s="1148"/>
    </row>
    <row r="51" spans="1:11">
      <c r="A51" s="1022"/>
      <c r="B51" s="1148"/>
      <c r="C51" s="1148"/>
      <c r="D51" s="1148"/>
      <c r="E51" s="1148"/>
      <c r="F51" s="1148"/>
      <c r="G51" s="1148"/>
      <c r="H51" s="1148"/>
      <c r="I51" s="1148"/>
      <c r="J51" s="1148"/>
      <c r="K51" s="1148"/>
    </row>
    <row r="52" spans="1:11" ht="34.5" customHeight="1">
      <c r="A52" s="1022" t="s">
        <v>265</v>
      </c>
      <c r="B52" s="1148" t="s">
        <v>824</v>
      </c>
      <c r="C52" s="1148"/>
      <c r="D52" s="1148"/>
      <c r="E52" s="1148"/>
      <c r="F52" s="1148"/>
      <c r="G52" s="1148"/>
      <c r="H52" s="1148"/>
      <c r="I52" s="1148"/>
      <c r="J52" s="1148"/>
      <c r="K52" s="1148"/>
    </row>
    <row r="53" spans="1:11" ht="48.75" customHeight="1">
      <c r="A53" s="1022" t="s">
        <v>303</v>
      </c>
      <c r="B53" s="1148" t="s">
        <v>825</v>
      </c>
      <c r="C53" s="1148"/>
      <c r="D53" s="1148"/>
      <c r="E53" s="1148"/>
      <c r="F53" s="1148"/>
      <c r="G53" s="1148"/>
      <c r="H53" s="1148"/>
      <c r="I53" s="1148"/>
      <c r="J53" s="1148"/>
      <c r="K53" s="1148"/>
    </row>
    <row r="54" spans="1:11" ht="15" customHeight="1">
      <c r="A54" s="1022" t="s">
        <v>305</v>
      </c>
      <c r="B54" s="1148" t="s">
        <v>826</v>
      </c>
      <c r="C54" s="1148"/>
      <c r="D54" s="1148"/>
      <c r="E54" s="1148"/>
      <c r="F54" s="1148"/>
      <c r="G54" s="1148"/>
      <c r="H54" s="1148"/>
      <c r="I54" s="1148"/>
      <c r="J54" s="1148"/>
      <c r="K54" s="1148"/>
    </row>
    <row r="55" spans="1:11" ht="27.75" customHeight="1">
      <c r="A55" s="1022" t="s">
        <v>307</v>
      </c>
      <c r="B55" s="1148" t="s">
        <v>827</v>
      </c>
      <c r="C55" s="1148"/>
      <c r="D55" s="1148"/>
      <c r="E55" s="1148"/>
      <c r="F55" s="1148"/>
      <c r="G55" s="1148"/>
      <c r="H55" s="1148"/>
      <c r="I55" s="1148"/>
      <c r="J55" s="1148"/>
      <c r="K55" s="1148"/>
    </row>
    <row r="56" spans="1:11" ht="15" customHeight="1">
      <c r="A56" s="1022" t="s">
        <v>309</v>
      </c>
      <c r="B56" s="1148" t="s">
        <v>828</v>
      </c>
      <c r="C56" s="1148"/>
      <c r="D56" s="1148"/>
      <c r="E56" s="1148"/>
      <c r="F56" s="1148"/>
      <c r="G56" s="1148"/>
      <c r="H56" s="1148"/>
      <c r="I56" s="1148"/>
      <c r="J56" s="1148"/>
      <c r="K56" s="1148"/>
    </row>
    <row r="57" spans="1:11">
      <c r="A57" s="154" t="s">
        <v>253</v>
      </c>
      <c r="B57" s="1025" t="s">
        <v>829</v>
      </c>
      <c r="C57" s="1023"/>
      <c r="D57" s="1023"/>
      <c r="E57" s="1023"/>
      <c r="F57" s="1023"/>
      <c r="G57" s="1023"/>
      <c r="H57" s="1023"/>
      <c r="I57" s="1024"/>
      <c r="J57" s="1023"/>
      <c r="K57" s="1023"/>
    </row>
    <row r="58" spans="1:11">
      <c r="A58" s="154" t="s">
        <v>385</v>
      </c>
      <c r="B58" s="1025" t="s">
        <v>323</v>
      </c>
      <c r="K58" s="4"/>
    </row>
    <row r="59" spans="1:11">
      <c r="A59" s="152"/>
      <c r="B59" s="1026"/>
      <c r="K59" s="4"/>
    </row>
    <row r="60" spans="1:11">
      <c r="B60" s="1027"/>
      <c r="K60" s="4"/>
    </row>
    <row r="61" spans="1:11">
      <c r="B61" s="1026"/>
      <c r="K61" s="4"/>
    </row>
    <row r="62" spans="1:11">
      <c r="B62" s="1026"/>
      <c r="K62" s="4"/>
    </row>
    <row r="63" spans="1:11">
      <c r="B63" s="1026"/>
      <c r="K63" s="4"/>
    </row>
    <row r="64" spans="1:11">
      <c r="B64" s="1026"/>
      <c r="K64" s="4"/>
    </row>
    <row r="65" spans="2:11">
      <c r="B65" s="1026"/>
      <c r="K65" s="4"/>
    </row>
  </sheetData>
  <mergeCells count="21">
    <mergeCell ref="B56:K56"/>
    <mergeCell ref="C3:K3"/>
    <mergeCell ref="F4:G4"/>
    <mergeCell ref="H4:I4"/>
    <mergeCell ref="I22:J22"/>
    <mergeCell ref="B38:K38"/>
    <mergeCell ref="B39:K39"/>
    <mergeCell ref="B40:K40"/>
    <mergeCell ref="B41:K41"/>
    <mergeCell ref="B42:K42"/>
    <mergeCell ref="B43:K43"/>
    <mergeCell ref="B44:K44"/>
    <mergeCell ref="B45:K45"/>
    <mergeCell ref="B46:K46"/>
    <mergeCell ref="B49:K49"/>
    <mergeCell ref="B55:K55"/>
    <mergeCell ref="B50:K50"/>
    <mergeCell ref="B51:K51"/>
    <mergeCell ref="B52:K52"/>
    <mergeCell ref="B53:K53"/>
    <mergeCell ref="B54:K54"/>
  </mergeCells>
  <hyperlinks>
    <hyperlink ref="B41" r:id="rId1" display="https://www.iaea.org/publications/15485/nuclear-power-reactors-in-the-world" xr:uid="{861931A2-6253-4D8A-A345-7E7102E691B2}"/>
    <hyperlink ref="B40" r:id="rId2" location="CapitalCosts" display="https://world-nuclear.org/information-library/economic-aspects/economics-of-nuclear-power.aspx#CapitalCosts" xr:uid="{892CB616-7B14-4799-A538-3399C8F3E7A4}"/>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1D8AC-9256-4E65-BE84-34EB772DA526}">
  <sheetPr codeName="Sheet44">
    <tabColor rgb="FFC00000"/>
  </sheetPr>
  <dimension ref="A1:M65"/>
  <sheetViews>
    <sheetView showGridLines="0" zoomScaleNormal="100" workbookViewId="0">
      <selection activeCell="B47" sqref="B47:K47"/>
    </sheetView>
  </sheetViews>
  <sheetFormatPr defaultColWidth="8.7109375" defaultRowHeight="15"/>
  <cols>
    <col min="1" max="1" width="3" style="151" customWidth="1"/>
    <col min="2" max="2" width="35.28515625" style="3" customWidth="1"/>
    <col min="3" max="9" width="9.28515625" style="3" customWidth="1"/>
    <col min="10" max="10" width="8.7109375" style="3" customWidth="1"/>
    <col min="11" max="11" width="12.140625" style="3" customWidth="1"/>
    <col min="12" max="16384" width="8.7109375" style="3"/>
  </cols>
  <sheetData>
    <row r="1" spans="1:13" s="94" customFormat="1" ht="20.25">
      <c r="A1" s="997" t="s">
        <v>327</v>
      </c>
      <c r="B1" s="998" t="s">
        <v>234</v>
      </c>
      <c r="C1" s="999" t="s">
        <v>327</v>
      </c>
      <c r="D1" s="999" t="s">
        <v>327</v>
      </c>
      <c r="E1" s="999" t="s">
        <v>327</v>
      </c>
      <c r="F1" s="999" t="s">
        <v>327</v>
      </c>
      <c r="G1" s="999" t="s">
        <v>327</v>
      </c>
      <c r="H1" s="999" t="s">
        <v>327</v>
      </c>
      <c r="I1" s="999" t="s">
        <v>327</v>
      </c>
      <c r="J1" s="999" t="s">
        <v>327</v>
      </c>
      <c r="K1" s="999" t="s">
        <v>327</v>
      </c>
      <c r="L1" s="1000"/>
      <c r="M1" s="1000" t="s">
        <v>327</v>
      </c>
    </row>
    <row r="2" spans="1:13" s="94" customFormat="1">
      <c r="A2" s="997" t="s">
        <v>327</v>
      </c>
      <c r="B2" s="997" t="s">
        <v>327</v>
      </c>
      <c r="C2" s="999" t="s">
        <v>327</v>
      </c>
      <c r="D2" s="999" t="s">
        <v>327</v>
      </c>
      <c r="E2" s="999" t="s">
        <v>327</v>
      </c>
      <c r="F2" s="999" t="s">
        <v>327</v>
      </c>
      <c r="G2" s="999" t="s">
        <v>327</v>
      </c>
      <c r="H2" s="999" t="s">
        <v>327</v>
      </c>
      <c r="I2" s="999" t="s">
        <v>327</v>
      </c>
      <c r="J2" s="999" t="s">
        <v>327</v>
      </c>
      <c r="K2" s="999" t="s">
        <v>327</v>
      </c>
      <c r="L2" s="1000"/>
    </row>
    <row r="3" spans="1:13" ht="14.45" customHeight="1">
      <c r="A3" s="997"/>
      <c r="B3" s="1001" t="s">
        <v>145</v>
      </c>
      <c r="C3" s="1217" t="s">
        <v>830</v>
      </c>
      <c r="D3" s="1217"/>
      <c r="E3" s="1217"/>
      <c r="F3" s="1217"/>
      <c r="G3" s="1217"/>
      <c r="H3" s="1217"/>
      <c r="I3" s="1217"/>
      <c r="J3" s="1217"/>
      <c r="K3" s="1217"/>
    </row>
    <row r="4" spans="1:13" ht="14.45" customHeight="1">
      <c r="A4" s="997"/>
      <c r="B4" s="1030"/>
      <c r="C4" s="651">
        <v>2023</v>
      </c>
      <c r="D4" s="651">
        <v>2030</v>
      </c>
      <c r="E4" s="651">
        <v>2050</v>
      </c>
      <c r="F4" s="1221" t="s">
        <v>236</v>
      </c>
      <c r="G4" s="1222"/>
      <c r="H4" s="1221" t="s">
        <v>237</v>
      </c>
      <c r="I4" s="1222"/>
      <c r="J4" s="1030" t="s">
        <v>238</v>
      </c>
      <c r="K4" s="1030" t="s">
        <v>239</v>
      </c>
    </row>
    <row r="5" spans="1:13" s="511" customFormat="1">
      <c r="A5" s="997"/>
      <c r="B5" s="604" t="s">
        <v>240</v>
      </c>
      <c r="C5" s="1031"/>
      <c r="D5" s="1031"/>
      <c r="E5" s="1031"/>
      <c r="F5" s="1031"/>
      <c r="G5" s="1031"/>
      <c r="H5" s="1031"/>
      <c r="I5" s="1031"/>
      <c r="J5" s="1031"/>
      <c r="K5" s="1032"/>
    </row>
    <row r="6" spans="1:13" s="511" customFormat="1">
      <c r="A6" s="997"/>
      <c r="B6" s="607" t="s">
        <v>243</v>
      </c>
      <c r="C6" s="1033">
        <v>80</v>
      </c>
      <c r="D6" s="1033">
        <v>80</v>
      </c>
      <c r="E6" s="1033">
        <v>80</v>
      </c>
      <c r="F6" s="1033"/>
      <c r="G6" s="1033"/>
      <c r="H6" s="1033"/>
      <c r="I6" s="1033"/>
      <c r="J6" s="1033"/>
      <c r="K6" s="1033" t="s">
        <v>831</v>
      </c>
    </row>
    <row r="7" spans="1:13" s="511" customFormat="1">
      <c r="A7" s="997"/>
      <c r="B7" s="592" t="s">
        <v>244</v>
      </c>
      <c r="C7" s="1011">
        <v>300</v>
      </c>
      <c r="D7" s="1011">
        <v>300</v>
      </c>
      <c r="E7" s="1011">
        <v>300</v>
      </c>
      <c r="F7" s="1011">
        <v>10</v>
      </c>
      <c r="G7" s="1011">
        <v>300</v>
      </c>
      <c r="H7" s="1011">
        <v>10</v>
      </c>
      <c r="I7" s="1011">
        <v>300</v>
      </c>
      <c r="J7" s="1011"/>
      <c r="K7" s="1011" t="s">
        <v>831</v>
      </c>
    </row>
    <row r="8" spans="1:13" s="511" customFormat="1">
      <c r="A8" s="997"/>
      <c r="B8" s="592" t="s">
        <v>245</v>
      </c>
      <c r="C8" s="1011">
        <v>0.27</v>
      </c>
      <c r="D8" s="1011">
        <v>0.27</v>
      </c>
      <c r="E8" s="1011">
        <v>0.3</v>
      </c>
      <c r="F8" s="1011"/>
      <c r="G8" s="1011"/>
      <c r="H8" s="1011"/>
      <c r="I8" s="1011"/>
      <c r="J8" s="1011" t="s">
        <v>300</v>
      </c>
      <c r="K8" s="1011">
        <v>2</v>
      </c>
    </row>
    <row r="9" spans="1:13" s="511" customFormat="1">
      <c r="A9" s="997"/>
      <c r="B9" s="592" t="s">
        <v>247</v>
      </c>
      <c r="C9" s="1011">
        <v>0.27</v>
      </c>
      <c r="D9" s="1011">
        <v>0.27</v>
      </c>
      <c r="E9" s="1011">
        <v>0.3</v>
      </c>
      <c r="F9" s="1011"/>
      <c r="G9" s="1011"/>
      <c r="H9" s="1011"/>
      <c r="I9" s="1011"/>
      <c r="J9" s="1011" t="s">
        <v>300</v>
      </c>
      <c r="K9" s="1011" t="s">
        <v>832</v>
      </c>
    </row>
    <row r="10" spans="1:13" s="511" customFormat="1">
      <c r="A10" s="997"/>
      <c r="B10" s="592" t="s">
        <v>248</v>
      </c>
      <c r="C10" s="1034">
        <v>0.03</v>
      </c>
      <c r="D10" s="1034">
        <v>0.03</v>
      </c>
      <c r="E10" s="1034">
        <v>0.03</v>
      </c>
      <c r="F10" s="1011"/>
      <c r="G10" s="1011"/>
      <c r="H10" s="1011"/>
      <c r="I10" s="1011"/>
      <c r="J10" s="1011"/>
      <c r="K10" s="1011" t="s">
        <v>833</v>
      </c>
    </row>
    <row r="11" spans="1:13" s="511" customFormat="1">
      <c r="A11" s="997"/>
      <c r="B11" s="592" t="s">
        <v>249</v>
      </c>
      <c r="C11" s="725">
        <v>6.5000000000000002E-2</v>
      </c>
      <c r="D11" s="725">
        <v>0.06</v>
      </c>
      <c r="E11" s="725">
        <v>0.05</v>
      </c>
      <c r="F11" s="1011">
        <v>3</v>
      </c>
      <c r="G11" s="1011">
        <v>7</v>
      </c>
      <c r="H11" s="1011"/>
      <c r="I11" s="1011"/>
      <c r="J11" s="1011"/>
      <c r="K11" s="1011">
        <v>2</v>
      </c>
    </row>
    <row r="12" spans="1:13" s="511" customFormat="1">
      <c r="A12" s="997"/>
      <c r="B12" s="592" t="s">
        <v>250</v>
      </c>
      <c r="C12" s="1011">
        <v>30</v>
      </c>
      <c r="D12" s="1011">
        <v>40</v>
      </c>
      <c r="E12" s="1011">
        <v>50</v>
      </c>
      <c r="F12" s="1011"/>
      <c r="G12" s="1011"/>
      <c r="H12" s="1011"/>
      <c r="I12" s="1011"/>
      <c r="J12" s="1011"/>
      <c r="K12" s="1011" t="s">
        <v>451</v>
      </c>
    </row>
    <row r="13" spans="1:13" s="511" customFormat="1">
      <c r="A13" s="997"/>
      <c r="B13" s="592" t="s">
        <v>252</v>
      </c>
      <c r="C13" s="1011">
        <v>9</v>
      </c>
      <c r="D13" s="1011">
        <v>8</v>
      </c>
      <c r="E13" s="1011">
        <v>4</v>
      </c>
      <c r="F13" s="1011">
        <v>8</v>
      </c>
      <c r="G13" s="1011">
        <v>12</v>
      </c>
      <c r="H13" s="1011">
        <v>4</v>
      </c>
      <c r="I13" s="1011">
        <v>12</v>
      </c>
      <c r="J13" s="1011" t="s">
        <v>253</v>
      </c>
      <c r="K13" s="1011" t="s">
        <v>834</v>
      </c>
    </row>
    <row r="14" spans="1:13" s="511" customFormat="1">
      <c r="A14" s="997"/>
      <c r="B14" s="599" t="s">
        <v>484</v>
      </c>
      <c r="C14" s="1035">
        <v>0.63822813502580555</v>
      </c>
      <c r="D14" s="1035">
        <v>0.63822813502580555</v>
      </c>
      <c r="E14" s="1035">
        <f>C14</f>
        <v>0.63822813502580555</v>
      </c>
      <c r="F14" s="1036">
        <v>4.1791044776119404E-2</v>
      </c>
      <c r="G14" s="1037">
        <v>1.6</v>
      </c>
      <c r="H14" s="1036">
        <f>F14</f>
        <v>4.1791044776119404E-2</v>
      </c>
      <c r="I14" s="1037">
        <f>G14</f>
        <v>1.6</v>
      </c>
      <c r="J14" s="1037" t="s">
        <v>265</v>
      </c>
      <c r="K14" s="1037">
        <v>11</v>
      </c>
    </row>
    <row r="15" spans="1:13" s="511" customFormat="1">
      <c r="A15" s="997"/>
      <c r="B15" s="604" t="s">
        <v>255</v>
      </c>
      <c r="C15" s="1038"/>
      <c r="D15" s="1038"/>
      <c r="E15" s="1038"/>
      <c r="F15" s="1038"/>
      <c r="G15" s="1038"/>
      <c r="H15" s="1038"/>
      <c r="I15" s="1038"/>
      <c r="J15" s="1038"/>
      <c r="K15" s="1039"/>
    </row>
    <row r="16" spans="1:13" s="511" customFormat="1">
      <c r="A16" s="997"/>
      <c r="B16" s="607" t="s">
        <v>256</v>
      </c>
      <c r="C16" s="1033"/>
      <c r="D16" s="1033"/>
      <c r="E16" s="1033"/>
      <c r="F16" s="1033"/>
      <c r="G16" s="1033"/>
      <c r="H16" s="1033"/>
      <c r="I16" s="1033"/>
      <c r="J16" s="1033"/>
      <c r="K16" s="1033"/>
    </row>
    <row r="17" spans="1:11" s="511" customFormat="1">
      <c r="A17" s="997"/>
      <c r="B17" s="599" t="s">
        <v>257</v>
      </c>
      <c r="C17" s="1037"/>
      <c r="D17" s="1037"/>
      <c r="E17" s="1037"/>
      <c r="F17" s="1037"/>
      <c r="G17" s="1037"/>
      <c r="H17" s="1037"/>
      <c r="I17" s="1037"/>
      <c r="J17" s="1037"/>
      <c r="K17" s="1037"/>
    </row>
    <row r="18" spans="1:11" s="511" customFormat="1">
      <c r="A18" s="997"/>
      <c r="B18" s="604" t="s">
        <v>258</v>
      </c>
      <c r="C18" s="1038"/>
      <c r="D18" s="1038"/>
      <c r="E18" s="1038"/>
      <c r="F18" s="1038"/>
      <c r="G18" s="1038"/>
      <c r="H18" s="1038"/>
      <c r="I18" s="1038"/>
      <c r="J18" s="1038"/>
      <c r="K18" s="1039"/>
    </row>
    <row r="19" spans="1:11" s="511" customFormat="1">
      <c r="A19" s="997"/>
      <c r="B19" s="607" t="s">
        <v>259</v>
      </c>
      <c r="C19" s="1033">
        <v>1.2</v>
      </c>
      <c r="D19" s="1033">
        <v>1.2</v>
      </c>
      <c r="E19" s="1033">
        <v>1.2</v>
      </c>
      <c r="F19" s="1033"/>
      <c r="G19" s="1033"/>
      <c r="H19" s="1033"/>
      <c r="I19" s="1033"/>
      <c r="J19" s="1033" t="s">
        <v>246</v>
      </c>
      <c r="K19" s="1033">
        <v>2.5</v>
      </c>
    </row>
    <row r="20" spans="1:11" s="511" customFormat="1">
      <c r="A20" s="997"/>
      <c r="B20" s="592" t="s">
        <v>260</v>
      </c>
      <c r="C20" s="1011">
        <v>25</v>
      </c>
      <c r="D20" s="1011">
        <v>25</v>
      </c>
      <c r="E20" s="1011">
        <v>20</v>
      </c>
      <c r="F20" s="1011"/>
      <c r="G20" s="1011"/>
      <c r="H20" s="1011"/>
      <c r="I20" s="1011"/>
      <c r="J20" s="1011" t="s">
        <v>246</v>
      </c>
      <c r="K20" s="1011" t="s">
        <v>835</v>
      </c>
    </row>
    <row r="21" spans="1:11" s="511" customFormat="1">
      <c r="A21" s="997"/>
      <c r="B21" s="592" t="s">
        <v>261</v>
      </c>
      <c r="C21" s="1011">
        <v>1.5</v>
      </c>
      <c r="D21" s="1011">
        <v>1.5</v>
      </c>
      <c r="E21" s="1011">
        <v>1.5</v>
      </c>
      <c r="F21" s="1011"/>
      <c r="G21" s="1011"/>
      <c r="H21" s="1011"/>
      <c r="I21" s="1011"/>
      <c r="J21" s="1011"/>
      <c r="K21" s="1011">
        <v>2.5</v>
      </c>
    </row>
    <row r="22" spans="1:11" s="511" customFormat="1">
      <c r="A22" s="997"/>
      <c r="B22" s="599" t="s">
        <v>262</v>
      </c>
      <c r="C22" s="1037">
        <v>24</v>
      </c>
      <c r="D22" s="1037">
        <v>24</v>
      </c>
      <c r="E22" s="1037">
        <v>24</v>
      </c>
      <c r="F22" s="1037"/>
      <c r="G22" s="1037"/>
      <c r="H22" s="1037"/>
      <c r="I22" s="1040"/>
      <c r="J22" s="1041"/>
      <c r="K22" s="1037"/>
    </row>
    <row r="23" spans="1:11" s="511" customFormat="1">
      <c r="A23" s="997"/>
      <c r="B23" s="604" t="s">
        <v>263</v>
      </c>
      <c r="C23" s="1038"/>
      <c r="D23" s="1038"/>
      <c r="E23" s="1038"/>
      <c r="F23" s="1038"/>
      <c r="G23" s="1038"/>
      <c r="H23" s="1038"/>
      <c r="I23" s="1038"/>
      <c r="J23" s="1038"/>
      <c r="K23" s="1039"/>
    </row>
    <row r="24" spans="1:11" s="511" customFormat="1">
      <c r="A24" s="997"/>
      <c r="B24" s="607" t="s">
        <v>691</v>
      </c>
      <c r="C24" s="1033" t="s">
        <v>146</v>
      </c>
      <c r="D24" s="1033" t="s">
        <v>146</v>
      </c>
      <c r="E24" s="1033" t="s">
        <v>146</v>
      </c>
      <c r="F24" s="1033"/>
      <c r="G24" s="1033"/>
      <c r="H24" s="1033"/>
      <c r="I24" s="1033"/>
      <c r="J24" s="1033"/>
      <c r="K24" s="1033"/>
    </row>
    <row r="25" spans="1:11" s="511" customFormat="1">
      <c r="A25" s="997"/>
      <c r="B25" s="592" t="s">
        <v>836</v>
      </c>
      <c r="C25" s="1011" t="s">
        <v>146</v>
      </c>
      <c r="D25" s="1011" t="s">
        <v>146</v>
      </c>
      <c r="E25" s="1011" t="s">
        <v>146</v>
      </c>
      <c r="F25" s="1011"/>
      <c r="G25" s="1011"/>
      <c r="H25" s="1011"/>
      <c r="I25" s="1011"/>
      <c r="J25" s="1011"/>
      <c r="K25" s="1011"/>
    </row>
    <row r="26" spans="1:11" s="511" customFormat="1">
      <c r="A26" s="997"/>
      <c r="B26" s="592" t="s">
        <v>837</v>
      </c>
      <c r="C26" s="1011" t="s">
        <v>146</v>
      </c>
      <c r="D26" s="1011" t="s">
        <v>146</v>
      </c>
      <c r="E26" s="1011" t="s">
        <v>146</v>
      </c>
      <c r="F26" s="1011"/>
      <c r="G26" s="1011"/>
      <c r="H26" s="1011"/>
      <c r="I26" s="1011"/>
      <c r="J26" s="1011"/>
      <c r="K26" s="1011"/>
    </row>
    <row r="27" spans="1:11" s="511" customFormat="1">
      <c r="A27" s="997"/>
      <c r="B27" s="592" t="s">
        <v>446</v>
      </c>
      <c r="C27" s="1011" t="s">
        <v>146</v>
      </c>
      <c r="D27" s="1011" t="s">
        <v>146</v>
      </c>
      <c r="E27" s="1011" t="s">
        <v>146</v>
      </c>
      <c r="F27" s="1011"/>
      <c r="G27" s="1011"/>
      <c r="H27" s="1011"/>
      <c r="I27" s="1011"/>
      <c r="J27" s="1011"/>
      <c r="K27" s="1011"/>
    </row>
    <row r="28" spans="1:11" s="511" customFormat="1">
      <c r="A28" s="997"/>
      <c r="B28" s="599" t="s">
        <v>838</v>
      </c>
      <c r="C28" s="1037" t="s">
        <v>146</v>
      </c>
      <c r="D28" s="1037" t="s">
        <v>146</v>
      </c>
      <c r="E28" s="1037" t="s">
        <v>146</v>
      </c>
      <c r="F28" s="1037"/>
      <c r="G28" s="1037"/>
      <c r="H28" s="1037"/>
      <c r="I28" s="1037"/>
      <c r="J28" s="1037"/>
      <c r="K28" s="1037"/>
    </row>
    <row r="29" spans="1:11" s="511" customFormat="1">
      <c r="A29" s="997"/>
      <c r="B29" s="1042" t="s">
        <v>393</v>
      </c>
      <c r="C29" s="1038"/>
      <c r="D29" s="1038"/>
      <c r="E29" s="1038"/>
      <c r="F29" s="1038"/>
      <c r="G29" s="1038"/>
      <c r="H29" s="1038"/>
      <c r="I29" s="1038"/>
      <c r="J29" s="1038"/>
      <c r="K29" s="1039"/>
    </row>
    <row r="30" spans="1:11" s="511" customFormat="1">
      <c r="A30" s="997"/>
      <c r="B30" s="1043" t="s">
        <v>542</v>
      </c>
      <c r="C30" s="1044"/>
      <c r="D30" s="1045">
        <v>9.6</v>
      </c>
      <c r="E30" s="1045">
        <v>7.3</v>
      </c>
      <c r="F30" s="1011">
        <v>5.6</v>
      </c>
      <c r="G30" s="1011">
        <v>20</v>
      </c>
      <c r="H30" s="1011">
        <v>5</v>
      </c>
      <c r="I30" s="1011">
        <v>10</v>
      </c>
      <c r="J30" s="1033" t="s">
        <v>839</v>
      </c>
      <c r="K30" s="1033" t="s">
        <v>997</v>
      </c>
    </row>
    <row r="31" spans="1:11" s="511" customFormat="1">
      <c r="A31" s="997"/>
      <c r="B31" s="1006" t="s">
        <v>807</v>
      </c>
      <c r="C31" s="1034"/>
      <c r="D31" s="1034">
        <v>0.33</v>
      </c>
      <c r="E31" s="1034">
        <v>0.33</v>
      </c>
      <c r="F31" s="1011"/>
      <c r="G31" s="1011"/>
      <c r="H31" s="1011"/>
      <c r="I31" s="1011"/>
      <c r="J31" s="1011"/>
      <c r="K31" s="1011" t="s">
        <v>840</v>
      </c>
    </row>
    <row r="32" spans="1:11" s="511" customFormat="1">
      <c r="A32" s="997"/>
      <c r="B32" s="1006" t="s">
        <v>808</v>
      </c>
      <c r="C32" s="1034"/>
      <c r="D32" s="1034">
        <v>0.67</v>
      </c>
      <c r="E32" s="1034">
        <v>0.67</v>
      </c>
      <c r="F32" s="1011"/>
      <c r="G32" s="1011"/>
      <c r="H32" s="1011"/>
      <c r="I32" s="1011"/>
      <c r="J32" s="1011"/>
      <c r="K32" s="1011" t="s">
        <v>840</v>
      </c>
    </row>
    <row r="33" spans="1:11" s="511" customFormat="1">
      <c r="A33" s="997"/>
      <c r="B33" s="1006" t="s">
        <v>276</v>
      </c>
      <c r="C33" s="1046"/>
      <c r="D33" s="1047">
        <v>110000</v>
      </c>
      <c r="E33" s="1047">
        <v>102000</v>
      </c>
      <c r="F33" s="1011"/>
      <c r="G33" s="1011"/>
      <c r="H33" s="1011"/>
      <c r="I33" s="1011"/>
      <c r="J33" s="1011"/>
      <c r="K33" s="1011" t="s">
        <v>840</v>
      </c>
    </row>
    <row r="34" spans="1:11" s="511" customFormat="1">
      <c r="A34" s="997"/>
      <c r="B34" s="1006" t="s">
        <v>809</v>
      </c>
      <c r="C34" s="1011"/>
      <c r="D34" s="1011">
        <v>2.2000000000000002</v>
      </c>
      <c r="E34" s="1011">
        <v>2.1</v>
      </c>
      <c r="F34" s="1011"/>
      <c r="G34" s="1011"/>
      <c r="H34" s="1011"/>
      <c r="I34" s="1011"/>
      <c r="J34" s="1011" t="s">
        <v>307</v>
      </c>
      <c r="K34" s="1011" t="s">
        <v>840</v>
      </c>
    </row>
    <row r="35" spans="1:11" s="511" customFormat="1">
      <c r="A35" s="997"/>
      <c r="B35" s="592" t="s">
        <v>282</v>
      </c>
      <c r="C35" s="1011"/>
      <c r="D35" s="1011"/>
      <c r="E35" s="1011"/>
      <c r="F35" s="1011"/>
      <c r="G35" s="1011"/>
      <c r="H35" s="1011"/>
      <c r="I35" s="1011"/>
      <c r="J35" s="1011"/>
      <c r="K35" s="1011"/>
    </row>
    <row r="36" spans="1:11">
      <c r="A36" s="997"/>
    </row>
    <row r="37" spans="1:11">
      <c r="A37" s="1048" t="s">
        <v>286</v>
      </c>
      <c r="B37" s="1023"/>
      <c r="C37" s="1023"/>
      <c r="D37" s="1023"/>
      <c r="E37" s="1049"/>
      <c r="F37" s="1049"/>
      <c r="G37" s="1049"/>
      <c r="H37" s="1023"/>
      <c r="I37" s="1023"/>
      <c r="J37" s="1023"/>
      <c r="K37" s="1023"/>
    </row>
    <row r="38" spans="1:11" ht="27" customHeight="1">
      <c r="A38" s="1022">
        <v>1</v>
      </c>
      <c r="B38" s="1148" t="s">
        <v>841</v>
      </c>
      <c r="C38" s="1148"/>
      <c r="D38" s="1148"/>
      <c r="E38" s="1148"/>
      <c r="F38" s="1148"/>
      <c r="G38" s="1148"/>
      <c r="H38" s="1148"/>
      <c r="I38" s="1148"/>
      <c r="J38" s="1148"/>
      <c r="K38" s="1148"/>
    </row>
    <row r="39" spans="1:11" ht="26.25" customHeight="1">
      <c r="A39" s="1022">
        <v>2</v>
      </c>
      <c r="B39" s="1148" t="s">
        <v>842</v>
      </c>
      <c r="C39" s="1148"/>
      <c r="D39" s="1148"/>
      <c r="E39" s="1148"/>
      <c r="F39" s="1148"/>
      <c r="G39" s="1148"/>
      <c r="H39" s="1148"/>
      <c r="I39" s="1148"/>
      <c r="J39" s="1148"/>
      <c r="K39" s="1148"/>
    </row>
    <row r="40" spans="1:11" ht="39" customHeight="1">
      <c r="A40" s="1022">
        <v>3</v>
      </c>
      <c r="B40" s="1148" t="s">
        <v>843</v>
      </c>
      <c r="C40" s="1148"/>
      <c r="D40" s="1148"/>
      <c r="E40" s="1148"/>
      <c r="F40" s="1148"/>
      <c r="G40" s="1148"/>
      <c r="H40" s="1148"/>
      <c r="I40" s="1148"/>
      <c r="J40" s="1148"/>
      <c r="K40" s="1148"/>
    </row>
    <row r="41" spans="1:11" ht="26.25" customHeight="1">
      <c r="A41" s="1022">
        <v>4</v>
      </c>
      <c r="B41" s="1148" t="s">
        <v>844</v>
      </c>
      <c r="C41" s="1148"/>
      <c r="D41" s="1148"/>
      <c r="E41" s="1148"/>
      <c r="F41" s="1148"/>
      <c r="G41" s="1148"/>
      <c r="H41" s="1148"/>
      <c r="I41" s="1148"/>
      <c r="J41" s="1148"/>
      <c r="K41" s="1148"/>
    </row>
    <row r="42" spans="1:11" ht="27.75" customHeight="1">
      <c r="A42" s="1022">
        <v>5</v>
      </c>
      <c r="B42" s="1148" t="s">
        <v>845</v>
      </c>
      <c r="C42" s="1148"/>
      <c r="D42" s="1148"/>
      <c r="E42" s="1148"/>
      <c r="F42" s="1148"/>
      <c r="G42" s="1148"/>
      <c r="H42" s="1148"/>
      <c r="I42" s="1148"/>
      <c r="J42" s="1148"/>
      <c r="K42" s="1148"/>
    </row>
    <row r="43" spans="1:11" ht="15" customHeight="1">
      <c r="A43" s="1022">
        <v>6</v>
      </c>
      <c r="B43" s="1148" t="s">
        <v>846</v>
      </c>
      <c r="C43" s="1148"/>
      <c r="D43" s="1148"/>
      <c r="E43" s="1148"/>
      <c r="F43" s="1148"/>
      <c r="G43" s="1148"/>
      <c r="H43" s="1148"/>
      <c r="I43" s="1148"/>
      <c r="J43" s="1148"/>
      <c r="K43" s="1148"/>
    </row>
    <row r="44" spans="1:11" ht="25.5" customHeight="1">
      <c r="A44" s="1022">
        <v>7</v>
      </c>
      <c r="B44" s="1148" t="s">
        <v>847</v>
      </c>
      <c r="C44" s="1148"/>
      <c r="D44" s="1148"/>
      <c r="E44" s="1148"/>
      <c r="F44" s="1148"/>
      <c r="G44" s="1148"/>
      <c r="H44" s="1148"/>
      <c r="I44" s="1148"/>
      <c r="J44" s="1148"/>
      <c r="K44" s="1148"/>
    </row>
    <row r="45" spans="1:11" ht="15" customHeight="1">
      <c r="A45" s="1022">
        <v>8</v>
      </c>
      <c r="B45" s="1148" t="s">
        <v>816</v>
      </c>
      <c r="C45" s="1148"/>
      <c r="D45" s="1148"/>
      <c r="E45" s="1148"/>
      <c r="F45" s="1148"/>
      <c r="G45" s="1148"/>
      <c r="H45" s="1148"/>
      <c r="I45" s="1148"/>
      <c r="J45" s="1148"/>
      <c r="K45" s="1148"/>
    </row>
    <row r="46" spans="1:11" ht="15.75" customHeight="1">
      <c r="A46" s="1022">
        <v>9</v>
      </c>
      <c r="B46" s="1148" t="s">
        <v>848</v>
      </c>
      <c r="C46" s="1148"/>
      <c r="D46" s="1148"/>
      <c r="E46" s="1148"/>
      <c r="F46" s="1148"/>
      <c r="G46" s="1148"/>
      <c r="H46" s="1148"/>
      <c r="I46" s="1148"/>
      <c r="J46" s="1148"/>
      <c r="K46" s="1148"/>
    </row>
    <row r="47" spans="1:11" ht="15.75" customHeight="1">
      <c r="A47" s="1022">
        <v>10</v>
      </c>
      <c r="B47" s="1148" t="s">
        <v>849</v>
      </c>
      <c r="C47" s="1148"/>
      <c r="D47" s="1148"/>
      <c r="E47" s="1148"/>
      <c r="F47" s="1148"/>
      <c r="G47" s="1148"/>
      <c r="H47" s="1148"/>
      <c r="I47" s="1148"/>
      <c r="J47" s="1148"/>
      <c r="K47" s="1148"/>
    </row>
    <row r="48" spans="1:11" ht="15" customHeight="1">
      <c r="A48" s="1022">
        <v>11</v>
      </c>
      <c r="B48" s="1148" t="s">
        <v>850</v>
      </c>
      <c r="C48" s="1148"/>
      <c r="D48" s="1148"/>
      <c r="E48" s="1148"/>
      <c r="F48" s="1148"/>
      <c r="G48" s="1148"/>
      <c r="H48" s="1148"/>
      <c r="I48" s="1148"/>
      <c r="J48" s="1148"/>
      <c r="K48" s="1148"/>
    </row>
    <row r="49" spans="1:11" ht="27" customHeight="1">
      <c r="A49" s="1022">
        <v>12</v>
      </c>
      <c r="B49" s="1148" t="s">
        <v>851</v>
      </c>
      <c r="C49" s="1148"/>
      <c r="D49" s="1148"/>
      <c r="E49" s="1148"/>
      <c r="F49" s="1148"/>
      <c r="G49" s="1148"/>
      <c r="H49" s="1148"/>
      <c r="I49" s="1148"/>
      <c r="J49" s="1148"/>
      <c r="K49" s="1148"/>
    </row>
    <row r="50" spans="1:11" ht="27" customHeight="1">
      <c r="A50" s="1022">
        <v>13</v>
      </c>
      <c r="B50" s="1148" t="s">
        <v>852</v>
      </c>
      <c r="C50" s="1148"/>
      <c r="D50" s="1148"/>
      <c r="E50" s="1148"/>
      <c r="F50" s="1148"/>
      <c r="G50" s="1148"/>
      <c r="H50" s="1148"/>
      <c r="I50" s="1148"/>
      <c r="J50" s="1148"/>
      <c r="K50" s="1148"/>
    </row>
    <row r="51" spans="1:11">
      <c r="A51" s="1048" t="s">
        <v>638</v>
      </c>
      <c r="B51" s="1050"/>
      <c r="C51" s="1050"/>
      <c r="D51" s="1050"/>
      <c r="E51" s="1050"/>
      <c r="F51" s="1050"/>
      <c r="G51" s="1050"/>
      <c r="H51" s="1050"/>
      <c r="I51" s="1050"/>
      <c r="J51" s="1050"/>
      <c r="K51" s="1050"/>
    </row>
    <row r="52" spans="1:11" ht="15" customHeight="1">
      <c r="A52" s="1022" t="s">
        <v>246</v>
      </c>
      <c r="B52" s="1148" t="s">
        <v>822</v>
      </c>
      <c r="C52" s="1148"/>
      <c r="D52" s="1148"/>
      <c r="E52" s="1148"/>
      <c r="F52" s="1148"/>
      <c r="G52" s="1148"/>
      <c r="H52" s="1148"/>
      <c r="I52" s="1148"/>
      <c r="J52" s="1148"/>
      <c r="K52" s="1148"/>
    </row>
    <row r="53" spans="1:11" ht="27.75" customHeight="1">
      <c r="A53" s="1022" t="s">
        <v>300</v>
      </c>
      <c r="B53" s="1148" t="s">
        <v>824</v>
      </c>
      <c r="C53" s="1148"/>
      <c r="D53" s="1148"/>
      <c r="E53" s="1148"/>
      <c r="F53" s="1148"/>
      <c r="G53" s="1148"/>
      <c r="H53" s="1148"/>
      <c r="I53" s="1148"/>
      <c r="J53" s="1148"/>
      <c r="K53" s="1148"/>
    </row>
    <row r="54" spans="1:11" ht="48" customHeight="1">
      <c r="A54" s="1022" t="s">
        <v>265</v>
      </c>
      <c r="B54" s="1148" t="s">
        <v>853</v>
      </c>
      <c r="C54" s="1148"/>
      <c r="D54" s="1148"/>
      <c r="E54" s="1148"/>
      <c r="F54" s="1148"/>
      <c r="G54" s="1148"/>
      <c r="H54" s="1148"/>
      <c r="I54" s="1148"/>
      <c r="J54" s="1148"/>
      <c r="K54" s="1148"/>
    </row>
    <row r="55" spans="1:11" ht="15" customHeight="1">
      <c r="A55" s="1022" t="s">
        <v>303</v>
      </c>
      <c r="B55" s="1148" t="s">
        <v>854</v>
      </c>
      <c r="C55" s="1148"/>
      <c r="D55" s="1148"/>
      <c r="E55" s="1148"/>
      <c r="F55" s="1148"/>
      <c r="G55" s="1148"/>
      <c r="H55" s="1148"/>
      <c r="I55" s="1148"/>
      <c r="J55" s="1148"/>
      <c r="K55" s="1148"/>
    </row>
    <row r="56" spans="1:11" ht="26.25" customHeight="1">
      <c r="A56" s="1022" t="s">
        <v>305</v>
      </c>
      <c r="B56" s="1148" t="s">
        <v>827</v>
      </c>
      <c r="C56" s="1148"/>
      <c r="D56" s="1148"/>
      <c r="E56" s="1148"/>
      <c r="F56" s="1148"/>
      <c r="G56" s="1148"/>
      <c r="H56" s="1148"/>
      <c r="I56" s="1148"/>
      <c r="J56" s="1148"/>
      <c r="K56" s="1148"/>
    </row>
    <row r="57" spans="1:11" ht="15" customHeight="1">
      <c r="A57" s="1022" t="s">
        <v>307</v>
      </c>
      <c r="B57" s="1148" t="s">
        <v>855</v>
      </c>
      <c r="C57" s="1148"/>
      <c r="D57" s="1148"/>
      <c r="E57" s="1148"/>
      <c r="F57" s="1148"/>
      <c r="G57" s="1148"/>
      <c r="H57" s="1148"/>
      <c r="I57" s="1148"/>
      <c r="J57" s="1148"/>
      <c r="K57" s="1148"/>
    </row>
    <row r="58" spans="1:11" ht="15" customHeight="1">
      <c r="A58" s="1022" t="s">
        <v>309</v>
      </c>
      <c r="B58" s="1148" t="s">
        <v>856</v>
      </c>
      <c r="C58" s="1148"/>
      <c r="D58" s="1148"/>
      <c r="E58" s="1148"/>
      <c r="F58" s="1148"/>
      <c r="G58" s="1148"/>
      <c r="H58" s="1148"/>
      <c r="I58" s="1148"/>
      <c r="J58" s="1148"/>
      <c r="K58" s="1148"/>
    </row>
    <row r="59" spans="1:11" ht="45.75" customHeight="1">
      <c r="A59" s="152" t="s">
        <v>253</v>
      </c>
      <c r="B59" s="1220" t="s">
        <v>857</v>
      </c>
      <c r="C59" s="1148"/>
      <c r="D59" s="1148"/>
      <c r="E59" s="1148"/>
      <c r="F59" s="1148"/>
      <c r="G59" s="1148"/>
      <c r="H59" s="1148"/>
      <c r="I59" s="1148"/>
      <c r="J59" s="1148"/>
      <c r="K59" s="1148"/>
    </row>
    <row r="60" spans="1:11" ht="14.45" customHeight="1">
      <c r="A60" s="1022" t="s">
        <v>303</v>
      </c>
      <c r="B60" s="1148" t="s">
        <v>854</v>
      </c>
      <c r="C60" s="1148"/>
      <c r="D60" s="1148"/>
      <c r="E60" s="1148"/>
      <c r="F60" s="1148"/>
      <c r="G60" s="1148"/>
      <c r="H60" s="1148"/>
      <c r="I60" s="1148"/>
      <c r="J60" s="1148"/>
      <c r="K60" s="1148"/>
    </row>
    <row r="61" spans="1:11" ht="14.45" customHeight="1">
      <c r="A61" s="1022" t="s">
        <v>305</v>
      </c>
      <c r="B61" s="1148" t="s">
        <v>827</v>
      </c>
      <c r="C61" s="1148"/>
      <c r="D61" s="1148"/>
      <c r="E61" s="1148"/>
      <c r="F61" s="1148"/>
      <c r="G61" s="1148"/>
      <c r="H61" s="1148"/>
      <c r="I61" s="1148"/>
      <c r="J61" s="1148"/>
      <c r="K61" s="1148"/>
    </row>
    <row r="62" spans="1:11">
      <c r="A62" s="1022" t="s">
        <v>307</v>
      </c>
      <c r="B62" s="1148" t="s">
        <v>855</v>
      </c>
      <c r="C62" s="1148"/>
      <c r="D62" s="1148"/>
      <c r="E62" s="1148"/>
      <c r="F62" s="1148"/>
      <c r="G62" s="1148"/>
      <c r="H62" s="1148"/>
      <c r="I62" s="1148"/>
      <c r="J62" s="1148"/>
      <c r="K62" s="1148"/>
    </row>
    <row r="63" spans="1:11" ht="14.45" customHeight="1">
      <c r="A63" s="1022" t="s">
        <v>309</v>
      </c>
      <c r="B63" s="1148" t="s">
        <v>856</v>
      </c>
      <c r="C63" s="1148"/>
      <c r="D63" s="1148"/>
      <c r="E63" s="1148"/>
      <c r="F63" s="1148"/>
      <c r="G63" s="1148"/>
      <c r="H63" s="1148"/>
      <c r="I63" s="1148"/>
      <c r="J63" s="1148"/>
      <c r="K63" s="1148"/>
    </row>
    <row r="64" spans="1:11" ht="14.45" customHeight="1">
      <c r="A64" s="152" t="s">
        <v>253</v>
      </c>
      <c r="B64" s="1220" t="s">
        <v>857</v>
      </c>
      <c r="C64" s="1148"/>
      <c r="D64" s="1148"/>
      <c r="E64" s="1148"/>
      <c r="F64" s="1148"/>
      <c r="G64" s="1148"/>
      <c r="H64" s="1148"/>
      <c r="I64" s="1148"/>
      <c r="J64" s="1148"/>
      <c r="K64" s="1148"/>
    </row>
    <row r="65" spans="9:9">
      <c r="I65" s="4"/>
    </row>
  </sheetData>
  <mergeCells count="29">
    <mergeCell ref="C3:K3"/>
    <mergeCell ref="F4:G4"/>
    <mergeCell ref="H4:I4"/>
    <mergeCell ref="B38:K38"/>
    <mergeCell ref="B39:K39"/>
    <mergeCell ref="B40:K40"/>
    <mergeCell ref="B41:K41"/>
    <mergeCell ref="B42:K42"/>
    <mergeCell ref="B43:K43"/>
    <mergeCell ref="B44:K44"/>
    <mergeCell ref="B50:K50"/>
    <mergeCell ref="B52:K52"/>
    <mergeCell ref="B53:K53"/>
    <mergeCell ref="B54:K54"/>
    <mergeCell ref="B45:K45"/>
    <mergeCell ref="B46:K46"/>
    <mergeCell ref="B47:K47"/>
    <mergeCell ref="B48:K48"/>
    <mergeCell ref="B49:K49"/>
    <mergeCell ref="B61:K61"/>
    <mergeCell ref="B62:K62"/>
    <mergeCell ref="B63:K63"/>
    <mergeCell ref="B64:K64"/>
    <mergeCell ref="B55:K55"/>
    <mergeCell ref="B57:K57"/>
    <mergeCell ref="B58:K58"/>
    <mergeCell ref="B59:K59"/>
    <mergeCell ref="B60:K60"/>
    <mergeCell ref="B56:K56"/>
  </mergeCells>
  <hyperlinks>
    <hyperlink ref="B44" r:id="rId1" display="https://aris.iaea.org/Publications/SMR_booklet_2022.pdf" xr:uid="{246D387E-02B0-4C88-8D0F-855BDD77FDA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663CC-90A9-4AC5-BCDE-E4E194CD4602}">
  <sheetPr codeName="Sheet42">
    <tabColor rgb="FFFF99FF"/>
  </sheetPr>
  <dimension ref="A1:M58"/>
  <sheetViews>
    <sheetView zoomScaleNormal="100" zoomScaleSheetLayoutView="120" workbookViewId="0">
      <selection activeCell="B47" sqref="B47:K47"/>
    </sheetView>
  </sheetViews>
  <sheetFormatPr defaultColWidth="9.140625" defaultRowHeight="15"/>
  <cols>
    <col min="1" max="1" width="3" style="93" customWidth="1"/>
    <col min="2" max="2" width="40.42578125" style="93" customWidth="1"/>
    <col min="3" max="9" width="9.28515625" style="93" customWidth="1"/>
    <col min="10" max="10" width="8.7109375" style="93" customWidth="1"/>
    <col min="11" max="11" width="8.85546875" style="93" bestFit="1" customWidth="1"/>
    <col min="12" max="16384" width="9.140625" style="94"/>
  </cols>
  <sheetData>
    <row r="1" spans="1:13" ht="20.25">
      <c r="A1" s="358"/>
      <c r="B1" s="359" t="s">
        <v>234</v>
      </c>
      <c r="C1" s="360"/>
      <c r="D1" s="360"/>
      <c r="E1" s="360"/>
      <c r="F1" s="360"/>
      <c r="G1" s="360"/>
      <c r="H1" s="360"/>
      <c r="I1" s="360"/>
      <c r="J1" s="360"/>
      <c r="K1" s="360"/>
      <c r="L1" s="319"/>
      <c r="M1" s="319"/>
    </row>
    <row r="2" spans="1:13">
      <c r="A2" s="358"/>
      <c r="B2" s="358"/>
      <c r="C2" s="360"/>
      <c r="D2" s="360"/>
      <c r="E2" s="360"/>
      <c r="F2" s="360"/>
      <c r="G2" s="360"/>
      <c r="H2" s="360"/>
      <c r="I2" s="360"/>
      <c r="J2" s="360"/>
      <c r="K2" s="360"/>
      <c r="L2" s="319"/>
    </row>
    <row r="3" spans="1:13" ht="14.1" customHeight="1">
      <c r="B3" s="531" t="s">
        <v>145</v>
      </c>
      <c r="C3" s="1162" t="s">
        <v>858</v>
      </c>
      <c r="D3" s="1162"/>
      <c r="E3" s="1162"/>
      <c r="F3" s="1162"/>
      <c r="G3" s="1162"/>
      <c r="H3" s="1162"/>
      <c r="I3" s="1162"/>
      <c r="J3" s="1162"/>
      <c r="K3" s="1163"/>
    </row>
    <row r="4" spans="1:13" ht="14.1" customHeight="1">
      <c r="B4" s="533"/>
      <c r="C4" s="534">
        <v>2023</v>
      </c>
      <c r="D4" s="534">
        <v>2030</v>
      </c>
      <c r="E4" s="534">
        <v>2050</v>
      </c>
      <c r="F4" s="1161" t="s">
        <v>236</v>
      </c>
      <c r="G4" s="1163"/>
      <c r="H4" s="1161" t="s">
        <v>237</v>
      </c>
      <c r="I4" s="1163"/>
      <c r="J4" s="534" t="s">
        <v>238</v>
      </c>
      <c r="K4" s="534" t="s">
        <v>239</v>
      </c>
    </row>
    <row r="5" spans="1:13">
      <c r="B5" s="535" t="s">
        <v>240</v>
      </c>
      <c r="C5" s="536"/>
      <c r="D5" s="536"/>
      <c r="E5" s="536"/>
      <c r="F5" s="532" t="s">
        <v>241</v>
      </c>
      <c r="G5" s="532" t="s">
        <v>242</v>
      </c>
      <c r="H5" s="532" t="s">
        <v>241</v>
      </c>
      <c r="I5" s="532" t="s">
        <v>242</v>
      </c>
      <c r="J5" s="672"/>
      <c r="K5" s="537"/>
    </row>
    <row r="6" spans="1:13">
      <c r="B6" s="538" t="s">
        <v>859</v>
      </c>
      <c r="C6" s="673">
        <v>4</v>
      </c>
      <c r="D6" s="673">
        <v>4</v>
      </c>
      <c r="E6" s="673">
        <v>4</v>
      </c>
      <c r="F6" s="673">
        <v>4</v>
      </c>
      <c r="G6" s="673">
        <v>4</v>
      </c>
      <c r="H6" s="673">
        <v>4</v>
      </c>
      <c r="I6" s="673">
        <v>4</v>
      </c>
      <c r="J6" s="674" t="s">
        <v>933</v>
      </c>
      <c r="K6" s="675"/>
    </row>
    <row r="7" spans="1:13">
      <c r="B7" s="538" t="s">
        <v>860</v>
      </c>
      <c r="C7" s="673">
        <v>4</v>
      </c>
      <c r="D7" s="673">
        <v>4</v>
      </c>
      <c r="E7" s="673">
        <v>4</v>
      </c>
      <c r="F7" s="673">
        <v>4</v>
      </c>
      <c r="G7" s="673">
        <v>4</v>
      </c>
      <c r="H7" s="673">
        <v>4</v>
      </c>
      <c r="I7" s="673">
        <v>4</v>
      </c>
      <c r="J7" s="676" t="s">
        <v>933</v>
      </c>
      <c r="K7" s="675"/>
    </row>
    <row r="8" spans="1:13">
      <c r="B8" s="538" t="s">
        <v>861</v>
      </c>
      <c r="C8" s="673">
        <v>90</v>
      </c>
      <c r="D8" s="673">
        <v>92</v>
      </c>
      <c r="E8" s="673">
        <v>92</v>
      </c>
      <c r="F8" s="677"/>
      <c r="G8" s="677"/>
      <c r="H8" s="677"/>
      <c r="I8" s="677"/>
      <c r="J8" s="676" t="s">
        <v>265</v>
      </c>
      <c r="K8" s="678">
        <v>1</v>
      </c>
    </row>
    <row r="9" spans="1:13">
      <c r="B9" s="538" t="s">
        <v>862</v>
      </c>
      <c r="C9" s="673">
        <v>95</v>
      </c>
      <c r="D9" s="673">
        <v>96</v>
      </c>
      <c r="E9" s="673">
        <v>96</v>
      </c>
      <c r="F9" s="677"/>
      <c r="G9" s="677"/>
      <c r="H9" s="677"/>
      <c r="I9" s="677"/>
      <c r="J9" s="676" t="s">
        <v>265</v>
      </c>
      <c r="K9" s="678">
        <v>1</v>
      </c>
    </row>
    <row r="10" spans="1:13">
      <c r="B10" s="538" t="s">
        <v>863</v>
      </c>
      <c r="C10" s="679">
        <v>0.1</v>
      </c>
      <c r="D10" s="679">
        <v>0.1</v>
      </c>
      <c r="E10" s="679">
        <v>0.1</v>
      </c>
      <c r="F10" s="677"/>
      <c r="G10" s="677"/>
      <c r="H10" s="677"/>
      <c r="I10" s="677"/>
      <c r="J10" s="676"/>
      <c r="K10" s="675">
        <v>2</v>
      </c>
    </row>
    <row r="11" spans="1:13">
      <c r="B11" s="538" t="s">
        <v>248</v>
      </c>
      <c r="C11" s="679">
        <v>0.38</v>
      </c>
      <c r="D11" s="679">
        <v>0.35</v>
      </c>
      <c r="E11" s="679">
        <v>0.25</v>
      </c>
      <c r="F11" s="677"/>
      <c r="G11" s="677"/>
      <c r="H11" s="677"/>
      <c r="I11" s="677"/>
      <c r="J11" s="674" t="s">
        <v>421</v>
      </c>
      <c r="K11" s="675"/>
    </row>
    <row r="12" spans="1:13">
      <c r="B12" s="533" t="s">
        <v>249</v>
      </c>
      <c r="C12" s="679">
        <v>0.2</v>
      </c>
      <c r="D12" s="679">
        <v>0.1</v>
      </c>
      <c r="E12" s="679">
        <v>0.1</v>
      </c>
      <c r="F12" s="677"/>
      <c r="G12" s="677"/>
      <c r="H12" s="677"/>
      <c r="I12" s="677"/>
      <c r="J12" s="674" t="s">
        <v>419</v>
      </c>
      <c r="K12" s="675"/>
    </row>
    <row r="13" spans="1:13">
      <c r="B13" s="533" t="s">
        <v>864</v>
      </c>
      <c r="C13" s="673">
        <v>7500</v>
      </c>
      <c r="D13" s="673">
        <v>10000</v>
      </c>
      <c r="E13" s="673">
        <v>15000</v>
      </c>
      <c r="F13" s="673"/>
      <c r="G13" s="673"/>
      <c r="H13" s="673"/>
      <c r="I13" s="673"/>
      <c r="J13" s="674" t="s">
        <v>421</v>
      </c>
      <c r="K13" s="675">
        <v>3</v>
      </c>
    </row>
    <row r="14" spans="1:13">
      <c r="B14" s="533" t="s">
        <v>250</v>
      </c>
      <c r="C14" s="673">
        <v>15</v>
      </c>
      <c r="D14" s="673">
        <v>20</v>
      </c>
      <c r="E14" s="673">
        <v>25</v>
      </c>
      <c r="F14" s="677"/>
      <c r="G14" s="677"/>
      <c r="H14" s="677"/>
      <c r="I14" s="677"/>
      <c r="J14" s="674" t="s">
        <v>303</v>
      </c>
      <c r="K14" s="675">
        <v>3</v>
      </c>
    </row>
    <row r="15" spans="1:13">
      <c r="B15" s="533" t="s">
        <v>252</v>
      </c>
      <c r="C15" s="679">
        <v>0.2</v>
      </c>
      <c r="D15" s="679">
        <v>0.2</v>
      </c>
      <c r="E15" s="679">
        <v>0.2</v>
      </c>
      <c r="F15" s="677"/>
      <c r="G15" s="677"/>
      <c r="H15" s="677"/>
      <c r="I15" s="677"/>
      <c r="J15" s="674"/>
      <c r="K15" s="675"/>
    </row>
    <row r="16" spans="1:13">
      <c r="B16" s="540" t="s">
        <v>865</v>
      </c>
      <c r="C16" s="673">
        <v>150</v>
      </c>
      <c r="D16" s="673">
        <v>200</v>
      </c>
      <c r="E16" s="673">
        <v>300</v>
      </c>
      <c r="F16" s="677"/>
      <c r="G16" s="677"/>
      <c r="H16" s="677"/>
      <c r="I16" s="677"/>
      <c r="J16" s="674"/>
      <c r="K16" s="675"/>
    </row>
    <row r="17" spans="1:11">
      <c r="B17" s="542" t="s">
        <v>258</v>
      </c>
      <c r="C17" s="680"/>
      <c r="D17" s="680"/>
      <c r="E17" s="680"/>
      <c r="F17" s="680"/>
      <c r="G17" s="680"/>
      <c r="H17" s="680"/>
      <c r="I17" s="680"/>
      <c r="J17" s="681"/>
      <c r="K17" s="682"/>
    </row>
    <row r="18" spans="1:11">
      <c r="B18" s="533" t="s">
        <v>866</v>
      </c>
      <c r="C18" s="673">
        <v>50</v>
      </c>
      <c r="D18" s="673">
        <v>50</v>
      </c>
      <c r="E18" s="673">
        <v>50</v>
      </c>
      <c r="F18" s="677"/>
      <c r="G18" s="677"/>
      <c r="H18" s="677"/>
      <c r="I18" s="677"/>
      <c r="J18" s="674"/>
      <c r="K18" s="675">
        <v>4</v>
      </c>
    </row>
    <row r="19" spans="1:11" ht="22.5">
      <c r="B19" s="533" t="s">
        <v>867</v>
      </c>
      <c r="C19" s="683" t="s">
        <v>868</v>
      </c>
      <c r="D19" s="683" t="s">
        <v>868</v>
      </c>
      <c r="E19" s="683" t="s">
        <v>868</v>
      </c>
      <c r="F19" s="683" t="s">
        <v>868</v>
      </c>
      <c r="G19" s="683" t="s">
        <v>868</v>
      </c>
      <c r="H19" s="683" t="s">
        <v>868</v>
      </c>
      <c r="I19" s="683" t="s">
        <v>868</v>
      </c>
      <c r="J19" s="674" t="s">
        <v>869</v>
      </c>
      <c r="K19" s="674">
        <v>7</v>
      </c>
    </row>
    <row r="20" spans="1:11">
      <c r="B20" s="542" t="s">
        <v>270</v>
      </c>
      <c r="C20" s="684"/>
      <c r="D20" s="684"/>
      <c r="E20" s="684"/>
      <c r="F20" s="684"/>
      <c r="G20" s="684"/>
      <c r="H20" s="684"/>
      <c r="I20" s="684"/>
      <c r="J20" s="532"/>
      <c r="K20" s="671"/>
    </row>
    <row r="21" spans="1:11">
      <c r="B21" s="533" t="s">
        <v>870</v>
      </c>
      <c r="C21" s="1028">
        <f>C22+(C23/4)+C24</f>
        <v>0.47126680672268906</v>
      </c>
      <c r="D21" s="1028">
        <f t="shared" ref="D21:I21" si="0">D22+(D23/4)+D24</f>
        <v>0.32792318301366347</v>
      </c>
      <c r="E21" s="1028">
        <f t="shared" si="0"/>
        <v>0.22908101866700878</v>
      </c>
      <c r="F21" s="1028">
        <f t="shared" si="0"/>
        <v>0.35050000000000003</v>
      </c>
      <c r="G21" s="1028">
        <f t="shared" si="0"/>
        <v>0.53574999999999995</v>
      </c>
      <c r="H21" s="1028">
        <f t="shared" si="0"/>
        <v>0.16772914409534126</v>
      </c>
      <c r="I21" s="1028">
        <f t="shared" si="0"/>
        <v>0.44751029252437702</v>
      </c>
      <c r="J21" s="674" t="s">
        <v>309</v>
      </c>
      <c r="K21" s="675" t="s">
        <v>998</v>
      </c>
    </row>
    <row r="22" spans="1:11">
      <c r="B22" s="685" t="s">
        <v>871</v>
      </c>
      <c r="C22" s="1028">
        <v>0.34699999999999998</v>
      </c>
      <c r="D22" s="1028">
        <v>0.22700000000000001</v>
      </c>
      <c r="E22" s="1028">
        <v>0.14599999999999999</v>
      </c>
      <c r="F22" s="679">
        <v>0.26</v>
      </c>
      <c r="G22" s="679">
        <v>0.378</v>
      </c>
      <c r="H22" s="679">
        <v>0.12</v>
      </c>
      <c r="I22" s="679">
        <v>0.255</v>
      </c>
      <c r="J22" s="674"/>
      <c r="K22" s="675" t="s">
        <v>934</v>
      </c>
    </row>
    <row r="23" spans="1:11">
      <c r="B23" s="685" t="s">
        <v>872</v>
      </c>
      <c r="C23" s="1028">
        <v>0.32900000000000001</v>
      </c>
      <c r="D23" s="1028">
        <v>0.29399999999999998</v>
      </c>
      <c r="E23" s="1028">
        <v>0.25</v>
      </c>
      <c r="F23" s="679">
        <v>0.24199999999999999</v>
      </c>
      <c r="G23" s="679">
        <v>0.35099999999999998</v>
      </c>
      <c r="H23" s="679">
        <v>0.1</v>
      </c>
      <c r="I23" s="679">
        <v>0.27</v>
      </c>
      <c r="J23" s="674" t="s">
        <v>253</v>
      </c>
      <c r="K23" s="675" t="s">
        <v>934</v>
      </c>
    </row>
    <row r="24" spans="1:11">
      <c r="B24" s="685" t="s">
        <v>873</v>
      </c>
      <c r="C24" s="686">
        <v>4.2016806722689079E-2</v>
      </c>
      <c r="D24" s="686">
        <v>2.7423183013663484E-2</v>
      </c>
      <c r="E24" s="686">
        <v>2.0581018667008795E-2</v>
      </c>
      <c r="F24" s="679">
        <v>0.03</v>
      </c>
      <c r="G24" s="679">
        <v>7.0000000000000007E-2</v>
      </c>
      <c r="H24" s="679">
        <v>2.272914409534128E-2</v>
      </c>
      <c r="I24" s="679">
        <v>0.12501029252437704</v>
      </c>
      <c r="J24" s="674" t="s">
        <v>874</v>
      </c>
      <c r="K24" s="675" t="s">
        <v>349</v>
      </c>
    </row>
    <row r="25" spans="1:11">
      <c r="B25" s="533" t="s">
        <v>875</v>
      </c>
      <c r="C25" s="687">
        <v>15000</v>
      </c>
      <c r="D25" s="687">
        <f>C25*0.7</f>
        <v>10500</v>
      </c>
      <c r="E25" s="687">
        <f>C25*0.49</f>
        <v>7350</v>
      </c>
      <c r="F25" s="687">
        <v>5000</v>
      </c>
      <c r="G25" s="687">
        <v>50000</v>
      </c>
      <c r="H25" s="687">
        <v>2500</v>
      </c>
      <c r="I25" s="687">
        <v>15000</v>
      </c>
      <c r="J25" s="674" t="s">
        <v>869</v>
      </c>
      <c r="K25" s="675" t="s">
        <v>999</v>
      </c>
    </row>
    <row r="26" spans="1:11">
      <c r="B26" s="533" t="s">
        <v>876</v>
      </c>
      <c r="C26" s="679">
        <v>2</v>
      </c>
      <c r="D26" s="679">
        <f>C26*0.9</f>
        <v>1.8</v>
      </c>
      <c r="E26" s="679">
        <f>C26*0.8</f>
        <v>1.6</v>
      </c>
      <c r="F26" s="679">
        <v>2</v>
      </c>
      <c r="G26" s="679">
        <v>2.6</v>
      </c>
      <c r="H26" s="679">
        <v>1.6</v>
      </c>
      <c r="I26" s="679">
        <v>2.2000000000000002</v>
      </c>
      <c r="J26" s="674" t="s">
        <v>385</v>
      </c>
      <c r="K26" s="675" t="s">
        <v>1000</v>
      </c>
    </row>
    <row r="27" spans="1:11">
      <c r="B27" s="535" t="s">
        <v>283</v>
      </c>
      <c r="C27" s="684"/>
      <c r="D27" s="684"/>
      <c r="E27" s="684"/>
      <c r="F27" s="688"/>
      <c r="G27" s="688"/>
      <c r="H27" s="688"/>
      <c r="I27" s="688"/>
      <c r="J27" s="689"/>
      <c r="K27" s="690"/>
    </row>
    <row r="28" spans="1:11">
      <c r="B28" s="545" t="s">
        <v>877</v>
      </c>
      <c r="C28" s="1009">
        <v>0.27700000000000002</v>
      </c>
      <c r="D28" s="1009">
        <v>0.18079007633587788</v>
      </c>
      <c r="E28" s="1009">
        <v>0.1356824236641222</v>
      </c>
      <c r="F28" s="1029"/>
      <c r="G28" s="1029"/>
      <c r="H28" s="691"/>
      <c r="I28" s="691"/>
      <c r="J28" s="674" t="s">
        <v>307</v>
      </c>
      <c r="K28" s="692"/>
    </row>
    <row r="29" spans="1:11">
      <c r="B29" s="545" t="s">
        <v>878</v>
      </c>
      <c r="C29" s="1009">
        <v>0.25700000000000001</v>
      </c>
      <c r="D29" s="1009">
        <v>0.16773664122137405</v>
      </c>
      <c r="E29" s="1009">
        <v>0.12588585877862599</v>
      </c>
      <c r="F29" s="693"/>
      <c r="G29" s="693"/>
      <c r="H29" s="693"/>
      <c r="I29" s="693"/>
      <c r="J29" s="694"/>
      <c r="K29" s="695"/>
    </row>
    <row r="30" spans="1:11">
      <c r="B30" s="533" t="s">
        <v>879</v>
      </c>
      <c r="C30" s="696">
        <f>C21*C7-2*C28</f>
        <v>1.3310672268907562</v>
      </c>
      <c r="D30" s="696">
        <f>D21*D7-2*D28</f>
        <v>0.95011257938289817</v>
      </c>
      <c r="E30" s="696">
        <f>E21*E7-2*E28</f>
        <v>0.64495922733979072</v>
      </c>
      <c r="F30" s="696"/>
      <c r="G30" s="696"/>
      <c r="H30" s="696"/>
      <c r="I30" s="696"/>
      <c r="J30" s="674"/>
      <c r="K30" s="678"/>
    </row>
    <row r="31" spans="1:11">
      <c r="B31" s="227"/>
      <c r="C31" s="228"/>
      <c r="D31" s="228"/>
      <c r="E31" s="228"/>
      <c r="F31" s="228"/>
      <c r="G31" s="228"/>
      <c r="H31" s="228"/>
      <c r="I31" s="188"/>
      <c r="J31" s="229"/>
    </row>
    <row r="32" spans="1:11" s="93" customFormat="1" ht="12">
      <c r="A32" s="130" t="s">
        <v>286</v>
      </c>
      <c r="C32" s="150"/>
      <c r="D32" s="150"/>
      <c r="E32" s="150"/>
      <c r="F32" s="150"/>
      <c r="G32" s="150"/>
    </row>
    <row r="33" spans="1:11">
      <c r="A33" s="152">
        <v>1</v>
      </c>
      <c r="B33" s="1150" t="s">
        <v>935</v>
      </c>
      <c r="C33" s="1150"/>
      <c r="D33" s="1150"/>
      <c r="E33" s="1150"/>
      <c r="F33" s="1150"/>
      <c r="G33" s="1150"/>
      <c r="H33" s="1150"/>
      <c r="I33" s="1150"/>
      <c r="J33" s="1150"/>
      <c r="K33" s="1150"/>
    </row>
    <row r="34" spans="1:11">
      <c r="A34" s="152">
        <v>2</v>
      </c>
      <c r="B34" s="1148" t="s">
        <v>880</v>
      </c>
      <c r="C34" s="1148"/>
      <c r="D34" s="1148"/>
      <c r="E34" s="1148"/>
      <c r="F34" s="1148"/>
      <c r="G34" s="1148"/>
      <c r="H34" s="1148"/>
      <c r="I34" s="1148"/>
      <c r="J34" s="1148"/>
      <c r="K34" s="1148"/>
    </row>
    <row r="35" spans="1:11">
      <c r="A35" s="152">
        <v>3</v>
      </c>
      <c r="B35" s="1223" t="s">
        <v>881</v>
      </c>
      <c r="C35" s="1223"/>
      <c r="D35" s="1223"/>
      <c r="E35" s="1223"/>
      <c r="F35" s="1223"/>
      <c r="G35" s="1223"/>
      <c r="H35" s="1223"/>
      <c r="I35" s="1223"/>
      <c r="J35" s="1223"/>
      <c r="K35" s="1223"/>
    </row>
    <row r="36" spans="1:11">
      <c r="A36" s="152">
        <v>4</v>
      </c>
      <c r="B36" s="1148" t="s">
        <v>882</v>
      </c>
      <c r="C36" s="1148"/>
      <c r="D36" s="1148"/>
      <c r="E36" s="1148"/>
      <c r="F36" s="1148"/>
      <c r="G36" s="1148"/>
      <c r="H36" s="1148"/>
      <c r="I36" s="1148"/>
      <c r="J36" s="1148"/>
      <c r="K36" s="1148"/>
    </row>
    <row r="37" spans="1:11">
      <c r="A37" s="152">
        <v>5</v>
      </c>
      <c r="B37" s="1148" t="s">
        <v>883</v>
      </c>
      <c r="C37" s="1148"/>
      <c r="D37" s="1148"/>
      <c r="E37" s="1148"/>
      <c r="F37" s="1148"/>
      <c r="G37" s="1148"/>
      <c r="H37" s="1148"/>
      <c r="I37" s="1148"/>
      <c r="J37" s="1148"/>
      <c r="K37" s="1148"/>
    </row>
    <row r="38" spans="1:11">
      <c r="A38" s="152">
        <v>6</v>
      </c>
      <c r="B38" s="1148" t="s">
        <v>936</v>
      </c>
      <c r="C38" s="1148"/>
      <c r="D38" s="1148"/>
      <c r="E38" s="1148"/>
      <c r="F38" s="1148"/>
      <c r="G38" s="1148"/>
      <c r="H38" s="1148"/>
      <c r="I38" s="1148"/>
      <c r="J38" s="1148"/>
      <c r="K38" s="1148"/>
    </row>
    <row r="39" spans="1:11">
      <c r="A39" s="152">
        <v>7</v>
      </c>
      <c r="B39" s="1148" t="s">
        <v>884</v>
      </c>
      <c r="C39" s="1148"/>
      <c r="D39" s="1148"/>
      <c r="E39" s="1148"/>
      <c r="F39" s="1148"/>
      <c r="G39" s="1148"/>
      <c r="H39" s="1148"/>
      <c r="I39" s="1148"/>
      <c r="J39" s="1148"/>
      <c r="K39" s="1148"/>
    </row>
    <row r="40" spans="1:11">
      <c r="A40" s="152">
        <v>8</v>
      </c>
      <c r="B40" s="1148" t="s">
        <v>885</v>
      </c>
      <c r="C40" s="1148"/>
      <c r="D40" s="1148"/>
      <c r="E40" s="1148"/>
      <c r="F40" s="1148"/>
      <c r="G40" s="1148"/>
      <c r="H40" s="1148"/>
      <c r="I40" s="1148"/>
      <c r="J40" s="1148"/>
      <c r="K40" s="1148"/>
    </row>
    <row r="41" spans="1:11">
      <c r="A41" s="152">
        <v>9</v>
      </c>
      <c r="B41" s="1148" t="s">
        <v>1001</v>
      </c>
      <c r="C41" s="1148"/>
      <c r="D41" s="1148"/>
      <c r="E41" s="1148"/>
      <c r="F41" s="1148"/>
      <c r="G41" s="1148"/>
      <c r="H41" s="1148"/>
      <c r="I41" s="1148"/>
      <c r="J41" s="1148"/>
      <c r="K41" s="1148"/>
    </row>
    <row r="42" spans="1:11">
      <c r="A42" s="152">
        <v>10</v>
      </c>
      <c r="B42" s="1148" t="s">
        <v>1002</v>
      </c>
      <c r="C42" s="1148"/>
      <c r="D42" s="1148"/>
      <c r="E42" s="1148"/>
      <c r="F42" s="1148"/>
      <c r="G42" s="1148"/>
      <c r="H42" s="1148"/>
      <c r="I42" s="1148"/>
      <c r="J42" s="1148"/>
      <c r="K42" s="1148"/>
    </row>
    <row r="43" spans="1:11" ht="14.1" customHeight="1">
      <c r="A43" s="152">
        <v>11</v>
      </c>
      <c r="B43" s="1156" t="s">
        <v>887</v>
      </c>
      <c r="C43" s="1156"/>
      <c r="D43" s="1156"/>
      <c r="E43" s="1156"/>
      <c r="F43" s="1156"/>
      <c r="G43" s="1156"/>
      <c r="H43" s="1156"/>
      <c r="I43" s="1156"/>
      <c r="J43" s="1156"/>
      <c r="K43" s="1156"/>
    </row>
    <row r="44" spans="1:11">
      <c r="A44" s="130" t="s">
        <v>298</v>
      </c>
      <c r="B44" s="697"/>
      <c r="C44" s="697"/>
      <c r="D44" s="697"/>
      <c r="E44" s="697"/>
      <c r="F44" s="697"/>
      <c r="G44" s="697"/>
      <c r="H44" s="697"/>
      <c r="I44" s="697"/>
      <c r="J44" s="697"/>
      <c r="K44" s="697"/>
    </row>
    <row r="45" spans="1:11" s="316" customFormat="1" ht="15.95" customHeight="1">
      <c r="A45" s="698" t="s">
        <v>246</v>
      </c>
      <c r="B45" s="1224" t="s">
        <v>888</v>
      </c>
      <c r="C45" s="1224"/>
      <c r="D45" s="1224"/>
      <c r="E45" s="1224"/>
      <c r="F45" s="1224"/>
      <c r="G45" s="1224"/>
      <c r="H45" s="1224"/>
      <c r="I45" s="1224"/>
      <c r="J45" s="1224"/>
      <c r="K45" s="1224"/>
    </row>
    <row r="46" spans="1:11" s="316" customFormat="1" ht="48" customHeight="1">
      <c r="A46" s="698" t="s">
        <v>300</v>
      </c>
      <c r="B46" s="1148" t="s">
        <v>937</v>
      </c>
      <c r="C46" s="1148"/>
      <c r="D46" s="1148"/>
      <c r="E46" s="1148"/>
      <c r="F46" s="1148"/>
      <c r="G46" s="1148"/>
      <c r="H46" s="1148"/>
      <c r="I46" s="1148"/>
      <c r="J46" s="1148"/>
      <c r="K46" s="1148"/>
    </row>
    <row r="47" spans="1:11" s="316" customFormat="1" ht="54.75" customHeight="1">
      <c r="A47" s="698" t="s">
        <v>265</v>
      </c>
      <c r="B47" s="1148" t="s">
        <v>889</v>
      </c>
      <c r="C47" s="1148"/>
      <c r="D47" s="1148"/>
      <c r="E47" s="1148"/>
      <c r="F47" s="1148"/>
      <c r="G47" s="1148"/>
      <c r="H47" s="1148"/>
      <c r="I47" s="1148"/>
      <c r="J47" s="1148"/>
      <c r="K47" s="1148"/>
    </row>
    <row r="48" spans="1:11" s="316" customFormat="1" ht="27.75" customHeight="1">
      <c r="A48" s="698" t="s">
        <v>303</v>
      </c>
      <c r="B48" s="1148" t="s">
        <v>890</v>
      </c>
      <c r="C48" s="1148"/>
      <c r="D48" s="1148"/>
      <c r="E48" s="1148"/>
      <c r="F48" s="1148"/>
      <c r="G48" s="1148"/>
      <c r="H48" s="1148"/>
      <c r="I48" s="1148"/>
      <c r="J48" s="1148"/>
      <c r="K48" s="1148"/>
    </row>
    <row r="49" spans="1:11" s="316" customFormat="1" ht="19.5" customHeight="1">
      <c r="A49" s="698" t="s">
        <v>305</v>
      </c>
      <c r="B49" s="1148" t="s">
        <v>891</v>
      </c>
      <c r="C49" s="1148"/>
      <c r="D49" s="1148"/>
      <c r="E49" s="1148"/>
      <c r="F49" s="1148"/>
      <c r="G49" s="1148"/>
      <c r="H49" s="1148"/>
      <c r="I49" s="1148"/>
      <c r="J49" s="1148"/>
      <c r="K49" s="1148"/>
    </row>
    <row r="50" spans="1:11" s="316" customFormat="1" ht="26.25" customHeight="1">
      <c r="A50" s="698" t="s">
        <v>307</v>
      </c>
      <c r="B50" s="1148" t="s">
        <v>892</v>
      </c>
      <c r="C50" s="1148"/>
      <c r="D50" s="1148"/>
      <c r="E50" s="1148"/>
      <c r="F50" s="1148"/>
      <c r="G50" s="1148"/>
      <c r="H50" s="1148"/>
      <c r="I50" s="1148"/>
      <c r="J50" s="1148"/>
      <c r="K50" s="1148"/>
    </row>
    <row r="51" spans="1:11" s="316" customFormat="1" ht="12.75" customHeight="1">
      <c r="A51" s="698" t="s">
        <v>309</v>
      </c>
      <c r="B51" s="1148" t="s">
        <v>893</v>
      </c>
      <c r="C51" s="1148"/>
      <c r="D51" s="1148"/>
      <c r="E51" s="1148"/>
      <c r="F51" s="1148"/>
      <c r="G51" s="1148"/>
      <c r="H51" s="1148"/>
      <c r="I51" s="1148"/>
      <c r="J51" s="1148"/>
      <c r="K51" s="1148"/>
    </row>
    <row r="52" spans="1:11" s="316" customFormat="1" ht="22.5" customHeight="1">
      <c r="A52" s="698" t="s">
        <v>253</v>
      </c>
      <c r="B52" s="1148" t="s">
        <v>894</v>
      </c>
      <c r="C52" s="1148"/>
      <c r="D52" s="1148"/>
      <c r="E52" s="1148"/>
      <c r="F52" s="1148"/>
      <c r="G52" s="1148"/>
      <c r="H52" s="1148"/>
      <c r="I52" s="1148"/>
      <c r="J52" s="1148"/>
      <c r="K52" s="1148"/>
    </row>
    <row r="53" spans="1:11" s="316" customFormat="1">
      <c r="A53" s="698" t="s">
        <v>385</v>
      </c>
      <c r="B53" s="1148" t="s">
        <v>895</v>
      </c>
      <c r="C53" s="1148"/>
      <c r="D53" s="1148"/>
      <c r="E53" s="1148"/>
      <c r="F53" s="1148"/>
      <c r="G53" s="1148"/>
      <c r="H53" s="1148"/>
      <c r="I53" s="1148"/>
      <c r="J53" s="1148"/>
      <c r="K53" s="1148"/>
    </row>
    <row r="54" spans="1:11" s="316" customFormat="1" ht="45" customHeight="1">
      <c r="A54" s="698" t="s">
        <v>419</v>
      </c>
      <c r="B54" s="1148" t="s">
        <v>896</v>
      </c>
      <c r="C54" s="1148"/>
      <c r="D54" s="1148"/>
      <c r="E54" s="1148"/>
      <c r="F54" s="1148"/>
      <c r="G54" s="1148"/>
      <c r="H54" s="1148"/>
      <c r="I54" s="1148"/>
      <c r="J54" s="1148"/>
      <c r="K54" s="1148"/>
    </row>
    <row r="55" spans="1:11" s="316" customFormat="1" ht="62.25" customHeight="1">
      <c r="A55" s="698" t="s">
        <v>421</v>
      </c>
      <c r="B55" s="1148" t="s">
        <v>897</v>
      </c>
      <c r="C55" s="1148"/>
      <c r="D55" s="1148"/>
      <c r="E55" s="1148"/>
      <c r="F55" s="1148"/>
      <c r="G55" s="1148"/>
      <c r="H55" s="1148"/>
      <c r="I55" s="1148"/>
      <c r="J55" s="1148"/>
      <c r="K55" s="1148"/>
    </row>
    <row r="56" spans="1:11" s="316" customFormat="1" ht="36.75" customHeight="1">
      <c r="A56" s="698" t="s">
        <v>874</v>
      </c>
      <c r="B56" s="1148" t="s">
        <v>898</v>
      </c>
      <c r="C56" s="1148"/>
      <c r="D56" s="1148"/>
      <c r="E56" s="1148"/>
      <c r="F56" s="1148"/>
      <c r="G56" s="1148"/>
      <c r="H56" s="1148"/>
      <c r="I56" s="1148"/>
      <c r="J56" s="1148"/>
      <c r="K56" s="1148"/>
    </row>
    <row r="57" spans="1:11" s="316" customFormat="1">
      <c r="A57" s="698" t="s">
        <v>869</v>
      </c>
      <c r="B57" s="1148" t="s">
        <v>899</v>
      </c>
      <c r="C57" s="1148"/>
      <c r="D57" s="1148"/>
      <c r="E57" s="1148"/>
      <c r="F57" s="1148"/>
      <c r="G57" s="1148"/>
      <c r="H57" s="1148"/>
      <c r="I57" s="1148"/>
      <c r="J57" s="1148"/>
      <c r="K57" s="1148"/>
    </row>
    <row r="58" spans="1:11" s="316" customFormat="1">
      <c r="A58" s="93"/>
      <c r="B58" s="93"/>
      <c r="C58" s="93"/>
      <c r="D58" s="93"/>
      <c r="E58" s="93"/>
      <c r="F58" s="93"/>
      <c r="G58" s="93"/>
      <c r="H58" s="93"/>
      <c r="I58" s="93"/>
      <c r="J58" s="93"/>
      <c r="K58" s="93"/>
    </row>
  </sheetData>
  <mergeCells count="27">
    <mergeCell ref="B42:K42"/>
    <mergeCell ref="B43:K43"/>
    <mergeCell ref="B46:K46"/>
    <mergeCell ref="B47:K47"/>
    <mergeCell ref="B56:K56"/>
    <mergeCell ref="B50:K50"/>
    <mergeCell ref="B49:K49"/>
    <mergeCell ref="B48:K48"/>
    <mergeCell ref="B45:K45"/>
    <mergeCell ref="B57:K57"/>
    <mergeCell ref="B51:K51"/>
    <mergeCell ref="B52:K52"/>
    <mergeCell ref="B53:K53"/>
    <mergeCell ref="B54:K54"/>
    <mergeCell ref="B55:K55"/>
    <mergeCell ref="B38:K38"/>
    <mergeCell ref="B39:K39"/>
    <mergeCell ref="B40:K40"/>
    <mergeCell ref="B41:K41"/>
    <mergeCell ref="B37:K37"/>
    <mergeCell ref="B36:K36"/>
    <mergeCell ref="B34:K34"/>
    <mergeCell ref="B35:K35"/>
    <mergeCell ref="B33:K33"/>
    <mergeCell ref="C3:K3"/>
    <mergeCell ref="F4:G4"/>
    <mergeCell ref="H4:I4"/>
  </mergeCells>
  <pageMargins left="0.70866141732283472" right="0.70866141732283472"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4A7E0-8DB2-4879-AC2D-F1232A50B4F5}">
  <sheetPr codeName="Sheet5">
    <tabColor rgb="FF00B050"/>
  </sheetPr>
  <dimension ref="A2:AA119"/>
  <sheetViews>
    <sheetView showGridLines="0" zoomScale="90" zoomScaleNormal="90" workbookViewId="0">
      <selection activeCell="AD9" sqref="AD9"/>
    </sheetView>
  </sheetViews>
  <sheetFormatPr defaultColWidth="8.7109375" defaultRowHeight="15"/>
  <cols>
    <col min="1" max="1" width="8.7109375" style="3"/>
    <col min="2" max="2" width="69.28515625" customWidth="1"/>
    <col min="3" max="3" width="37.140625" customWidth="1"/>
    <col min="4" max="4" width="29.85546875" customWidth="1"/>
    <col min="5" max="5" width="2.28515625" bestFit="1" customWidth="1"/>
    <col min="6" max="26" width="5" style="19" bestFit="1" customWidth="1"/>
    <col min="27" max="27" width="8.7109375" style="39"/>
    <col min="28" max="16384" width="8.7109375" style="3"/>
  </cols>
  <sheetData>
    <row r="2" spans="2:26">
      <c r="B2" s="1" t="s">
        <v>0</v>
      </c>
      <c r="C2" s="1" t="s">
        <v>1</v>
      </c>
    </row>
    <row r="3" spans="2:26">
      <c r="B3" s="33"/>
      <c r="C3" s="15" t="s">
        <v>2</v>
      </c>
    </row>
    <row r="4" spans="2:26">
      <c r="B4" s="38"/>
      <c r="C4" s="15" t="s">
        <v>3</v>
      </c>
    </row>
    <row r="5" spans="2:26">
      <c r="B5" s="10"/>
      <c r="C5" s="15" t="s">
        <v>4</v>
      </c>
    </row>
    <row r="6" spans="2:26">
      <c r="B6" s="40"/>
      <c r="C6" s="15" t="s">
        <v>6</v>
      </c>
    </row>
    <row r="7" spans="2:26">
      <c r="C7" s="63" t="s">
        <v>964</v>
      </c>
    </row>
    <row r="8" spans="2:26" ht="15.75" thickBot="1"/>
    <row r="9" spans="2:26">
      <c r="B9" s="397" t="s">
        <v>156</v>
      </c>
      <c r="C9" s="398">
        <v>2022</v>
      </c>
    </row>
    <row r="10" spans="2:26" ht="15.75" thickBot="1">
      <c r="B10" s="400" t="s">
        <v>8</v>
      </c>
      <c r="C10" s="399">
        <v>0.02</v>
      </c>
    </row>
    <row r="11" spans="2:26">
      <c r="B11" s="1072"/>
      <c r="C11" s="1073"/>
    </row>
    <row r="13" spans="2:26">
      <c r="B13" s="285" t="s">
        <v>157</v>
      </c>
      <c r="C13" s="47">
        <v>25</v>
      </c>
      <c r="D13" s="67"/>
    </row>
    <row r="14" spans="2:26" ht="15.75">
      <c r="B14" s="286" t="s">
        <v>9</v>
      </c>
      <c r="C14" s="283" t="s">
        <v>158</v>
      </c>
      <c r="D14" s="1056" t="s">
        <v>1004</v>
      </c>
    </row>
    <row r="15" spans="2:26">
      <c r="B15" s="278" t="s">
        <v>10</v>
      </c>
      <c r="C15" s="45"/>
      <c r="D15" s="68"/>
      <c r="E15" s="45"/>
      <c r="F15" s="45"/>
      <c r="G15" s="45"/>
      <c r="H15" s="45"/>
      <c r="I15" s="45"/>
      <c r="J15" s="45"/>
      <c r="K15" s="45"/>
      <c r="L15" s="45"/>
      <c r="M15" s="45"/>
      <c r="N15" s="45"/>
      <c r="O15" s="45"/>
      <c r="P15" s="45"/>
      <c r="Q15" s="45"/>
      <c r="R15" s="45"/>
      <c r="S15" s="45"/>
      <c r="T15" s="45"/>
      <c r="U15" s="45"/>
      <c r="V15" s="45"/>
      <c r="W15" s="45"/>
      <c r="X15" s="45"/>
      <c r="Y15" s="45"/>
      <c r="Z15" s="45"/>
    </row>
    <row r="16" spans="2:26">
      <c r="B16" s="278" t="s">
        <v>145</v>
      </c>
      <c r="C16" s="270"/>
      <c r="D16" s="45"/>
      <c r="E16" s="45"/>
      <c r="F16" s="45"/>
      <c r="G16" s="45"/>
      <c r="H16" s="45"/>
      <c r="I16" s="45"/>
      <c r="J16" s="45"/>
      <c r="K16" s="45"/>
      <c r="L16" s="45"/>
      <c r="M16" s="45"/>
      <c r="N16" s="45"/>
      <c r="O16" s="45"/>
      <c r="P16" s="45"/>
      <c r="Q16" s="45"/>
      <c r="R16" s="45"/>
      <c r="S16" s="45"/>
      <c r="T16" s="45"/>
      <c r="U16" s="45"/>
      <c r="V16" s="45"/>
      <c r="W16" s="45"/>
      <c r="X16" s="45"/>
      <c r="Y16" s="45"/>
      <c r="Z16" s="45"/>
    </row>
    <row r="17" spans="2:26" ht="15.75" thickBot="1">
      <c r="B17" s="278" t="s">
        <v>41</v>
      </c>
      <c r="C17" s="1071"/>
      <c r="D17" s="1134"/>
      <c r="E17" s="1136"/>
      <c r="F17" s="1136"/>
      <c r="G17" s="1136"/>
      <c r="H17" s="1136"/>
      <c r="I17" s="1136"/>
      <c r="J17" s="1136"/>
      <c r="K17" s="1136"/>
      <c r="L17" s="1136"/>
      <c r="M17" s="1136"/>
      <c r="N17" s="1136"/>
      <c r="O17" s="1136"/>
      <c r="P17" s="1136"/>
      <c r="Q17" s="1136"/>
      <c r="R17" s="1136"/>
      <c r="S17" s="1136"/>
      <c r="T17" s="1136"/>
      <c r="U17" s="1136"/>
      <c r="V17" s="1136"/>
      <c r="W17" s="1136"/>
      <c r="X17" s="1136"/>
      <c r="Y17" s="1136"/>
      <c r="Z17" s="1136"/>
    </row>
    <row r="18" spans="2:26" ht="15.75" thickBot="1">
      <c r="B18" s="273" t="s">
        <v>43</v>
      </c>
      <c r="C18" s="258" t="str">
        <f>IF(C16="","",IF(C17=0,"Technology unavailable in this year. Please revise",IF(INDEX('Background (from TC)'!$D:$D,MATCH(C16,'Background (from TC)'!$E:$E,0))=C15,"","Incompatible combination of Fuel and Technology")))</f>
        <v/>
      </c>
      <c r="D18" s="258" t="str">
        <f>IF(D16="","",IF(D17=0,"Technology unavailable in this year. Please revise",IF(INDEX('Background (from TC)'!$D:$D,MATCH(D16,'Background (from TC)'!$E:$E,0))=D15,"","Incompatible combination of Fuel and Technology")))</f>
        <v/>
      </c>
      <c r="E18" s="1135" t="str">
        <f>IF(E16="","",IF(E17=0,"Technology unavailable in this year. Please revise",IF(INDEX('Background (from TC)'!$D:$D,MATCH(E16,'Background (from TC)'!$E:$E,0))=E15,"","Incompatible combination of Fuel and Technology")))</f>
        <v/>
      </c>
      <c r="F18" s="1135" t="str">
        <f>IF(F16="","",IF(F17=0,"Technology unavailable in this year. Please revise",IF(INDEX('Background (from TC)'!$D:$D,MATCH(F16,'Background (from TC)'!$E:$E,0))=F15,"","Incompatible combination of Fuel and Technology")))</f>
        <v/>
      </c>
      <c r="G18" s="1135" t="str">
        <f>IF(G16="","",IF(G17=0,"Technology unavailable in this year. Please revise",IF(INDEX('Background (from TC)'!$D:$D,MATCH(G16,'Background (from TC)'!$E:$E,0))=G15,"","Incompatible combination of Fuel and Technology")))</f>
        <v/>
      </c>
      <c r="H18" s="1135" t="str">
        <f>IF(H16="","",IF(H17=0,"Technology unavailable in this year. Please revise",IF(INDEX('Background (from TC)'!$D:$D,MATCH(H16,'Background (from TC)'!$E:$E,0))=H15,"","Incompatible combination of Fuel and Technology")))</f>
        <v/>
      </c>
      <c r="I18" s="1135" t="str">
        <f>IF(I16="","",IF(I17=0,"Technology unavailable in this year. Please revise",IF(INDEX('Background (from TC)'!$D:$D,MATCH(I16,'Background (from TC)'!$E:$E,0))=I15,"","Incompatible combination of Fuel and Technology")))</f>
        <v/>
      </c>
      <c r="J18" s="1135" t="str">
        <f>IF(J16="","",IF(J17=0,"Technology unavailable in this year. Please revise",IF(INDEX('Background (from TC)'!$D:$D,MATCH(J16,'Background (from TC)'!$E:$E,0))=J15,"","Incompatible combination of Fuel and Technology")))</f>
        <v/>
      </c>
      <c r="K18" s="1135" t="str">
        <f>IF(K16="","",IF(K17=0,"Technology unavailable in this year. Please revise",IF(INDEX('Background (from TC)'!$D:$D,MATCH(K16,'Background (from TC)'!$E:$E,0))=K15,"","Incompatible combination of Fuel and Technology")))</f>
        <v/>
      </c>
      <c r="L18" s="1135" t="str">
        <f>IF(L16="","",IF(L17=0,"Technology unavailable in this year. Please revise",IF(INDEX('Background (from TC)'!$D:$D,MATCH(L16,'Background (from TC)'!$E:$E,0))=L15,"","Incompatible combination of Fuel and Technology")))</f>
        <v/>
      </c>
      <c r="M18" s="1135" t="str">
        <f>IF(M16="","",IF(M17=0,"Technology unavailable in this year. Please revise",IF(INDEX('Background (from TC)'!$D:$D,MATCH(M16,'Background (from TC)'!$E:$E,0))=M15,"","Incompatible combination of Fuel and Technology")))</f>
        <v/>
      </c>
      <c r="N18" s="1135" t="str">
        <f>IF(N16="","",IF(N17=0,"Technology unavailable in this year. Please revise",IF(INDEX('Background (from TC)'!$D:$D,MATCH(N16,'Background (from TC)'!$E:$E,0))=N15,"","Incompatible combination of Fuel and Technology")))</f>
        <v/>
      </c>
      <c r="O18" s="1135" t="str">
        <f>IF(O16="","",IF(O17=0,"Technology unavailable in this year. Please revise",IF(INDEX('Background (from TC)'!$D:$D,MATCH(O16,'Background (from TC)'!$E:$E,0))=O15,"","Incompatible combination of Fuel and Technology")))</f>
        <v/>
      </c>
      <c r="P18" s="1135" t="str">
        <f>IF(P16="","",IF(P17=0,"Technology unavailable in this year. Please revise",IF(INDEX('Background (from TC)'!$D:$D,MATCH(P16,'Background (from TC)'!$E:$E,0))=P15,"","Incompatible combination of Fuel and Technology")))</f>
        <v/>
      </c>
      <c r="Q18" s="1135" t="str">
        <f>IF(Q16="","",IF(Q17=0,"Technology unavailable in this year. Please revise",IF(INDEX('Background (from TC)'!$D:$D,MATCH(Q16,'Background (from TC)'!$E:$E,0))=Q15,"","Incompatible combination of Fuel and Technology")))</f>
        <v/>
      </c>
      <c r="R18" s="1135" t="str">
        <f>IF(R16="","",IF(R17=0,"Technology unavailable in this year. Please revise",IF(INDEX('Background (from TC)'!$D:$D,MATCH(R16,'Background (from TC)'!$E:$E,0))=R15,"","Incompatible combination of Fuel and Technology")))</f>
        <v/>
      </c>
      <c r="S18" s="1135" t="str">
        <f>IF(S16="","",IF(S17=0,"Technology unavailable in this year. Please revise",IF(INDEX('Background (from TC)'!$D:$D,MATCH(S16,'Background (from TC)'!$E:$E,0))=S15,"","Incompatible combination of Fuel and Technology")))</f>
        <v/>
      </c>
      <c r="T18" s="1135" t="str">
        <f>IF(T16="","",IF(T17=0,"Technology unavailable in this year. Please revise",IF(INDEX('Background (from TC)'!$D:$D,MATCH(T16,'Background (from TC)'!$E:$E,0))=T15,"","Incompatible combination of Fuel and Technology")))</f>
        <v/>
      </c>
      <c r="U18" s="1135" t="str">
        <f>IF(U16="","",IF(U17=0,"Technology unavailable in this year. Please revise",IF(INDEX('Background (from TC)'!$D:$D,MATCH(U16,'Background (from TC)'!$E:$E,0))=U15,"","Incompatible combination of Fuel and Technology")))</f>
        <v/>
      </c>
      <c r="V18" s="1135" t="str">
        <f>IF(V16="","",IF(V17=0,"Technology unavailable in this year. Please revise",IF(INDEX('Background (from TC)'!$D:$D,MATCH(V16,'Background (from TC)'!$E:$E,0))=V15,"","Incompatible combination of Fuel and Technology")))</f>
        <v/>
      </c>
      <c r="W18" s="1135" t="str">
        <f>IF(W16="","",IF(W17=0,"Technology unavailable in this year. Please revise",IF(INDEX('Background (from TC)'!$D:$D,MATCH(W16,'Background (from TC)'!$E:$E,0))=W15,"","Incompatible combination of Fuel and Technology")))</f>
        <v/>
      </c>
      <c r="X18" s="1135" t="str">
        <f>IF(X16="","",IF(X17=0,"Technology unavailable in this year. Please revise",IF(INDEX('Background (from TC)'!$D:$D,MATCH(X16,'Background (from TC)'!$E:$E,0))=X15,"","Incompatible combination of Fuel and Technology")))</f>
        <v/>
      </c>
      <c r="Y18" s="1135" t="str">
        <f>IF(Y16="","",IF(Y17=0,"Technology unavailable in this year. Please revise",IF(INDEX('Background (from TC)'!$D:$D,MATCH(Y16,'Background (from TC)'!$E:$E,0))=Y15,"","Incompatible combination of Fuel and Technology")))</f>
        <v/>
      </c>
      <c r="Z18" s="1135" t="str">
        <f>IF(Z16="","",IF(Z17=0,"Technology unavailable in this year. Please revise",IF(INDEX('Background (from TC)'!$D:$D,MATCH(Z16,'Background (from TC)'!$E:$E,0))=Z15,"","Incompatible combination of Fuel and Technology")))</f>
        <v/>
      </c>
    </row>
    <row r="19" spans="2:26">
      <c r="C19" s="19"/>
      <c r="D19" s="69"/>
      <c r="E19" s="19"/>
    </row>
    <row r="20" spans="2:26">
      <c r="C20" s="19"/>
      <c r="D20" s="69"/>
      <c r="E20" s="19"/>
    </row>
    <row r="21" spans="2:26" ht="15.75">
      <c r="B21" s="271" t="s">
        <v>44</v>
      </c>
      <c r="C21" s="19"/>
      <c r="D21" s="69"/>
      <c r="E21" s="19"/>
    </row>
    <row r="22" spans="2:26">
      <c r="B22" s="282" t="s">
        <v>45</v>
      </c>
      <c r="C22" s="44"/>
      <c r="D22" s="70"/>
      <c r="E22" s="44"/>
      <c r="F22" s="44"/>
      <c r="G22" s="44"/>
      <c r="H22" s="44"/>
      <c r="I22" s="44"/>
      <c r="J22" s="44"/>
      <c r="K22" s="44"/>
      <c r="L22" s="44"/>
      <c r="M22" s="44"/>
      <c r="N22" s="44"/>
      <c r="O22" s="44"/>
      <c r="P22" s="44"/>
      <c r="Q22" s="44"/>
      <c r="R22" s="44"/>
      <c r="S22" s="44"/>
      <c r="T22" s="44"/>
      <c r="U22" s="44"/>
      <c r="V22" s="44"/>
      <c r="W22" s="44"/>
      <c r="X22" s="44"/>
      <c r="Y22" s="44"/>
      <c r="Z22" s="44"/>
    </row>
    <row r="23" spans="2:26">
      <c r="B23" s="278" t="s">
        <v>47</v>
      </c>
      <c r="C23" s="41"/>
      <c r="D23" s="71"/>
      <c r="E23" s="19"/>
    </row>
    <row r="24" spans="2:26">
      <c r="B24" s="278" t="s">
        <v>48</v>
      </c>
      <c r="C24" s="42" t="str">
        <f>IF(C22="","",IF(C22="User defined",C23,SUMIFS('Background (from TC)'!$AE$4:$AE$1048576,'Background (from TC)'!$D$4:$D$1048576,C$15,'Background (from TC)'!$E$4:$E$1048576,C$16,'Background (from TC)'!$O$4:$O$1048576,C$17)))</f>
        <v/>
      </c>
      <c r="D24" s="71" t="str">
        <f>IF(D22="","",IF(D22="User defined",D23,SUMIFS('Background (from TC)'!$AE$4:$AE$1048576,'Background (from TC)'!$D$4:$D$1048576,D$15,'Background (from TC)'!$E$4:$E$1048576,D$16,'Background (from TC)'!$O$4:$O$1048576,D$17)))</f>
        <v/>
      </c>
      <c r="E24" s="42" t="str">
        <f>IF(E22="","",IF(E22="User defined",E23,SUMIFS('Background (from TC)'!$AE$4:$AE$1048576,'Background (from TC)'!$D$4:$D$1048576,E$15,'Background (from TC)'!$E$4:$E$1048576,E$16,'Background (from TC)'!$O$4:$O$1048576,E$17)))</f>
        <v/>
      </c>
      <c r="F24" s="42" t="str">
        <f>IF(F22="","",IF(F22="User defined",F23,SUMIFS('Background (from TC)'!$AE$4:$AE$1048576,'Background (from TC)'!$D$4:$D$1048576,F$15,'Background (from TC)'!$E$4:$E$1048576,F$16,'Background (from TC)'!$O$4:$O$1048576,F$17)))</f>
        <v/>
      </c>
      <c r="G24" s="42" t="str">
        <f>IF(G22="","",IF(G22="User defined",G23,SUMIFS('Background (from TC)'!$AE$4:$AE$1048576,'Background (from TC)'!$D$4:$D$1048576,G$15,'Background (from TC)'!$E$4:$E$1048576,G$16,'Background (from TC)'!$O$4:$O$1048576,G$17)))</f>
        <v/>
      </c>
      <c r="H24" s="42" t="str">
        <f>IF(H22="","",IF(H22="User defined",H23,SUMIFS('Background (from TC)'!$AE$4:$AE$1048576,'Background (from TC)'!$D$4:$D$1048576,H$15,'Background (from TC)'!$E$4:$E$1048576,H$16,'Background (from TC)'!$O$4:$O$1048576,H$17)))</f>
        <v/>
      </c>
      <c r="I24" s="42" t="str">
        <f>IF(I22="","",IF(I22="User defined",I23,SUMIFS('Background (from TC)'!$AE$4:$AE$1048576,'Background (from TC)'!$D$4:$D$1048576,I$15,'Background (from TC)'!$E$4:$E$1048576,I$16,'Background (from TC)'!$O$4:$O$1048576,I$17)))</f>
        <v/>
      </c>
      <c r="J24" s="42" t="str">
        <f>IF(J22="","",IF(J22="User defined",J23,SUMIFS('Background (from TC)'!$AE$4:$AE$1048576,'Background (from TC)'!$D$4:$D$1048576,J$15,'Background (from TC)'!$E$4:$E$1048576,J$16,'Background (from TC)'!$O$4:$O$1048576,J$17)))</f>
        <v/>
      </c>
      <c r="K24" s="42" t="str">
        <f>IF(K22="","",IF(K22="User defined",K23,SUMIFS('Background (from TC)'!$AE$4:$AE$1048576,'Background (from TC)'!$D$4:$D$1048576,K$15,'Background (from TC)'!$E$4:$E$1048576,K$16,'Background (from TC)'!$O$4:$O$1048576,K$17)))</f>
        <v/>
      </c>
      <c r="L24" s="42" t="str">
        <f>IF(L22="","",IF(L22="User defined",L23,SUMIFS('Background (from TC)'!$AE$4:$AE$1048576,'Background (from TC)'!$D$4:$D$1048576,L$15,'Background (from TC)'!$E$4:$E$1048576,L$16,'Background (from TC)'!$O$4:$O$1048576,L$17)))</f>
        <v/>
      </c>
      <c r="M24" s="42" t="str">
        <f>IF(M22="","",IF(M22="User defined",M23,SUMIFS('Background (from TC)'!$AE$4:$AE$1048576,'Background (from TC)'!$D$4:$D$1048576,M$15,'Background (from TC)'!$E$4:$E$1048576,M$16,'Background (from TC)'!$O$4:$O$1048576,M$17)))</f>
        <v/>
      </c>
      <c r="N24" s="42" t="str">
        <f>IF(N22="","",IF(N22="User defined",N23,SUMIFS('Background (from TC)'!$AE$4:$AE$1048576,'Background (from TC)'!$D$4:$D$1048576,N$15,'Background (from TC)'!$E$4:$E$1048576,N$16,'Background (from TC)'!$O$4:$O$1048576,N$17)))</f>
        <v/>
      </c>
      <c r="O24" s="42" t="str">
        <f>IF(O22="","",IF(O22="User defined",O23,SUMIFS('Background (from TC)'!$AE$4:$AE$1048576,'Background (from TC)'!$D$4:$D$1048576,O$15,'Background (from TC)'!$E$4:$E$1048576,O$16,'Background (from TC)'!$O$4:$O$1048576,O$17)))</f>
        <v/>
      </c>
      <c r="P24" s="42" t="str">
        <f>IF(P22="","",IF(P22="User defined",P23,SUMIFS('Background (from TC)'!$AE$4:$AE$1048576,'Background (from TC)'!$D$4:$D$1048576,P$15,'Background (from TC)'!$E$4:$E$1048576,P$16,'Background (from TC)'!$O$4:$O$1048576,P$17)))</f>
        <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t="str">
        <f t="shared" ref="C25:Z25" si="0">IF(C22="","",-PMT(C24,$C$13,1))</f>
        <v/>
      </c>
      <c r="D25" s="72" t="str">
        <f t="shared" si="0"/>
        <v/>
      </c>
      <c r="E25" s="41" t="str">
        <f t="shared" si="0"/>
        <v/>
      </c>
      <c r="F25" s="41" t="str">
        <f t="shared" si="0"/>
        <v/>
      </c>
      <c r="G25" s="41" t="str">
        <f t="shared" si="0"/>
        <v/>
      </c>
      <c r="H25" s="41" t="str">
        <f t="shared" si="0"/>
        <v/>
      </c>
      <c r="I25" s="41" t="str">
        <f t="shared" si="0"/>
        <v/>
      </c>
      <c r="J25" s="41" t="str">
        <f t="shared" si="0"/>
        <v/>
      </c>
      <c r="K25" s="41" t="str">
        <f t="shared" si="0"/>
        <v/>
      </c>
      <c r="L25" s="41" t="str">
        <f t="shared" si="0"/>
        <v/>
      </c>
      <c r="M25" s="41" t="str">
        <f t="shared" si="0"/>
        <v/>
      </c>
      <c r="N25" s="41" t="str">
        <f t="shared" si="0"/>
        <v/>
      </c>
      <c r="O25" s="41" t="str">
        <f t="shared" si="0"/>
        <v/>
      </c>
      <c r="P25" s="41" t="str">
        <f t="shared" si="0"/>
        <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73"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272"/>
      <c r="D27" s="67"/>
    </row>
    <row r="28" spans="2:26">
      <c r="B28" s="278" t="s">
        <v>50</v>
      </c>
      <c r="C28" s="61" t="str">
        <f>IF(C22="","",SUMIFS('Background (from TC)'!$F$4:$F$1048576,'Background (from TC)'!$D$4:$D$1048576,C$15,'Background (from TC)'!$E$4:$E$1048576,C$16,'Background (from TC)'!$O$4:$O$1048576,C$17))</f>
        <v/>
      </c>
      <c r="D28" s="404" t="str">
        <f>IF(D22="","",SUMIFS('Background (from TC)'!$F$4:$F$1048576,'Background (from TC)'!$D$4:$D$1048576,D$15,'Background (from TC)'!$E$4:$E$1048576,D$16,'Background (from TC)'!$O$4:$O$1048576,D$17))</f>
        <v/>
      </c>
      <c r="E28" s="61" t="str">
        <f>IF(E22="","",SUMIFS('Background (from TC)'!$F$4:$F$1048576,'Background (from TC)'!$D$4:$D$1048576,E$15,'Background (from TC)'!$E$4:$E$1048576,E$16,'Background (from TC)'!$O$4:$O$1048576,E$17))</f>
        <v/>
      </c>
      <c r="F28" s="61" t="str">
        <f>IF(F22="","",SUMIFS('Background (from TC)'!$F$4:$F$1048576,'Background (from TC)'!$D$4:$D$1048576,F$15,'Background (from TC)'!$E$4:$E$1048576,F$16,'Background (from TC)'!$O$4:$O$1048576,F$17))</f>
        <v/>
      </c>
      <c r="G28" s="61" t="str">
        <f>IF(G22="","",SUMIFS('Background (from TC)'!$F$4:$F$1048576,'Background (from TC)'!$D$4:$D$1048576,G$15,'Background (from TC)'!$E$4:$E$1048576,G$16,'Background (from TC)'!$O$4:$O$1048576,G$17))</f>
        <v/>
      </c>
      <c r="H28" s="61" t="str">
        <f>IF(H22="","",SUMIFS('Background (from TC)'!$F$4:$F$1048576,'Background (from TC)'!$D$4:$D$1048576,H$15,'Background (from TC)'!$E$4:$E$1048576,H$16,'Background (from TC)'!$O$4:$O$1048576,H$17))</f>
        <v/>
      </c>
      <c r="I28" s="61" t="str">
        <f>IF(I22="","",SUMIFS('Background (from TC)'!$F$4:$F$1048576,'Background (from TC)'!$D$4:$D$1048576,I$15,'Background (from TC)'!$E$4:$E$1048576,I$16,'Background (from TC)'!$O$4:$O$1048576,I$17))</f>
        <v/>
      </c>
      <c r="J28" s="61" t="str">
        <f>IF(J22="","",SUMIFS('Background (from TC)'!$F$4:$F$1048576,'Background (from TC)'!$D$4:$D$1048576,J$15,'Background (from TC)'!$E$4:$E$1048576,J$16,'Background (from TC)'!$O$4:$O$1048576,J$17))</f>
        <v/>
      </c>
      <c r="K28" s="61" t="str">
        <f>IF(K22="","",SUMIFS('Background (from TC)'!$F$4:$F$1048576,'Background (from TC)'!$D$4:$D$1048576,K$15,'Background (from TC)'!$E$4:$E$1048576,K$16,'Background (from TC)'!$O$4:$O$1048576,K$17))</f>
        <v/>
      </c>
      <c r="L28" s="61" t="str">
        <f>IF(L22="","",SUMIFS('Background (from TC)'!$F$4:$F$1048576,'Background (from TC)'!$D$4:$D$1048576,L$15,'Background (from TC)'!$E$4:$E$1048576,L$16,'Background (from TC)'!$O$4:$O$1048576,L$17))</f>
        <v/>
      </c>
      <c r="M28" s="61" t="str">
        <f>IF(M22="","",SUMIFS('Background (from TC)'!$F$4:$F$1048576,'Background (from TC)'!$D$4:$D$1048576,M$15,'Background (from TC)'!$E$4:$E$1048576,M$16,'Background (from TC)'!$O$4:$O$1048576,M$17))</f>
        <v/>
      </c>
      <c r="N28" s="61" t="str">
        <f>IF(N22="","",SUMIFS('Background (from TC)'!$F$4:$F$1048576,'Background (from TC)'!$D$4:$D$1048576,N$15,'Background (from TC)'!$E$4:$E$1048576,N$16,'Background (from TC)'!$O$4:$O$1048576,N$17))</f>
        <v/>
      </c>
      <c r="O28" s="61" t="str">
        <f>IF(O22="","",SUMIFS('Background (from TC)'!$F$4:$F$1048576,'Background (from TC)'!$D$4:$D$1048576,O$15,'Background (from TC)'!$E$4:$E$1048576,O$16,'Background (from TC)'!$O$4:$O$1048576,O$17))</f>
        <v/>
      </c>
      <c r="P28" s="61" t="str">
        <f>IF(P22="","",SUMIFS('Background (from TC)'!$F$4:$F$1048576,'Background (from TC)'!$D$4:$D$1048576,P$15,'Background (from TC)'!$E$4:$E$1048576,P$16,'Background (from TC)'!$O$4:$O$1048576,P$17))</f>
        <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t="str">
        <f>IF(C22="","",(1+$C$10)^($C$9-C28))</f>
        <v/>
      </c>
      <c r="D29" s="403" t="str">
        <f t="shared" ref="D29:Z29" si="2">IF(D22="","",(1+$C$10)^($C$9-D28))</f>
        <v/>
      </c>
      <c r="E29" s="402" t="str">
        <f t="shared" si="2"/>
        <v/>
      </c>
      <c r="F29" s="402" t="str">
        <f t="shared" si="2"/>
        <v/>
      </c>
      <c r="G29" s="402" t="str">
        <f t="shared" si="2"/>
        <v/>
      </c>
      <c r="H29" s="402" t="str">
        <f t="shared" si="2"/>
        <v/>
      </c>
      <c r="I29" s="402" t="str">
        <f t="shared" si="2"/>
        <v/>
      </c>
      <c r="J29" s="402" t="str">
        <f t="shared" si="2"/>
        <v/>
      </c>
      <c r="K29" s="402" t="str">
        <f t="shared" si="2"/>
        <v/>
      </c>
      <c r="L29" s="402" t="str">
        <f t="shared" si="2"/>
        <v/>
      </c>
      <c r="M29" s="402" t="str">
        <f t="shared" si="2"/>
        <v/>
      </c>
      <c r="N29" s="402" t="str">
        <f t="shared" si="2"/>
        <v/>
      </c>
      <c r="O29" s="402" t="str">
        <f t="shared" si="2"/>
        <v/>
      </c>
      <c r="P29" s="402" t="str">
        <f t="shared" si="2"/>
        <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
      <c r="D30" s="67"/>
    </row>
    <row r="31" spans="2:26" ht="15.75">
      <c r="B31" s="286" t="s">
        <v>52</v>
      </c>
      <c r="D31" s="67"/>
    </row>
    <row r="32" spans="2:26">
      <c r="B32" s="278" t="s">
        <v>53</v>
      </c>
      <c r="C32" s="19"/>
      <c r="D32" s="69"/>
      <c r="E32" s="19"/>
    </row>
    <row r="33" spans="1:27">
      <c r="B33" s="278" t="s">
        <v>55</v>
      </c>
      <c r="C33" s="43"/>
      <c r="D33" s="74"/>
      <c r="E33" s="43"/>
      <c r="F33" s="43"/>
      <c r="G33" s="43"/>
      <c r="H33" s="43"/>
      <c r="I33" s="43"/>
      <c r="J33" s="43"/>
      <c r="K33" s="43"/>
      <c r="L33" s="43"/>
      <c r="M33" s="43"/>
      <c r="N33" s="43"/>
      <c r="O33" s="43"/>
      <c r="P33" s="43"/>
      <c r="Q33" s="43"/>
      <c r="R33" s="43"/>
      <c r="S33" s="43"/>
      <c r="T33" s="43"/>
      <c r="U33" s="43"/>
      <c r="V33" s="43"/>
      <c r="W33" s="43"/>
      <c r="X33" s="43"/>
      <c r="Y33" s="43"/>
      <c r="Z33" s="43"/>
    </row>
    <row r="34" spans="1:27" ht="15.75" thickBot="1">
      <c r="B34" s="278" t="s">
        <v>56</v>
      </c>
      <c r="C34" s="266"/>
      <c r="D34" s="246" t="str">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
      </c>
      <c r="E34" s="246" t="str">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
      </c>
      <c r="F34" s="246" t="str">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
      </c>
      <c r="G34" s="246" t="str">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
      </c>
      <c r="H34" s="246" t="str">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
      </c>
      <c r="I34" s="246" t="str">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
      </c>
      <c r="J34" s="246" t="str">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
      </c>
      <c r="K34" s="246" t="str">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
      </c>
      <c r="L34" s="246" t="str">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
      </c>
      <c r="M34" s="246" t="str">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
      </c>
      <c r="N34" s="246" t="str">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
      </c>
      <c r="O34" s="246" t="str">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
      </c>
      <c r="P34" s="246" t="str">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
      </c>
      <c r="Q34" s="246"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246"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246" t="str">
        <f>IF(S32="","",IF(S32="User defined",S33,IF(SUMIFS('Background (from TC)'!$R$4:$R$1048576,'Background (from TC)'!$D$4:$D$1048576,S$15,'Background (from TC)'!$E$4:$E$1048576,S$16,'Background (from TC)'!$O$4:$O$1048576,S$17)=0,4000,SUMIFS('Background (from TC)'!$R$4:$R$1048576,'Background (from TC)'!$D$4:$D$1048576,S$15,'Background (from TC)'!$E$4:$E$1048576,S$16,'Background (from TC)'!$O$4:$O$1048576,S$17))))</f>
        <v/>
      </c>
      <c r="T34" s="246" t="str">
        <f>IF(T32="","",IF(T32="User defined",T33,IF(SUMIFS('Background (from TC)'!$R$4:$R$1048576,'Background (from TC)'!$D$4:$D$1048576,T$15,'Background (from TC)'!$E$4:$E$1048576,T$16,'Background (from TC)'!$O$4:$O$1048576,T$17)=0,4000,SUMIFS('Background (from TC)'!$R$4:$R$1048576,'Background (from TC)'!$D$4:$D$1048576,T$15,'Background (from TC)'!$E$4:$E$1048576,T$16,'Background (from TC)'!$O$4:$O$1048576,T$17))))</f>
        <v/>
      </c>
      <c r="U34" s="246"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246"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246"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246"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246"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246"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1:27" ht="15.75" thickBot="1">
      <c r="B35" s="273" t="s">
        <v>43</v>
      </c>
      <c r="C35" s="258" t="str">
        <f>IF(AND(C32="User defined",C33=""),"Insert value above",IF(AND(C32="User defined",OR(C33&lt;0,C33&gt;8760)),"Value should be between 0 and 8760",""))</f>
        <v/>
      </c>
      <c r="D35" s="257" t="str">
        <f>IF(AND(D32="User defined",D33=""),"Insert value above",IF(AND(D32="User defined",OR(D33&lt;0,D33&gt;8760)),"Value should be between 0 and 8760",IF(AND(D32="Generic",OR(D34=0,NOT(ISNUMBER(D34)))),"Absence of generic data, please switch to User Defined and insert FLHs","")))</f>
        <v/>
      </c>
      <c r="E35" s="258" t="str">
        <f t="shared" ref="E35:Z35" si="3">IF(AND(E32="User defined",E33=""),"Insert value above",IF(AND(E32="User defined",OR(E33&lt;0,E33&gt;8760)),"Value should be between 0 and 8760",IF(AND(E32="Generic",OR(E34=0,NOT(ISNUMBER(E34)))),"Absence of generic data, please switch to User Defined and insert FLHs","")))</f>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9" t="str">
        <f t="shared" si="3"/>
        <v/>
      </c>
    </row>
    <row r="36" spans="1:27">
      <c r="B36" s="15"/>
      <c r="C36" s="274"/>
      <c r="D36" s="275"/>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1:27" ht="15.75">
      <c r="B37" s="286" t="s">
        <v>57</v>
      </c>
      <c r="C37" s="19"/>
      <c r="D37" s="69"/>
      <c r="E37" s="19"/>
    </row>
    <row r="38" spans="1:27">
      <c r="B38" s="282" t="s">
        <v>58</v>
      </c>
      <c r="C38" s="44"/>
      <c r="D38" s="70"/>
      <c r="E38" s="44"/>
      <c r="F38" s="44"/>
      <c r="G38" s="44"/>
      <c r="H38" s="44"/>
      <c r="I38" s="44"/>
      <c r="J38" s="44"/>
      <c r="K38" s="44"/>
      <c r="L38" s="44"/>
      <c r="M38" s="44"/>
      <c r="N38" s="44"/>
      <c r="O38" s="44"/>
      <c r="P38" s="44"/>
      <c r="Q38" s="44"/>
      <c r="R38" s="44"/>
      <c r="S38" s="44"/>
      <c r="T38" s="44"/>
      <c r="U38" s="44"/>
      <c r="V38" s="44"/>
      <c r="W38" s="44"/>
      <c r="X38" s="44"/>
      <c r="Y38" s="44"/>
      <c r="Z38" s="44"/>
    </row>
    <row r="39" spans="1:27">
      <c r="B39" s="278" t="s">
        <v>59</v>
      </c>
      <c r="C39" s="44">
        <v>4</v>
      </c>
      <c r="D39" s="70"/>
      <c r="E39" s="44"/>
      <c r="F39" s="44"/>
      <c r="G39" s="44"/>
      <c r="H39" s="44"/>
      <c r="I39" s="44"/>
      <c r="J39" s="44"/>
      <c r="K39" s="44"/>
      <c r="L39" s="44"/>
      <c r="M39" s="44"/>
      <c r="N39" s="44"/>
      <c r="O39" s="44"/>
      <c r="P39" s="44"/>
      <c r="Q39" s="44"/>
      <c r="R39" s="44"/>
      <c r="S39" s="44"/>
      <c r="T39" s="44"/>
      <c r="U39" s="44"/>
      <c r="V39" s="44"/>
      <c r="W39" s="44"/>
      <c r="X39" s="44"/>
      <c r="Y39" s="44"/>
      <c r="Z39" s="44"/>
    </row>
    <row r="40" spans="1:27">
      <c r="B40" s="278" t="s">
        <v>60</v>
      </c>
      <c r="C40" s="44">
        <v>0.5</v>
      </c>
      <c r="D40" s="70"/>
      <c r="E40" s="44"/>
      <c r="F40" s="44"/>
      <c r="G40" s="44"/>
      <c r="H40" s="44"/>
      <c r="I40" s="44"/>
      <c r="J40" s="44"/>
      <c r="K40" s="44"/>
      <c r="L40" s="44"/>
      <c r="M40" s="44"/>
      <c r="N40" s="44"/>
      <c r="O40" s="44"/>
      <c r="P40" s="44"/>
      <c r="Q40" s="44"/>
      <c r="R40" s="44"/>
      <c r="S40" s="44"/>
      <c r="T40" s="44"/>
      <c r="U40" s="44"/>
      <c r="V40" s="44"/>
      <c r="W40" s="44"/>
      <c r="X40" s="44"/>
      <c r="Y40" s="44"/>
      <c r="Z40" s="44"/>
    </row>
    <row r="41" spans="1:27">
      <c r="B41" s="278" t="s">
        <v>61</v>
      </c>
      <c r="C41" s="44">
        <v>0.5</v>
      </c>
      <c r="D41" s="70"/>
      <c r="E41" s="44"/>
      <c r="F41" s="44"/>
      <c r="G41" s="44"/>
      <c r="H41" s="44"/>
      <c r="I41" s="44"/>
      <c r="J41" s="44"/>
      <c r="K41" s="44"/>
      <c r="L41" s="44"/>
      <c r="M41" s="44"/>
      <c r="N41" s="44"/>
      <c r="O41" s="44"/>
      <c r="P41" s="44"/>
      <c r="Q41" s="44"/>
      <c r="R41" s="44"/>
      <c r="S41" s="44"/>
      <c r="T41" s="44"/>
      <c r="U41" s="44"/>
      <c r="V41" s="44"/>
      <c r="W41" s="44"/>
      <c r="X41" s="44"/>
      <c r="Y41" s="44"/>
      <c r="Z41" s="44"/>
    </row>
    <row r="42" spans="1:27">
      <c r="B42" s="278" t="s">
        <v>62</v>
      </c>
      <c r="C42" s="44" t="str">
        <f>IF(C15="","",IF(C15&lt;&gt;"Storage","",IF(C$38="User Defined",C$39,SUMIFS('Background (from TC)'!$Y$4:$Y$1048576,'Background (from TC)'!$D$4:$D$1048576,C$15,'Background (from TC)'!$E$4:$E$1048576,C$16,'Background (from TC)'!$O$4:$O$1048576,C$17))))</f>
        <v/>
      </c>
      <c r="D42" s="70"/>
      <c r="E42" s="44"/>
      <c r="F42" s="44"/>
      <c r="G42" s="44"/>
      <c r="H42" s="44"/>
      <c r="I42" s="44"/>
      <c r="J42" s="44"/>
      <c r="K42" s="44"/>
      <c r="L42" s="44"/>
      <c r="M42" s="44"/>
      <c r="N42" s="44"/>
      <c r="O42" s="44"/>
      <c r="P42" s="44"/>
      <c r="Q42" s="44"/>
      <c r="R42" s="44"/>
      <c r="S42" s="44"/>
      <c r="T42" s="44"/>
      <c r="U42" s="44"/>
      <c r="V42" s="44"/>
      <c r="W42" s="44"/>
      <c r="X42" s="44"/>
      <c r="Y42" s="44"/>
      <c r="Z42" s="44"/>
    </row>
    <row r="43" spans="1:27">
      <c r="B43" s="278" t="s">
        <v>63</v>
      </c>
      <c r="C43" s="44" t="str">
        <f>IF(C15="","",IF(C15&lt;&gt;"Storage","",IF(C$38="User Defined",C$40,SUMIFS('Background (from TC)'!$Z$4:$Z$1048576,'Background (from TC)'!$D$4:$D$1048576,C$15,'Background (from TC)'!$E$4:$E$1048576,C$16,'Background (from TC)'!$O$4:$O$1048576,C$17))))</f>
        <v/>
      </c>
      <c r="D43" s="70"/>
      <c r="E43" s="44"/>
      <c r="F43" s="44"/>
      <c r="G43" s="44"/>
      <c r="H43" s="44"/>
      <c r="I43" s="44"/>
      <c r="J43" s="44"/>
      <c r="K43" s="44"/>
      <c r="L43" s="44"/>
      <c r="M43" s="44"/>
      <c r="N43" s="44"/>
      <c r="O43" s="44"/>
      <c r="P43" s="44"/>
      <c r="Q43" s="44"/>
      <c r="R43" s="44"/>
      <c r="S43" s="44"/>
      <c r="T43" s="44"/>
      <c r="U43" s="44"/>
      <c r="V43" s="44"/>
      <c r="W43" s="44"/>
      <c r="X43" s="44"/>
      <c r="Y43" s="44"/>
      <c r="Z43" s="44"/>
    </row>
    <row r="44" spans="1:27">
      <c r="B44" s="278" t="s">
        <v>64</v>
      </c>
      <c r="C44" s="44" t="str">
        <f>IF(C16="","",IF(C15&lt;&gt;"Storage","",IF(C$38="User Defined",C$41,SUMIFS('Background (from TC)'!$AA$4:$AA$1048576,'Background (from TC)'!$D$4:$D$1048576,C$15,'Background (from TC)'!$E$4:$E$1048576,C$16,'Background (from TC)'!$O$4:$O$1048576,C$17))))</f>
        <v/>
      </c>
      <c r="D44" s="70"/>
      <c r="E44" s="44"/>
      <c r="F44" s="44"/>
      <c r="G44" s="44"/>
      <c r="H44" s="44"/>
      <c r="I44" s="44"/>
      <c r="J44" s="44"/>
      <c r="K44" s="44"/>
      <c r="L44" s="44"/>
      <c r="M44" s="44"/>
      <c r="N44" s="44"/>
      <c r="O44" s="44"/>
      <c r="P44" s="44"/>
      <c r="Q44" s="44"/>
      <c r="R44" s="44"/>
      <c r="S44" s="44"/>
      <c r="T44" s="44"/>
      <c r="U44" s="44"/>
      <c r="V44" s="44"/>
      <c r="W44" s="44"/>
      <c r="X44" s="44"/>
      <c r="Y44" s="44"/>
      <c r="Z44" s="44"/>
    </row>
    <row r="45" spans="1:27">
      <c r="B45" s="278" t="s">
        <v>65</v>
      </c>
      <c r="C45" s="64" t="str">
        <f>IF(C15="","",IF(C15&lt;&gt;"Storage","",C42/C43/SUMIFS('Background (from TC)'!$T$4:$T$1048576,'Background (from TC)'!$D$4:$D$1048576,C$15,'Background (from TC)'!$E$4:$E$1048576,C$16,'Background (from TC)'!$O$4:$O$1048576,C$17)))</f>
        <v/>
      </c>
      <c r="D45" s="75"/>
      <c r="E45" s="11"/>
      <c r="F45" s="11"/>
      <c r="G45" s="11"/>
      <c r="H45" s="11"/>
      <c r="I45" s="11"/>
      <c r="J45" s="11"/>
      <c r="K45" s="11"/>
      <c r="L45" s="11"/>
      <c r="M45" s="11"/>
      <c r="N45" s="11"/>
      <c r="O45" s="11"/>
      <c r="P45" s="11"/>
      <c r="Q45" s="11"/>
      <c r="R45" s="11"/>
      <c r="S45" s="11"/>
      <c r="T45" s="11"/>
      <c r="U45" s="11"/>
      <c r="V45" s="11"/>
      <c r="W45" s="11"/>
      <c r="X45" s="11"/>
      <c r="Y45" s="11"/>
      <c r="Z45" s="11"/>
    </row>
    <row r="46" spans="1:27">
      <c r="B46" s="278" t="s">
        <v>66</v>
      </c>
      <c r="C46" s="64" t="str">
        <f>IF(C15="","",IF(C15&lt;&gt;"Storage","",C42/C44))</f>
        <v/>
      </c>
      <c r="D46" s="75"/>
      <c r="E46" s="11"/>
      <c r="F46" s="11"/>
      <c r="G46" s="11"/>
      <c r="H46" s="11"/>
      <c r="I46" s="11"/>
      <c r="J46" s="11"/>
      <c r="K46" s="11"/>
      <c r="L46" s="11"/>
      <c r="M46" s="11"/>
      <c r="N46" s="11"/>
      <c r="O46" s="11"/>
      <c r="P46" s="11"/>
      <c r="Q46" s="11"/>
      <c r="R46" s="11"/>
      <c r="S46" s="11"/>
      <c r="T46" s="11"/>
      <c r="U46" s="11"/>
      <c r="V46" s="11"/>
      <c r="W46" s="11"/>
      <c r="X46" s="11"/>
      <c r="Y46" s="11"/>
      <c r="Z46" s="11"/>
    </row>
    <row r="47" spans="1:27">
      <c r="B47" s="278" t="s">
        <v>67</v>
      </c>
      <c r="C47" s="64"/>
      <c r="D47" s="75"/>
      <c r="E47" s="11"/>
      <c r="F47" s="11"/>
      <c r="G47" s="11"/>
      <c r="H47" s="11"/>
      <c r="I47" s="11"/>
      <c r="J47" s="11"/>
      <c r="K47" s="11"/>
      <c r="L47" s="11"/>
      <c r="M47" s="11"/>
      <c r="N47" s="11"/>
      <c r="O47" s="11"/>
      <c r="P47" s="11"/>
      <c r="Q47" s="11"/>
      <c r="R47" s="11"/>
      <c r="S47" s="11"/>
      <c r="T47" s="11"/>
      <c r="U47" s="11"/>
      <c r="V47" s="11"/>
      <c r="W47" s="11"/>
      <c r="X47" s="11"/>
      <c r="Y47" s="11"/>
      <c r="Z47" s="11"/>
    </row>
    <row r="48" spans="1:27" s="298" customFormat="1">
      <c r="A48" s="3"/>
      <c r="B48" s="278" t="s">
        <v>68</v>
      </c>
      <c r="C48" s="295"/>
      <c r="D48" s="296"/>
      <c r="E48" s="13"/>
      <c r="F48" s="13"/>
      <c r="G48" s="13"/>
      <c r="H48" s="13"/>
      <c r="I48" s="13"/>
      <c r="J48" s="13"/>
      <c r="K48" s="13"/>
      <c r="L48" s="13"/>
      <c r="M48" s="13"/>
      <c r="N48" s="13"/>
      <c r="O48" s="13"/>
      <c r="P48" s="13"/>
      <c r="Q48" s="13"/>
      <c r="R48" s="13"/>
      <c r="S48" s="13"/>
      <c r="T48" s="13"/>
      <c r="U48" s="13"/>
      <c r="V48" s="13"/>
      <c r="W48" s="13"/>
      <c r="X48" s="13"/>
      <c r="Y48" s="13"/>
      <c r="Z48" s="13"/>
      <c r="AA48" s="297"/>
    </row>
    <row r="49" spans="1:26">
      <c r="B49" s="278" t="s">
        <v>69</v>
      </c>
      <c r="C49" s="64" t="str">
        <f>IF(C15&lt;&gt;"Storage","",IFERROR(IF(C38="User defined",C47*IF(C48="",100%,C48),24/SUM(C45:C46)*365*100%),""))</f>
        <v/>
      </c>
      <c r="D49" s="76"/>
      <c r="E49" s="64"/>
      <c r="F49" s="64"/>
      <c r="G49" s="64"/>
      <c r="H49" s="64"/>
      <c r="I49" s="64"/>
      <c r="J49" s="64"/>
      <c r="K49" s="64"/>
      <c r="L49" s="64"/>
      <c r="M49" s="64"/>
      <c r="N49" s="64"/>
      <c r="O49" s="64"/>
      <c r="P49" s="64"/>
      <c r="Q49" s="64"/>
      <c r="R49" s="64"/>
      <c r="S49" s="64"/>
      <c r="T49" s="64"/>
      <c r="U49" s="64"/>
      <c r="V49" s="64"/>
      <c r="W49" s="64"/>
      <c r="X49" s="64"/>
      <c r="Y49" s="64"/>
      <c r="Z49" s="64"/>
    </row>
    <row r="50" spans="1:26">
      <c r="B50" s="278" t="s">
        <v>159</v>
      </c>
      <c r="C50" s="64" t="str">
        <f>IF(C15&lt;&gt;"Storage","",C49*C44*C46*C54)</f>
        <v/>
      </c>
      <c r="D50" s="76"/>
      <c r="E50" s="64"/>
      <c r="F50" s="64"/>
      <c r="G50" s="64"/>
      <c r="H50" s="64"/>
      <c r="I50" s="64"/>
      <c r="J50" s="64"/>
      <c r="K50" s="64"/>
      <c r="L50" s="64"/>
      <c r="M50" s="64"/>
      <c r="N50" s="64"/>
      <c r="O50" s="64"/>
      <c r="P50" s="64"/>
      <c r="Q50" s="64"/>
      <c r="R50" s="64"/>
      <c r="S50" s="64"/>
      <c r="T50" s="64"/>
      <c r="U50" s="64"/>
      <c r="V50" s="64"/>
      <c r="W50" s="64"/>
      <c r="X50" s="64"/>
      <c r="Y50" s="64"/>
      <c r="Z50" s="64"/>
    </row>
    <row r="51" spans="1:26">
      <c r="B51" s="278" t="s">
        <v>71</v>
      </c>
      <c r="C51" s="64" t="str">
        <f>IF(OR(C15="",C15&lt;&gt;"Storage"),"",SUMIFS('Background (from TC)'!$X$4:$X$1048576,'Background (from TC)'!$D$4:$D$1048576,C$15,'Background (from TC)'!$E$4:$E$1048576,C$16,'Background (from TC)'!$O$4:$O$1048576,C$17))</f>
        <v/>
      </c>
      <c r="D51" s="76"/>
      <c r="E51" s="64"/>
      <c r="F51" s="64"/>
      <c r="G51" s="64"/>
      <c r="H51" s="64"/>
      <c r="I51" s="64"/>
      <c r="J51" s="64"/>
      <c r="K51" s="64"/>
      <c r="L51" s="64"/>
      <c r="M51" s="64"/>
      <c r="N51" s="64"/>
      <c r="O51" s="64"/>
      <c r="P51" s="64"/>
      <c r="Q51" s="64"/>
      <c r="R51" s="64"/>
      <c r="S51" s="64"/>
      <c r="T51" s="64"/>
      <c r="U51" s="64"/>
      <c r="V51" s="64"/>
      <c r="W51" s="64"/>
      <c r="X51" s="64"/>
      <c r="Y51" s="64"/>
      <c r="Z51" s="64"/>
    </row>
    <row r="52" spans="1:26">
      <c r="B52" s="278" t="s">
        <v>72</v>
      </c>
      <c r="C52" s="64" t="str">
        <f>IF(C51="","",C51/C$13)</f>
        <v/>
      </c>
      <c r="D52" s="76"/>
      <c r="E52" s="64"/>
      <c r="F52" s="64"/>
      <c r="G52" s="64"/>
      <c r="H52" s="64"/>
      <c r="I52" s="64"/>
      <c r="J52" s="64"/>
      <c r="K52" s="64"/>
      <c r="L52" s="64"/>
      <c r="M52" s="64"/>
      <c r="N52" s="64"/>
      <c r="O52" s="64"/>
      <c r="P52" s="64"/>
      <c r="Q52" s="64"/>
      <c r="R52" s="64"/>
      <c r="S52" s="64"/>
      <c r="T52" s="64"/>
      <c r="U52" s="64"/>
      <c r="V52" s="64"/>
      <c r="W52" s="64"/>
      <c r="X52" s="64"/>
      <c r="Y52" s="64"/>
      <c r="Z52" s="64"/>
    </row>
    <row r="53" spans="1:26">
      <c r="B53" s="278" t="s">
        <v>160</v>
      </c>
      <c r="C53" s="41" t="str">
        <f>IF(OR(C15="",C15&lt;&gt;"Storage"),"",SUMIFS('Background (from TC)'!$T$4:$T$1048576,'Background (from TC)'!$D$4:$D$1048576,C$15,'Background (from TC)'!$E$4:$E$1048576,C$16,'Background (from TC)'!$O$4:$O$1048576,C$17))</f>
        <v/>
      </c>
      <c r="D53" s="72"/>
      <c r="E53" s="41"/>
      <c r="F53" s="41"/>
      <c r="G53" s="41"/>
      <c r="H53" s="41"/>
      <c r="I53" s="41"/>
      <c r="J53" s="41"/>
      <c r="K53" s="41"/>
      <c r="L53" s="41"/>
      <c r="M53" s="41"/>
      <c r="N53" s="41"/>
      <c r="O53" s="41"/>
      <c r="P53" s="41"/>
      <c r="Q53" s="41"/>
      <c r="R53" s="41"/>
      <c r="S53" s="41"/>
      <c r="T53" s="41"/>
      <c r="U53" s="41"/>
      <c r="V53" s="41"/>
      <c r="W53" s="41"/>
      <c r="X53" s="41"/>
      <c r="Y53" s="41"/>
      <c r="Z53" s="41"/>
    </row>
    <row r="54" spans="1:26" ht="15.75" thickBot="1">
      <c r="B54" s="278" t="s">
        <v>161</v>
      </c>
      <c r="C54" s="41" t="str">
        <f>IF(OR(C15="",C15&lt;&gt;"Storage"),"",SUMIFS('Background (from TC)'!$U$4:$U$1048576,'Background (from TC)'!$D$4:$D$1048576,C$15,'Background (from TC)'!$E$4:$E$1048576,C$16,'Background (from TC)'!$O$4:$O$1048576,C$17))</f>
        <v/>
      </c>
      <c r="D54" s="72"/>
      <c r="E54" s="41"/>
      <c r="F54" s="41"/>
      <c r="G54" s="41"/>
      <c r="H54" s="41"/>
      <c r="I54" s="41"/>
      <c r="J54" s="41"/>
      <c r="K54" s="41"/>
      <c r="L54" s="41"/>
      <c r="M54" s="41"/>
      <c r="N54" s="41"/>
      <c r="O54" s="41"/>
      <c r="P54" s="41"/>
      <c r="Q54" s="41"/>
      <c r="R54" s="41"/>
      <c r="S54" s="41"/>
      <c r="T54" s="41"/>
      <c r="U54" s="41"/>
      <c r="V54" s="41"/>
      <c r="W54" s="41"/>
      <c r="X54" s="41"/>
      <c r="Y54" s="41"/>
      <c r="Z54" s="41"/>
    </row>
    <row r="55" spans="1:26" ht="15.75" thickBot="1">
      <c r="B55" s="273" t="s">
        <v>43</v>
      </c>
      <c r="C55" s="65" t="str">
        <f t="shared" ref="C55:Z55" si="4">IF(C52&lt;C47,"Annual cycles exceed feasible","")</f>
        <v/>
      </c>
      <c r="D55" s="77" t="str">
        <f t="shared" si="4"/>
        <v/>
      </c>
      <c r="E55" s="65" t="str">
        <f t="shared" si="4"/>
        <v/>
      </c>
      <c r="F55" s="65" t="str">
        <f t="shared" si="4"/>
        <v/>
      </c>
      <c r="G55" s="65" t="str">
        <f t="shared" si="4"/>
        <v/>
      </c>
      <c r="H55" s="65" t="str">
        <f t="shared" si="4"/>
        <v/>
      </c>
      <c r="I55" s="65" t="str">
        <f t="shared" si="4"/>
        <v/>
      </c>
      <c r="J55" s="65" t="str">
        <f t="shared" si="4"/>
        <v/>
      </c>
      <c r="K55" s="65" t="str">
        <f t="shared" si="4"/>
        <v/>
      </c>
      <c r="L55" s="65" t="str">
        <f t="shared" si="4"/>
        <v/>
      </c>
      <c r="M55" s="65" t="str">
        <f t="shared" si="4"/>
        <v/>
      </c>
      <c r="N55" s="65" t="str">
        <f t="shared" si="4"/>
        <v/>
      </c>
      <c r="O55" s="65" t="str">
        <f t="shared" si="4"/>
        <v/>
      </c>
      <c r="P55" s="65" t="str">
        <f t="shared" si="4"/>
        <v/>
      </c>
      <c r="Q55" s="65" t="str">
        <f t="shared" si="4"/>
        <v/>
      </c>
      <c r="R55" s="65" t="str">
        <f t="shared" si="4"/>
        <v/>
      </c>
      <c r="S55" s="65" t="str">
        <f t="shared" si="4"/>
        <v/>
      </c>
      <c r="T55" s="65" t="str">
        <f t="shared" si="4"/>
        <v/>
      </c>
      <c r="U55" s="65" t="str">
        <f t="shared" si="4"/>
        <v/>
      </c>
      <c r="V55" s="65" t="str">
        <f t="shared" si="4"/>
        <v/>
      </c>
      <c r="W55" s="65" t="str">
        <f t="shared" si="4"/>
        <v/>
      </c>
      <c r="X55" s="65" t="str">
        <f t="shared" si="4"/>
        <v/>
      </c>
      <c r="Y55" s="65" t="str">
        <f t="shared" si="4"/>
        <v/>
      </c>
      <c r="Z55" s="66" t="str">
        <f t="shared" si="4"/>
        <v/>
      </c>
    </row>
    <row r="56" spans="1:26">
      <c r="D56" s="67"/>
    </row>
    <row r="57" spans="1:26" ht="15.75">
      <c r="B57" s="286" t="s">
        <v>73</v>
      </c>
      <c r="C57" s="41"/>
      <c r="D57" s="71"/>
      <c r="E57" s="19"/>
    </row>
    <row r="58" spans="1:26">
      <c r="B58" s="282" t="s">
        <v>74</v>
      </c>
      <c r="C58" s="265"/>
      <c r="D58" s="19"/>
      <c r="E58" s="19"/>
    </row>
    <row r="59" spans="1:26">
      <c r="B59" s="278" t="s">
        <v>75</v>
      </c>
      <c r="C59" s="266"/>
      <c r="D59" s="43"/>
      <c r="E59" s="43"/>
      <c r="F59" s="43"/>
      <c r="G59" s="43"/>
      <c r="H59" s="43"/>
      <c r="I59" s="43"/>
      <c r="J59" s="43"/>
      <c r="K59" s="43"/>
      <c r="L59" s="43"/>
      <c r="M59" s="43"/>
      <c r="N59" s="43"/>
      <c r="O59" s="43"/>
      <c r="P59" s="43"/>
      <c r="Q59" s="43"/>
      <c r="R59" s="43"/>
      <c r="S59" s="43"/>
      <c r="T59" s="43"/>
      <c r="U59" s="43"/>
      <c r="V59" s="43"/>
      <c r="W59" s="43"/>
      <c r="X59" s="43"/>
      <c r="Y59" s="43"/>
      <c r="Z59" s="43"/>
    </row>
    <row r="60" spans="1:26">
      <c r="B60" s="278" t="s">
        <v>76</v>
      </c>
      <c r="C60" s="266" t="str">
        <f>IF(C58="","",IF(C58="User defined",C59,SUMIFS('Background (from TC)'!$M$4:$M$1048576,'Background (from TC)'!$D$4:$D$1048576,C$15,'Background (from TC)'!$E$4:$E$1048576,C$16,'Background (from TC)'!$O$4:$O$1048576,C$17))*C29)</f>
        <v/>
      </c>
      <c r="D60" s="43" t="str">
        <f>IF(D58="","",IF(D58="User defined",D59,SUMIFS('Background (from TC)'!$M$4:$M$1048576,'Background (from TC)'!$D$4:$D$1048576,D$15,'Background (from TC)'!$E$4:$E$1048576,D$16,'Background (from TC)'!$O$4:$O$1048576,D$17))*D29)</f>
        <v/>
      </c>
      <c r="E60" s="43" t="str">
        <f>IF(E58="","",IF(E58="User defined",E59,SUMIFS('Background (from TC)'!$M$4:$M$1048576,'Background (from TC)'!$D$4:$D$1048576,E$15,'Background (from TC)'!$E$4:$E$1048576,E$16,'Background (from TC)'!$O$4:$O$1048576,E$17))*E29)</f>
        <v/>
      </c>
      <c r="F60" s="43" t="str">
        <f>IF(F58="","",IF(F58="User defined",F59,SUMIFS('Background (from TC)'!$M$4:$M$1048576,'Background (from TC)'!$D$4:$D$1048576,F$15,'Background (from TC)'!$E$4:$E$1048576,F$16,'Background (from TC)'!$O$4:$O$1048576,F$17))*F29)</f>
        <v/>
      </c>
      <c r="G60" s="43" t="str">
        <f>IF(G58="","",IF(G58="User defined",G59,SUMIFS('Background (from TC)'!$M$4:$M$1048576,'Background (from TC)'!$D$4:$D$1048576,G$15,'Background (from TC)'!$E$4:$E$1048576,G$16,'Background (from TC)'!$O$4:$O$1048576,G$17))*G29)</f>
        <v/>
      </c>
      <c r="H60" s="43" t="str">
        <f>IF(H58="","",IF(H58="User defined",H59,SUMIFS('Background (from TC)'!$M$4:$M$1048576,'Background (from TC)'!$D$4:$D$1048576,H$15,'Background (from TC)'!$E$4:$E$1048576,H$16,'Background (from TC)'!$O$4:$O$1048576,H$17))*H29)</f>
        <v/>
      </c>
      <c r="I60" s="43" t="str">
        <f>IF(I58="","",IF(I58="User defined",I59,SUMIFS('Background (from TC)'!$M$4:$M$1048576,'Background (from TC)'!$D$4:$D$1048576,I$15,'Background (from TC)'!$E$4:$E$1048576,I$16,'Background (from TC)'!$O$4:$O$1048576,I$17))*I29)</f>
        <v/>
      </c>
      <c r="J60" s="43" t="str">
        <f>IF(J58="","",IF(J58="User defined",J59,SUMIFS('Background (from TC)'!$M$4:$M$1048576,'Background (from TC)'!$D$4:$D$1048576,J$15,'Background (from TC)'!$E$4:$E$1048576,J$16,'Background (from TC)'!$O$4:$O$1048576,J$17))*J29)</f>
        <v/>
      </c>
      <c r="K60" s="43" t="str">
        <f>IF(K58="","",IF(K58="User defined",K59,SUMIFS('Background (from TC)'!$M$4:$M$1048576,'Background (from TC)'!$D$4:$D$1048576,K$15,'Background (from TC)'!$E$4:$E$1048576,K$16,'Background (from TC)'!$O$4:$O$1048576,K$17))*K29)</f>
        <v/>
      </c>
      <c r="L60" s="43" t="str">
        <f>IF(L58="","",IF(L58="User defined",L59,SUMIFS('Background (from TC)'!$M$4:$M$1048576,'Background (from TC)'!$D$4:$D$1048576,L$15,'Background (from TC)'!$E$4:$E$1048576,L$16,'Background (from TC)'!$O$4:$O$1048576,L$17))*L29)</f>
        <v/>
      </c>
      <c r="M60" s="43" t="str">
        <f>IF(M58="","",IF(M58="User defined",M59,SUMIFS('Background (from TC)'!$M$4:$M$1048576,'Background (from TC)'!$D$4:$D$1048576,M$15,'Background (from TC)'!$E$4:$E$1048576,M$16,'Background (from TC)'!$O$4:$O$1048576,M$17))*M29)</f>
        <v/>
      </c>
      <c r="N60" s="43" t="str">
        <f>IF(N58="","",IF(N58="User defined",N59,SUMIFS('Background (from TC)'!$M$4:$M$1048576,'Background (from TC)'!$D$4:$D$1048576,N$15,'Background (from TC)'!$E$4:$E$1048576,N$16,'Background (from TC)'!$O$4:$O$1048576,N$17))*N29)</f>
        <v/>
      </c>
      <c r="O60" s="43" t="str">
        <f>IF(O58="","",IF(O58="User defined",O59,SUMIFS('Background (from TC)'!$M$4:$M$1048576,'Background (from TC)'!$D$4:$D$1048576,O$15,'Background (from TC)'!$E$4:$E$1048576,O$16,'Background (from TC)'!$O$4:$O$1048576,O$17))*O29)</f>
        <v/>
      </c>
      <c r="P60" s="43" t="str">
        <f>IF(P58="","",IF(P58="User defined",P59,SUMIFS('Background (from TC)'!$M$4:$M$1048576,'Background (from TC)'!$D$4:$D$1048576,P$15,'Background (from TC)'!$E$4:$E$1048576,P$16,'Background (from TC)'!$O$4:$O$1048576,P$17))*P29)</f>
        <v/>
      </c>
      <c r="Q60" s="43" t="str">
        <f>IF(Q58="","",IF(Q58="User defined",Q59,SUMIFS('Background (from TC)'!$M$4:$M$1048576,'Background (from TC)'!$D$4:$D$1048576,Q$15,'Background (from TC)'!$E$4:$E$1048576,Q$16,'Background (from TC)'!$O$4:$O$1048576,Q$17))*Q29)</f>
        <v/>
      </c>
      <c r="R60" s="43" t="str">
        <f>IF(R58="","",IF(R58="User defined",R59,SUMIFS('Background (from TC)'!$M$4:$M$1048576,'Background (from TC)'!$D$4:$D$1048576,R$15,'Background (from TC)'!$E$4:$E$1048576,R$16,'Background (from TC)'!$O$4:$O$1048576,R$17))*R29)</f>
        <v/>
      </c>
      <c r="S60" s="43" t="str">
        <f>IF(S58="","",IF(S58="User defined",S59,SUMIFS('Background (from TC)'!$M$4:$M$1048576,'Background (from TC)'!$D$4:$D$1048576,S$15,'Background (from TC)'!$E$4:$E$1048576,S$16,'Background (from TC)'!$O$4:$O$1048576,S$17))*S29)</f>
        <v/>
      </c>
      <c r="T60" s="43" t="str">
        <f>IF(T58="","",IF(T58="User defined",T59,SUMIFS('Background (from TC)'!$M$4:$M$1048576,'Background (from TC)'!$D$4:$D$1048576,T$15,'Background (from TC)'!$E$4:$E$1048576,T$16,'Background (from TC)'!$O$4:$O$1048576,T$17))*T29)</f>
        <v/>
      </c>
      <c r="U60" s="43" t="str">
        <f>IF(U58="","",IF(U58="User defined",U59,SUMIFS('Background (from TC)'!$M$4:$M$1048576,'Background (from TC)'!$D$4:$D$1048576,U$15,'Background (from TC)'!$E$4:$E$1048576,U$16,'Background (from TC)'!$O$4:$O$1048576,U$17))*U29)</f>
        <v/>
      </c>
      <c r="V60" s="43" t="str">
        <f>IF(V58="","",IF(V58="User defined",V59,SUMIFS('Background (from TC)'!$M$4:$M$1048576,'Background (from TC)'!$D$4:$D$1048576,V$15,'Background (from TC)'!$E$4:$E$1048576,V$16,'Background (from TC)'!$O$4:$O$1048576,V$17))*V29)</f>
        <v/>
      </c>
      <c r="W60" s="43" t="str">
        <f>IF(W58="","",IF(W58="User defined",W59,SUMIFS('Background (from TC)'!$M$4:$M$1048576,'Background (from TC)'!$D$4:$D$1048576,W$15,'Background (from TC)'!$E$4:$E$1048576,W$16,'Background (from TC)'!$O$4:$O$1048576,W$17))*W29)</f>
        <v/>
      </c>
      <c r="X60" s="43" t="str">
        <f>IF(X58="","",IF(X58="User defined",X59,SUMIFS('Background (from TC)'!$M$4:$M$1048576,'Background (from TC)'!$D$4:$D$1048576,X$15,'Background (from TC)'!$E$4:$E$1048576,X$16,'Background (from TC)'!$O$4:$O$1048576,X$17))*X29)</f>
        <v/>
      </c>
      <c r="Y60" s="43" t="str">
        <f>IF(Y58="","",IF(Y58="User defined",Y59,SUMIFS('Background (from TC)'!$M$4:$M$1048576,'Background (from TC)'!$D$4:$D$1048576,Y$15,'Background (from TC)'!$E$4:$E$1048576,Y$16,'Background (from TC)'!$O$4:$O$1048576,Y$17))*Y29)</f>
        <v/>
      </c>
      <c r="Z60" s="43" t="str">
        <f>IF(Z58="","",IF(Z58="User defined",Z59,SUMIFS('Background (from TC)'!$M$4:$M$1048576,'Background (from TC)'!$D$4:$D$1048576,Z$15,'Background (from TC)'!$E$4:$E$1048576,Z$16,'Background (from TC)'!$O$4:$O$1048576,Z$17))*Z29)</f>
        <v/>
      </c>
    </row>
    <row r="61" spans="1:26" ht="30">
      <c r="A61"/>
      <c r="B61" s="280" t="s">
        <v>77</v>
      </c>
      <c r="C61" s="267" t="str">
        <f>IFERROR(IF(C15="","",SUMIFS('Background (from TC)'!$S$4:$S$1048576,'Background (from TC)'!$D$4:$D$1048576,C$15,'Background (from TC)'!$E$4:$E$1048576,C$16,'Background (from TC)'!$O$4:$O$1048576,C$17)),"")</f>
        <v/>
      </c>
      <c r="D61" s="41" t="str">
        <f>IFERROR(IF(D15="","",SUMIFS('Background (from TC)'!$S$4:$S$1048576,'Background (from TC)'!$D$4:$D$1048576,D$15,'Background (from TC)'!$E$4:$E$1048576,D$16,'Background (from TC)'!$O$4:$O$1048576,D$17)),"")</f>
        <v/>
      </c>
      <c r="E61" s="41" t="str">
        <f>IFERROR(IF(E15="","",SUMIFS('Background (from TC)'!$S$4:$S$1048576,'Background (from TC)'!$D$4:$D$1048576,E$15,'Background (from TC)'!$E$4:$E$1048576,E$16,'Background (from TC)'!$O$4:$O$1048576,E$17)),"")</f>
        <v/>
      </c>
      <c r="F61" s="41" t="str">
        <f>IFERROR(IF(F15="","",SUMIFS('Background (from TC)'!$S$4:$S$1048576,'Background (from TC)'!$D$4:$D$1048576,F$15,'Background (from TC)'!$E$4:$E$1048576,F$16,'Background (from TC)'!$O$4:$O$1048576,F$17)),"")</f>
        <v/>
      </c>
      <c r="G61" s="41" t="str">
        <f>IFERROR(IF(G15="","",SUMIFS('Background (from TC)'!$S$4:$S$1048576,'Background (from TC)'!$D$4:$D$1048576,G$15,'Background (from TC)'!$E$4:$E$1048576,G$16,'Background (from TC)'!$O$4:$O$1048576,G$17)),"")</f>
        <v/>
      </c>
      <c r="H61" s="41" t="str">
        <f>IFERROR(IF(H15="","",SUMIFS('Background (from TC)'!$S$4:$S$1048576,'Background (from TC)'!$D$4:$D$1048576,H$15,'Background (from TC)'!$E$4:$E$1048576,H$16,'Background (from TC)'!$O$4:$O$1048576,H$17)),"")</f>
        <v/>
      </c>
      <c r="I61" s="41" t="str">
        <f>IFERROR(IF(I15="","",SUMIFS('Background (from TC)'!$S$4:$S$1048576,'Background (from TC)'!$D$4:$D$1048576,I$15,'Background (from TC)'!$E$4:$E$1048576,I$16,'Background (from TC)'!$O$4:$O$1048576,I$17)),"")</f>
        <v/>
      </c>
      <c r="J61" s="41" t="str">
        <f>IFERROR(IF(J15="","",SUMIFS('Background (from TC)'!$S$4:$S$1048576,'Background (from TC)'!$D$4:$D$1048576,J$15,'Background (from TC)'!$E$4:$E$1048576,J$16,'Background (from TC)'!$O$4:$O$1048576,J$17)),"")</f>
        <v/>
      </c>
      <c r="K61" s="41" t="str">
        <f>IFERROR(IF(K15="","",SUMIFS('Background (from TC)'!$S$4:$S$1048576,'Background (from TC)'!$D$4:$D$1048576,K$15,'Background (from TC)'!$E$4:$E$1048576,K$16,'Background (from TC)'!$O$4:$O$1048576,K$17)),"")</f>
        <v/>
      </c>
      <c r="L61" s="41" t="str">
        <f>IFERROR(IF(L15="","",SUMIFS('Background (from TC)'!$S$4:$S$1048576,'Background (from TC)'!$D$4:$D$1048576,L$15,'Background (from TC)'!$E$4:$E$1048576,L$16,'Background (from TC)'!$O$4:$O$1048576,L$17)),"")</f>
        <v/>
      </c>
      <c r="M61" s="41" t="str">
        <f>IFERROR(IF(M15="","",SUMIFS('Background (from TC)'!$S$4:$S$1048576,'Background (from TC)'!$D$4:$D$1048576,M$15,'Background (from TC)'!$E$4:$E$1048576,M$16,'Background (from TC)'!$O$4:$O$1048576,M$17)),"")</f>
        <v/>
      </c>
      <c r="N61" s="41" t="str">
        <f>IFERROR(IF(N15="","",SUMIFS('Background (from TC)'!$S$4:$S$1048576,'Background (from TC)'!$D$4:$D$1048576,N$15,'Background (from TC)'!$E$4:$E$1048576,N$16,'Background (from TC)'!$O$4:$O$1048576,N$17)),"")</f>
        <v/>
      </c>
      <c r="O61" s="41" t="str">
        <f>IFERROR(IF(O15="","",SUMIFS('Background (from TC)'!$S$4:$S$1048576,'Background (from TC)'!$D$4:$D$1048576,O$15,'Background (from TC)'!$E$4:$E$1048576,O$16,'Background (from TC)'!$O$4:$O$1048576,O$17)),"")</f>
        <v/>
      </c>
      <c r="P61" s="41" t="str">
        <f>IFERROR(IF(P15="","",SUMIFS('Background (from TC)'!$S$4:$S$1048576,'Background (from TC)'!$D$4:$D$1048576,P$15,'Background (from TC)'!$E$4:$E$1048576,P$16,'Background (from TC)'!$O$4:$O$1048576,P$17)),"")</f>
        <v/>
      </c>
      <c r="Q61" s="41" t="str">
        <f>IFERROR(IF(Q15="","",SUMIFS('Background (from TC)'!$S$4:$S$1048576,'Background (from TC)'!$D$4:$D$1048576,Q$15,'Background (from TC)'!$E$4:$E$1048576,Q$16,'Background (from TC)'!$O$4:$O$1048576,Q$17)),"")</f>
        <v/>
      </c>
      <c r="R61" s="41" t="str">
        <f>IFERROR(IF(R15="","",SUMIFS('Background (from TC)'!$S$4:$S$1048576,'Background (from TC)'!$D$4:$D$1048576,R$15,'Background (from TC)'!$E$4:$E$1048576,R$16,'Background (from TC)'!$O$4:$O$1048576,R$17)),"")</f>
        <v/>
      </c>
      <c r="S61" s="41" t="str">
        <f>IFERROR(IF(S15="","",SUMIFS('Background (from TC)'!$S$4:$S$1048576,'Background (from TC)'!$D$4:$D$1048576,S$15,'Background (from TC)'!$E$4:$E$1048576,S$16,'Background (from TC)'!$O$4:$O$1048576,S$17)),"")</f>
        <v/>
      </c>
      <c r="T61" s="41" t="str">
        <f>IFERROR(IF(T15="","",SUMIFS('Background (from TC)'!$S$4:$S$1048576,'Background (from TC)'!$D$4:$D$1048576,T$15,'Background (from TC)'!$E$4:$E$1048576,T$16,'Background (from TC)'!$O$4:$O$1048576,T$17)),"")</f>
        <v/>
      </c>
      <c r="U61" s="41" t="str">
        <f>IFERROR(IF(U15="","",SUMIFS('Background (from TC)'!$S$4:$S$1048576,'Background (from TC)'!$D$4:$D$1048576,U$15,'Background (from TC)'!$E$4:$E$1048576,U$16,'Background (from TC)'!$O$4:$O$1048576,U$17)),"")</f>
        <v/>
      </c>
      <c r="V61" s="41" t="str">
        <f>IFERROR(IF(V15="","",SUMIFS('Background (from TC)'!$S$4:$S$1048576,'Background (from TC)'!$D$4:$D$1048576,V$15,'Background (from TC)'!$E$4:$E$1048576,V$16,'Background (from TC)'!$O$4:$O$1048576,V$17)),"")</f>
        <v/>
      </c>
      <c r="W61" s="41" t="str">
        <f>IFERROR(IF(W15="","",SUMIFS('Background (from TC)'!$S$4:$S$1048576,'Background (from TC)'!$D$4:$D$1048576,W$15,'Background (from TC)'!$E$4:$E$1048576,W$16,'Background (from TC)'!$O$4:$O$1048576,W$17)),"")</f>
        <v/>
      </c>
      <c r="X61" s="41" t="str">
        <f>IFERROR(IF(X15="","",SUMIFS('Background (from TC)'!$S$4:$S$1048576,'Background (from TC)'!$D$4:$D$1048576,X$15,'Background (from TC)'!$E$4:$E$1048576,X$16,'Background (from TC)'!$O$4:$O$1048576,X$17)),"")</f>
        <v/>
      </c>
      <c r="Y61" s="41" t="str">
        <f>IFERROR(IF(Y15="","",SUMIFS('Background (from TC)'!$S$4:$S$1048576,'Background (from TC)'!$D$4:$D$1048576,Y$15,'Background (from TC)'!$E$4:$E$1048576,Y$16,'Background (from TC)'!$O$4:$O$1048576,Y$17)),"")</f>
        <v/>
      </c>
      <c r="Z61" s="41" t="str">
        <f>IFERROR(IF(Z15="","",SUMIFS('Background (from TC)'!$S$4:$S$1048576,'Background (from TC)'!$D$4:$D$1048576,Z$15,'Background (from TC)'!$E$4:$E$1048576,Z$16,'Background (from TC)'!$O$4:$O$1048576,Z$17)),"")</f>
        <v/>
      </c>
    </row>
    <row r="62" spans="1:26" ht="15.75" thickBot="1">
      <c r="A62"/>
      <c r="B62" s="281" t="s">
        <v>78</v>
      </c>
      <c r="C62" s="268" t="str">
        <f>IF(C58="","",IFERROR(IF(C58="User defined",C59*3.6/C61,C60*3.6/C61),0))</f>
        <v/>
      </c>
      <c r="D62" s="56" t="str">
        <f>IFERROR(IF(D58="User defined",D59*3.6/D61,IF(D15="Storage",D60/D61,IF(SUMIFS('Background (from TC)'!$M$4:$M$1048576,'Background (from TC)'!$D$4:$D$1048576,D$15,'Background (from TC)'!$E$4:$E$1048576,D$16,'Background (from TC)'!$O$4:$O$1048576,D$17)=0,"",SUMIFS('Background (from TC)'!$M$4:$M$1048576,'Background (from TC)'!$D$4:$D$1048576,D$15,'Background (from TC)'!$E$4:$E$1048576,D$16,'Background (from TC)'!$O$4:$O$1048576,D$17)*3.6/D61))),"")</f>
        <v/>
      </c>
      <c r="E62" s="56" t="str">
        <f>IFERROR(IF(E58="User defined",E59/(3.6*E61),IF(E15="Storage",E60/E61,IF(SUMIFS('Background (from TC)'!$M$4:$M$1048576,'Background (from TC)'!$D$4:$D$1048576,E$15,'Background (from TC)'!$E$4:$E$1048576,E$16,'Background (from TC)'!$O$4:$O$1048576,E$17)=0,"",SUMIFS('Background (from TC)'!$M$4:$M$1048576,'Background (from TC)'!$D$4:$D$1048576,E$15,'Background (from TC)'!$E$4:$E$1048576,E$16,'Background (from TC)'!$O$4:$O$1048576,E$17)/(3.6*E61)))),"")</f>
        <v/>
      </c>
      <c r="F62" s="56" t="str">
        <f>IFERROR(IF(F58="User defined",F59/(3.6*F61),IF(F15="Storage",F60/F61,IF(SUMIFS('Background (from TC)'!$M$4:$M$1048576,'Background (from TC)'!$D$4:$D$1048576,F$15,'Background (from TC)'!$E$4:$E$1048576,F$16,'Background (from TC)'!$O$4:$O$1048576,F$17)=0,"",SUMIFS('Background (from TC)'!$M$4:$M$1048576,'Background (from TC)'!$D$4:$D$1048576,F$15,'Background (from TC)'!$E$4:$E$1048576,F$16,'Background (from TC)'!$O$4:$O$1048576,F$17)/(3.6*F61)))),"")</f>
        <v/>
      </c>
      <c r="G62" s="56" t="str">
        <f>IFERROR(IF(G58="User defined",G59/(3.6*G61),IF(G15="Storage",G60/G61,IF(SUMIFS('Background (from TC)'!$M$4:$M$1048576,'Background (from TC)'!$D$4:$D$1048576,G$15,'Background (from TC)'!$E$4:$E$1048576,G$16,'Background (from TC)'!$O$4:$O$1048576,G$17)=0,"",SUMIFS('Background (from TC)'!$M$4:$M$1048576,'Background (from TC)'!$D$4:$D$1048576,G$15,'Background (from TC)'!$E$4:$E$1048576,G$16,'Background (from TC)'!$O$4:$O$1048576,G$17)/(3.6*G61)))),"")</f>
        <v/>
      </c>
      <c r="H62" s="56" t="str">
        <f>IFERROR(IF(H58="User defined",H59/(3.6*H61),IF(H15="Storage",H60/H61,IF(SUMIFS('Background (from TC)'!$M$4:$M$1048576,'Background (from TC)'!$D$4:$D$1048576,H$15,'Background (from TC)'!$E$4:$E$1048576,H$16,'Background (from TC)'!$O$4:$O$1048576,H$17)=0,"",SUMIFS('Background (from TC)'!$M$4:$M$1048576,'Background (from TC)'!$D$4:$D$1048576,H$15,'Background (from TC)'!$E$4:$E$1048576,H$16,'Background (from TC)'!$O$4:$O$1048576,H$17)/(3.6*H61)))),"")</f>
        <v/>
      </c>
      <c r="I62" s="56" t="str">
        <f>IFERROR(IF(I58="User defined",I59/(3.6*I61),IF(I15="Storage",I60/I61,IF(SUMIFS('Background (from TC)'!$M$4:$M$1048576,'Background (from TC)'!$D$4:$D$1048576,I$15,'Background (from TC)'!$E$4:$E$1048576,I$16,'Background (from TC)'!$O$4:$O$1048576,I$17)=0,"",SUMIFS('Background (from TC)'!$M$4:$M$1048576,'Background (from TC)'!$D$4:$D$1048576,I$15,'Background (from TC)'!$E$4:$E$1048576,I$16,'Background (from TC)'!$O$4:$O$1048576,I$17)/(3.6*I61)))),"")</f>
        <v/>
      </c>
      <c r="J62" s="56" t="str">
        <f>IFERROR(IF(J58="User defined",J59/(3.6*J61),IF(J15="Storage",J60/J61,IF(SUMIFS('Background (from TC)'!$M$4:$M$1048576,'Background (from TC)'!$D$4:$D$1048576,J$15,'Background (from TC)'!$E$4:$E$1048576,J$16,'Background (from TC)'!$O$4:$O$1048576,J$17)=0,"",SUMIFS('Background (from TC)'!$M$4:$M$1048576,'Background (from TC)'!$D$4:$D$1048576,J$15,'Background (from TC)'!$E$4:$E$1048576,J$16,'Background (from TC)'!$O$4:$O$1048576,J$17)/(3.6*J61)))),"")</f>
        <v/>
      </c>
      <c r="K62" s="56" t="str">
        <f>IFERROR(IF(K58="User defined",K59/(3.6*K61),IF(K15="Storage",K60/K61,IF(SUMIFS('Background (from TC)'!$M$4:$M$1048576,'Background (from TC)'!$D$4:$D$1048576,K$15,'Background (from TC)'!$E$4:$E$1048576,K$16,'Background (from TC)'!$O$4:$O$1048576,K$17)=0,"",SUMIFS('Background (from TC)'!$M$4:$M$1048576,'Background (from TC)'!$D$4:$D$1048576,K$15,'Background (from TC)'!$E$4:$E$1048576,K$16,'Background (from TC)'!$O$4:$O$1048576,K$17)/(3.6*K61)))),"")</f>
        <v/>
      </c>
      <c r="L62" s="56" t="str">
        <f>IFERROR(IF(L58="User defined",L59/(3.6*L61),IF(L15="Storage",L60/L61,IF(SUMIFS('Background (from TC)'!$M$4:$M$1048576,'Background (from TC)'!$D$4:$D$1048576,L$15,'Background (from TC)'!$E$4:$E$1048576,L$16,'Background (from TC)'!$O$4:$O$1048576,L$17)=0,"",SUMIFS('Background (from TC)'!$M$4:$M$1048576,'Background (from TC)'!$D$4:$D$1048576,L$15,'Background (from TC)'!$E$4:$E$1048576,L$16,'Background (from TC)'!$O$4:$O$1048576,L$17)/(3.6*L61)))),"")</f>
        <v/>
      </c>
      <c r="M62" s="56" t="str">
        <f>IFERROR(IF(M58="User defined",M59/(3.6*M61),IF(M15="Storage",M60/M61,IF(SUMIFS('Background (from TC)'!$M$4:$M$1048576,'Background (from TC)'!$D$4:$D$1048576,M$15,'Background (from TC)'!$E$4:$E$1048576,M$16,'Background (from TC)'!$O$4:$O$1048576,M$17)=0,"",SUMIFS('Background (from TC)'!$M$4:$M$1048576,'Background (from TC)'!$D$4:$D$1048576,M$15,'Background (from TC)'!$E$4:$E$1048576,M$16,'Background (from TC)'!$O$4:$O$1048576,M$17)/(3.6*M61)))),"")</f>
        <v/>
      </c>
      <c r="N62" s="56" t="str">
        <f>IFERROR(IF(N58="User defined",N59/(3.6*N61),IF(N15="Storage",N60/N61,IF(SUMIFS('Background (from TC)'!$M$4:$M$1048576,'Background (from TC)'!$D$4:$D$1048576,N$15,'Background (from TC)'!$E$4:$E$1048576,N$16,'Background (from TC)'!$O$4:$O$1048576,N$17)=0,"",SUMIFS('Background (from TC)'!$M$4:$M$1048576,'Background (from TC)'!$D$4:$D$1048576,N$15,'Background (from TC)'!$E$4:$E$1048576,N$16,'Background (from TC)'!$O$4:$O$1048576,N$17)/(3.6*N61)))),"")</f>
        <v/>
      </c>
      <c r="O62" s="56" t="str">
        <f>IFERROR(IF(O58="User defined",O59/(3.6*O61),IF(O15="Storage",O60/O61,IF(SUMIFS('Background (from TC)'!$M$4:$M$1048576,'Background (from TC)'!$D$4:$D$1048576,O$15,'Background (from TC)'!$E$4:$E$1048576,O$16,'Background (from TC)'!$O$4:$O$1048576,O$17)=0,"",SUMIFS('Background (from TC)'!$M$4:$M$1048576,'Background (from TC)'!$D$4:$D$1048576,O$15,'Background (from TC)'!$E$4:$E$1048576,O$16,'Background (from TC)'!$O$4:$O$1048576,O$17)/(3.6*O61)))),"")</f>
        <v/>
      </c>
      <c r="P62" s="56" t="str">
        <f>IFERROR(IF(P58="User defined",P59/(3.6*P61),IF(P15="Storage",P60/P61,IF(SUMIFS('Background (from TC)'!$M$4:$M$1048576,'Background (from TC)'!$D$4:$D$1048576,P$15,'Background (from TC)'!$E$4:$E$1048576,P$16,'Background (from TC)'!$O$4:$O$1048576,P$17)=0,"",SUMIFS('Background (from TC)'!$M$4:$M$1048576,'Background (from TC)'!$D$4:$D$1048576,P$15,'Background (from TC)'!$E$4:$E$1048576,P$16,'Background (from TC)'!$O$4:$O$1048576,P$17)/(3.6*P61)))),"")</f>
        <v/>
      </c>
      <c r="Q62" s="56" t="str">
        <f>IFERROR(IF(Q58="User defined",Q59/(3.6*Q61),IF(Q15="Storage",Q60/Q61,IF(SUMIFS('Background (from TC)'!$M$4:$M$1048576,'Background (from TC)'!$D$4:$D$1048576,Q$15,'Background (from TC)'!$E$4:$E$1048576,Q$16,'Background (from TC)'!$O$4:$O$1048576,Q$17)=0,"",SUMIFS('Background (from TC)'!$M$4:$M$1048576,'Background (from TC)'!$D$4:$D$1048576,Q$15,'Background (from TC)'!$E$4:$E$1048576,Q$16,'Background (from TC)'!$O$4:$O$1048576,Q$17)/(3.6*Q61)))),"")</f>
        <v/>
      </c>
      <c r="R62" s="56" t="str">
        <f>IFERROR(IF(R58="User defined",R59/(3.6*R61),IF(R15="Storage",R60/R61,IF(SUMIFS('Background (from TC)'!$M$4:$M$1048576,'Background (from TC)'!$D$4:$D$1048576,R$15,'Background (from TC)'!$E$4:$E$1048576,R$16,'Background (from TC)'!$O$4:$O$1048576,R$17)=0,"",SUMIFS('Background (from TC)'!$M$4:$M$1048576,'Background (from TC)'!$D$4:$D$1048576,R$15,'Background (from TC)'!$E$4:$E$1048576,R$16,'Background (from TC)'!$O$4:$O$1048576,R$17)/(3.6*R61)))),"")</f>
        <v/>
      </c>
      <c r="S62" s="56" t="str">
        <f>IFERROR(IF(S58="User defined",S59/(3.6*S61),IF(S15="Storage",S60/S61,IF(SUMIFS('Background (from TC)'!$M$4:$M$1048576,'Background (from TC)'!$D$4:$D$1048576,S$15,'Background (from TC)'!$E$4:$E$1048576,S$16,'Background (from TC)'!$O$4:$O$1048576,S$17)=0,"",SUMIFS('Background (from TC)'!$M$4:$M$1048576,'Background (from TC)'!$D$4:$D$1048576,S$15,'Background (from TC)'!$E$4:$E$1048576,S$16,'Background (from TC)'!$O$4:$O$1048576,S$17)/(3.6*S61)))),"")</f>
        <v/>
      </c>
      <c r="T62" s="56" t="str">
        <f>IFERROR(IF(T58="User defined",T59/(3.6*T61),IF(T15="Storage",T60/T61,IF(SUMIFS('Background (from TC)'!$M$4:$M$1048576,'Background (from TC)'!$D$4:$D$1048576,T$15,'Background (from TC)'!$E$4:$E$1048576,T$16,'Background (from TC)'!$O$4:$O$1048576,T$17)=0,"",SUMIFS('Background (from TC)'!$M$4:$M$1048576,'Background (from TC)'!$D$4:$D$1048576,T$15,'Background (from TC)'!$E$4:$E$1048576,T$16,'Background (from TC)'!$O$4:$O$1048576,T$17)/(3.6*T61)))),"")</f>
        <v/>
      </c>
      <c r="U62" s="56" t="str">
        <f>IFERROR(IF(U58="User defined",U59/(3.6*U61),IF(U15="Storage",U60/U61,IF(SUMIFS('Background (from TC)'!$M$4:$M$1048576,'Background (from TC)'!$D$4:$D$1048576,U$15,'Background (from TC)'!$E$4:$E$1048576,U$16,'Background (from TC)'!$O$4:$O$1048576,U$17)=0,"",SUMIFS('Background (from TC)'!$M$4:$M$1048576,'Background (from TC)'!$D$4:$D$1048576,U$15,'Background (from TC)'!$E$4:$E$1048576,U$16,'Background (from TC)'!$O$4:$O$1048576,U$17)/(3.6*U61)))),"")</f>
        <v/>
      </c>
      <c r="V62" s="56" t="str">
        <f>IFERROR(IF(V58="User defined",V59/(3.6*V61),IF(V15="Storage",V60/V61,IF(SUMIFS('Background (from TC)'!$M$4:$M$1048576,'Background (from TC)'!$D$4:$D$1048576,V$15,'Background (from TC)'!$E$4:$E$1048576,V$16,'Background (from TC)'!$O$4:$O$1048576,V$17)=0,"",SUMIFS('Background (from TC)'!$M$4:$M$1048576,'Background (from TC)'!$D$4:$D$1048576,V$15,'Background (from TC)'!$E$4:$E$1048576,V$16,'Background (from TC)'!$O$4:$O$1048576,V$17)/(3.6*V61)))),"")</f>
        <v/>
      </c>
      <c r="W62" s="56" t="str">
        <f>IFERROR(IF(W58="User defined",W59/(3.6*W61),IF(W15="Storage",W60/W61,IF(SUMIFS('Background (from TC)'!$M$4:$M$1048576,'Background (from TC)'!$D$4:$D$1048576,W$15,'Background (from TC)'!$E$4:$E$1048576,W$16,'Background (from TC)'!$O$4:$O$1048576,W$17)=0,"",SUMIFS('Background (from TC)'!$M$4:$M$1048576,'Background (from TC)'!$D$4:$D$1048576,W$15,'Background (from TC)'!$E$4:$E$1048576,W$16,'Background (from TC)'!$O$4:$O$1048576,W$17)/(3.6*W61)))),"")</f>
        <v/>
      </c>
      <c r="X62" s="56" t="str">
        <f>IFERROR(IF(X58="User defined",X59/(3.6*X61),IF(X15="Storage",X60/X61,IF(SUMIFS('Background (from TC)'!$M$4:$M$1048576,'Background (from TC)'!$D$4:$D$1048576,X$15,'Background (from TC)'!$E$4:$E$1048576,X$16,'Background (from TC)'!$O$4:$O$1048576,X$17)=0,"",SUMIFS('Background (from TC)'!$M$4:$M$1048576,'Background (from TC)'!$D$4:$D$1048576,X$15,'Background (from TC)'!$E$4:$E$1048576,X$16,'Background (from TC)'!$O$4:$O$1048576,X$17)/(3.6*X61)))),"")</f>
        <v/>
      </c>
      <c r="Y62" s="56" t="str">
        <f>IFERROR(IF(Y58="User defined",Y59/(3.6*Y61),IF(Y15="Storage",Y60/Y61,IF(SUMIFS('Background (from TC)'!$M$4:$M$1048576,'Background (from TC)'!$D$4:$D$1048576,Y$15,'Background (from TC)'!$E$4:$E$1048576,Y$16,'Background (from TC)'!$O$4:$O$1048576,Y$17)=0,"",SUMIFS('Background (from TC)'!$M$4:$M$1048576,'Background (from TC)'!$D$4:$D$1048576,Y$15,'Background (from TC)'!$E$4:$E$1048576,Y$16,'Background (from TC)'!$O$4:$O$1048576,Y$17)/(3.6*Y61)))),"")</f>
        <v/>
      </c>
      <c r="Z62" s="56" t="str">
        <f>IFERROR(IF(Z58="User defined",Z59/(3.6*Z61),IF(Z15="Storage",Z60/Z61,IF(SUMIFS('Background (from TC)'!$M$4:$M$1048576,'Background (from TC)'!$D$4:$D$1048576,Z$15,'Background (from TC)'!$E$4:$E$1048576,Z$16,'Background (from TC)'!$O$4:$O$1048576,Z$17)=0,"",SUMIFS('Background (from TC)'!$M$4:$M$1048576,'Background (from TC)'!$D$4:$D$1048576,Z$15,'Background (from TC)'!$E$4:$E$1048576,Z$16,'Background (from TC)'!$O$4:$O$1048576,Z$17)/(3.6*Z61)))),"")</f>
        <v/>
      </c>
    </row>
    <row r="63" spans="1:26" ht="15.75" thickBot="1">
      <c r="B63" s="273" t="s">
        <v>43</v>
      </c>
      <c r="C63" s="258" t="str">
        <f t="shared" ref="C63:Z63" si="5">IF(OR(AND(C58="User defined",C59=""),AND(C15="Storage",C60="")),"Insert value above","")</f>
        <v/>
      </c>
      <c r="D63" s="257" t="str">
        <f t="shared" si="5"/>
        <v/>
      </c>
      <c r="E63" s="258" t="str">
        <f t="shared" si="5"/>
        <v/>
      </c>
      <c r="F63" s="258" t="str">
        <f t="shared" si="5"/>
        <v/>
      </c>
      <c r="G63" s="258" t="str">
        <f t="shared" si="5"/>
        <v/>
      </c>
      <c r="H63" s="258" t="str">
        <f t="shared" si="5"/>
        <v/>
      </c>
      <c r="I63" s="258" t="str">
        <f t="shared" si="5"/>
        <v/>
      </c>
      <c r="J63" s="258" t="str">
        <f t="shared" si="5"/>
        <v/>
      </c>
      <c r="K63" s="258" t="str">
        <f t="shared" si="5"/>
        <v/>
      </c>
      <c r="L63" s="258" t="str">
        <f t="shared" si="5"/>
        <v/>
      </c>
      <c r="M63" s="258" t="str">
        <f t="shared" si="5"/>
        <v/>
      </c>
      <c r="N63" s="258" t="str">
        <f t="shared" si="5"/>
        <v/>
      </c>
      <c r="O63" s="258" t="str">
        <f t="shared" si="5"/>
        <v/>
      </c>
      <c r="P63" s="258" t="str">
        <f t="shared" si="5"/>
        <v/>
      </c>
      <c r="Q63" s="258" t="str">
        <f t="shared" si="5"/>
        <v/>
      </c>
      <c r="R63" s="258" t="str">
        <f t="shared" si="5"/>
        <v/>
      </c>
      <c r="S63" s="258" t="str">
        <f t="shared" si="5"/>
        <v/>
      </c>
      <c r="T63" s="258" t="str">
        <f t="shared" si="5"/>
        <v/>
      </c>
      <c r="U63" s="258" t="str">
        <f t="shared" si="5"/>
        <v/>
      </c>
      <c r="V63" s="258" t="str">
        <f t="shared" si="5"/>
        <v/>
      </c>
      <c r="W63" s="258" t="str">
        <f t="shared" si="5"/>
        <v/>
      </c>
      <c r="X63" s="258" t="str">
        <f t="shared" si="5"/>
        <v/>
      </c>
      <c r="Y63" s="258" t="str">
        <f t="shared" si="5"/>
        <v/>
      </c>
      <c r="Z63" s="259" t="str">
        <f t="shared" si="5"/>
        <v/>
      </c>
    </row>
    <row r="64" spans="1:26">
      <c r="B64" s="15"/>
      <c r="C64" s="284"/>
      <c r="D64" s="275"/>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2:26" ht="15.75">
      <c r="B65" s="286" t="s">
        <v>79</v>
      </c>
      <c r="D65" s="67"/>
    </row>
    <row r="66" spans="2:26">
      <c r="B66" s="279" t="s">
        <v>80</v>
      </c>
      <c r="D66" s="67"/>
    </row>
    <row r="67" spans="2:26">
      <c r="B67" s="1"/>
      <c r="D67" s="67"/>
    </row>
    <row r="68" spans="2:26" ht="15.75">
      <c r="B68" s="286" t="s">
        <v>81</v>
      </c>
      <c r="D68" s="67"/>
    </row>
    <row r="69" spans="2:26">
      <c r="B69" s="278" t="s">
        <v>82</v>
      </c>
      <c r="C69" s="33"/>
      <c r="D69" s="69"/>
      <c r="E69" s="19"/>
    </row>
    <row r="70" spans="2:26">
      <c r="B70" s="278" t="s">
        <v>85</v>
      </c>
      <c r="C70" s="33"/>
      <c r="D70" s="69"/>
      <c r="E70" s="19"/>
    </row>
    <row r="71" spans="2:26">
      <c r="B71" s="278" t="s">
        <v>86</v>
      </c>
      <c r="C71" s="33"/>
      <c r="D71" s="69" t="s">
        <v>46</v>
      </c>
      <c r="E71" s="19"/>
    </row>
    <row r="72" spans="2:26">
      <c r="B72" s="278" t="s">
        <v>87</v>
      </c>
      <c r="C72" s="33"/>
      <c r="D72" s="287" t="str">
        <f>IF(D17="","",IF(D81=0,0,SUMIFS('Background (from TC)'!$L:$L,'Background (from TC)'!$D:$D,D17,'Background (from TC)'!$E:$E,D18,'Background (from TC)'!$O:$O,D19)/1000*3.6/D61))</f>
        <v/>
      </c>
      <c r="E72" s="19"/>
    </row>
    <row r="73" spans="2:26">
      <c r="B73" s="278" t="s">
        <v>88</v>
      </c>
      <c r="C73" s="33"/>
      <c r="D73" s="287">
        <v>2.09</v>
      </c>
      <c r="E73" s="19"/>
    </row>
    <row r="74" spans="2:26">
      <c r="B74" s="279" t="s">
        <v>89</v>
      </c>
      <c r="C74" s="33"/>
      <c r="D74" s="78">
        <v>1.0900000000000001</v>
      </c>
      <c r="E74" s="269"/>
      <c r="F74" s="269"/>
      <c r="G74" s="269"/>
      <c r="H74" s="269"/>
      <c r="I74" s="269"/>
      <c r="J74" s="269"/>
      <c r="K74" s="269"/>
      <c r="L74" s="269"/>
      <c r="M74" s="269"/>
      <c r="N74" s="269"/>
      <c r="O74" s="269"/>
      <c r="P74" s="269"/>
      <c r="Q74" s="269"/>
      <c r="R74" s="269"/>
      <c r="S74" s="269"/>
      <c r="T74" s="269"/>
      <c r="U74" s="269"/>
      <c r="V74" s="269"/>
      <c r="W74" s="269"/>
      <c r="X74" s="269"/>
      <c r="Y74" s="269"/>
      <c r="Z74" s="269"/>
    </row>
    <row r="75" spans="2:26">
      <c r="D75" s="67"/>
    </row>
    <row r="76" spans="2:26" ht="15.75">
      <c r="B76" s="286" t="s">
        <v>90</v>
      </c>
      <c r="D76" s="67"/>
    </row>
    <row r="77" spans="2:26">
      <c r="B77" s="278" t="s">
        <v>162</v>
      </c>
      <c r="D77" s="69" t="s">
        <v>84</v>
      </c>
      <c r="E77" s="19"/>
      <c r="F77" s="19" t="s">
        <v>84</v>
      </c>
      <c r="G77" s="19" t="s">
        <v>84</v>
      </c>
      <c r="H77" s="19" t="s">
        <v>84</v>
      </c>
      <c r="I77" s="19" t="s">
        <v>84</v>
      </c>
      <c r="J77" s="19" t="s">
        <v>84</v>
      </c>
      <c r="K77" s="19" t="s">
        <v>84</v>
      </c>
      <c r="L77" s="19" t="s">
        <v>84</v>
      </c>
      <c r="M77" s="19" t="s">
        <v>84</v>
      </c>
      <c r="N77" s="19" t="s">
        <v>84</v>
      </c>
      <c r="O77" s="19" t="s">
        <v>84</v>
      </c>
      <c r="P77" s="19" t="s">
        <v>84</v>
      </c>
      <c r="Q77" s="19" t="s">
        <v>84</v>
      </c>
      <c r="R77" s="19" t="s">
        <v>84</v>
      </c>
      <c r="S77" s="19" t="s">
        <v>84</v>
      </c>
      <c r="T77" s="19" t="s">
        <v>84</v>
      </c>
      <c r="U77" s="19" t="s">
        <v>84</v>
      </c>
      <c r="V77" s="19" t="s">
        <v>84</v>
      </c>
      <c r="W77" s="19" t="s">
        <v>84</v>
      </c>
      <c r="X77" s="19" t="s">
        <v>84</v>
      </c>
      <c r="Y77" s="19" t="s">
        <v>84</v>
      </c>
      <c r="Z77" s="19" t="s">
        <v>84</v>
      </c>
    </row>
    <row r="78" spans="2:26">
      <c r="B78" s="278" t="s">
        <v>92</v>
      </c>
      <c r="C78" s="35" t="str">
        <f>IF(C$15="","",IF(C77="No",0,IF(C15="Storage",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TC)'!$O$4:$O$1048576,C$17)*C43/C46+SUMIFS('Background (from TC)'!$AD$4:$AD$1048576,'Background (from TC)'!$D$4:$D$1048576,C$15,'Background (from TC)'!$E$4:$E$1048576,C$16,'Background (from TC)'!$O$4:$O$1048576,C$17)*C42),
SUMIFS('Background (from TC)'!$G$4:$G$1048576,'Background (from TC)'!$D$4:$D$1048576,C$15,'Background (from TC)'!$E$4:$E$1048576,C$16,'Background (from TC)'!$O$4:$O$1048576,C$17)))*C29)</f>
        <v/>
      </c>
      <c r="D78" s="1079" t="str">
        <f>IF(D$15="","",IF(D77="No",0,IF(D15="Storage",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TC)'!$O$4:$O$1048576,D$17)*D42)/D42,
SUMIFS('Background (from TC)'!$G$4:$G$1048576,'Background (from TC)'!$D$4:$D$1048576,D$15,'Background (from TC)'!$E$4:$E$1048576,D$16,'Background (from TC)'!$O$4:$O$1048576,D$17)))*D29)</f>
        <v/>
      </c>
      <c r="E78" s="35" t="str">
        <f>IF(E$15="","",IF(E77="No",0,IF(E15="Storage",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TC)'!$O$4:$O$1048576,E$17)*E42)/E42,
SUMIFS('Background (from TC)'!$G$4:$G$1048576,'Background (from TC)'!$D$4:$D$1048576,E$15,'Background (from TC)'!$E$4:$E$1048576,E$16,'Background (from TC)'!$O$4:$O$1048576,E$17)))*E29)</f>
        <v/>
      </c>
      <c r="F78" s="43" t="str">
        <f>IF(F$15="","",IF(F77="No",0,IF(F15="Storage",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TC)'!$O$4:$O$1048576,F$17)*F42)/F42,
SUMIFS('Background (from TC)'!$G$4:$G$1048576,'Background (from TC)'!$D$4:$D$1048576,F$15,'Background (from TC)'!$E$4:$E$1048576,F$16,'Background (from TC)'!$O$4:$O$1048576,F$17)))*F29)</f>
        <v/>
      </c>
      <c r="G78" s="43" t="str">
        <f>IF(G$15="","",IF(G77="No",0,IF(G15="Storage",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TC)'!$O$4:$O$1048576,G$17)*G42)/G42,
SUMIFS('Background (from TC)'!$G$4:$G$1048576,'Background (from TC)'!$D$4:$D$1048576,G$15,'Background (from TC)'!$E$4:$E$1048576,G$16,'Background (from TC)'!$O$4:$O$1048576,G$17)))*G29)</f>
        <v/>
      </c>
      <c r="H78" s="43" t="str">
        <f>IF(H$15="","",IF(H77="No",0,IF(H15="Storage",
(SUMIFS('Background (from TC)'!$AB$4:$AB$1048576,'Background (from TC)'!$D$4:$D$1048576,H$15,'Background (from TC)'!$E$4:$E$1048576,H$16,'Background (from TC)'!$O$4:$O$1048576,H$17)*H42+SUMIFS('Background (from TC)'!$AC$4:$AC$1048576,'Background (from TC)'!$D$4:$D$1048576,H$15,'Background (from TC)'!$E$4:$E$1048576,H$16,'Background (from TC)'!$O$4:$O$1048576,H$17)*H43/SUMIFS('Background (from TC)'!$S$4:$S$1048576,'Background (from TC)'!$D$4:$D$1048576,H$15,'Background (from TC)'!$E$4:$E$1048576,H$16,'Background (from TC)'!$O$4:$O$1048576,H$17)+SUMIFS('Background (from TC)'!$AD$4:$AD$1048576,'Background (from TC)'!$D$4:$D$1048576,H$15,'Background (from TC)'!$E$4:$E$1048576,H$16,'Background (from TC)'!$O$4:$O$1048576,H$17)*H42)/H42,
SUMIFS('Background (from TC)'!$G$4:$G$1048576,'Background (from TC)'!$D$4:$D$1048576,H$15,'Background (from TC)'!$E$4:$E$1048576,H$16,'Background (from TC)'!$O$4:$O$1048576,H$17)))*H29)</f>
        <v/>
      </c>
      <c r="I78" s="43" t="str">
        <f>IF(I$15="","",IF(I77="No",0,IF(I15="Storage",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TC)'!$O$4:$O$1048576,I$17)*I42)/I42,
SUMIFS('Background (from TC)'!$G$4:$G$1048576,'Background (from TC)'!$D$4:$D$1048576,I$15,'Background (from TC)'!$E$4:$E$1048576,I$16,'Background (from TC)'!$O$4:$O$1048576,I$17)))*I29)</f>
        <v/>
      </c>
      <c r="J78" s="43" t="str">
        <f>IF(J$15="","",IF(J77="No",0,IF(J15="Storage",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TC)'!$O$4:$O$1048576,J$17)*J42)/J42,
SUMIFS('Background (from TC)'!$G$4:$G$1048576,'Background (from TC)'!$D$4:$D$1048576,J$15,'Background (from TC)'!$E$4:$E$1048576,J$16,'Background (from TC)'!$O$4:$O$1048576,J$17)))*J29)</f>
        <v/>
      </c>
      <c r="K78" s="43" t="str">
        <f>IF(K$15="","",IF(K77="No",0,IF(K15="Storage",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TC)'!$O$4:$O$1048576,K$17)*K42)/K42,
SUMIFS('Background (from TC)'!$G$4:$G$1048576,'Background (from TC)'!$D$4:$D$1048576,K$15,'Background (from TC)'!$E$4:$E$1048576,K$16,'Background (from TC)'!$O$4:$O$1048576,K$17)))*K29)</f>
        <v/>
      </c>
      <c r="L78" s="43" t="str">
        <f>IF(L$15="","",IF(L77="No",0,IF(L15="Storage",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TC)'!$O$4:$O$1048576,L$17)*L42)/L42,
SUMIFS('Background (from TC)'!$G$4:$G$1048576,'Background (from TC)'!$D$4:$D$1048576,L$15,'Background (from TC)'!$E$4:$E$1048576,L$16,'Background (from TC)'!$O$4:$O$1048576,L$17)))*L29)</f>
        <v/>
      </c>
      <c r="M78" s="43" t="str">
        <f>IF(M$15="","",IF(M77="No",0,IF(M15="Storage",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TC)'!$O$4:$O$1048576,M$17)*M42)/M42,
SUMIFS('Background (from TC)'!$G$4:$G$1048576,'Background (from TC)'!$D$4:$D$1048576,M$15,'Background (from TC)'!$E$4:$E$1048576,M$16,'Background (from TC)'!$O$4:$O$1048576,M$17)))*M29)</f>
        <v/>
      </c>
      <c r="N78" s="43" t="str">
        <f>IF(N$15="","",IF(N77="No",0,IF(N15="Storage",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TC)'!$O$4:$O$1048576,N$17)*N42)/N42,
SUMIFS('Background (from TC)'!$G$4:$G$1048576,'Background (from TC)'!$D$4:$D$1048576,N$15,'Background (from TC)'!$E$4:$E$1048576,N$16,'Background (from TC)'!$O$4:$O$1048576,N$17)))*N29)</f>
        <v/>
      </c>
      <c r="O78" s="43" t="str">
        <f>IF(O$15="","",IF(O77="No",0,IF(O15="Storage",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TC)'!$O$4:$O$1048576,O$17)*O42)/O42,
SUMIFS('Background (from TC)'!$G$4:$G$1048576,'Background (from TC)'!$D$4:$D$1048576,O$15,'Background (from TC)'!$E$4:$E$1048576,O$16,'Background (from TC)'!$O$4:$O$1048576,O$17)))*O29)</f>
        <v/>
      </c>
      <c r="P78" s="43" t="str">
        <f>IF(P$15="","",IF(P77="No",0,IF(P15="Storage",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TC)'!$O$4:$O$1048576,P$17)*P42)/P42,
SUMIFS('Background (from TC)'!$G$4:$G$1048576,'Background (from TC)'!$D$4:$D$1048576,P$15,'Background (from TC)'!$E$4:$E$1048576,P$16,'Background (from TC)'!$O$4:$O$1048576,P$17)))*P29)</f>
        <v/>
      </c>
      <c r="Q78" s="43" t="str">
        <f>IF(Q$15="","",IF(Q77="No",0,IF(Q15="Storage",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TC)'!$O$4:$O$1048576,Q$17)*Q42)/Q42,
SUMIFS('Background (from TC)'!$G$4:$G$1048576,'Background (from TC)'!$D$4:$D$1048576,Q$15,'Background (from TC)'!$E$4:$E$1048576,Q$16,'Background (from TC)'!$O$4:$O$1048576,Q$17)))*Q29)</f>
        <v/>
      </c>
      <c r="R78" s="43" t="str">
        <f>IF(R$15="","",IF(R77="No",0,IF(R15="Storage",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TC)'!$O$4:$O$1048576,R$17)*R42)/R42,
SUMIFS('Background (from TC)'!$G$4:$G$1048576,'Background (from TC)'!$D$4:$D$1048576,R$15,'Background (from TC)'!$E$4:$E$1048576,R$16,'Background (from TC)'!$O$4:$O$1048576,R$17)))*R29)</f>
        <v/>
      </c>
      <c r="S78" s="43" t="str">
        <f>IF(S$15="","",IF(S77="No",0,IF(S15="Storage",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TC)'!$O$4:$O$1048576,S$17)*S42)/S42,
SUMIFS('Background (from TC)'!$G$4:$G$1048576,'Background (from TC)'!$D$4:$D$1048576,S$15,'Background (from TC)'!$E$4:$E$1048576,S$16,'Background (from TC)'!$O$4:$O$1048576,S$17)))*S29)</f>
        <v/>
      </c>
      <c r="T78" s="43" t="str">
        <f>IF(T$15="","",IF(T77="No",0,IF(T15="Storage",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TC)'!$O$4:$O$1048576,T$17)*T42)/T42,
SUMIFS('Background (from TC)'!$G$4:$G$1048576,'Background (from TC)'!$D$4:$D$1048576,T$15,'Background (from TC)'!$E$4:$E$1048576,T$16,'Background (from TC)'!$O$4:$O$1048576,T$17)))*T29)</f>
        <v/>
      </c>
      <c r="U78" s="43" t="str">
        <f>IF(U$15="","",IF(U77="No",0,IF(U15="Storage",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TC)'!$O$4:$O$1048576,U$17)*U42)/U42,
SUMIFS('Background (from TC)'!$G$4:$G$1048576,'Background (from TC)'!$D$4:$D$1048576,U$15,'Background (from TC)'!$E$4:$E$1048576,U$16,'Background (from TC)'!$O$4:$O$1048576,U$17)))*U29)</f>
        <v/>
      </c>
      <c r="V78" s="43" t="str">
        <f>IF(V$15="","",IF(V77="No",0,IF(V15="Storage",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TC)'!$O$4:$O$1048576,V$17)*V42)/V42,
SUMIFS('Background (from TC)'!$G$4:$G$1048576,'Background (from TC)'!$D$4:$D$1048576,V$15,'Background (from TC)'!$E$4:$E$1048576,V$16,'Background (from TC)'!$O$4:$O$1048576,V$17)))*V29)</f>
        <v/>
      </c>
      <c r="W78" s="43" t="str">
        <f>IF(W$15="","",IF(W77="No",0,IF(W15="Storage",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TC)'!$O$4:$O$1048576,W$17)*W42)/W42,
SUMIFS('Background (from TC)'!$G$4:$G$1048576,'Background (from TC)'!$D$4:$D$1048576,W$15,'Background (from TC)'!$E$4:$E$1048576,W$16,'Background (from TC)'!$O$4:$O$1048576,W$17)))*W29)</f>
        <v/>
      </c>
      <c r="X78" s="43" t="str">
        <f>IF(X$15="","",IF(X77="No",0,IF(X15="Storage",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TC)'!$O$4:$O$1048576,X$17)*X42)/X42,
SUMIFS('Background (from TC)'!$G$4:$G$1048576,'Background (from TC)'!$D$4:$D$1048576,X$15,'Background (from TC)'!$E$4:$E$1048576,X$16,'Background (from TC)'!$O$4:$O$1048576,X$17)))*X29)</f>
        <v/>
      </c>
      <c r="Y78" s="43" t="str">
        <f>IF(Y$15="","",IF(Y77="No",0,IF(Y15="Storage",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TC)'!$O$4:$O$1048576,Y$17)*Y42)/Y42,
SUMIFS('Background (from TC)'!$G$4:$G$1048576,'Background (from TC)'!$D$4:$D$1048576,Y$15,'Background (from TC)'!$E$4:$E$1048576,Y$16,'Background (from TC)'!$O$4:$O$1048576,Y$17)))*Y29)</f>
        <v/>
      </c>
      <c r="Z78" s="43" t="str">
        <f>IF(Z$15="","",IF(Z77="No",0,IF(Z15="Storage",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TC)'!$O$4:$O$1048576,Z$17)*Z42)/Z42,
SUMIFS('Background (from TC)'!$G$4:$G$1048576,'Background (from TC)'!$D$4:$D$1048576,Z$15,'Background (from TC)'!$E$4:$E$1048576,Z$16,'Background (from TC)'!$O$4:$O$1048576,Z$17)))*Z29)</f>
        <v/>
      </c>
    </row>
    <row r="79" spans="2:26">
      <c r="B79" s="278" t="s">
        <v>93</v>
      </c>
      <c r="C79" s="35" t="str">
        <f>IF(C$15="","",SUMIFS('Background (from TC)'!$H$4:$H$1048576,'Background (from TC)'!$D$4:$D$1048576,C$15,'Background (from TC)'!$E$4:$E$1048576,C$16,'Background (from TC)'!$O$4:$O$1048576,C$17)*C29*C43)</f>
        <v/>
      </c>
      <c r="D79" s="1079" t="str">
        <f>IF(D$15="","",SUMIFS('Background (from TC)'!$H$4:$H$1048576,'Background (from TC)'!$D$4:$D$1048576,D$15,'Background (from TC)'!$E$4:$E$1048576,D$16,'Background (from TC)'!$O$4:$O$1048576,D$17)*D29)</f>
        <v/>
      </c>
      <c r="E79" s="35" t="str">
        <f>IF(E$15="","",SUMIFS('Background (from TC)'!$H$4:$H$1048576,'Background (from TC)'!$D$4:$D$1048576,E$15,'Background (from TC)'!$E$4:$E$1048576,E$16,'Background (from TC)'!$O$4:$O$1048576,E$17)*E29)</f>
        <v/>
      </c>
      <c r="F79" s="43" t="str">
        <f>IF(F$15="","",SUMIFS('Background (from TC)'!$H$4:$H$1048576,'Background (from TC)'!$D$4:$D$1048576,F$15,'Background (from TC)'!$E$4:$E$1048576,F$16,'Background (from TC)'!$O$4:$O$1048576,F$17)*F29)</f>
        <v/>
      </c>
      <c r="G79" s="43" t="str">
        <f>IF(G$15="","",SUMIFS('Background (from TC)'!$H$4:$H$1048576,'Background (from TC)'!$D$4:$D$1048576,G$15,'Background (from TC)'!$E$4:$E$1048576,G$16,'Background (from TC)'!$O$4:$O$1048576,G$17)*G29)</f>
        <v/>
      </c>
      <c r="H79" s="43" t="str">
        <f>IF(H$15="","",SUMIFS('Background (from TC)'!$H$4:$H$1048576,'Background (from TC)'!$D$4:$D$1048576,H$15,'Background (from TC)'!$E$4:$E$1048576,H$16,'Background (from TC)'!$O$4:$O$1048576,H$17)*H29)</f>
        <v/>
      </c>
      <c r="I79" s="43" t="str">
        <f>IF(I$15="","",SUMIFS('Background (from TC)'!$H$4:$H$1048576,'Background (from TC)'!$D$4:$D$1048576,I$15,'Background (from TC)'!$E$4:$E$1048576,I$16,'Background (from TC)'!$O$4:$O$1048576,I$17)*I29)</f>
        <v/>
      </c>
      <c r="J79" s="43" t="str">
        <f>IF(J$15="","",SUMIFS('Background (from TC)'!$H$4:$H$1048576,'Background (from TC)'!$D$4:$D$1048576,J$15,'Background (from TC)'!$E$4:$E$1048576,J$16,'Background (from TC)'!$O$4:$O$1048576,J$17)*J29)</f>
        <v/>
      </c>
      <c r="K79" s="43" t="str">
        <f>IF(K$15="","",SUMIFS('Background (from TC)'!$H$4:$H$1048576,'Background (from TC)'!$D$4:$D$1048576,K$15,'Background (from TC)'!$E$4:$E$1048576,K$16,'Background (from TC)'!$O$4:$O$1048576,K$17)*K29)</f>
        <v/>
      </c>
      <c r="L79" s="43" t="str">
        <f>IF(L$15="","",SUMIFS('Background (from TC)'!$H$4:$H$1048576,'Background (from TC)'!$D$4:$D$1048576,L$15,'Background (from TC)'!$E$4:$E$1048576,L$16,'Background (from TC)'!$O$4:$O$1048576,L$17)*L29)</f>
        <v/>
      </c>
      <c r="M79" s="43" t="str">
        <f>IF(M$15="","",SUMIFS('Background (from TC)'!$H$4:$H$1048576,'Background (from TC)'!$D$4:$D$1048576,M$15,'Background (from TC)'!$E$4:$E$1048576,M$16,'Background (from TC)'!$O$4:$O$1048576,M$17)*M29)</f>
        <v/>
      </c>
      <c r="N79" s="43" t="str">
        <f>IF(N$15="","",SUMIFS('Background (from TC)'!$H$4:$H$1048576,'Background (from TC)'!$D$4:$D$1048576,N$15,'Background (from TC)'!$E$4:$E$1048576,N$16,'Background (from TC)'!$O$4:$O$1048576,N$17)*N29)</f>
        <v/>
      </c>
      <c r="O79" s="43" t="str">
        <f>IF(O$15="","",SUMIFS('Background (from TC)'!$H$4:$H$1048576,'Background (from TC)'!$D$4:$D$1048576,O$15,'Background (from TC)'!$E$4:$E$1048576,O$16,'Background (from TC)'!$O$4:$O$1048576,O$17)*O29)</f>
        <v/>
      </c>
      <c r="P79" s="43" t="str">
        <f>IF(P$15="","",SUMIFS('Background (from TC)'!$H$4:$H$1048576,'Background (from TC)'!$D$4:$D$1048576,P$15,'Background (from TC)'!$E$4:$E$1048576,P$16,'Background (from TC)'!$O$4:$O$1048576,P$17)*P29)</f>
        <v/>
      </c>
      <c r="Q79" s="43" t="str">
        <f>IF(Q$15="","",SUMIFS('Background (from TC)'!$H$4:$H$1048576,'Background (from TC)'!$D$4:$D$1048576,Q$15,'Background (from TC)'!$E$4:$E$1048576,Q$16,'Background (from TC)'!$O$4:$O$1048576,Q$17)*Q29)</f>
        <v/>
      </c>
      <c r="R79" s="43" t="str">
        <f>IF(R$15="","",SUMIFS('Background (from TC)'!$H$4:$H$1048576,'Background (from TC)'!$D$4:$D$1048576,R$15,'Background (from TC)'!$E$4:$E$1048576,R$16,'Background (from TC)'!$O$4:$O$1048576,R$17)*R29)</f>
        <v/>
      </c>
      <c r="S79" s="43" t="str">
        <f>IF(S$15="","",SUMIFS('Background (from TC)'!$H$4:$H$1048576,'Background (from TC)'!$D$4:$D$1048576,S$15,'Background (from TC)'!$E$4:$E$1048576,S$16,'Background (from TC)'!$O$4:$O$1048576,S$17)*S29)</f>
        <v/>
      </c>
      <c r="T79" s="43" t="str">
        <f>IF(T$15="","",SUMIFS('Background (from TC)'!$H$4:$H$1048576,'Background (from TC)'!$D$4:$D$1048576,T$15,'Background (from TC)'!$E$4:$E$1048576,T$16,'Background (from TC)'!$O$4:$O$1048576,T$17)*T29)</f>
        <v/>
      </c>
      <c r="U79" s="43" t="str">
        <f>IF(U$15="","",SUMIFS('Background (from TC)'!$H$4:$H$1048576,'Background (from TC)'!$D$4:$D$1048576,U$15,'Background (from TC)'!$E$4:$E$1048576,U$16,'Background (from TC)'!$O$4:$O$1048576,U$17)*U29)</f>
        <v/>
      </c>
      <c r="V79" s="43" t="str">
        <f>IF(V$15="","",SUMIFS('Background (from TC)'!$H$4:$H$1048576,'Background (from TC)'!$D$4:$D$1048576,V$15,'Background (from TC)'!$E$4:$E$1048576,V$16,'Background (from TC)'!$O$4:$O$1048576,V$17)*V29)</f>
        <v/>
      </c>
      <c r="W79" s="43" t="str">
        <f>IF(W$15="","",SUMIFS('Background (from TC)'!$H$4:$H$1048576,'Background (from TC)'!$D$4:$D$1048576,W$15,'Background (from TC)'!$E$4:$E$1048576,W$16,'Background (from TC)'!$O$4:$O$1048576,W$17)*W29)</f>
        <v/>
      </c>
      <c r="X79" s="43" t="str">
        <f>IF(X$15="","",SUMIFS('Background (from TC)'!$H$4:$H$1048576,'Background (from TC)'!$D$4:$D$1048576,X$15,'Background (from TC)'!$E$4:$E$1048576,X$16,'Background (from TC)'!$O$4:$O$1048576,X$17)*X29)</f>
        <v/>
      </c>
      <c r="Y79" s="43" t="str">
        <f>IF(Y$15="","",SUMIFS('Background (from TC)'!$H$4:$H$1048576,'Background (from TC)'!$D$4:$D$1048576,Y$15,'Background (from TC)'!$E$4:$E$1048576,Y$16,'Background (from TC)'!$O$4:$O$1048576,Y$17)*Y29)</f>
        <v/>
      </c>
      <c r="Z79" s="43" t="str">
        <f>IF(Z$15="","",SUMIFS('Background (from TC)'!$H$4:$H$1048576,'Background (from TC)'!$D$4:$D$1048576,Z$15,'Background (from TC)'!$E$4:$E$1048576,Z$16,'Background (from TC)'!$O$4:$O$1048576,Z$17)*Z29)</f>
        <v/>
      </c>
    </row>
    <row r="80" spans="2:26">
      <c r="B80" s="278" t="s">
        <v>94</v>
      </c>
      <c r="C80" s="1074" t="str">
        <f>IF(C$15="","",SUMIFS('Background (from TC)'!$I$4:$I$1048576,'Background (from TC)'!$D$4:$D$1048576,C$15,'Background (from TC)'!$E$4:$E$1048576,C$16,'Background (from TC)'!$O$4:$O$1048576,C$17)*C29)</f>
        <v/>
      </c>
      <c r="D80" s="1077" t="str">
        <f>IF(D$15="","",SUMIFS('Background (from TC)'!$I$4:$I$1048576,'Background (from TC)'!$D$4:$D$1048576,D$15,'Background (from TC)'!$E$4:$E$1048576,D$16,'Background (from TC)'!$O$4:$O$1048576,D$17)*D29)</f>
        <v/>
      </c>
      <c r="E80" s="1074" t="str">
        <f>IF(E$15="","",SUMIFS('Background (from TC)'!$I$4:$I$1048576,'Background (from TC)'!$D$4:$D$1048576,E$15,'Background (from TC)'!$E$4:$E$1048576,E$16,'Background (from TC)'!$O$4:$O$1048576,E$17)*E29)</f>
        <v/>
      </c>
      <c r="F80" s="521" t="str">
        <f>IF(F$15="","",SUMIFS('Background (from TC)'!$I$4:$I$1048576,'Background (from TC)'!$D$4:$D$1048576,F$15,'Background (from TC)'!$E$4:$E$1048576,F$16,'Background (from TC)'!$O$4:$O$1048576,F$17)*F29)</f>
        <v/>
      </c>
      <c r="G80" s="521" t="str">
        <f>IF(G$15="","",SUMIFS('Background (from TC)'!$I$4:$I$1048576,'Background (from TC)'!$D$4:$D$1048576,G$15,'Background (from TC)'!$E$4:$E$1048576,G$16,'Background (from TC)'!$O$4:$O$1048576,G$17)*G29)</f>
        <v/>
      </c>
      <c r="H80" s="521" t="str">
        <f>IF(H$15="","",SUMIFS('Background (from TC)'!$I$4:$I$1048576,'Background (from TC)'!$D$4:$D$1048576,H$15,'Background (from TC)'!$E$4:$E$1048576,H$16,'Background (from TC)'!$O$4:$O$1048576,H$17)*H29)</f>
        <v/>
      </c>
      <c r="I80" s="521" t="str">
        <f>IF(I$15="","",SUMIFS('Background (from TC)'!$I$4:$I$1048576,'Background (from TC)'!$D$4:$D$1048576,I$15,'Background (from TC)'!$E$4:$E$1048576,I$16,'Background (from TC)'!$O$4:$O$1048576,I$17)*I29)</f>
        <v/>
      </c>
      <c r="J80" s="521" t="str">
        <f>IF(J$15="","",SUMIFS('Background (from TC)'!$I$4:$I$1048576,'Background (from TC)'!$D$4:$D$1048576,J$15,'Background (from TC)'!$E$4:$E$1048576,J$16,'Background (from TC)'!$O$4:$O$1048576,J$17)*J29)</f>
        <v/>
      </c>
      <c r="K80" s="521" t="str">
        <f>IF(K$15="","",SUMIFS('Background (from TC)'!$I$4:$I$1048576,'Background (from TC)'!$D$4:$D$1048576,K$15,'Background (from TC)'!$E$4:$E$1048576,K$16,'Background (from TC)'!$O$4:$O$1048576,K$17)*K29)</f>
        <v/>
      </c>
      <c r="L80" s="521" t="str">
        <f>IF(L$15="","",SUMIFS('Background (from TC)'!$I$4:$I$1048576,'Background (from TC)'!$D$4:$D$1048576,L$15,'Background (from TC)'!$E$4:$E$1048576,L$16,'Background (from TC)'!$O$4:$O$1048576,L$17)*L29)</f>
        <v/>
      </c>
      <c r="M80" s="521" t="str">
        <f>IF(M$15="","",SUMIFS('Background (from TC)'!$I$4:$I$1048576,'Background (from TC)'!$D$4:$D$1048576,M$15,'Background (from TC)'!$E$4:$E$1048576,M$16,'Background (from TC)'!$O$4:$O$1048576,M$17)*M29)</f>
        <v/>
      </c>
      <c r="N80" s="521" t="str">
        <f>IF(N$15="","",SUMIFS('Background (from TC)'!$I$4:$I$1048576,'Background (from TC)'!$D$4:$D$1048576,N$15,'Background (from TC)'!$E$4:$E$1048576,N$16,'Background (from TC)'!$O$4:$O$1048576,N$17)*N29)</f>
        <v/>
      </c>
      <c r="O80" s="521" t="str">
        <f>IF(O$15="","",SUMIFS('Background (from TC)'!$I$4:$I$1048576,'Background (from TC)'!$D$4:$D$1048576,O$15,'Background (from TC)'!$E$4:$E$1048576,O$16,'Background (from TC)'!$O$4:$O$1048576,O$17)*O29)</f>
        <v/>
      </c>
      <c r="P80" s="521" t="str">
        <f>IF(P$15="","",SUMIFS('Background (from TC)'!$I$4:$I$1048576,'Background (from TC)'!$D$4:$D$1048576,P$15,'Background (from TC)'!$E$4:$E$1048576,P$16,'Background (from TC)'!$O$4:$O$1048576,P$17)*P29)</f>
        <v/>
      </c>
      <c r="Q80" s="521" t="str">
        <f>IF(Q$15="","",SUMIFS('Background (from TC)'!$I$4:$I$1048576,'Background (from TC)'!$D$4:$D$1048576,Q$15,'Background (from TC)'!$E$4:$E$1048576,Q$16,'Background (from TC)'!$O$4:$O$1048576,Q$17)*Q29)</f>
        <v/>
      </c>
      <c r="R80" s="521" t="str">
        <f>IF(R$15="","",SUMIFS('Background (from TC)'!$I$4:$I$1048576,'Background (from TC)'!$D$4:$D$1048576,R$15,'Background (from TC)'!$E$4:$E$1048576,R$16,'Background (from TC)'!$O$4:$O$1048576,R$17)*R29)</f>
        <v/>
      </c>
      <c r="S80" s="521" t="str">
        <f>IF(S$15="","",SUMIFS('Background (from TC)'!$I$4:$I$1048576,'Background (from TC)'!$D$4:$D$1048576,S$15,'Background (from TC)'!$E$4:$E$1048576,S$16,'Background (from TC)'!$O$4:$O$1048576,S$17)*S29)</f>
        <v/>
      </c>
      <c r="T80" s="521" t="str">
        <f>IF(T$15="","",SUMIFS('Background (from TC)'!$I$4:$I$1048576,'Background (from TC)'!$D$4:$D$1048576,T$15,'Background (from TC)'!$E$4:$E$1048576,T$16,'Background (from TC)'!$O$4:$O$1048576,T$17)*T29)</f>
        <v/>
      </c>
      <c r="U80" s="521" t="str">
        <f>IF(U$15="","",SUMIFS('Background (from TC)'!$I$4:$I$1048576,'Background (from TC)'!$D$4:$D$1048576,U$15,'Background (from TC)'!$E$4:$E$1048576,U$16,'Background (from TC)'!$O$4:$O$1048576,U$17)*U29)</f>
        <v/>
      </c>
      <c r="V80" s="521" t="str">
        <f>IF(V$15="","",SUMIFS('Background (from TC)'!$I$4:$I$1048576,'Background (from TC)'!$D$4:$D$1048576,V$15,'Background (from TC)'!$E$4:$E$1048576,V$16,'Background (from TC)'!$O$4:$O$1048576,V$17)*V29)</f>
        <v/>
      </c>
      <c r="W80" s="521" t="str">
        <f>IF(W$15="","",SUMIFS('Background (from TC)'!$I$4:$I$1048576,'Background (from TC)'!$D$4:$D$1048576,W$15,'Background (from TC)'!$E$4:$E$1048576,W$16,'Background (from TC)'!$O$4:$O$1048576,W$17)*W29)</f>
        <v/>
      </c>
      <c r="X80" s="521" t="str">
        <f>IF(X$15="","",SUMIFS('Background (from TC)'!$I$4:$I$1048576,'Background (from TC)'!$D$4:$D$1048576,X$15,'Background (from TC)'!$E$4:$E$1048576,X$16,'Background (from TC)'!$O$4:$O$1048576,X$17)*X29)</f>
        <v/>
      </c>
      <c r="Y80" s="521" t="str">
        <f>IF(Y$15="","",SUMIFS('Background (from TC)'!$I$4:$I$1048576,'Background (from TC)'!$D$4:$D$1048576,Y$15,'Background (from TC)'!$E$4:$E$1048576,Y$16,'Background (from TC)'!$O$4:$O$1048576,Y$17)*Y29)</f>
        <v/>
      </c>
      <c r="Z80" s="521" t="str">
        <f>IF(Z$15="","",SUMIFS('Background (from TC)'!$I$4:$I$1048576,'Background (from TC)'!$D$4:$D$1048576,Z$15,'Background (from TC)'!$E$4:$E$1048576,Z$16,'Background (from TC)'!$O$4:$O$1048576,Z$17)*Z29)</f>
        <v/>
      </c>
    </row>
    <row r="81" spans="2:26">
      <c r="B81" s="278" t="s">
        <v>78</v>
      </c>
      <c r="C81" s="232" t="str">
        <f t="shared" ref="C81" si="6">IF(C$15="","",IF(C62="",0,C62))</f>
        <v/>
      </c>
      <c r="D81" s="1079" t="str">
        <f t="shared" ref="D81" si="7">IF(D$15="","",IF(D62="",0,D62))</f>
        <v/>
      </c>
      <c r="E81" s="232" t="str">
        <f t="shared" ref="E81:Z81" si="8">IF(E$15="","",IF(E62="",0,E62))</f>
        <v/>
      </c>
      <c r="F81" s="232" t="str">
        <f t="shared" si="8"/>
        <v/>
      </c>
      <c r="G81" s="232" t="str">
        <f t="shared" si="8"/>
        <v/>
      </c>
      <c r="H81" s="232" t="str">
        <f t="shared" si="8"/>
        <v/>
      </c>
      <c r="I81" s="232" t="str">
        <f t="shared" si="8"/>
        <v/>
      </c>
      <c r="J81" s="232" t="str">
        <f t="shared" si="8"/>
        <v/>
      </c>
      <c r="K81" s="232" t="str">
        <f t="shared" si="8"/>
        <v/>
      </c>
      <c r="L81" s="232" t="str">
        <f t="shared" si="8"/>
        <v/>
      </c>
      <c r="M81" s="232" t="str">
        <f t="shared" si="8"/>
        <v/>
      </c>
      <c r="N81" s="232" t="str">
        <f t="shared" si="8"/>
        <v/>
      </c>
      <c r="O81" s="232" t="str">
        <f t="shared" si="8"/>
        <v/>
      </c>
      <c r="P81" s="232" t="str">
        <f t="shared" si="8"/>
        <v/>
      </c>
      <c r="Q81" s="232" t="str">
        <f t="shared" si="8"/>
        <v/>
      </c>
      <c r="R81" s="232" t="str">
        <f t="shared" si="8"/>
        <v/>
      </c>
      <c r="S81" s="232" t="str">
        <f t="shared" si="8"/>
        <v/>
      </c>
      <c r="T81" s="232" t="str">
        <f t="shared" si="8"/>
        <v/>
      </c>
      <c r="U81" s="232" t="str">
        <f t="shared" si="8"/>
        <v/>
      </c>
      <c r="V81" s="232" t="str">
        <f t="shared" si="8"/>
        <v/>
      </c>
      <c r="W81" s="232" t="str">
        <f t="shared" si="8"/>
        <v/>
      </c>
      <c r="X81" s="232" t="str">
        <f t="shared" si="8"/>
        <v/>
      </c>
      <c r="Y81" s="232" t="str">
        <f t="shared" si="8"/>
        <v/>
      </c>
      <c r="Z81" s="232" t="str">
        <f t="shared" si="8"/>
        <v/>
      </c>
    </row>
    <row r="82" spans="2:26">
      <c r="B82" s="278" t="s">
        <v>95</v>
      </c>
      <c r="C82" s="35" t="str">
        <f>IF(C$15="","",SUMIFS('Background (from TC)'!$J$4:$J$1048576,'Background (from TC)'!$D$4:$D$1048576,C$15,'Background (from TC)'!$E$4:$E$1048576,C$16,'Background (from TC)'!$O$4:$O$1048576,C$17)*C29*C66)</f>
        <v/>
      </c>
      <c r="D82" s="1079" t="str">
        <f>IF(D$15="","",SUMIFS('Background (from TC)'!$J$4:$J$1048576,'Background (from TC)'!$D$4:$D$1048576,D$15,'Background (from TC)'!$E$4:$E$1048576,D$16,'Background (from TC)'!$O$4:$O$1048576,D$17)*D29*D66)</f>
        <v/>
      </c>
      <c r="E82" s="35" t="str">
        <f>IF(E$15="","",SUMIFS('Background (from TC)'!$J$4:$J$1048576,'Background (from TC)'!$D$4:$D$1048576,E$15,'Background (from TC)'!$E$4:$E$1048576,E$16,'Background (from TC)'!$O$4:$O$1048576,E$17)*E29*E66)</f>
        <v/>
      </c>
      <c r="F82" s="43" t="str">
        <f>IF(F$15="","",SUMIFS('Background (from TC)'!$J$4:$J$1048576,'Background (from TC)'!$D$4:$D$1048576,F$15,'Background (from TC)'!$E$4:$E$1048576,F$16,'Background (from TC)'!$O$4:$O$1048576,F$17)*F29*F66)</f>
        <v/>
      </c>
      <c r="G82" s="43" t="str">
        <f>IF(G$15="","",SUMIFS('Background (from TC)'!$J$4:$J$1048576,'Background (from TC)'!$D$4:$D$1048576,G$15,'Background (from TC)'!$E$4:$E$1048576,G$16,'Background (from TC)'!$O$4:$O$1048576,G$17)*G29*G66)</f>
        <v/>
      </c>
      <c r="H82" s="43" t="str">
        <f>IF(H$15="","",SUMIFS('Background (from TC)'!$J$4:$J$1048576,'Background (from TC)'!$D$4:$D$1048576,H$15,'Background (from TC)'!$E$4:$E$1048576,H$16,'Background (from TC)'!$O$4:$O$1048576,H$17)*H29*H66)</f>
        <v/>
      </c>
      <c r="I82" s="43" t="str">
        <f>IF(I$15="","",SUMIFS('Background (from TC)'!$J$4:$J$1048576,'Background (from TC)'!$D$4:$D$1048576,I$15,'Background (from TC)'!$E$4:$E$1048576,I$16,'Background (from TC)'!$O$4:$O$1048576,I$17)*I29*I66)</f>
        <v/>
      </c>
      <c r="J82" s="43" t="str">
        <f>IF(J$15="","",SUMIFS('Background (from TC)'!$J$4:$J$1048576,'Background (from TC)'!$D$4:$D$1048576,J$15,'Background (from TC)'!$E$4:$E$1048576,J$16,'Background (from TC)'!$O$4:$O$1048576,J$17)*J29*J66)</f>
        <v/>
      </c>
      <c r="K82" s="43" t="str">
        <f>IF(K$15="","",SUMIFS('Background (from TC)'!$J$4:$J$1048576,'Background (from TC)'!$D$4:$D$1048576,K$15,'Background (from TC)'!$E$4:$E$1048576,K$16,'Background (from TC)'!$O$4:$O$1048576,K$17)*K29*K66)</f>
        <v/>
      </c>
      <c r="L82" s="43" t="str">
        <f>IF(L$15="","",SUMIFS('Background (from TC)'!$J$4:$J$1048576,'Background (from TC)'!$D$4:$D$1048576,L$15,'Background (from TC)'!$E$4:$E$1048576,L$16,'Background (from TC)'!$O$4:$O$1048576,L$17)*L29*L66)</f>
        <v/>
      </c>
      <c r="M82" s="43" t="str">
        <f>IF(M$15="","",SUMIFS('Background (from TC)'!$J$4:$J$1048576,'Background (from TC)'!$D$4:$D$1048576,M$15,'Background (from TC)'!$E$4:$E$1048576,M$16,'Background (from TC)'!$O$4:$O$1048576,M$17)*M29*M66)</f>
        <v/>
      </c>
      <c r="N82" s="43" t="str">
        <f>IF(N$15="","",SUMIFS('Background (from TC)'!$J$4:$J$1048576,'Background (from TC)'!$D$4:$D$1048576,N$15,'Background (from TC)'!$E$4:$E$1048576,N$16,'Background (from TC)'!$O$4:$O$1048576,N$17)*N29*N66)</f>
        <v/>
      </c>
      <c r="O82" s="43" t="str">
        <f>IF(O$15="","",SUMIFS('Background (from TC)'!$J$4:$J$1048576,'Background (from TC)'!$D$4:$D$1048576,O$15,'Background (from TC)'!$E$4:$E$1048576,O$16,'Background (from TC)'!$O$4:$O$1048576,O$17)*O29*O66)</f>
        <v/>
      </c>
      <c r="P82" s="43" t="str">
        <f>IF(P$15="","",SUMIFS('Background (from TC)'!$J$4:$J$1048576,'Background (from TC)'!$D$4:$D$1048576,P$15,'Background (from TC)'!$E$4:$E$1048576,P$16,'Background (from TC)'!$O$4:$O$1048576,P$17)*P29*P66)</f>
        <v/>
      </c>
      <c r="Q82" s="43" t="str">
        <f>IF(Q$15="","",SUMIFS('Background (from TC)'!$J$4:$J$1048576,'Background (from TC)'!$D$4:$D$1048576,Q$15,'Background (from TC)'!$E$4:$E$1048576,Q$16,'Background (from TC)'!$O$4:$O$1048576,Q$17)*Q29*Q66)</f>
        <v/>
      </c>
      <c r="R82" s="43" t="str">
        <f>IF(R$15="","",SUMIFS('Background (from TC)'!$J$4:$J$1048576,'Background (from TC)'!$D$4:$D$1048576,R$15,'Background (from TC)'!$E$4:$E$1048576,R$16,'Background (from TC)'!$O$4:$O$1048576,R$17)*R29*R66)</f>
        <v/>
      </c>
      <c r="S82" s="43" t="str">
        <f>IF(S$15="","",SUMIFS('Background (from TC)'!$J$4:$J$1048576,'Background (from TC)'!$D$4:$D$1048576,S$15,'Background (from TC)'!$E$4:$E$1048576,S$16,'Background (from TC)'!$O$4:$O$1048576,S$17)*S29*S66)</f>
        <v/>
      </c>
      <c r="T82" s="43" t="str">
        <f>IF(T$15="","",SUMIFS('Background (from TC)'!$J$4:$J$1048576,'Background (from TC)'!$D$4:$D$1048576,T$15,'Background (from TC)'!$E$4:$E$1048576,T$16,'Background (from TC)'!$O$4:$O$1048576,T$17)*T29*T66)</f>
        <v/>
      </c>
      <c r="U82" s="43" t="str">
        <f>IF(U$15="","",SUMIFS('Background (from TC)'!$J$4:$J$1048576,'Background (from TC)'!$D$4:$D$1048576,U$15,'Background (from TC)'!$E$4:$E$1048576,U$16,'Background (from TC)'!$O$4:$O$1048576,U$17)*U29*U66)</f>
        <v/>
      </c>
      <c r="V82" s="43" t="str">
        <f>IF(V$15="","",SUMIFS('Background (from TC)'!$J$4:$J$1048576,'Background (from TC)'!$D$4:$D$1048576,V$15,'Background (from TC)'!$E$4:$E$1048576,V$16,'Background (from TC)'!$O$4:$O$1048576,V$17)*V29*V66)</f>
        <v/>
      </c>
      <c r="W82" s="43" t="str">
        <f>IF(W$15="","",SUMIFS('Background (from TC)'!$J$4:$J$1048576,'Background (from TC)'!$D$4:$D$1048576,W$15,'Background (from TC)'!$E$4:$E$1048576,W$16,'Background (from TC)'!$O$4:$O$1048576,W$17)*W29*W66)</f>
        <v/>
      </c>
      <c r="X82" s="43" t="str">
        <f>IF(X$15="","",SUMIFS('Background (from TC)'!$J$4:$J$1048576,'Background (from TC)'!$D$4:$D$1048576,X$15,'Background (from TC)'!$E$4:$E$1048576,X$16,'Background (from TC)'!$O$4:$O$1048576,X$17)*X29*X66)</f>
        <v/>
      </c>
      <c r="Y82" s="43" t="str">
        <f>IF(Y$15="","",SUMIFS('Background (from TC)'!$J$4:$J$1048576,'Background (from TC)'!$D$4:$D$1048576,Y$15,'Background (from TC)'!$E$4:$E$1048576,Y$16,'Background (from TC)'!$O$4:$O$1048576,Y$17)*Y29*Y66)</f>
        <v/>
      </c>
      <c r="Z82" s="43" t="str">
        <f>IF(Z$15="","",SUMIFS('Background (from TC)'!$J$4:$J$1048576,'Background (from TC)'!$D$4:$D$1048576,Z$15,'Background (from TC)'!$E$4:$E$1048576,Z$16,'Background (from TC)'!$O$4:$O$1048576,Z$17)*Z29*Z66)</f>
        <v/>
      </c>
    </row>
    <row r="83" spans="2:26">
      <c r="B83" s="278" t="s">
        <v>96</v>
      </c>
      <c r="C83" s="35" t="str">
        <f>IF(C$15="","",SUMIFS('Background (from TC)'!$N$4:$N$1048576,'Background (from TC)'!$D$4:$D$1048576,C$15,'Background (from TC)'!$E$4:$E$1048576,C$16,'Background (from TC)'!$O$4:$O$1048576,C$17)*C29)</f>
        <v/>
      </c>
      <c r="D83" s="1079" t="str">
        <f>IF(D$15="","",SUMIFS('Background (from TC)'!$N$4:$N$1048576,'Background (from TC)'!$D$4:$D$1048576,D$15,'Background (from TC)'!$E$4:$E$1048576,D$16,'Background (from TC)'!$O$4:$O$1048576,D$17)*D29)</f>
        <v/>
      </c>
      <c r="E83" s="35" t="str">
        <f>IF(E$15="","",SUMIFS('Background (from TC)'!$N$4:$N$1048576,'Background (from TC)'!$D$4:$D$1048576,E$15,'Background (from TC)'!$E$4:$E$1048576,E$16,'Background (from TC)'!$O$4:$O$1048576,E$17)*E29)</f>
        <v/>
      </c>
      <c r="F83" s="43" t="str">
        <f>IF(F$15="","",SUMIFS('Background (from TC)'!$N$4:$N$1048576,'Background (from TC)'!$D$4:$D$1048576,F$15,'Background (from TC)'!$E$4:$E$1048576,F$16,'Background (from TC)'!$O$4:$O$1048576,F$17)*F29)</f>
        <v/>
      </c>
      <c r="G83" s="43" t="str">
        <f>IF(G$15="","",SUMIFS('Background (from TC)'!$N$4:$N$1048576,'Background (from TC)'!$D$4:$D$1048576,G$15,'Background (from TC)'!$E$4:$E$1048576,G$16,'Background (from TC)'!$O$4:$O$1048576,G$17)*G29)</f>
        <v/>
      </c>
      <c r="H83" s="43" t="str">
        <f>IF(H$15="","",SUMIFS('Background (from TC)'!$N$4:$N$1048576,'Background (from TC)'!$D$4:$D$1048576,H$15,'Background (from TC)'!$E$4:$E$1048576,H$16,'Background (from TC)'!$O$4:$O$1048576,H$17)*H29)</f>
        <v/>
      </c>
      <c r="I83" s="43" t="str">
        <f>IF(I$15="","",SUMIFS('Background (from TC)'!$N$4:$N$1048576,'Background (from TC)'!$D$4:$D$1048576,I$15,'Background (from TC)'!$E$4:$E$1048576,I$16,'Background (from TC)'!$O$4:$O$1048576,I$17)*I29)</f>
        <v/>
      </c>
      <c r="J83" s="43" t="str">
        <f>IF(J$15="","",SUMIFS('Background (from TC)'!$N$4:$N$1048576,'Background (from TC)'!$D$4:$D$1048576,J$15,'Background (from TC)'!$E$4:$E$1048576,J$16,'Background (from TC)'!$O$4:$O$1048576,J$17)*J29)</f>
        <v/>
      </c>
      <c r="K83" s="43" t="str">
        <f>IF(K$15="","",SUMIFS('Background (from TC)'!$N$4:$N$1048576,'Background (from TC)'!$D$4:$D$1048576,K$15,'Background (from TC)'!$E$4:$E$1048576,K$16,'Background (from TC)'!$O$4:$O$1048576,K$17)*K29)</f>
        <v/>
      </c>
      <c r="L83" s="43" t="str">
        <f>IF(L$15="","",SUMIFS('Background (from TC)'!$N$4:$N$1048576,'Background (from TC)'!$D$4:$D$1048576,L$15,'Background (from TC)'!$E$4:$E$1048576,L$16,'Background (from TC)'!$O$4:$O$1048576,L$17)*L29)</f>
        <v/>
      </c>
      <c r="M83" s="43" t="str">
        <f>IF(M$15="","",SUMIFS('Background (from TC)'!$N$4:$N$1048576,'Background (from TC)'!$D$4:$D$1048576,M$15,'Background (from TC)'!$E$4:$E$1048576,M$16,'Background (from TC)'!$O$4:$O$1048576,M$17)*M29)</f>
        <v/>
      </c>
      <c r="N83" s="43" t="str">
        <f>IF(N$15="","",SUMIFS('Background (from TC)'!$N$4:$N$1048576,'Background (from TC)'!$D$4:$D$1048576,N$15,'Background (from TC)'!$E$4:$E$1048576,N$16,'Background (from TC)'!$O$4:$O$1048576,N$17)*N29)</f>
        <v/>
      </c>
      <c r="O83" s="43" t="str">
        <f>IF(O$15="","",SUMIFS('Background (from TC)'!$N$4:$N$1048576,'Background (from TC)'!$D$4:$D$1048576,O$15,'Background (from TC)'!$E$4:$E$1048576,O$16,'Background (from TC)'!$O$4:$O$1048576,O$17)*O29)</f>
        <v/>
      </c>
      <c r="P83" s="43" t="str">
        <f>IF(P$15="","",SUMIFS('Background (from TC)'!$N$4:$N$1048576,'Background (from TC)'!$D$4:$D$1048576,P$15,'Background (from TC)'!$E$4:$E$1048576,P$16,'Background (from TC)'!$O$4:$O$1048576,P$17)*P29)</f>
        <v/>
      </c>
      <c r="Q83" s="43" t="str">
        <f>IF(Q$15="","",SUMIFS('Background (from TC)'!$N$4:$N$1048576,'Background (from TC)'!$D$4:$D$1048576,Q$15,'Background (from TC)'!$E$4:$E$1048576,Q$16,'Background (from TC)'!$O$4:$O$1048576,Q$17)*Q29)</f>
        <v/>
      </c>
      <c r="R83" s="43" t="str">
        <f>IF(R$15="","",SUMIFS('Background (from TC)'!$N$4:$N$1048576,'Background (from TC)'!$D$4:$D$1048576,R$15,'Background (from TC)'!$E$4:$E$1048576,R$16,'Background (from TC)'!$O$4:$O$1048576,R$17)*R29)</f>
        <v/>
      </c>
      <c r="S83" s="43" t="str">
        <f>IF(S$15="","",SUMIFS('Background (from TC)'!$N$4:$N$1048576,'Background (from TC)'!$D$4:$D$1048576,S$15,'Background (from TC)'!$E$4:$E$1048576,S$16,'Background (from TC)'!$O$4:$O$1048576,S$17)*S29)</f>
        <v/>
      </c>
      <c r="T83" s="43" t="str">
        <f>IF(T$15="","",SUMIFS('Background (from TC)'!$N$4:$N$1048576,'Background (from TC)'!$D$4:$D$1048576,T$15,'Background (from TC)'!$E$4:$E$1048576,T$16,'Background (from TC)'!$O$4:$O$1048576,T$17)*T29)</f>
        <v/>
      </c>
      <c r="U83" s="43" t="str">
        <f>IF(U$15="","",SUMIFS('Background (from TC)'!$N$4:$N$1048576,'Background (from TC)'!$D$4:$D$1048576,U$15,'Background (from TC)'!$E$4:$E$1048576,U$16,'Background (from TC)'!$O$4:$O$1048576,U$17)*U29)</f>
        <v/>
      </c>
      <c r="V83" s="43" t="str">
        <f>IF(V$15="","",SUMIFS('Background (from TC)'!$N$4:$N$1048576,'Background (from TC)'!$D$4:$D$1048576,V$15,'Background (from TC)'!$E$4:$E$1048576,V$16,'Background (from TC)'!$O$4:$O$1048576,V$17)*V29)</f>
        <v/>
      </c>
      <c r="W83" s="43" t="str">
        <f>IF(W$15="","",SUMIFS('Background (from TC)'!$N$4:$N$1048576,'Background (from TC)'!$D$4:$D$1048576,W$15,'Background (from TC)'!$E$4:$E$1048576,W$16,'Background (from TC)'!$O$4:$O$1048576,W$17)*W29)</f>
        <v/>
      </c>
      <c r="X83" s="43" t="str">
        <f>IF(X$15="","",SUMIFS('Background (from TC)'!$N$4:$N$1048576,'Background (from TC)'!$D$4:$D$1048576,X$15,'Background (from TC)'!$E$4:$E$1048576,X$16,'Background (from TC)'!$O$4:$O$1048576,X$17)*X29)</f>
        <v/>
      </c>
      <c r="Y83" s="43" t="str">
        <f>IF(Y$15="","",SUMIFS('Background (from TC)'!$N$4:$N$1048576,'Background (from TC)'!$D$4:$D$1048576,Y$15,'Background (from TC)'!$E$4:$E$1048576,Y$16,'Background (from TC)'!$O$4:$O$1048576,Y$17)*Y29)</f>
        <v/>
      </c>
      <c r="Z83" s="43" t="str">
        <f>IF(Z$15="","",SUMIFS('Background (from TC)'!$N$4:$N$1048576,'Background (from TC)'!$D$4:$D$1048576,Z$15,'Background (from TC)'!$E$4:$E$1048576,Z$16,'Background (from TC)'!$O$4:$O$1048576,Z$17)*Z29)</f>
        <v/>
      </c>
    </row>
    <row r="84" spans="2:26">
      <c r="B84" s="278"/>
      <c r="C84" s="35"/>
      <c r="D84" s="1079"/>
      <c r="E84" s="35"/>
      <c r="F84" s="43"/>
      <c r="G84" s="43"/>
      <c r="H84" s="43"/>
      <c r="I84" s="43"/>
      <c r="J84" s="43"/>
      <c r="K84" s="43"/>
      <c r="L84" s="43"/>
      <c r="M84" s="43"/>
      <c r="N84" s="43"/>
      <c r="O84" s="43"/>
      <c r="P84" s="43"/>
      <c r="Q84" s="43"/>
      <c r="R84" s="43"/>
      <c r="S84" s="43"/>
      <c r="T84" s="43"/>
      <c r="U84" s="43"/>
      <c r="V84" s="43"/>
      <c r="W84" s="43"/>
      <c r="X84" s="43"/>
      <c r="Y84" s="43"/>
      <c r="Z84" s="43"/>
    </row>
    <row r="85" spans="2:26">
      <c r="B85" s="278" t="s">
        <v>163</v>
      </c>
      <c r="C85" s="81" t="str">
        <f>IF(C$15="","",SUMIFS($C$34:$Z$34,$C$15:$Z$15,"&lt;&gt;"&amp;"Storage"))</f>
        <v/>
      </c>
      <c r="D85" s="1079"/>
      <c r="E85" s="35"/>
      <c r="F85" s="43"/>
      <c r="G85" s="43"/>
      <c r="H85" s="43"/>
      <c r="I85" s="43"/>
      <c r="J85" s="43"/>
      <c r="K85" s="43"/>
      <c r="L85" s="43"/>
      <c r="M85" s="43"/>
      <c r="N85" s="43"/>
      <c r="O85" s="43"/>
      <c r="P85" s="43"/>
      <c r="Q85" s="43"/>
      <c r="R85" s="43"/>
      <c r="S85" s="43"/>
      <c r="T85" s="43"/>
      <c r="U85" s="43"/>
      <c r="V85" s="43"/>
      <c r="W85" s="43"/>
      <c r="X85" s="43"/>
      <c r="Y85" s="43"/>
      <c r="Z85" s="43"/>
    </row>
    <row r="86" spans="2:26">
      <c r="B86" s="278" t="s">
        <v>164</v>
      </c>
      <c r="C86" s="81" t="str">
        <f>IF(C$15="","",C50/C54)</f>
        <v/>
      </c>
      <c r="D86" s="1079"/>
      <c r="E86" s="35"/>
      <c r="F86" s="43"/>
      <c r="G86" s="43"/>
      <c r="H86" s="43"/>
      <c r="I86" s="43"/>
      <c r="J86" s="43"/>
      <c r="K86" s="43"/>
      <c r="L86" s="43"/>
      <c r="M86" s="43"/>
      <c r="N86" s="43"/>
      <c r="O86" s="43"/>
      <c r="P86" s="43"/>
      <c r="Q86" s="43"/>
      <c r="R86" s="43"/>
      <c r="S86" s="43"/>
      <c r="T86" s="43"/>
      <c r="U86" s="43"/>
      <c r="V86" s="43"/>
      <c r="W86" s="43"/>
      <c r="X86" s="43"/>
      <c r="Y86" s="43"/>
      <c r="Z86" s="43"/>
    </row>
    <row r="87" spans="2:26">
      <c r="B87" s="278" t="s">
        <v>165</v>
      </c>
      <c r="C87" s="81" t="str">
        <f>IF(C$15="","",C86*(1-C53))</f>
        <v/>
      </c>
      <c r="D87" s="1079"/>
      <c r="E87" s="35"/>
      <c r="F87" s="43"/>
      <c r="G87" s="43"/>
      <c r="H87" s="43"/>
      <c r="I87" s="43"/>
      <c r="J87" s="43"/>
      <c r="K87" s="43"/>
      <c r="L87" s="43"/>
      <c r="M87" s="43"/>
      <c r="N87" s="43"/>
      <c r="O87" s="43"/>
      <c r="P87" s="43"/>
      <c r="Q87" s="43"/>
      <c r="R87" s="43"/>
      <c r="S87" s="43"/>
      <c r="T87" s="43"/>
      <c r="U87" s="43"/>
      <c r="V87" s="43"/>
      <c r="W87" s="43"/>
      <c r="X87" s="43"/>
      <c r="Y87" s="43"/>
      <c r="Z87" s="43"/>
    </row>
    <row r="88" spans="2:26">
      <c r="B88" s="278" t="s">
        <v>166</v>
      </c>
      <c r="C88" s="81" t="str">
        <f>IF(C$15="","",C86*(1-C54))</f>
        <v/>
      </c>
      <c r="D88" s="1079"/>
      <c r="E88" s="35"/>
      <c r="F88" s="43"/>
      <c r="G88" s="43"/>
      <c r="H88" s="43"/>
      <c r="I88" s="43"/>
      <c r="J88" s="43"/>
      <c r="K88" s="43"/>
      <c r="L88" s="43"/>
      <c r="M88" s="43"/>
      <c r="N88" s="43"/>
      <c r="O88" s="43"/>
      <c r="P88" s="43"/>
      <c r="Q88" s="43"/>
      <c r="R88" s="43"/>
      <c r="S88" s="43"/>
      <c r="T88" s="43"/>
      <c r="U88" s="43"/>
      <c r="V88" s="43"/>
      <c r="W88" s="43"/>
      <c r="X88" s="43"/>
      <c r="Y88" s="43"/>
      <c r="Z88" s="43"/>
    </row>
    <row r="89" spans="2:26">
      <c r="B89" s="278" t="s">
        <v>167</v>
      </c>
      <c r="C89" s="81" t="str">
        <f>IF(C$15="","",C85-C86-C87)</f>
        <v/>
      </c>
      <c r="D89" s="1079"/>
      <c r="E89" s="35"/>
      <c r="F89" s="43"/>
      <c r="G89" s="43"/>
      <c r="H89" s="43"/>
      <c r="I89" s="43"/>
      <c r="J89" s="43"/>
      <c r="K89" s="43"/>
      <c r="L89" s="43"/>
      <c r="M89" s="43"/>
      <c r="N89" s="43"/>
      <c r="O89" s="43"/>
      <c r="P89" s="43"/>
      <c r="Q89" s="43"/>
      <c r="R89" s="43"/>
      <c r="S89" s="43"/>
      <c r="T89" s="43"/>
      <c r="U89" s="43"/>
      <c r="V89" s="43"/>
      <c r="W89" s="43"/>
      <c r="X89" s="43"/>
      <c r="Y89" s="43"/>
      <c r="Z89" s="43"/>
    </row>
    <row r="90" spans="2:26">
      <c r="B90" s="278" t="s">
        <v>168</v>
      </c>
      <c r="C90" s="81" t="str">
        <f>IF(C$15="","",C86-C88)</f>
        <v/>
      </c>
      <c r="D90" s="1079"/>
      <c r="E90" s="35"/>
      <c r="F90" s="43"/>
      <c r="G90" s="43"/>
      <c r="H90" s="43"/>
      <c r="I90" s="43"/>
      <c r="J90" s="43"/>
      <c r="K90" s="43"/>
      <c r="L90" s="43"/>
      <c r="M90" s="43"/>
      <c r="N90" s="43"/>
      <c r="O90" s="43"/>
      <c r="P90" s="43"/>
      <c r="Q90" s="43"/>
      <c r="R90" s="43"/>
      <c r="S90" s="43"/>
      <c r="T90" s="43"/>
      <c r="U90" s="43"/>
      <c r="V90" s="43"/>
      <c r="W90" s="43"/>
      <c r="X90" s="43"/>
      <c r="Y90" s="43"/>
      <c r="Z90" s="43"/>
    </row>
    <row r="91" spans="2:26">
      <c r="B91" s="278" t="s">
        <v>169</v>
      </c>
      <c r="C91" s="81" t="str">
        <f>IF(C$15="","",SUM(C89:C90))</f>
        <v/>
      </c>
      <c r="D91" s="1079"/>
      <c r="E91" s="35"/>
      <c r="F91" s="43"/>
      <c r="G91" s="43"/>
      <c r="H91" s="43"/>
      <c r="I91" s="43"/>
      <c r="J91" s="43"/>
      <c r="K91" s="43"/>
      <c r="L91" s="43"/>
      <c r="M91" s="43"/>
      <c r="N91" s="43"/>
      <c r="O91" s="43"/>
      <c r="P91" s="43"/>
      <c r="Q91" s="43"/>
      <c r="R91" s="43"/>
      <c r="S91" s="43"/>
      <c r="T91" s="43"/>
      <c r="U91" s="43"/>
      <c r="V91" s="43"/>
      <c r="W91" s="43"/>
      <c r="X91" s="43"/>
      <c r="Y91" s="43"/>
      <c r="Z91" s="43"/>
    </row>
    <row r="92" spans="2:26">
      <c r="B92" s="278"/>
      <c r="C92" s="35"/>
      <c r="D92" s="1079"/>
      <c r="E92" s="35"/>
      <c r="F92" s="43"/>
      <c r="G92" s="43"/>
      <c r="H92" s="43"/>
      <c r="I92" s="43"/>
      <c r="J92" s="43"/>
      <c r="K92" s="43"/>
      <c r="L92" s="43"/>
      <c r="M92" s="43"/>
      <c r="N92" s="43"/>
      <c r="O92" s="43"/>
      <c r="P92" s="43"/>
      <c r="Q92" s="43"/>
      <c r="R92" s="43"/>
      <c r="S92" s="43"/>
      <c r="T92" s="43"/>
      <c r="U92" s="43"/>
      <c r="V92" s="43"/>
      <c r="W92" s="43"/>
      <c r="X92" s="43"/>
      <c r="Y92" s="43"/>
      <c r="Z92" s="43"/>
    </row>
    <row r="93" spans="2:26">
      <c r="B93" s="278" t="s">
        <v>97</v>
      </c>
      <c r="C93" s="35"/>
      <c r="D93" s="1079"/>
      <c r="E93" s="35"/>
      <c r="F93" s="43"/>
      <c r="G93" s="43"/>
      <c r="H93" s="43"/>
      <c r="I93" s="43"/>
      <c r="J93" s="43"/>
      <c r="K93" s="43"/>
      <c r="L93" s="43"/>
      <c r="M93" s="43"/>
      <c r="N93" s="43"/>
      <c r="O93" s="43"/>
      <c r="P93" s="43"/>
      <c r="Q93" s="43"/>
      <c r="R93" s="43"/>
      <c r="S93" s="43"/>
      <c r="T93" s="43"/>
      <c r="U93" s="43"/>
      <c r="V93" s="43"/>
      <c r="W93" s="43"/>
      <c r="X93" s="43"/>
      <c r="Y93" s="43"/>
      <c r="Z93" s="43"/>
    </row>
    <row r="94" spans="2:26">
      <c r="B94" s="278" t="s">
        <v>98</v>
      </c>
      <c r="C94" s="1080" t="str">
        <f>IF(C$15="","",SUM(SUMPRODUCT($C$25:$Z$25,$C$78:$Z$78))*10^6/$C$91)</f>
        <v/>
      </c>
      <c r="D94" s="1081"/>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row>
    <row r="95" spans="2:26">
      <c r="B95" s="278" t="s">
        <v>99</v>
      </c>
      <c r="C95" s="1080" t="str">
        <f>IF(C$15="","",SUM($C$79:$Z$79)*10^3/$C$91)</f>
        <v/>
      </c>
      <c r="D95" s="1081"/>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row>
    <row r="96" spans="2:26">
      <c r="B96" s="278" t="s">
        <v>100</v>
      </c>
      <c r="C96" s="1078" t="str">
        <f>IF(C$15="","",SUM($C$80:$Z$80))</f>
        <v/>
      </c>
      <c r="D96" s="1081"/>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row>
    <row r="97" spans="2:26">
      <c r="B97" s="278" t="s">
        <v>101</v>
      </c>
      <c r="C97" s="1080" t="str">
        <f>IF(C$15="","",SUM(C81:Z81))</f>
        <v/>
      </c>
      <c r="D97" s="1081"/>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row>
    <row r="98" spans="2:26">
      <c r="B98" s="278" t="s">
        <v>102</v>
      </c>
      <c r="C98" s="1080" t="str">
        <f>IF(C$15="","",SUM(C82:Z82))</f>
        <v/>
      </c>
      <c r="D98" s="1081"/>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row>
    <row r="99" spans="2:26">
      <c r="B99" s="278" t="s">
        <v>103</v>
      </c>
      <c r="C99" s="1080" t="str">
        <f>IF(C$15="","",SUM(C83:Z83))</f>
        <v/>
      </c>
      <c r="D99" s="1081"/>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row>
    <row r="100" spans="2:26">
      <c r="B100" s="278"/>
      <c r="C100" s="35"/>
      <c r="D100" s="1079"/>
      <c r="E100" s="35"/>
      <c r="F100" s="43"/>
      <c r="G100" s="43"/>
      <c r="H100" s="43"/>
      <c r="I100" s="43"/>
      <c r="J100" s="43"/>
      <c r="K100" s="43"/>
      <c r="L100" s="43"/>
      <c r="M100" s="43"/>
      <c r="N100" s="43"/>
      <c r="O100" s="43"/>
      <c r="P100" s="43"/>
      <c r="Q100" s="43"/>
      <c r="R100" s="43"/>
      <c r="S100" s="43"/>
      <c r="T100" s="43"/>
      <c r="U100" s="43"/>
      <c r="V100" s="43"/>
      <c r="W100" s="43"/>
      <c r="X100" s="43"/>
      <c r="Y100" s="43"/>
      <c r="Z100" s="43"/>
    </row>
    <row r="101" spans="2:26" ht="15.75" thickBot="1">
      <c r="B101" s="272" t="s">
        <v>170</v>
      </c>
      <c r="C101" s="1083" t="str">
        <f>IF(C15="","",SUM(C94:C97))</f>
        <v/>
      </c>
      <c r="D101" s="1084"/>
      <c r="E101" s="1085"/>
      <c r="F101" s="1086"/>
      <c r="G101" s="1086"/>
      <c r="H101" s="1086"/>
      <c r="I101" s="1086"/>
      <c r="J101" s="1086"/>
      <c r="K101" s="1086"/>
      <c r="L101" s="1086"/>
      <c r="M101" s="1086"/>
      <c r="N101" s="1086"/>
      <c r="O101" s="1086"/>
      <c r="P101" s="1086"/>
      <c r="Q101" s="1086"/>
      <c r="R101" s="1086"/>
      <c r="S101" s="1086"/>
      <c r="T101" s="1086"/>
      <c r="U101" s="1086"/>
      <c r="V101" s="1086"/>
      <c r="W101" s="1086"/>
      <c r="X101" s="1086"/>
      <c r="Y101" s="1086"/>
      <c r="Z101" s="1086"/>
    </row>
    <row r="102" spans="2:26" ht="15.75" thickBot="1">
      <c r="B102" s="273" t="s">
        <v>43</v>
      </c>
      <c r="C102" s="59" t="str">
        <f>IF(ISERROR(C101),"Populate cells above","")</f>
        <v/>
      </c>
      <c r="D102" s="67"/>
    </row>
    <row r="104" spans="2:26">
      <c r="B104" s="1"/>
    </row>
    <row r="107" spans="2:26">
      <c r="C107" s="54"/>
      <c r="D107" s="54"/>
      <c r="E107" s="54"/>
    </row>
    <row r="108" spans="2:26">
      <c r="C108" s="54"/>
      <c r="E108" s="54"/>
    </row>
    <row r="109" spans="2:26">
      <c r="C109" s="8"/>
      <c r="E109" s="8"/>
    </row>
    <row r="112" spans="2:26">
      <c r="C112" s="9"/>
    </row>
    <row r="114" spans="3:3">
      <c r="C114" s="9"/>
    </row>
    <row r="116" spans="3:3">
      <c r="C116" s="9"/>
    </row>
    <row r="119" spans="3:3">
      <c r="C119" s="54"/>
    </row>
  </sheetData>
  <conditionalFormatting sqref="C32:Y32">
    <cfRule type="expression" dxfId="362" priority="105">
      <formula>NOT(ISBLANK(C$15))</formula>
    </cfRule>
  </conditionalFormatting>
  <conditionalFormatting sqref="C15:Z15">
    <cfRule type="notContainsBlanks" dxfId="361" priority="111">
      <formula>LEN(TRIM(C15))&gt;0</formula>
    </cfRule>
  </conditionalFormatting>
  <conditionalFormatting sqref="C16:Z16">
    <cfRule type="expression" dxfId="360" priority="72">
      <formula>NOT(ISBLANK(C$15))</formula>
    </cfRule>
  </conditionalFormatting>
  <conditionalFormatting sqref="C17:Z17">
    <cfRule type="expression" dxfId="359" priority="1">
      <formula>NOT(ISBLANK(C$16))</formula>
    </cfRule>
  </conditionalFormatting>
  <conditionalFormatting sqref="C18:Z18">
    <cfRule type="containsText" dxfId="358" priority="2" operator="containsText" text="Technology unavailable in this year. Please revise">
      <formula>NOT(ISERROR(SEARCH("Technology unavailable in this year. Please revise",C18)))</formula>
    </cfRule>
    <cfRule type="containsText" dxfId="357" priority="80" operator="containsText" text="Incompatible combination of Fuel and Technology">
      <formula>NOT(ISERROR(SEARCH("Incompatible combination of Fuel and Technology",C18)))</formula>
    </cfRule>
  </conditionalFormatting>
  <conditionalFormatting sqref="C22:Z22">
    <cfRule type="expression" dxfId="356" priority="109">
      <formula>NOT(ISBLANK(C$15))</formula>
    </cfRule>
  </conditionalFormatting>
  <conditionalFormatting sqref="C23:Z23">
    <cfRule type="expression" dxfId="355" priority="110">
      <formula>C22="Generic"</formula>
    </cfRule>
    <cfRule type="expression" dxfId="354" priority="108">
      <formula>C22="User defined"</formula>
    </cfRule>
  </conditionalFormatting>
  <conditionalFormatting sqref="C24:Z25">
    <cfRule type="notContainsBlanks" dxfId="353" priority="106">
      <formula>LEN(TRIM(C24))&gt;0</formula>
    </cfRule>
  </conditionalFormatting>
  <conditionalFormatting sqref="C26:Z26">
    <cfRule type="containsText" dxfId="352" priority="107" operator="containsText" text="Insert value above">
      <formula>NOT(ISERROR(SEARCH("Insert value above",C26)))</formula>
    </cfRule>
    <cfRule type="containsText" dxfId="351" priority="101" operator="containsText" text="Value should be between 0 and 1">
      <formula>NOT(ISERROR(SEARCH("Value should be between 0 and 1",C26)))</formula>
    </cfRule>
  </conditionalFormatting>
  <conditionalFormatting sqref="C28:Z29">
    <cfRule type="notContainsBlanks" dxfId="350" priority="3">
      <formula>LEN(TRIM(C28))&gt;0</formula>
    </cfRule>
  </conditionalFormatting>
  <conditionalFormatting sqref="C32:Z32">
    <cfRule type="expression" dxfId="349" priority="88">
      <formula>C$15="Storage"</formula>
    </cfRule>
  </conditionalFormatting>
  <conditionalFormatting sqref="C33:Z33">
    <cfRule type="expression" dxfId="348" priority="104">
      <formula>C32="Generic"</formula>
    </cfRule>
    <cfRule type="expression" dxfId="347" priority="103">
      <formula>C32="User defined"</formula>
    </cfRule>
  </conditionalFormatting>
  <conditionalFormatting sqref="C33:Z34">
    <cfRule type="expression" dxfId="346" priority="86">
      <formula>C$15="Storage"</formula>
    </cfRule>
  </conditionalFormatting>
  <conditionalFormatting sqref="C34:Z34">
    <cfRule type="notContainsBlanks" dxfId="345" priority="102">
      <formula>LEN(TRIM(C34))&gt;0</formula>
    </cfRule>
  </conditionalFormatting>
  <conditionalFormatting sqref="C35:Z37">
    <cfRule type="containsText" dxfId="344" priority="73" operator="containsText" text="Absence of generic data, please switch to User Defined and insert FLHs">
      <formula>NOT(ISERROR(SEARCH("Absence of generic data, please switch to User Defined and insert FLHs",C35)))</formula>
    </cfRule>
    <cfRule type="containsText" dxfId="343" priority="100" operator="containsText" text="Insert value above">
      <formula>NOT(ISERROR(SEARCH("Insert value above",C35)))</formula>
    </cfRule>
    <cfRule type="containsText" dxfId="342" priority="99" operator="containsText" text="Value should be between 0 and 1">
      <formula>NOT(ISERROR(SEARCH("Value should be between 0 and 1",C35)))</formula>
    </cfRule>
  </conditionalFormatting>
  <conditionalFormatting sqref="C38:Z38">
    <cfRule type="expression" dxfId="341" priority="97">
      <formula>C$15="Storage"</formula>
    </cfRule>
  </conditionalFormatting>
  <conditionalFormatting sqref="C39:Z41">
    <cfRule type="expression" dxfId="340" priority="14">
      <formula>C$38="User defined"</formula>
    </cfRule>
    <cfRule type="expression" dxfId="339" priority="15">
      <formula>C$38&lt;&gt;"User defined"</formula>
    </cfRule>
  </conditionalFormatting>
  <conditionalFormatting sqref="C39:Z44">
    <cfRule type="expression" dxfId="338" priority="11">
      <formula>C$15=""</formula>
    </cfRule>
  </conditionalFormatting>
  <conditionalFormatting sqref="C42:Z44">
    <cfRule type="expression" dxfId="337" priority="13">
      <formula>C$38&lt;&gt;""</formula>
    </cfRule>
  </conditionalFormatting>
  <conditionalFormatting sqref="C45:Z48">
    <cfRule type="expression" dxfId="336" priority="9">
      <formula>C$38="User defined"</formula>
    </cfRule>
    <cfRule type="expression" dxfId="335" priority="10">
      <formula>C$38="Generic"</formula>
    </cfRule>
  </conditionalFormatting>
  <conditionalFormatting sqref="C47:Z48">
    <cfRule type="expression" dxfId="334" priority="7">
      <formula>C$38="User defined"</formula>
    </cfRule>
    <cfRule type="expression" dxfId="333" priority="8">
      <formula>C$38="Generic"</formula>
    </cfRule>
  </conditionalFormatting>
  <conditionalFormatting sqref="C49:Z54">
    <cfRule type="expression" dxfId="332" priority="82">
      <formula>C$15="Storage"</formula>
    </cfRule>
  </conditionalFormatting>
  <conditionalFormatting sqref="C53:Z55">
    <cfRule type="containsText" dxfId="331" priority="81" operator="containsText" text="Annual cycles exceed feasible">
      <formula>NOT(ISERROR(SEARCH("Annual cycles exceed feasible",C53)))</formula>
    </cfRule>
  </conditionalFormatting>
  <conditionalFormatting sqref="C58:Z58">
    <cfRule type="expression" dxfId="330" priority="166">
      <formula>NOT(ISBLANK(C$15))</formula>
    </cfRule>
    <cfRule type="expression" dxfId="329" priority="163">
      <formula>C$15=""</formula>
    </cfRule>
  </conditionalFormatting>
  <conditionalFormatting sqref="C59:Z59">
    <cfRule type="expression" dxfId="328" priority="4">
      <formula>C$15="Storage"</formula>
    </cfRule>
    <cfRule type="expression" dxfId="327" priority="5">
      <formula>C58="User defined"</formula>
    </cfRule>
    <cfRule type="expression" dxfId="326" priority="66">
      <formula>C58="User defined"</formula>
    </cfRule>
    <cfRule type="expression" dxfId="325" priority="65">
      <formula>C$15="Storage"</formula>
    </cfRule>
    <cfRule type="expression" dxfId="324" priority="67">
      <formula>C58&lt;&gt;"User defined"</formula>
    </cfRule>
  </conditionalFormatting>
  <conditionalFormatting sqref="C59:Z60">
    <cfRule type="expression" dxfId="323" priority="60">
      <formula>C$15=""</formula>
    </cfRule>
  </conditionalFormatting>
  <conditionalFormatting sqref="C60:Z60">
    <cfRule type="expression" dxfId="322" priority="63">
      <formula>C15&lt;&gt;""</formula>
    </cfRule>
  </conditionalFormatting>
  <conditionalFormatting sqref="C61:Z61">
    <cfRule type="expression" dxfId="321" priority="174">
      <formula>C$15&lt;&gt;""</formula>
    </cfRule>
    <cfRule type="expression" dxfId="320" priority="173">
      <formula>NOT(OR(C$15="Storage",C$58="User Defined"))</formula>
    </cfRule>
  </conditionalFormatting>
  <conditionalFormatting sqref="C61:Z62">
    <cfRule type="expression" dxfId="319" priority="55">
      <formula>C$15=""</formula>
    </cfRule>
  </conditionalFormatting>
  <conditionalFormatting sqref="C62:Z62">
    <cfRule type="expression" dxfId="318" priority="56">
      <formula>C$15&lt;&gt;""</formula>
    </cfRule>
  </conditionalFormatting>
  <conditionalFormatting sqref="C63:Z64">
    <cfRule type="containsText" dxfId="317" priority="50" operator="containsText" text="Insert value above">
      <formula>NOT(ISERROR(SEARCH("Insert value above",C63)))</formula>
    </cfRule>
    <cfRule type="containsText" dxfId="316" priority="49" operator="containsText" text="Value should be between 0 and 1">
      <formula>NOT(ISERROR(SEARCH("Value should be between 0 and 1",C63)))</formula>
    </cfRule>
    <cfRule type="containsText" dxfId="315" priority="48" operator="containsText" text="Absence of generic data, please switch to User Defined and insert FLHs">
      <formula>NOT(ISERROR(SEARCH("Absence of generic data, please switch to User Defined and insert FLHs",C63)))</formula>
    </cfRule>
  </conditionalFormatting>
  <conditionalFormatting sqref="C66:Z66">
    <cfRule type="expression" dxfId="314" priority="278">
      <formula>C$15=""</formula>
    </cfRule>
  </conditionalFormatting>
  <conditionalFormatting sqref="C78:Z83">
    <cfRule type="expression" dxfId="313" priority="76">
      <formula>NOT(ISBLANK(C$15))</formula>
    </cfRule>
  </conditionalFormatting>
  <conditionalFormatting sqref="C102:Z102">
    <cfRule type="containsText" dxfId="312" priority="85" operator="containsText" text="Populate cells above">
      <formula>NOT(ISERROR(SEARCH("Populate cells above",C102)))</formula>
    </cfRule>
  </conditionalFormatting>
  <conditionalFormatting sqref="D71">
    <cfRule type="expression" dxfId="311" priority="177">
      <formula>NOT(ISBLANK(D$15))</formula>
    </cfRule>
    <cfRule type="expression" dxfId="310" priority="33">
      <formula>NOT(ISNUMBER(D$60))</formula>
    </cfRule>
  </conditionalFormatting>
  <conditionalFormatting sqref="D71:D73">
    <cfRule type="expression" dxfId="309" priority="17">
      <formula>D$15=""</formula>
    </cfRule>
    <cfRule type="expression" dxfId="308" priority="31">
      <formula>D$15="Storage"</formula>
    </cfRule>
  </conditionalFormatting>
  <conditionalFormatting sqref="D72">
    <cfRule type="expression" dxfId="307" priority="20">
      <formula>D71="User defined"</formula>
    </cfRule>
    <cfRule type="expression" dxfId="306" priority="19">
      <formula>D71&lt;&gt;"User defined"</formula>
    </cfRule>
  </conditionalFormatting>
  <conditionalFormatting sqref="D72:D73">
    <cfRule type="expression" dxfId="305" priority="16">
      <formula>D$69="No"</formula>
    </cfRule>
  </conditionalFormatting>
  <conditionalFormatting sqref="D73">
    <cfRule type="expression" dxfId="304" priority="22">
      <formula>D71&lt;&gt;"User defined"</formula>
    </cfRule>
    <cfRule type="expression" dxfId="303" priority="21">
      <formula>D71="User defined"</formula>
    </cfRule>
  </conditionalFormatting>
  <conditionalFormatting sqref="D74">
    <cfRule type="expression" dxfId="302" priority="178">
      <formula>ISBLANK(D$15)</formula>
    </cfRule>
    <cfRule type="expression" dxfId="301" priority="179">
      <formula>D$69="No"</formula>
    </cfRule>
    <cfRule type="expression" dxfId="300" priority="180">
      <formula>D$69="Yes"</formula>
    </cfRule>
  </conditionalFormatting>
  <conditionalFormatting sqref="D69:Z69">
    <cfRule type="expression" dxfId="299" priority="40">
      <formula>NOT(ISBLANK(D$15))</formula>
    </cfRule>
    <cfRule type="expression" dxfId="298" priority="38">
      <formula>AND(NOT(ISBLANK(D$15)),D69="No")</formula>
    </cfRule>
    <cfRule type="expression" dxfId="297" priority="39">
      <formula>AND(NOT(ISBLANK(D$15)),D69="Yes")</formula>
    </cfRule>
  </conditionalFormatting>
  <conditionalFormatting sqref="D70:Z74">
    <cfRule type="expression" dxfId="296" priority="18">
      <formula>D$69="No"</formula>
    </cfRule>
  </conditionalFormatting>
  <conditionalFormatting sqref="D77:Z77">
    <cfRule type="expression" dxfId="295" priority="43">
      <formula>AND(NOT(ISBLANK(D$15)),D77="Yes")</formula>
    </cfRule>
    <cfRule type="expression" dxfId="294" priority="44">
      <formula>NOT(ISBLANK(D$15))</formula>
    </cfRule>
    <cfRule type="expression" dxfId="293" priority="41">
      <formula>ISBLANK(D$15)</formula>
    </cfRule>
    <cfRule type="expression" dxfId="292" priority="42">
      <formula>AND(NOT(ISBLANK(D$15)),D77="No")</formula>
    </cfRule>
  </conditionalFormatting>
  <dataValidations count="2">
    <dataValidation type="list" allowBlank="1" showInputMessage="1" showErrorMessage="1" sqref="C22:Z22 C32:Y32 D71 C58:Z58 C38:Z38" xr:uid="{8036C904-8E9E-454A-9309-3BA1CEE11C5E}">
      <formula1>"Generic, User defined"</formula1>
    </dataValidation>
    <dataValidation type="list" allowBlank="1" showInputMessage="1" showErrorMessage="1" sqref="D77:Z77 D69" xr:uid="{F73FE1F9-B026-450A-B9B6-871810B07C65}">
      <formula1>"Yes, 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279" id="{74652711-B488-457E-A030-88B58598C0E8}">
            <xm:f>SUMIFS('Background (from TC)'!$J$4:$J$1048576,'Background (from TC)'!$D$4:$D$1048576,C$15,'Background (from TC)'!$E$4:$E$1048576,C$16,'Background (from TC)'!$O$4:$O$1048576,C$17)=0</xm:f>
            <x14:dxf>
              <font>
                <color theme="0" tint="-0.24994659260841701"/>
              </font>
              <fill>
                <patternFill>
                  <bgColor theme="0" tint="-0.24994659260841701"/>
                </patternFill>
              </fill>
            </x14:dxf>
          </x14:cfRule>
          <x14:cfRule type="expression" priority="280" id="{E2E64D89-3E36-4BB8-BED6-9A8A2D6FCED4}">
            <xm:f>SUMIFS('Background (from TC)'!$J$4:$J$1048576,'Background (from TC)'!$D$4:$D$1048576,C$15,'Background (from TC)'!$E$4:$E$1048576,C$16,'Background (from TC)'!$O$4:$O$1048576,C$17)&gt;0</xm:f>
            <x14:dxf>
              <fill>
                <patternFill>
                  <bgColor theme="6" tint="0.79998168889431442"/>
                </patternFill>
              </fill>
            </x14:dxf>
          </x14:cfRule>
          <xm:sqref>C66:Z66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CAAD26E-C156-4D44-831C-6162EFF0B01C}">
          <x14:formula1>
            <xm:f>OFFSET('Background (from TC)'!$A$4,,,COUNTIF('Background (from TC)'!$A$4:$A$1048576,"?*"))</xm:f>
          </x14:formula1>
          <xm:sqref>C15:Z15</xm:sqref>
        </x14:dataValidation>
        <x14:dataValidation type="list" allowBlank="1" showInputMessage="1" showErrorMessage="1" xr:uid="{296DDF20-B787-4FC0-9A69-33F08320EF0B}">
          <x14:formula1>
            <xm:f>OFFSET('Background (from TC)'!$C$4,,,COUNTIF('Background (from TC)'!$C$4:$C$1048576,"&lt;&gt;"))</xm:f>
          </x14:formula1>
          <xm:sqref>C17:Z17</xm:sqref>
        </x14:dataValidation>
        <x14:dataValidation type="list" allowBlank="1" showInputMessage="1" showErrorMessage="1" xr:uid="{02428412-851D-453A-9B92-A2A3CCCE3F7B}">
          <x14:formula1>
            <xm:f>OFFSET('Fuel - Technology Mapping'!$A$3,0,MATCH(C$15,'Fuel - Technology Mapping'!1:1,0)-1,1000000)</xm:f>
          </x14:formula1>
          <xm:sqref>C16:Z16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86D35-88F0-4FC9-BC3D-99320245887F}">
  <sheetPr codeName="Sheet12">
    <tabColor rgb="FFFF99FF"/>
  </sheetPr>
  <dimension ref="A1:M61"/>
  <sheetViews>
    <sheetView zoomScaleNormal="100" zoomScaleSheetLayoutView="120" workbookViewId="0">
      <selection activeCell="B47" sqref="B47:K47"/>
    </sheetView>
  </sheetViews>
  <sheetFormatPr defaultColWidth="9.28515625" defaultRowHeight="15"/>
  <cols>
    <col min="1" max="1" width="3" style="93" customWidth="1"/>
    <col min="2" max="2" width="35.28515625" style="93" customWidth="1"/>
    <col min="3" max="5" width="10.7109375" style="93" customWidth="1"/>
    <col min="6" max="7" width="9.5703125" style="93" customWidth="1"/>
    <col min="8" max="9" width="9.42578125" style="93" customWidth="1"/>
    <col min="10" max="10" width="6.5703125" style="93" customWidth="1"/>
    <col min="11" max="11" width="7" style="93" customWidth="1"/>
    <col min="12" max="12" width="6.7109375" style="93" customWidth="1"/>
    <col min="13" max="16384" width="9.28515625" style="94"/>
  </cols>
  <sheetData>
    <row r="1" spans="1:13" ht="20.25">
      <c r="A1" s="358"/>
      <c r="B1" s="359" t="s">
        <v>234</v>
      </c>
      <c r="C1" s="360"/>
      <c r="D1" s="360"/>
      <c r="E1" s="360"/>
      <c r="F1" s="360"/>
      <c r="G1" s="360"/>
      <c r="H1" s="360"/>
      <c r="I1" s="360"/>
      <c r="J1" s="360"/>
      <c r="K1" s="360"/>
      <c r="L1" s="319"/>
      <c r="M1" s="319"/>
    </row>
    <row r="2" spans="1:13">
      <c r="A2" s="358"/>
      <c r="B2" s="358"/>
      <c r="C2" s="360"/>
      <c r="D2" s="360"/>
      <c r="E2" s="360"/>
      <c r="F2" s="360"/>
      <c r="G2" s="360"/>
      <c r="H2" s="360"/>
      <c r="I2" s="360"/>
      <c r="J2" s="360"/>
      <c r="K2" s="360"/>
      <c r="L2" s="319"/>
    </row>
    <row r="3" spans="1:13" ht="15" customHeight="1">
      <c r="B3" s="699" t="s">
        <v>145</v>
      </c>
      <c r="C3" s="1171" t="s">
        <v>900</v>
      </c>
      <c r="D3" s="1169"/>
      <c r="E3" s="1169"/>
      <c r="F3" s="1169"/>
      <c r="G3" s="1169"/>
      <c r="H3" s="1169"/>
      <c r="I3" s="1169"/>
      <c r="J3" s="1169"/>
      <c r="K3" s="1170"/>
    </row>
    <row r="4" spans="1:13" ht="16.5" customHeight="1">
      <c r="B4" s="701"/>
      <c r="C4" s="650">
        <v>2023</v>
      </c>
      <c r="D4" s="650">
        <v>2030</v>
      </c>
      <c r="E4" s="650">
        <v>2050</v>
      </c>
      <c r="F4" s="1171" t="s">
        <v>236</v>
      </c>
      <c r="G4" s="1170"/>
      <c r="H4" s="1171" t="s">
        <v>237</v>
      </c>
      <c r="I4" s="1170"/>
      <c r="J4" s="650" t="s">
        <v>238</v>
      </c>
      <c r="K4" s="650" t="s">
        <v>239</v>
      </c>
    </row>
    <row r="5" spans="1:13" ht="15" customHeight="1">
      <c r="B5" s="702" t="s">
        <v>240</v>
      </c>
      <c r="C5" s="672"/>
      <c r="D5" s="672"/>
      <c r="E5" s="672"/>
      <c r="F5" s="700" t="s">
        <v>241</v>
      </c>
      <c r="G5" s="700" t="s">
        <v>242</v>
      </c>
      <c r="H5" s="700" t="s">
        <v>241</v>
      </c>
      <c r="I5" s="700" t="s">
        <v>242</v>
      </c>
      <c r="J5" s="672"/>
      <c r="K5" s="703"/>
    </row>
    <row r="6" spans="1:13">
      <c r="B6" s="538" t="s">
        <v>243</v>
      </c>
      <c r="C6" s="704">
        <v>250</v>
      </c>
      <c r="D6" s="704">
        <v>250</v>
      </c>
      <c r="E6" s="704">
        <v>250</v>
      </c>
      <c r="F6" s="704">
        <v>100</v>
      </c>
      <c r="G6" s="704">
        <v>500</v>
      </c>
      <c r="H6" s="704">
        <v>100</v>
      </c>
      <c r="I6" s="704">
        <v>500</v>
      </c>
      <c r="J6" s="674" t="s">
        <v>246</v>
      </c>
      <c r="K6" s="705" t="s">
        <v>901</v>
      </c>
    </row>
    <row r="7" spans="1:13">
      <c r="B7" s="538" t="s">
        <v>244</v>
      </c>
      <c r="C7" s="704">
        <v>1000</v>
      </c>
      <c r="D7" s="704">
        <v>1000</v>
      </c>
      <c r="E7" s="704">
        <v>1000</v>
      </c>
      <c r="F7" s="704">
        <v>100</v>
      </c>
      <c r="G7" s="704">
        <v>4000</v>
      </c>
      <c r="H7" s="704">
        <v>100</v>
      </c>
      <c r="I7" s="704">
        <v>4000</v>
      </c>
      <c r="J7" s="674"/>
      <c r="K7" s="705" t="s">
        <v>901</v>
      </c>
    </row>
    <row r="8" spans="1:13">
      <c r="B8" s="538" t="s">
        <v>245</v>
      </c>
      <c r="C8" s="704">
        <v>80</v>
      </c>
      <c r="D8" s="704">
        <v>80</v>
      </c>
      <c r="E8" s="704">
        <v>80</v>
      </c>
      <c r="F8" s="704">
        <v>75</v>
      </c>
      <c r="G8" s="704">
        <v>82</v>
      </c>
      <c r="H8" s="704">
        <v>75</v>
      </c>
      <c r="I8" s="704">
        <v>82</v>
      </c>
      <c r="J8" s="674"/>
      <c r="K8" s="705" t="s">
        <v>478</v>
      </c>
    </row>
    <row r="9" spans="1:13">
      <c r="B9" s="539" t="s">
        <v>247</v>
      </c>
      <c r="C9" s="704">
        <v>80</v>
      </c>
      <c r="D9" s="704">
        <v>80</v>
      </c>
      <c r="E9" s="704">
        <v>80</v>
      </c>
      <c r="F9" s="704">
        <v>75</v>
      </c>
      <c r="G9" s="704">
        <v>82</v>
      </c>
      <c r="H9" s="704">
        <v>75</v>
      </c>
      <c r="I9" s="704">
        <v>82</v>
      </c>
      <c r="J9" s="676"/>
      <c r="K9" s="705" t="s">
        <v>478</v>
      </c>
    </row>
    <row r="10" spans="1:13">
      <c r="B10" s="538" t="s">
        <v>248</v>
      </c>
      <c r="C10" s="704">
        <v>4</v>
      </c>
      <c r="D10" s="704">
        <v>4</v>
      </c>
      <c r="E10" s="704">
        <v>4</v>
      </c>
      <c r="F10" s="704">
        <v>2</v>
      </c>
      <c r="G10" s="704">
        <v>7</v>
      </c>
      <c r="H10" s="704">
        <v>2</v>
      </c>
      <c r="I10" s="704">
        <v>7</v>
      </c>
      <c r="J10" s="674"/>
      <c r="K10" s="705">
        <v>5</v>
      </c>
    </row>
    <row r="11" spans="1:13">
      <c r="B11" s="533" t="s">
        <v>249</v>
      </c>
      <c r="C11" s="704">
        <v>3</v>
      </c>
      <c r="D11" s="704">
        <v>3</v>
      </c>
      <c r="E11" s="704">
        <v>3</v>
      </c>
      <c r="F11" s="704">
        <v>2</v>
      </c>
      <c r="G11" s="704">
        <v>6</v>
      </c>
      <c r="H11" s="704">
        <v>2</v>
      </c>
      <c r="I11" s="704">
        <v>6</v>
      </c>
      <c r="J11" s="674"/>
      <c r="K11" s="705">
        <v>5</v>
      </c>
    </row>
    <row r="12" spans="1:13">
      <c r="B12" s="533" t="s">
        <v>250</v>
      </c>
      <c r="C12" s="704">
        <v>60</v>
      </c>
      <c r="D12" s="704">
        <v>60</v>
      </c>
      <c r="E12" s="704">
        <v>60</v>
      </c>
      <c r="F12" s="704">
        <v>50</v>
      </c>
      <c r="G12" s="704">
        <v>90</v>
      </c>
      <c r="H12" s="704">
        <v>40</v>
      </c>
      <c r="I12" s="704">
        <v>90</v>
      </c>
      <c r="J12" s="674"/>
      <c r="K12" s="705">
        <v>1</v>
      </c>
    </row>
    <row r="13" spans="1:13">
      <c r="B13" s="533" t="s">
        <v>252</v>
      </c>
      <c r="C13" s="706">
        <v>6</v>
      </c>
      <c r="D13" s="706">
        <v>5</v>
      </c>
      <c r="E13" s="706">
        <v>4</v>
      </c>
      <c r="F13" s="707">
        <f>C13*0.5</f>
        <v>3</v>
      </c>
      <c r="G13" s="707">
        <f>C13*1.5</f>
        <v>9</v>
      </c>
      <c r="H13" s="707">
        <f>E13*0.5</f>
        <v>2</v>
      </c>
      <c r="I13" s="707">
        <f>E13*1.5</f>
        <v>6</v>
      </c>
      <c r="J13" s="674" t="s">
        <v>300</v>
      </c>
      <c r="K13" s="705">
        <v>1</v>
      </c>
    </row>
    <row r="14" spans="1:13">
      <c r="B14" s="540" t="s">
        <v>484</v>
      </c>
      <c r="C14" s="704">
        <v>30</v>
      </c>
      <c r="D14" s="704">
        <v>30</v>
      </c>
      <c r="E14" s="704">
        <v>30</v>
      </c>
      <c r="F14" s="708">
        <f>C14*0.5</f>
        <v>15</v>
      </c>
      <c r="G14" s="708">
        <f>C14*1.5</f>
        <v>45</v>
      </c>
      <c r="H14" s="708">
        <f>E14*0.5</f>
        <v>15</v>
      </c>
      <c r="I14" s="708">
        <f>E14*1.5</f>
        <v>45</v>
      </c>
      <c r="J14" s="709"/>
      <c r="K14" s="710">
        <v>1</v>
      </c>
    </row>
    <row r="15" spans="1:13">
      <c r="B15" s="541" t="s">
        <v>255</v>
      </c>
      <c r="C15" s="711"/>
      <c r="D15" s="711"/>
      <c r="E15" s="711"/>
      <c r="F15" s="711"/>
      <c r="G15" s="711"/>
      <c r="H15" s="711"/>
      <c r="I15" s="712"/>
      <c r="J15" s="712"/>
      <c r="K15" s="713"/>
    </row>
    <row r="16" spans="1:13">
      <c r="B16" s="540" t="s">
        <v>256</v>
      </c>
      <c r="C16" s="708" t="s">
        <v>146</v>
      </c>
      <c r="D16" s="708" t="s">
        <v>146</v>
      </c>
      <c r="E16" s="708" t="s">
        <v>146</v>
      </c>
      <c r="F16" s="708" t="s">
        <v>146</v>
      </c>
      <c r="G16" s="708" t="s">
        <v>146</v>
      </c>
      <c r="H16" s="708" t="s">
        <v>146</v>
      </c>
      <c r="I16" s="708" t="s">
        <v>146</v>
      </c>
      <c r="J16" s="709" t="s">
        <v>307</v>
      </c>
      <c r="K16" s="714"/>
    </row>
    <row r="17" spans="2:12">
      <c r="B17" s="540" t="s">
        <v>257</v>
      </c>
      <c r="C17" s="708" t="s">
        <v>146</v>
      </c>
      <c r="D17" s="708" t="s">
        <v>146</v>
      </c>
      <c r="E17" s="708" t="s">
        <v>146</v>
      </c>
      <c r="F17" s="708" t="s">
        <v>146</v>
      </c>
      <c r="G17" s="708" t="s">
        <v>146</v>
      </c>
      <c r="H17" s="708" t="s">
        <v>146</v>
      </c>
      <c r="I17" s="708" t="s">
        <v>146</v>
      </c>
      <c r="J17" s="709"/>
      <c r="K17" s="714"/>
    </row>
    <row r="18" spans="2:12">
      <c r="B18" s="542" t="s">
        <v>258</v>
      </c>
      <c r="C18" s="715"/>
      <c r="D18" s="715"/>
      <c r="E18" s="715"/>
      <c r="F18" s="715"/>
      <c r="G18" s="715"/>
      <c r="H18" s="715"/>
      <c r="I18" s="681"/>
      <c r="J18" s="681"/>
      <c r="K18" s="716"/>
    </row>
    <row r="19" spans="2:12">
      <c r="B19" s="533" t="s">
        <v>259</v>
      </c>
      <c r="C19" s="704">
        <v>50</v>
      </c>
      <c r="D19" s="704">
        <v>50</v>
      </c>
      <c r="E19" s="704">
        <v>50</v>
      </c>
      <c r="F19" s="704">
        <v>10</v>
      </c>
      <c r="G19" s="704">
        <v>100</v>
      </c>
      <c r="H19" s="704">
        <v>10</v>
      </c>
      <c r="I19" s="717">
        <v>100</v>
      </c>
      <c r="J19" s="709"/>
      <c r="K19" s="705" t="s">
        <v>902</v>
      </c>
      <c r="L19" s="130"/>
    </row>
    <row r="20" spans="2:12">
      <c r="B20" s="533" t="s">
        <v>260</v>
      </c>
      <c r="C20" s="704">
        <v>0</v>
      </c>
      <c r="D20" s="704">
        <v>0</v>
      </c>
      <c r="E20" s="704">
        <v>0</v>
      </c>
      <c r="F20" s="704">
        <v>0</v>
      </c>
      <c r="G20" s="704">
        <v>0</v>
      </c>
      <c r="H20" s="704">
        <v>0</v>
      </c>
      <c r="I20" s="678">
        <v>0</v>
      </c>
      <c r="J20" s="709"/>
      <c r="K20" s="705">
        <v>2</v>
      </c>
    </row>
    <row r="21" spans="2:12">
      <c r="B21" s="533" t="s">
        <v>261</v>
      </c>
      <c r="C21" s="706">
        <v>0.1</v>
      </c>
      <c r="D21" s="706">
        <v>0.1</v>
      </c>
      <c r="E21" s="706">
        <v>0.1</v>
      </c>
      <c r="F21" s="706">
        <v>0</v>
      </c>
      <c r="G21" s="706">
        <v>0.3</v>
      </c>
      <c r="H21" s="706">
        <v>0</v>
      </c>
      <c r="I21" s="718">
        <v>0.3</v>
      </c>
      <c r="J21" s="709"/>
      <c r="K21" s="705">
        <v>2</v>
      </c>
    </row>
    <row r="22" spans="2:12">
      <c r="B22" s="533" t="s">
        <v>262</v>
      </c>
      <c r="C22" s="706">
        <v>0.1</v>
      </c>
      <c r="D22" s="706">
        <v>0.1</v>
      </c>
      <c r="E22" s="706">
        <v>0.1</v>
      </c>
      <c r="F22" s="706">
        <v>0</v>
      </c>
      <c r="G22" s="706">
        <v>0.3</v>
      </c>
      <c r="H22" s="706">
        <v>0</v>
      </c>
      <c r="I22" s="718">
        <v>0.3</v>
      </c>
      <c r="J22" s="709"/>
      <c r="K22" s="705">
        <v>2</v>
      </c>
    </row>
    <row r="23" spans="2:12">
      <c r="B23" s="542" t="s">
        <v>263</v>
      </c>
      <c r="C23" s="719"/>
      <c r="D23" s="720"/>
      <c r="E23" s="720"/>
      <c r="F23" s="720"/>
      <c r="G23" s="720"/>
      <c r="H23" s="720"/>
      <c r="I23" s="720"/>
      <c r="J23" s="720"/>
      <c r="K23" s="721"/>
    </row>
    <row r="24" spans="2:12">
      <c r="B24" s="533" t="s">
        <v>443</v>
      </c>
      <c r="C24" s="708">
        <v>0</v>
      </c>
      <c r="D24" s="708">
        <v>0</v>
      </c>
      <c r="E24" s="708">
        <v>0</v>
      </c>
      <c r="F24" s="708"/>
      <c r="G24" s="708"/>
      <c r="H24" s="708"/>
      <c r="I24" s="708"/>
      <c r="J24" s="722"/>
      <c r="K24" s="705"/>
    </row>
    <row r="25" spans="2:12">
      <c r="B25" s="533" t="s">
        <v>444</v>
      </c>
      <c r="C25" s="708">
        <v>0</v>
      </c>
      <c r="D25" s="708">
        <v>0</v>
      </c>
      <c r="E25" s="708">
        <v>0</v>
      </c>
      <c r="F25" s="708"/>
      <c r="G25" s="708"/>
      <c r="H25" s="708"/>
      <c r="I25" s="708"/>
      <c r="J25" s="722"/>
      <c r="K25" s="705"/>
    </row>
    <row r="26" spans="2:12" ht="15" customHeight="1">
      <c r="B26" s="533" t="s">
        <v>445</v>
      </c>
      <c r="C26" s="708">
        <v>0</v>
      </c>
      <c r="D26" s="708">
        <v>0</v>
      </c>
      <c r="E26" s="708">
        <v>0</v>
      </c>
      <c r="F26" s="708"/>
      <c r="G26" s="708"/>
      <c r="H26" s="708"/>
      <c r="I26" s="708"/>
      <c r="J26" s="723"/>
      <c r="K26" s="705"/>
    </row>
    <row r="27" spans="2:12">
      <c r="B27" s="533" t="s">
        <v>446</v>
      </c>
      <c r="C27" s="708">
        <v>0</v>
      </c>
      <c r="D27" s="708">
        <v>0</v>
      </c>
      <c r="E27" s="708">
        <v>0</v>
      </c>
      <c r="F27" s="708"/>
      <c r="G27" s="708"/>
      <c r="H27" s="708"/>
      <c r="I27" s="708"/>
      <c r="J27" s="709"/>
      <c r="K27" s="724"/>
    </row>
    <row r="28" spans="2:12">
      <c r="B28" s="533" t="s">
        <v>447</v>
      </c>
      <c r="C28" s="708">
        <v>0</v>
      </c>
      <c r="D28" s="708">
        <v>0</v>
      </c>
      <c r="E28" s="708">
        <v>0</v>
      </c>
      <c r="F28" s="708"/>
      <c r="G28" s="708"/>
      <c r="H28" s="708"/>
      <c r="I28" s="708"/>
      <c r="J28" s="709"/>
      <c r="K28" s="724"/>
      <c r="L28" s="138"/>
    </row>
    <row r="29" spans="2:12">
      <c r="B29" s="542" t="s">
        <v>270</v>
      </c>
      <c r="C29" s="720"/>
      <c r="D29" s="720"/>
      <c r="E29" s="720"/>
      <c r="F29" s="720"/>
      <c r="G29" s="720"/>
      <c r="H29" s="720"/>
      <c r="I29" s="720"/>
      <c r="J29" s="720"/>
      <c r="K29" s="721"/>
    </row>
    <row r="30" spans="2:12">
      <c r="B30" s="533" t="s">
        <v>271</v>
      </c>
      <c r="C30" s="679">
        <v>1.2</v>
      </c>
      <c r="D30" s="741">
        <f>C30</f>
        <v>1.2</v>
      </c>
      <c r="E30" s="741">
        <f>D30</f>
        <v>1.2</v>
      </c>
      <c r="F30" s="679">
        <v>0.6</v>
      </c>
      <c r="G30" s="706">
        <v>6</v>
      </c>
      <c r="H30" s="679">
        <v>0.6</v>
      </c>
      <c r="I30" s="707">
        <v>6</v>
      </c>
      <c r="J30" s="709" t="s">
        <v>903</v>
      </c>
      <c r="K30" s="705" t="s">
        <v>904</v>
      </c>
    </row>
    <row r="31" spans="2:12">
      <c r="B31" s="533" t="s">
        <v>544</v>
      </c>
      <c r="C31" s="725">
        <v>0.3</v>
      </c>
      <c r="D31" s="725">
        <v>0.3</v>
      </c>
      <c r="E31" s="725">
        <v>0.3</v>
      </c>
      <c r="F31" s="725">
        <v>0.2</v>
      </c>
      <c r="G31" s="725">
        <v>0.5</v>
      </c>
      <c r="H31" s="725">
        <v>0.2</v>
      </c>
      <c r="I31" s="725">
        <v>0.5</v>
      </c>
      <c r="J31" s="709"/>
      <c r="K31" s="724">
        <v>7</v>
      </c>
    </row>
    <row r="32" spans="2:12">
      <c r="B32" s="533" t="s">
        <v>545</v>
      </c>
      <c r="C32" s="725">
        <v>0.7</v>
      </c>
      <c r="D32" s="725">
        <v>0.7</v>
      </c>
      <c r="E32" s="725">
        <v>0.7</v>
      </c>
      <c r="F32" s="725">
        <v>0.5</v>
      </c>
      <c r="G32" s="725">
        <v>0.8</v>
      </c>
      <c r="H32" s="725">
        <v>0.5</v>
      </c>
      <c r="I32" s="725">
        <v>0.8</v>
      </c>
      <c r="J32" s="709"/>
      <c r="K32" s="724">
        <v>7</v>
      </c>
    </row>
    <row r="33" spans="1:12">
      <c r="B33" s="533" t="s">
        <v>276</v>
      </c>
      <c r="C33" s="745">
        <v>18700</v>
      </c>
      <c r="D33" s="745">
        <v>18700</v>
      </c>
      <c r="E33" s="745">
        <v>18700</v>
      </c>
      <c r="F33" s="729">
        <v>4000</v>
      </c>
      <c r="G33" s="729">
        <v>30000</v>
      </c>
      <c r="H33" s="729">
        <v>4000</v>
      </c>
      <c r="I33" s="729">
        <v>30000</v>
      </c>
      <c r="J33" s="709"/>
      <c r="K33" s="705" t="s">
        <v>938</v>
      </c>
    </row>
    <row r="34" spans="1:12">
      <c r="B34" s="533" t="s">
        <v>279</v>
      </c>
      <c r="C34" s="679">
        <v>0.93500000000000005</v>
      </c>
      <c r="D34" s="679">
        <f>C34</f>
        <v>0.93500000000000005</v>
      </c>
      <c r="E34" s="679">
        <f>D34</f>
        <v>0.93500000000000005</v>
      </c>
      <c r="F34" s="726">
        <v>0.5</v>
      </c>
      <c r="G34" s="726">
        <v>3</v>
      </c>
      <c r="H34" s="726">
        <v>0.5</v>
      </c>
      <c r="I34" s="726">
        <v>3</v>
      </c>
      <c r="J34" s="709"/>
      <c r="K34" s="705" t="s">
        <v>281</v>
      </c>
    </row>
    <row r="35" spans="1:12">
      <c r="B35" s="533" t="s">
        <v>282</v>
      </c>
      <c r="C35" s="704" t="s">
        <v>146</v>
      </c>
      <c r="D35" s="704" t="s">
        <v>146</v>
      </c>
      <c r="E35" s="704" t="s">
        <v>146</v>
      </c>
      <c r="F35" s="704" t="s">
        <v>146</v>
      </c>
      <c r="G35" s="704" t="s">
        <v>146</v>
      </c>
      <c r="H35" s="704" t="s">
        <v>146</v>
      </c>
      <c r="I35" s="726" t="s">
        <v>146</v>
      </c>
      <c r="J35" s="709"/>
      <c r="K35" s="705"/>
    </row>
    <row r="36" spans="1:12">
      <c r="B36" s="535" t="s">
        <v>283</v>
      </c>
      <c r="C36" s="536"/>
      <c r="D36" s="536"/>
      <c r="E36" s="536"/>
      <c r="F36" s="536"/>
      <c r="G36" s="536"/>
      <c r="H36" s="536"/>
      <c r="I36" s="536"/>
      <c r="J36" s="536"/>
      <c r="K36" s="727"/>
    </row>
    <row r="37" spans="1:12" ht="15" customHeight="1">
      <c r="B37" s="728" t="s">
        <v>905</v>
      </c>
      <c r="C37" s="729">
        <v>10000</v>
      </c>
      <c r="D37" s="729">
        <v>10000</v>
      </c>
      <c r="E37" s="729">
        <v>10000</v>
      </c>
      <c r="F37" s="729">
        <v>3000</v>
      </c>
      <c r="G37" s="729">
        <v>20000</v>
      </c>
      <c r="H37" s="729">
        <v>3000</v>
      </c>
      <c r="I37" s="729">
        <v>20000</v>
      </c>
      <c r="J37" s="730" t="s">
        <v>303</v>
      </c>
      <c r="K37" s="705" t="s">
        <v>906</v>
      </c>
    </row>
    <row r="38" spans="1:12" ht="15" customHeight="1">
      <c r="B38" s="728" t="s">
        <v>907</v>
      </c>
      <c r="C38" s="729">
        <v>10</v>
      </c>
      <c r="D38" s="729">
        <v>10</v>
      </c>
      <c r="E38" s="729">
        <v>10</v>
      </c>
      <c r="F38" s="729">
        <v>4</v>
      </c>
      <c r="G38" s="729">
        <v>12</v>
      </c>
      <c r="H38" s="729">
        <v>4</v>
      </c>
      <c r="I38" s="729">
        <v>12</v>
      </c>
      <c r="J38" s="730" t="s">
        <v>303</v>
      </c>
      <c r="K38" s="705" t="s">
        <v>906</v>
      </c>
    </row>
    <row r="39" spans="1:12">
      <c r="A39" s="130"/>
      <c r="L39" s="94"/>
    </row>
    <row r="40" spans="1:12" s="93" customFormat="1" ht="12">
      <c r="A40" s="130" t="s">
        <v>286</v>
      </c>
      <c r="C40" s="150"/>
      <c r="D40" s="150"/>
      <c r="E40" s="150"/>
      <c r="F40" s="150"/>
      <c r="G40" s="150"/>
    </row>
    <row r="41" spans="1:12">
      <c r="A41" s="152">
        <v>1</v>
      </c>
      <c r="B41" s="1149" t="s">
        <v>287</v>
      </c>
      <c r="C41" s="1149"/>
      <c r="D41" s="1149"/>
      <c r="E41" s="1149"/>
      <c r="F41" s="1149"/>
      <c r="G41" s="1149"/>
      <c r="H41" s="1149"/>
      <c r="I41" s="1149"/>
      <c r="J41" s="1149"/>
      <c r="K41" s="1149"/>
    </row>
    <row r="42" spans="1:12">
      <c r="A42" s="152">
        <v>2</v>
      </c>
      <c r="B42" s="1148" t="s">
        <v>334</v>
      </c>
      <c r="C42" s="1148"/>
      <c r="D42" s="1148"/>
      <c r="E42" s="1148"/>
      <c r="F42" s="1148"/>
      <c r="G42" s="1148"/>
      <c r="H42" s="1148"/>
      <c r="I42" s="1148"/>
      <c r="J42" s="1148"/>
      <c r="K42" s="1148"/>
    </row>
    <row r="43" spans="1:12" s="93" customFormat="1" ht="12">
      <c r="A43" s="152">
        <v>3</v>
      </c>
      <c r="B43" s="1148" t="s">
        <v>886</v>
      </c>
      <c r="C43" s="1148"/>
      <c r="D43" s="1148"/>
      <c r="E43" s="1148"/>
      <c r="F43" s="1148"/>
      <c r="G43" s="1148"/>
      <c r="H43" s="1148"/>
      <c r="I43" s="1148"/>
      <c r="J43" s="1148"/>
      <c r="K43" s="1148"/>
    </row>
    <row r="44" spans="1:12" s="93" customFormat="1" ht="12">
      <c r="A44" s="152">
        <v>4</v>
      </c>
      <c r="B44" s="1148" t="s">
        <v>936</v>
      </c>
      <c r="C44" s="1148"/>
      <c r="D44" s="1148"/>
      <c r="E44" s="1148"/>
      <c r="F44" s="1148"/>
      <c r="G44" s="1148"/>
      <c r="H44" s="1148"/>
      <c r="I44" s="1148"/>
      <c r="J44" s="1148"/>
      <c r="K44" s="1148"/>
    </row>
    <row r="45" spans="1:12" s="93" customFormat="1" ht="12">
      <c r="A45" s="152">
        <v>5</v>
      </c>
      <c r="B45" s="1148" t="s">
        <v>908</v>
      </c>
      <c r="C45" s="1148"/>
      <c r="D45" s="1148"/>
      <c r="E45" s="1148"/>
      <c r="F45" s="1148"/>
      <c r="G45" s="1148"/>
      <c r="H45" s="1148"/>
      <c r="I45" s="1148"/>
      <c r="J45" s="1148"/>
      <c r="K45" s="1148"/>
    </row>
    <row r="46" spans="1:12" s="93" customFormat="1" ht="15" customHeight="1">
      <c r="A46" s="152">
        <v>6</v>
      </c>
      <c r="B46" s="1148" t="s">
        <v>909</v>
      </c>
      <c r="C46" s="1148"/>
      <c r="D46" s="1148"/>
      <c r="E46" s="1148"/>
      <c r="F46" s="1148"/>
      <c r="G46" s="1148"/>
      <c r="H46" s="1148"/>
      <c r="I46" s="1148"/>
      <c r="J46" s="1148"/>
      <c r="K46" s="1148"/>
    </row>
    <row r="47" spans="1:12" s="93" customFormat="1" ht="12">
      <c r="A47" s="152">
        <v>7</v>
      </c>
      <c r="B47" s="1148" t="s">
        <v>910</v>
      </c>
      <c r="C47" s="1148"/>
      <c r="D47" s="1148"/>
      <c r="E47" s="1148"/>
      <c r="F47" s="1148"/>
      <c r="G47" s="1148"/>
      <c r="H47" s="1148"/>
      <c r="I47" s="1148"/>
      <c r="J47" s="1148"/>
      <c r="K47" s="1148"/>
    </row>
    <row r="48" spans="1:12" s="93" customFormat="1" ht="12">
      <c r="A48" s="152">
        <v>8</v>
      </c>
      <c r="B48" s="1148" t="s">
        <v>911</v>
      </c>
      <c r="C48" s="1148"/>
      <c r="D48" s="1148"/>
      <c r="E48" s="1148"/>
      <c r="F48" s="1148"/>
      <c r="G48" s="1148"/>
      <c r="H48" s="1148"/>
      <c r="I48" s="1148"/>
      <c r="J48" s="1148"/>
      <c r="K48" s="1148"/>
    </row>
    <row r="49" spans="1:11" s="93" customFormat="1" ht="12">
      <c r="A49" s="152">
        <v>9</v>
      </c>
      <c r="B49" s="1148" t="s">
        <v>912</v>
      </c>
      <c r="C49" s="1148"/>
      <c r="D49" s="1148"/>
      <c r="E49" s="1148"/>
      <c r="F49" s="1148"/>
      <c r="G49" s="1148"/>
      <c r="H49" s="1148"/>
      <c r="I49" s="1148"/>
      <c r="J49" s="1148"/>
      <c r="K49" s="1148"/>
    </row>
    <row r="50" spans="1:11" s="93" customFormat="1" ht="12">
      <c r="A50" s="130" t="s">
        <v>298</v>
      </c>
    </row>
    <row r="51" spans="1:11" s="93" customFormat="1" ht="12">
      <c r="A51" s="152" t="s">
        <v>246</v>
      </c>
      <c r="B51" s="1148" t="s">
        <v>913</v>
      </c>
      <c r="C51" s="1148"/>
      <c r="D51" s="1148"/>
      <c r="E51" s="1148"/>
      <c r="F51" s="1148"/>
      <c r="G51" s="1148"/>
      <c r="H51" s="1148"/>
      <c r="I51" s="1148"/>
      <c r="J51" s="1148"/>
      <c r="K51" s="1148"/>
    </row>
    <row r="52" spans="1:11" s="93" customFormat="1" ht="13.5" customHeight="1">
      <c r="A52" s="152" t="s">
        <v>300</v>
      </c>
      <c r="B52" s="1148" t="s">
        <v>914</v>
      </c>
      <c r="C52" s="1148"/>
      <c r="D52" s="1148"/>
      <c r="E52" s="1148"/>
      <c r="F52" s="1148"/>
      <c r="G52" s="1148"/>
      <c r="H52" s="1148"/>
      <c r="I52" s="1148"/>
      <c r="J52" s="1148"/>
      <c r="K52" s="1148"/>
    </row>
    <row r="53" spans="1:11" s="93" customFormat="1" ht="23.25" customHeight="1">
      <c r="A53" s="152" t="s">
        <v>265</v>
      </c>
      <c r="B53" s="1148" t="s">
        <v>343</v>
      </c>
      <c r="C53" s="1148"/>
      <c r="D53" s="1148"/>
      <c r="E53" s="1148"/>
      <c r="F53" s="1148"/>
      <c r="G53" s="1148"/>
      <c r="H53" s="1148"/>
      <c r="I53" s="1148"/>
      <c r="J53" s="1148"/>
      <c r="K53" s="1148"/>
    </row>
    <row r="54" spans="1:11" s="93" customFormat="1" ht="12">
      <c r="A54" s="152" t="s">
        <v>303</v>
      </c>
      <c r="B54" s="1148" t="s">
        <v>915</v>
      </c>
      <c r="C54" s="1148"/>
      <c r="D54" s="1148"/>
      <c r="E54" s="1148"/>
      <c r="F54" s="1148"/>
      <c r="G54" s="1148"/>
      <c r="H54" s="1148"/>
      <c r="I54" s="1148"/>
      <c r="J54" s="1148"/>
      <c r="K54" s="1148"/>
    </row>
    <row r="55" spans="1:11" s="93" customFormat="1" ht="12">
      <c r="A55" s="152" t="s">
        <v>305</v>
      </c>
      <c r="B55" s="1148" t="s">
        <v>324</v>
      </c>
      <c r="C55" s="1148"/>
      <c r="D55" s="1148"/>
      <c r="E55" s="1148"/>
      <c r="F55" s="1148"/>
      <c r="G55" s="1148"/>
      <c r="H55" s="1148"/>
      <c r="I55" s="1148"/>
      <c r="J55" s="1148"/>
      <c r="K55" s="1148"/>
    </row>
    <row r="56" spans="1:11" s="93" customFormat="1" ht="12">
      <c r="A56" s="152"/>
      <c r="B56" s="151"/>
      <c r="C56" s="151"/>
      <c r="D56" s="151"/>
      <c r="E56" s="151"/>
      <c r="F56" s="151"/>
      <c r="G56" s="151"/>
      <c r="H56" s="151"/>
      <c r="I56" s="151"/>
      <c r="J56" s="151"/>
      <c r="K56" s="151"/>
    </row>
    <row r="57" spans="1:11" s="93" customFormat="1" ht="12">
      <c r="A57" s="155"/>
    </row>
    <row r="58" spans="1:11" s="93" customFormat="1" ht="12">
      <c r="A58" s="155"/>
    </row>
    <row r="60" spans="1:11" s="93" customFormat="1">
      <c r="B60" s="94"/>
    </row>
    <row r="61" spans="1:11" s="93" customFormat="1">
      <c r="B61" s="94"/>
    </row>
  </sheetData>
  <mergeCells count="17">
    <mergeCell ref="B55:K55"/>
    <mergeCell ref="B54:K54"/>
    <mergeCell ref="B46:K46"/>
    <mergeCell ref="B52:K52"/>
    <mergeCell ref="B53:K53"/>
    <mergeCell ref="B49:K49"/>
    <mergeCell ref="B51:K51"/>
    <mergeCell ref="C3:K3"/>
    <mergeCell ref="F4:G4"/>
    <mergeCell ref="H4:I4"/>
    <mergeCell ref="B41:K41"/>
    <mergeCell ref="B42:K42"/>
    <mergeCell ref="B43:K43"/>
    <mergeCell ref="B44:K44"/>
    <mergeCell ref="B45:K45"/>
    <mergeCell ref="B47:K47"/>
    <mergeCell ref="B48:K48"/>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5F8F2-0952-4F88-9F01-BACE631658AF}">
  <sheetPr codeName="Sheet45">
    <tabColor theme="1"/>
  </sheetPr>
  <dimension ref="A1"/>
  <sheetViews>
    <sheetView showGridLines="0" workbookViewId="0">
      <selection activeCell="O19" sqref="O19"/>
    </sheetView>
  </sheetViews>
  <sheetFormatPr defaultColWidth="8.7109375" defaultRowHeight="15"/>
  <cols>
    <col min="1" max="16384" width="8.7109375" style="3"/>
  </cols>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6FB9-7B6E-43EC-8517-9E5522BEB632}">
  <sheetPr codeName="Sheet58">
    <tabColor rgb="FFFF99FF"/>
  </sheetPr>
  <dimension ref="A1:DM73"/>
  <sheetViews>
    <sheetView showGridLines="0" zoomScaleNormal="100" workbookViewId="0">
      <pane xSplit="1" ySplit="4" topLeftCell="B5" activePane="bottomRight" state="frozen"/>
      <selection pane="topRight" activeCell="J39" sqref="J39:K39"/>
      <selection pane="bottomLeft" activeCell="J39" sqref="J39:K39"/>
      <selection pane="bottomRight" activeCell="L33" sqref="L33"/>
    </sheetView>
  </sheetViews>
  <sheetFormatPr defaultColWidth="8.85546875" defaultRowHeight="15"/>
  <cols>
    <col min="1" max="1" width="18.5703125" style="274" bestFit="1" customWidth="1"/>
    <col min="2" max="2" width="13.42578125" bestFit="1" customWidth="1"/>
    <col min="3" max="3" width="9.7109375" bestFit="1" customWidth="1"/>
    <col min="4" max="5" width="12" bestFit="1" customWidth="1"/>
    <col min="6" max="6" width="12.7109375" customWidth="1"/>
    <col min="7" max="7" width="9" bestFit="1" customWidth="1"/>
    <col min="8" max="8" width="15.7109375" customWidth="1"/>
    <col min="9" max="9" width="11.140625" customWidth="1"/>
    <col min="10" max="10" width="6.42578125" customWidth="1"/>
    <col min="11" max="11" width="7.5703125" customWidth="1"/>
    <col min="12" max="12" width="12.7109375" customWidth="1"/>
    <col min="13" max="13" width="6.140625" customWidth="1"/>
    <col min="14" max="14" width="15.7109375" customWidth="1"/>
    <col min="15" max="15" width="11.28515625" customWidth="1"/>
    <col min="16" max="16" width="8.7109375" customWidth="1"/>
    <col min="17" max="17" width="9.7109375" customWidth="1"/>
    <col min="18" max="18" width="12.7109375" customWidth="1"/>
    <col min="19" max="19" width="8.85546875" customWidth="1"/>
    <col min="20" max="20" width="17.140625" bestFit="1" customWidth="1"/>
    <col min="21" max="21" width="12.28515625" customWidth="1"/>
    <col min="22" max="22" width="9.140625" customWidth="1"/>
    <col min="23" max="23" width="9.7109375" bestFit="1" customWidth="1"/>
    <col min="24" max="24" width="10.5703125" customWidth="1"/>
    <col min="25" max="25" width="14.85546875" customWidth="1"/>
    <col min="26" max="29" width="16.28515625" customWidth="1"/>
    <col min="30" max="31" width="29.85546875" bestFit="1" customWidth="1"/>
    <col min="32" max="32" width="23.140625" bestFit="1" customWidth="1"/>
    <col min="33" max="40" width="16.28515625" customWidth="1"/>
    <col min="41" max="41" width="18.5703125" bestFit="1" customWidth="1"/>
    <col min="42" max="42" width="12.28515625" bestFit="1" customWidth="1"/>
    <col min="43" max="44" width="13.42578125" bestFit="1" customWidth="1"/>
    <col min="45" max="45" width="12.7109375" bestFit="1" customWidth="1"/>
    <col min="46" max="46" width="12.28515625" bestFit="1" customWidth="1"/>
    <col min="47" max="47" width="15.7109375" customWidth="1"/>
    <col min="48" max="48" width="11.140625" customWidth="1"/>
    <col min="49" max="49" width="6.42578125" customWidth="1"/>
    <col min="50" max="50" width="7.5703125" bestFit="1" customWidth="1"/>
    <col min="51" max="51" width="12.7109375" customWidth="1"/>
    <col min="52" max="52" width="6.140625" customWidth="1"/>
    <col min="53" max="53" width="15.7109375" customWidth="1"/>
    <col min="54" max="54" width="11.28515625" customWidth="1"/>
    <col min="55" max="55" width="8.7109375" customWidth="1"/>
    <col min="56" max="56" width="12.28515625" bestFit="1" customWidth="1"/>
    <col min="57" max="57" width="15" bestFit="1" customWidth="1"/>
    <col min="58" max="58" width="15.7109375" bestFit="1" customWidth="1"/>
    <col min="59" max="59" width="13.5703125" bestFit="1" customWidth="1"/>
    <col min="60" max="60" width="12.28515625" customWidth="1"/>
    <col min="61" max="61" width="12.28515625" bestFit="1" customWidth="1"/>
    <col min="62" max="62" width="15" bestFit="1" customWidth="1"/>
    <col min="63" max="63" width="12.28515625" bestFit="1" customWidth="1"/>
    <col min="64" max="64" width="14.85546875" bestFit="1" customWidth="1"/>
    <col min="65" max="65" width="15.5703125" bestFit="1" customWidth="1"/>
    <col min="66" max="66" width="19.7109375" bestFit="1" customWidth="1"/>
    <col min="67" max="67" width="9.28515625" bestFit="1" customWidth="1"/>
    <col min="68" max="68" width="9.42578125" bestFit="1" customWidth="1"/>
    <col min="69" max="69" width="31.140625" bestFit="1" customWidth="1"/>
    <col min="70" max="70" width="30.85546875" bestFit="1" customWidth="1"/>
    <col min="71" max="71" width="22.42578125" bestFit="1" customWidth="1"/>
    <col min="72" max="72" width="6.28515625" bestFit="1" customWidth="1"/>
    <col min="73" max="73" width="29.85546875" bestFit="1" customWidth="1"/>
    <col min="74" max="74" width="23" bestFit="1" customWidth="1"/>
    <col min="75" max="75" width="19.7109375" bestFit="1" customWidth="1"/>
    <col min="76" max="76" width="15.85546875" bestFit="1" customWidth="1"/>
  </cols>
  <sheetData>
    <row r="1" spans="1:117" ht="15.75" thickBot="1">
      <c r="A1" s="1132" t="s">
        <v>1014</v>
      </c>
      <c r="B1" s="29" t="s">
        <v>917</v>
      </c>
      <c r="C1" s="29" t="s">
        <v>918</v>
      </c>
      <c r="D1" s="29" t="s">
        <v>919</v>
      </c>
      <c r="E1" s="29" t="s">
        <v>919</v>
      </c>
      <c r="F1" s="5"/>
      <c r="G1" s="29" t="s">
        <v>918</v>
      </c>
      <c r="H1" s="5"/>
      <c r="I1" s="5"/>
      <c r="J1" s="5"/>
      <c r="K1" s="5"/>
      <c r="L1" s="5"/>
      <c r="M1" s="5"/>
      <c r="N1" s="5"/>
      <c r="O1" s="5"/>
      <c r="P1" s="5"/>
      <c r="Q1" s="5"/>
      <c r="R1" s="5"/>
      <c r="S1" s="5"/>
      <c r="T1" s="29" t="s">
        <v>918</v>
      </c>
      <c r="U1" s="5"/>
      <c r="V1" s="29" t="s">
        <v>918</v>
      </c>
      <c r="W1" s="29" t="s">
        <v>917</v>
      </c>
      <c r="Z1" t="s">
        <v>142</v>
      </c>
      <c r="AA1" t="s">
        <v>142</v>
      </c>
      <c r="AB1" t="s">
        <v>142</v>
      </c>
      <c r="AC1" t="s">
        <v>142</v>
      </c>
      <c r="AD1" t="s">
        <v>142</v>
      </c>
      <c r="AE1" t="s">
        <v>142</v>
      </c>
      <c r="AF1" t="s">
        <v>142</v>
      </c>
      <c r="AG1" t="s">
        <v>142</v>
      </c>
      <c r="AH1" t="s">
        <v>142</v>
      </c>
      <c r="AI1" t="s">
        <v>142</v>
      </c>
      <c r="AJ1" t="s">
        <v>142</v>
      </c>
      <c r="AK1" t="s">
        <v>142</v>
      </c>
      <c r="AO1" s="28" t="s">
        <v>1013</v>
      </c>
    </row>
    <row r="2" spans="1:117">
      <c r="A2" s="405" t="s">
        <v>920</v>
      </c>
      <c r="B2" s="390">
        <v>2022</v>
      </c>
      <c r="C2" s="390">
        <v>2022</v>
      </c>
      <c r="D2" s="390">
        <v>2022</v>
      </c>
      <c r="E2" s="390">
        <v>2022</v>
      </c>
      <c r="F2" s="390">
        <v>2022</v>
      </c>
      <c r="G2" s="390">
        <v>2022</v>
      </c>
      <c r="H2" s="390">
        <v>2022</v>
      </c>
      <c r="I2" s="390">
        <v>2022</v>
      </c>
      <c r="J2" s="390">
        <v>2022</v>
      </c>
      <c r="K2" s="390">
        <v>2022</v>
      </c>
      <c r="L2" s="390">
        <v>2022</v>
      </c>
      <c r="M2" s="390">
        <v>2022</v>
      </c>
      <c r="N2" s="390">
        <v>2022</v>
      </c>
      <c r="O2" s="390">
        <v>2022</v>
      </c>
      <c r="P2" s="390">
        <v>2022</v>
      </c>
      <c r="Q2" s="390">
        <v>2022</v>
      </c>
      <c r="R2" s="390">
        <v>2022</v>
      </c>
      <c r="S2" s="390">
        <v>2022</v>
      </c>
      <c r="T2" s="390">
        <v>2022</v>
      </c>
      <c r="U2" s="390">
        <v>2022</v>
      </c>
      <c r="V2" s="390">
        <v>2022</v>
      </c>
      <c r="W2" s="390">
        <v>2022</v>
      </c>
      <c r="X2" s="390">
        <v>2022</v>
      </c>
      <c r="Y2" s="390">
        <v>2022</v>
      </c>
      <c r="Z2" s="390">
        <v>2022</v>
      </c>
      <c r="AA2" s="390">
        <v>2022</v>
      </c>
      <c r="AB2" s="390">
        <v>2022</v>
      </c>
      <c r="AC2" s="390">
        <v>2022</v>
      </c>
      <c r="AD2" s="390">
        <v>2022</v>
      </c>
      <c r="AE2" s="390">
        <v>2022</v>
      </c>
      <c r="AF2" s="390">
        <v>2022</v>
      </c>
      <c r="AG2" s="390">
        <v>2022</v>
      </c>
      <c r="AH2" s="390">
        <v>2022</v>
      </c>
      <c r="AI2" s="390">
        <v>2022</v>
      </c>
      <c r="AJ2" s="390">
        <v>2022</v>
      </c>
      <c r="AK2" s="390">
        <v>2022</v>
      </c>
      <c r="AN2" s="405" t="s">
        <v>920</v>
      </c>
      <c r="AO2" s="1133">
        <f>B2</f>
        <v>2022</v>
      </c>
      <c r="AP2" s="1133">
        <f t="shared" ref="AP2:BX2" si="0">C2</f>
        <v>2022</v>
      </c>
      <c r="AQ2" s="1133">
        <f t="shared" si="0"/>
        <v>2022</v>
      </c>
      <c r="AR2" s="1133">
        <f t="shared" si="0"/>
        <v>2022</v>
      </c>
      <c r="AS2" s="1133">
        <f t="shared" si="0"/>
        <v>2022</v>
      </c>
      <c r="AT2" s="1133">
        <f t="shared" si="0"/>
        <v>2022</v>
      </c>
      <c r="AU2" s="1133">
        <f t="shared" si="0"/>
        <v>2022</v>
      </c>
      <c r="AV2" s="1133">
        <f t="shared" si="0"/>
        <v>2022</v>
      </c>
      <c r="AW2" s="1133">
        <f t="shared" si="0"/>
        <v>2022</v>
      </c>
      <c r="AX2" s="1133">
        <f t="shared" si="0"/>
        <v>2022</v>
      </c>
      <c r="AY2" s="1133">
        <f t="shared" si="0"/>
        <v>2022</v>
      </c>
      <c r="AZ2" s="1133">
        <f t="shared" si="0"/>
        <v>2022</v>
      </c>
      <c r="BA2" s="1133">
        <f t="shared" si="0"/>
        <v>2022</v>
      </c>
      <c r="BB2" s="1133">
        <f t="shared" si="0"/>
        <v>2022</v>
      </c>
      <c r="BC2" s="1133">
        <f t="shared" si="0"/>
        <v>2022</v>
      </c>
      <c r="BD2" s="1133">
        <f t="shared" si="0"/>
        <v>2022</v>
      </c>
      <c r="BE2" s="1133">
        <f t="shared" si="0"/>
        <v>2022</v>
      </c>
      <c r="BF2" s="1133">
        <f t="shared" si="0"/>
        <v>2022</v>
      </c>
      <c r="BG2" s="1133">
        <f t="shared" si="0"/>
        <v>2022</v>
      </c>
      <c r="BH2" s="1133">
        <f t="shared" si="0"/>
        <v>2022</v>
      </c>
      <c r="BI2" s="1133">
        <f t="shared" si="0"/>
        <v>2022</v>
      </c>
      <c r="BJ2" s="1133">
        <f t="shared" si="0"/>
        <v>2022</v>
      </c>
      <c r="BK2" s="1133">
        <f t="shared" si="0"/>
        <v>2022</v>
      </c>
      <c r="BL2" s="1133">
        <f t="shared" si="0"/>
        <v>2022</v>
      </c>
      <c r="BM2" s="1133">
        <f t="shared" si="0"/>
        <v>2022</v>
      </c>
      <c r="BN2" s="1133">
        <f t="shared" si="0"/>
        <v>2022</v>
      </c>
      <c r="BO2" s="1133">
        <f t="shared" si="0"/>
        <v>2022</v>
      </c>
      <c r="BP2" s="1133">
        <f t="shared" si="0"/>
        <v>2022</v>
      </c>
      <c r="BQ2" s="1133">
        <f t="shared" si="0"/>
        <v>2022</v>
      </c>
      <c r="BR2" s="1133">
        <f t="shared" si="0"/>
        <v>2022</v>
      </c>
      <c r="BS2" s="1133">
        <f t="shared" si="0"/>
        <v>2022</v>
      </c>
      <c r="BT2" s="1133">
        <f t="shared" si="0"/>
        <v>2022</v>
      </c>
      <c r="BU2" s="1133">
        <f t="shared" si="0"/>
        <v>2022</v>
      </c>
      <c r="BV2" s="1133">
        <f t="shared" si="0"/>
        <v>2022</v>
      </c>
      <c r="BW2" s="1133">
        <f t="shared" si="0"/>
        <v>2022</v>
      </c>
      <c r="BX2" s="1133">
        <f t="shared" si="0"/>
        <v>2022</v>
      </c>
      <c r="BY2" s="390"/>
      <c r="BZ2" s="390"/>
      <c r="CA2" s="390"/>
      <c r="CB2" s="390"/>
      <c r="CC2" s="390"/>
      <c r="CD2" s="390"/>
      <c r="CE2" s="390"/>
      <c r="CF2" s="390"/>
      <c r="CG2" s="390"/>
      <c r="CH2" s="390"/>
      <c r="CI2" s="390"/>
      <c r="CJ2" s="390"/>
      <c r="CK2" s="390"/>
      <c r="CL2" s="390"/>
      <c r="CM2" s="390"/>
      <c r="CN2" s="390"/>
      <c r="CO2" s="390"/>
      <c r="CP2" s="390"/>
      <c r="CQ2" s="390"/>
      <c r="CR2" s="390"/>
      <c r="CS2" s="390"/>
      <c r="CT2" s="390"/>
      <c r="CU2" s="390"/>
      <c r="CV2" s="390"/>
      <c r="CW2" s="390"/>
      <c r="CX2" s="390"/>
      <c r="CY2" s="390"/>
      <c r="CZ2" s="390"/>
      <c r="DA2" s="390"/>
      <c r="DB2" s="390"/>
      <c r="DC2" s="390"/>
      <c r="DD2" s="390"/>
      <c r="DE2" s="390"/>
      <c r="DF2" s="390"/>
      <c r="DG2" s="390"/>
      <c r="DH2" s="390"/>
      <c r="DI2" s="390"/>
      <c r="DJ2" s="390"/>
      <c r="DK2" s="390"/>
      <c r="DL2" s="390"/>
      <c r="DM2" s="390"/>
    </row>
    <row r="3" spans="1:117">
      <c r="AO3">
        <v>2</v>
      </c>
      <c r="AP3">
        <v>3</v>
      </c>
      <c r="AQ3">
        <v>4</v>
      </c>
      <c r="AR3">
        <v>5</v>
      </c>
      <c r="AS3">
        <v>6</v>
      </c>
      <c r="AT3">
        <v>7</v>
      </c>
      <c r="AU3">
        <v>8</v>
      </c>
      <c r="AV3">
        <v>9</v>
      </c>
      <c r="AW3">
        <v>10</v>
      </c>
      <c r="AX3">
        <v>12</v>
      </c>
      <c r="AY3">
        <v>13</v>
      </c>
      <c r="AZ3">
        <v>14</v>
      </c>
      <c r="BA3">
        <v>15</v>
      </c>
      <c r="BB3">
        <v>17</v>
      </c>
      <c r="BC3">
        <v>18</v>
      </c>
      <c r="BD3">
        <v>19</v>
      </c>
      <c r="BE3">
        <v>20</v>
      </c>
      <c r="BF3">
        <v>21</v>
      </c>
      <c r="BG3">
        <v>22</v>
      </c>
      <c r="BH3">
        <v>23</v>
      </c>
      <c r="BI3">
        <v>24</v>
      </c>
      <c r="BJ3">
        <v>25</v>
      </c>
      <c r="BK3">
        <v>26</v>
      </c>
      <c r="BL3">
        <v>27</v>
      </c>
      <c r="BM3">
        <v>28</v>
      </c>
      <c r="BN3">
        <v>29</v>
      </c>
      <c r="BO3">
        <v>30</v>
      </c>
      <c r="BP3">
        <v>31</v>
      </c>
      <c r="BQ3">
        <v>32</v>
      </c>
      <c r="BR3">
        <v>33</v>
      </c>
      <c r="BS3">
        <v>34</v>
      </c>
      <c r="BT3">
        <v>35</v>
      </c>
      <c r="BU3">
        <v>36</v>
      </c>
      <c r="BV3">
        <v>37</v>
      </c>
      <c r="BW3">
        <v>38</v>
      </c>
      <c r="BX3">
        <v>39</v>
      </c>
    </row>
    <row r="4" spans="1:117">
      <c r="B4" s="2" t="str">
        <f t="shared" ref="B4" si="1">AO4</f>
        <v>NAT_GAS</v>
      </c>
      <c r="C4" s="2" t="str">
        <f t="shared" ref="C4" si="2">AP4</f>
        <v>COAL</v>
      </c>
      <c r="D4" s="2" t="str">
        <f t="shared" ref="D4" si="3">AQ4</f>
        <v>FUELOIL</v>
      </c>
      <c r="E4" s="2" t="str">
        <f t="shared" ref="E4" si="4">AR4</f>
        <v>DIESEL</v>
      </c>
      <c r="F4" s="2" t="str">
        <f t="shared" ref="F4" si="5">AS4</f>
        <v>MUNI_WASTE</v>
      </c>
      <c r="G4" s="2" t="str">
        <f t="shared" ref="G4" si="6">AT4</f>
        <v>BIOMASS</v>
      </c>
      <c r="H4" s="2" t="str">
        <f t="shared" ref="H4" si="7">AU4</f>
        <v>WIND_ONSHORE</v>
      </c>
      <c r="I4" s="2" t="str">
        <f t="shared" ref="I4" si="8">AV4</f>
        <v>HYDRO_RES</v>
      </c>
      <c r="J4" s="2" t="str">
        <f t="shared" ref="J4" si="9">AW4</f>
        <v>SOLAR</v>
      </c>
      <c r="K4" s="2" t="str">
        <f t="shared" ref="K4" si="10">AX4</f>
        <v>BIOGAS</v>
      </c>
      <c r="L4" s="2" t="str">
        <f t="shared" ref="L4" si="11">AY4</f>
        <v>GEOTHERMAL</v>
      </c>
      <c r="M4" s="2" t="str">
        <f t="shared" ref="M4" si="12">AZ4</f>
        <v>WAVE</v>
      </c>
      <c r="N4" s="2" t="str">
        <f t="shared" ref="N4" si="13">BA4</f>
        <v>PUMPED_HYDRO</v>
      </c>
      <c r="O4" s="2" t="str">
        <f t="shared" ref="O4" si="14">BB4</f>
        <v>HYDRO_RVR</v>
      </c>
      <c r="P4" s="2" t="str">
        <f t="shared" ref="P4" si="15">BC4</f>
        <v>ELECTRIC</v>
      </c>
      <c r="Q4" s="2" t="str">
        <f t="shared" ref="Q4" si="16">BD4</f>
        <v>COAL_CCS</v>
      </c>
      <c r="R4" s="2" t="str">
        <f t="shared" ref="R4" si="17">BE4</f>
        <v>NAT_GAS_CCS</v>
      </c>
      <c r="S4" s="2" t="str">
        <f t="shared" ref="S4" si="18">BF4</f>
        <v>NUCLEAR</v>
      </c>
      <c r="T4" s="2" t="str">
        <f t="shared" ref="T4" si="19">BG4</f>
        <v>BIOMASS_IMPORT</v>
      </c>
      <c r="U4" s="2" t="str">
        <f t="shared" ref="U4" si="20">BH4</f>
        <v>SOLAR_ROOF</v>
      </c>
      <c r="V4" s="2" t="str">
        <f t="shared" ref="V4" si="21">BI4</f>
        <v>COAL_MT</v>
      </c>
      <c r="W4" s="2" t="str">
        <f t="shared" ref="W4" si="22">BJ4</f>
        <v>GAS_WH</v>
      </c>
      <c r="X4" s="2" t="str">
        <f t="shared" ref="X4" si="23">BK4</f>
        <v>COAL_IGCC</v>
      </c>
      <c r="Y4" s="2" t="str">
        <f t="shared" ref="Y4:AA4" si="24">BL4</f>
        <v>COAL_IGCC_CCS</v>
      </c>
      <c r="Z4" s="2" t="str">
        <f t="shared" si="24"/>
        <v>Electricity for PtX</v>
      </c>
      <c r="AA4" s="2" t="str">
        <f t="shared" si="24"/>
        <v>Electricity for Storage</v>
      </c>
      <c r="AB4" s="2" t="str">
        <f t="shared" ref="AB4" si="25">BO4</f>
        <v>Hydrogen</v>
      </c>
      <c r="AC4" s="2" t="str">
        <f t="shared" ref="AC4" si="26">BP4</f>
        <v>Ammonia</v>
      </c>
      <c r="AD4" s="2" t="str">
        <f t="shared" ref="AD4" si="27">BQ4</f>
        <v>Total Fuel Cost for Methanol Prod</v>
      </c>
      <c r="AE4" s="2" t="str">
        <f t="shared" ref="AE4" si="28">BR4</f>
        <v>Total Fuel Cost for Ammonia Prod</v>
      </c>
      <c r="AF4" s="2" t="str">
        <f t="shared" ref="AF4" si="29">BS4</f>
        <v>Electricity Price Forecast</v>
      </c>
      <c r="AG4" s="2" t="str">
        <f t="shared" ref="AG4" si="30">BT4</f>
        <v>Wood</v>
      </c>
      <c r="AH4" s="2" t="str">
        <f t="shared" ref="AH4" si="31">BU4</f>
        <v>20% Hydrogen - 80% Natural Gas</v>
      </c>
      <c r="AI4" s="2" t="str">
        <f t="shared" ref="AI4" si="32">BV4</f>
        <v>20% Ammonia - 80% Coal</v>
      </c>
      <c r="AJ4" s="2" t="str">
        <f t="shared" ref="AJ4" si="33">BW4</f>
        <v>20% Wood - 80% Coal</v>
      </c>
      <c r="AK4" s="2" t="str">
        <f t="shared" ref="AK4" si="34">BX4</f>
        <v>WIND_OFFSHORE</v>
      </c>
      <c r="AL4" s="2"/>
      <c r="AM4" s="2"/>
      <c r="AN4" s="2"/>
      <c r="AO4" s="2" t="s">
        <v>213</v>
      </c>
      <c r="AP4" s="2" t="s">
        <v>210</v>
      </c>
      <c r="AQ4" s="2" t="s">
        <v>921</v>
      </c>
      <c r="AR4" s="2" t="s">
        <v>222</v>
      </c>
      <c r="AS4" s="2" t="s">
        <v>220</v>
      </c>
      <c r="AT4" s="2" t="s">
        <v>218</v>
      </c>
      <c r="AU4" s="2" t="s">
        <v>205</v>
      </c>
      <c r="AV4" s="2" t="s">
        <v>922</v>
      </c>
      <c r="AW4" s="2" t="s">
        <v>203</v>
      </c>
      <c r="AX4" s="2" t="s">
        <v>219</v>
      </c>
      <c r="AY4" s="2" t="s">
        <v>198</v>
      </c>
      <c r="AZ4" s="2" t="s">
        <v>208</v>
      </c>
      <c r="BA4" s="2" t="s">
        <v>923</v>
      </c>
      <c r="BB4" s="2" t="s">
        <v>200</v>
      </c>
      <c r="BC4" s="2" t="s">
        <v>924</v>
      </c>
      <c r="BD4" s="2" t="s">
        <v>215</v>
      </c>
      <c r="BE4" s="2" t="s">
        <v>216</v>
      </c>
      <c r="BF4" s="2" t="s">
        <v>223</v>
      </c>
      <c r="BG4" s="2" t="s">
        <v>925</v>
      </c>
      <c r="BH4" s="2" t="s">
        <v>926</v>
      </c>
      <c r="BI4" s="2" t="s">
        <v>927</v>
      </c>
      <c r="BJ4" s="2" t="s">
        <v>928</v>
      </c>
      <c r="BK4" s="2" t="s">
        <v>212</v>
      </c>
      <c r="BL4" s="2" t="s">
        <v>217</v>
      </c>
      <c r="BM4" s="2" t="s">
        <v>232</v>
      </c>
      <c r="BN4" t="s">
        <v>202</v>
      </c>
      <c r="BO4" t="s">
        <v>108</v>
      </c>
      <c r="BP4" t="s">
        <v>107</v>
      </c>
      <c r="BQ4" t="s">
        <v>929</v>
      </c>
      <c r="BR4" t="s">
        <v>233</v>
      </c>
      <c r="BS4" t="s">
        <v>930</v>
      </c>
      <c r="BT4" t="s">
        <v>227</v>
      </c>
      <c r="BU4" t="s">
        <v>224</v>
      </c>
      <c r="BV4" t="s">
        <v>225</v>
      </c>
      <c r="BW4" t="s">
        <v>226</v>
      </c>
      <c r="BX4" t="s">
        <v>206</v>
      </c>
    </row>
    <row r="5" spans="1:117" hidden="1">
      <c r="A5" s="274">
        <v>2015</v>
      </c>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7"/>
      <c r="AI5" s="7"/>
      <c r="AJ5" s="7"/>
      <c r="AK5" s="7"/>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row>
    <row r="6" spans="1:117" hidden="1">
      <c r="A6" s="274">
        <v>2016</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7"/>
      <c r="AI6" s="7"/>
      <c r="AJ6" s="7"/>
      <c r="AK6" s="7"/>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row>
    <row r="7" spans="1:117" hidden="1">
      <c r="A7" s="274">
        <v>2017</v>
      </c>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7"/>
      <c r="AI7" s="7"/>
      <c r="AJ7" s="7"/>
      <c r="AK7" s="7"/>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row>
    <row r="8" spans="1:117" hidden="1">
      <c r="A8" s="274">
        <v>2018</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7"/>
      <c r="AI8" s="7"/>
      <c r="AJ8" s="7"/>
      <c r="AK8" s="7"/>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row>
    <row r="9" spans="1:117" hidden="1">
      <c r="A9" s="274">
        <v>2019</v>
      </c>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row>
    <row r="10" spans="1:117" ht="19.5" customHeight="1">
      <c r="A10" s="274">
        <v>2020</v>
      </c>
      <c r="B10" s="765">
        <f>B11</f>
        <v>12.02</v>
      </c>
      <c r="C10" s="765">
        <f t="shared" ref="C10:Y10" si="35">C11</f>
        <v>57.275609072375126</v>
      </c>
      <c r="D10" s="765">
        <f t="shared" si="35"/>
        <v>62.933233615007616</v>
      </c>
      <c r="E10" s="765">
        <f t="shared" si="35"/>
        <v>87.985435737800159</v>
      </c>
      <c r="F10" s="765">
        <f t="shared" si="35"/>
        <v>0</v>
      </c>
      <c r="G10" s="768">
        <f t="shared" si="35"/>
        <v>57.275609072375126</v>
      </c>
      <c r="H10" s="765">
        <f t="shared" si="35"/>
        <v>0</v>
      </c>
      <c r="I10" s="765">
        <f t="shared" si="35"/>
        <v>0</v>
      </c>
      <c r="J10" s="765">
        <f t="shared" si="35"/>
        <v>0</v>
      </c>
      <c r="K10" s="765">
        <f t="shared" si="35"/>
        <v>0</v>
      </c>
      <c r="L10" s="765">
        <f t="shared" si="35"/>
        <v>0</v>
      </c>
      <c r="M10" s="765">
        <f t="shared" si="35"/>
        <v>0</v>
      </c>
      <c r="N10" s="765">
        <f t="shared" si="35"/>
        <v>0</v>
      </c>
      <c r="O10" s="765">
        <f t="shared" si="35"/>
        <v>0</v>
      </c>
      <c r="P10" s="765">
        <f t="shared" si="35"/>
        <v>0</v>
      </c>
      <c r="Q10" s="768">
        <f t="shared" si="35"/>
        <v>57.275609072375126</v>
      </c>
      <c r="R10" s="768">
        <f t="shared" si="35"/>
        <v>12.02</v>
      </c>
      <c r="S10" s="765">
        <f t="shared" si="35"/>
        <v>0</v>
      </c>
      <c r="T10" s="765">
        <f t="shared" si="35"/>
        <v>76.840909090909022</v>
      </c>
      <c r="U10" s="765">
        <f t="shared" si="35"/>
        <v>0</v>
      </c>
      <c r="V10" s="768">
        <f t="shared" si="35"/>
        <v>28.637804536187563</v>
      </c>
      <c r="W10" s="765">
        <f t="shared" si="35"/>
        <v>6</v>
      </c>
      <c r="X10" s="768">
        <f t="shared" si="35"/>
        <v>57.275609072375126</v>
      </c>
      <c r="Y10" s="768">
        <f t="shared" si="35"/>
        <v>57.275609072375126</v>
      </c>
      <c r="Z10" s="765">
        <v>26.415035291132401</v>
      </c>
      <c r="AA10" s="765">
        <v>26.415035291132401</v>
      </c>
      <c r="AB10" s="765">
        <v>29</v>
      </c>
      <c r="AC10" s="765">
        <v>24</v>
      </c>
      <c r="AD10" s="764">
        <f>0.0153846153846154*Z10+0.984615384615385*AB10+1.4/5.54*100*78%</f>
        <v>48.671422647911356</v>
      </c>
      <c r="AE10" s="764">
        <f t="shared" ref="AE10:AE40" si="36">0.05*Z10+0.95*AB10</f>
        <v>28.870751764556616</v>
      </c>
      <c r="AF10" s="765">
        <v>26.415035291132401</v>
      </c>
      <c r="AG10" s="765">
        <v>6.06</v>
      </c>
      <c r="AH10" s="772">
        <f>BU10</f>
        <v>14.906352</v>
      </c>
      <c r="AI10" s="772">
        <f t="shared" ref="AI10" si="37">BV10</f>
        <v>7.2335769899195839</v>
      </c>
      <c r="AJ10" s="772">
        <f t="shared" ref="AJ10" si="38">BW10</f>
        <v>3.6455769899195838</v>
      </c>
      <c r="AK10" s="766">
        <v>0</v>
      </c>
      <c r="AL10" s="6"/>
      <c r="AM10" s="6"/>
      <c r="AN10" s="6"/>
      <c r="AO10" s="772">
        <f>'Fuel Costs'!B10*AO$61</f>
        <v>11.38294</v>
      </c>
      <c r="AP10" s="772">
        <f>'Fuel Costs'!C10/AP$61</f>
        <v>3.0419712373994794</v>
      </c>
      <c r="AQ10" s="772">
        <f>'Fuel Costs'!D10/AQ$61</f>
        <v>10.739459661264098</v>
      </c>
      <c r="AR10" s="772">
        <f>'Fuel Costs'!E10/AR$61</f>
        <v>15.010685920682718</v>
      </c>
      <c r="AS10" s="764">
        <v>-3.76351936733397</v>
      </c>
      <c r="AT10" s="772">
        <f>'Fuel Costs'!G10/AT$61</f>
        <v>3.8183739381583419</v>
      </c>
      <c r="AU10" s="6"/>
      <c r="AV10" s="6"/>
      <c r="AW10" s="6"/>
      <c r="AX10" s="764">
        <v>2.5681818181818201</v>
      </c>
      <c r="AY10" s="6"/>
      <c r="AZ10" s="6"/>
      <c r="BA10" s="6"/>
      <c r="BB10" s="6"/>
      <c r="BC10" s="6"/>
      <c r="BD10" s="772">
        <f>'Fuel Costs'!Q10/BD$61</f>
        <v>3.0419712373994794</v>
      </c>
      <c r="BE10" s="772">
        <f>'Fuel Costs'!R10*BE$61</f>
        <v>11.38294</v>
      </c>
      <c r="BF10" s="764">
        <v>8.3334200000000802E-2</v>
      </c>
      <c r="BG10" s="772">
        <f>'Fuel Costs'!T10/BG$61</f>
        <v>5.1227272727272686</v>
      </c>
      <c r="BH10" s="772"/>
      <c r="BI10" s="772">
        <f>'Fuel Costs'!V10/BI$61</f>
        <v>1.9555529383282364</v>
      </c>
      <c r="BJ10" s="772">
        <f>'Fuel Costs'!W10*BJ$61</f>
        <v>5.6819999999999995</v>
      </c>
      <c r="BK10" s="772">
        <f>'Fuel Costs'!X10/BK$61</f>
        <v>3.0419712373994794</v>
      </c>
      <c r="BL10" s="772">
        <f>'Fuel Costs'!Y10/BL$61</f>
        <v>3.0419712373994794</v>
      </c>
      <c r="BM10" s="772">
        <f t="shared" ref="BM10" si="39">Z10</f>
        <v>26.415035291132401</v>
      </c>
      <c r="BN10" s="772">
        <f t="shared" ref="BN10" si="40">AA10</f>
        <v>26.415035291132401</v>
      </c>
      <c r="BO10" s="772">
        <f t="shared" ref="BO10:BO48" si="41">AB10</f>
        <v>29</v>
      </c>
      <c r="BP10" s="772">
        <f t="shared" ref="BP10:BP48" si="42">AC10</f>
        <v>24</v>
      </c>
      <c r="BQ10" s="772">
        <f t="shared" ref="BQ10" si="43">AD10</f>
        <v>48.671422647911356</v>
      </c>
      <c r="BR10" s="772">
        <f t="shared" ref="BR10" si="44">AE10</f>
        <v>28.870751764556616</v>
      </c>
      <c r="BS10" s="772">
        <f t="shared" ref="BS10" si="45">AF10</f>
        <v>26.415035291132401</v>
      </c>
      <c r="BT10" s="772">
        <f t="shared" ref="BT10" si="46">AG10</f>
        <v>6.06</v>
      </c>
      <c r="BU10" s="764">
        <f t="shared" ref="BU10" si="47">0.2*BO10+0.8*AO10</f>
        <v>14.906352</v>
      </c>
      <c r="BV10" s="764">
        <f t="shared" ref="BV10" si="48">0.2*BP10+0.8*AP10</f>
        <v>7.2335769899195839</v>
      </c>
      <c r="BW10" s="764">
        <f t="shared" ref="BW10" si="49">0.2*BT10+0.8*AP10</f>
        <v>3.6455769899195838</v>
      </c>
      <c r="BX10" s="772">
        <f t="shared" ref="BX10" si="50">AK10</f>
        <v>0</v>
      </c>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row>
    <row r="11" spans="1:117">
      <c r="A11" s="274">
        <v>2021</v>
      </c>
      <c r="B11" s="761">
        <v>12.02</v>
      </c>
      <c r="C11" s="762">
        <v>57.275609072375126</v>
      </c>
      <c r="D11" s="761">
        <v>62.933233615007616</v>
      </c>
      <c r="E11" s="761">
        <v>87.985435737800159</v>
      </c>
      <c r="F11" s="761"/>
      <c r="G11" s="769">
        <f>C11</f>
        <v>57.275609072375126</v>
      </c>
      <c r="H11" s="763"/>
      <c r="I11" s="763"/>
      <c r="J11" s="763"/>
      <c r="K11" s="761"/>
      <c r="L11" s="763"/>
      <c r="M11" s="763"/>
      <c r="N11" s="763"/>
      <c r="O11" s="763"/>
      <c r="P11" s="763"/>
      <c r="Q11" s="769">
        <f>C11</f>
        <v>57.275609072375126</v>
      </c>
      <c r="R11" s="769">
        <f>B11</f>
        <v>12.02</v>
      </c>
      <c r="S11" s="761"/>
      <c r="T11" s="761">
        <v>76.840909090909022</v>
      </c>
      <c r="U11" s="763"/>
      <c r="V11" s="771">
        <f>C11/2</f>
        <v>28.637804536187563</v>
      </c>
      <c r="W11" s="761">
        <v>6</v>
      </c>
      <c r="X11" s="769">
        <f>C11</f>
        <v>57.275609072375126</v>
      </c>
      <c r="Y11" s="769">
        <f>C11</f>
        <v>57.275609072375126</v>
      </c>
      <c r="Z11" s="764">
        <v>26.415035291132401</v>
      </c>
      <c r="AA11" s="764">
        <v>26.415035291132401</v>
      </c>
      <c r="AB11" s="765">
        <v>29</v>
      </c>
      <c r="AC11" s="765">
        <v>24</v>
      </c>
      <c r="AD11" s="764">
        <f t="shared" ref="AD11:AD19" si="51">0.0153846153846154*Z11+0.984615384615385*AB11+1.4/5.54*100*78%</f>
        <v>48.671422647911356</v>
      </c>
      <c r="AE11" s="764">
        <f t="shared" si="36"/>
        <v>28.870751764556616</v>
      </c>
      <c r="AF11" s="764">
        <v>26.415035291132401</v>
      </c>
      <c r="AG11" s="765">
        <v>6.06</v>
      </c>
      <c r="AH11" s="772">
        <f>BU11</f>
        <v>14.906352</v>
      </c>
      <c r="AI11" s="772">
        <f t="shared" ref="AI11:AJ11" si="52">BV11</f>
        <v>7.2335769899195839</v>
      </c>
      <c r="AJ11" s="772">
        <f t="shared" si="52"/>
        <v>3.6455769899195838</v>
      </c>
      <c r="AK11" s="766">
        <v>0</v>
      </c>
      <c r="AL11" s="6"/>
      <c r="AM11" s="6"/>
      <c r="AN11" s="6"/>
      <c r="AO11" s="772">
        <f>'Fuel Costs'!B11*AO$61</f>
        <v>11.38294</v>
      </c>
      <c r="AP11" s="772">
        <f>'Fuel Costs'!C11/AP$61</f>
        <v>3.0419712373994794</v>
      </c>
      <c r="AQ11" s="772">
        <f>'Fuel Costs'!D11/AQ$61</f>
        <v>10.739459661264098</v>
      </c>
      <c r="AR11" s="772">
        <f>'Fuel Costs'!E11/AR$61</f>
        <v>15.010685920682718</v>
      </c>
      <c r="AS11" s="764">
        <v>-2.7635193673339691</v>
      </c>
      <c r="AT11" s="772">
        <f>'Fuel Costs'!G11/AT$61</f>
        <v>3.8183739381583419</v>
      </c>
      <c r="AU11" s="6"/>
      <c r="AV11" s="6"/>
      <c r="AW11" s="6"/>
      <c r="AX11" s="764">
        <v>3.5681818181818183</v>
      </c>
      <c r="AY11" s="6"/>
      <c r="AZ11" s="6"/>
      <c r="BA11" s="6"/>
      <c r="BB11" s="6"/>
      <c r="BC11" s="6"/>
      <c r="BD11" s="772">
        <f>'Fuel Costs'!Q11/BD$61</f>
        <v>3.0419712373994794</v>
      </c>
      <c r="BE11" s="772">
        <f>'Fuel Costs'!R11*BE$61</f>
        <v>11.38294</v>
      </c>
      <c r="BF11" s="764">
        <v>1.0833342000000008</v>
      </c>
      <c r="BG11" s="772">
        <f>'Fuel Costs'!T11/BG$61</f>
        <v>5.1227272727272686</v>
      </c>
      <c r="BH11" s="772"/>
      <c r="BI11" s="772">
        <f>'Fuel Costs'!V11/BI$61</f>
        <v>1.9555529383282364</v>
      </c>
      <c r="BJ11" s="772">
        <f>'Fuel Costs'!W11*BJ$61</f>
        <v>5.6819999999999995</v>
      </c>
      <c r="BK11" s="772">
        <f>'Fuel Costs'!X11/BK$61</f>
        <v>3.0419712373994794</v>
      </c>
      <c r="BL11" s="772">
        <f>'Fuel Costs'!Y11/BL$61</f>
        <v>3.0419712373994794</v>
      </c>
      <c r="BM11" s="772">
        <f t="shared" ref="BM11:BT39" si="53">Z11</f>
        <v>26.415035291132401</v>
      </c>
      <c r="BN11" s="772">
        <f t="shared" si="53"/>
        <v>26.415035291132401</v>
      </c>
      <c r="BO11" s="772">
        <f t="shared" si="41"/>
        <v>29</v>
      </c>
      <c r="BP11" s="772">
        <f t="shared" si="42"/>
        <v>24</v>
      </c>
      <c r="BQ11" s="772">
        <f t="shared" si="53"/>
        <v>48.671422647911356</v>
      </c>
      <c r="BR11" s="772">
        <f t="shared" si="53"/>
        <v>28.870751764556616</v>
      </c>
      <c r="BS11" s="772">
        <f t="shared" si="53"/>
        <v>26.415035291132401</v>
      </c>
      <c r="BT11" s="772">
        <f t="shared" si="53"/>
        <v>6.06</v>
      </c>
      <c r="BU11" s="764">
        <f t="shared" ref="BU11:BV55" si="54">0.2*BO11+0.8*AO11</f>
        <v>14.906352</v>
      </c>
      <c r="BV11" s="764">
        <f t="shared" si="54"/>
        <v>7.2335769899195839</v>
      </c>
      <c r="BW11" s="764">
        <f t="shared" ref="BW11:BW55" si="55">0.2*BT11+0.8*AP11</f>
        <v>3.6455769899195838</v>
      </c>
      <c r="BX11" s="772">
        <f t="shared" ref="BX11:BX55" si="56">AK11</f>
        <v>0</v>
      </c>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row>
    <row r="12" spans="1:117">
      <c r="A12" s="274">
        <v>2022</v>
      </c>
      <c r="B12" s="761">
        <v>11.32</v>
      </c>
      <c r="C12" s="762">
        <v>70</v>
      </c>
      <c r="D12" s="761">
        <v>57.393778224691765</v>
      </c>
      <c r="E12" s="761">
        <v>82.554597119843436</v>
      </c>
      <c r="F12" s="761"/>
      <c r="G12" s="769">
        <f t="shared" ref="G12:G40" si="57">C12</f>
        <v>70</v>
      </c>
      <c r="H12" s="763"/>
      <c r="I12" s="763"/>
      <c r="J12" s="763"/>
      <c r="K12" s="761"/>
      <c r="L12" s="763"/>
      <c r="M12" s="763"/>
      <c r="N12" s="763"/>
      <c r="O12" s="763"/>
      <c r="P12" s="763"/>
      <c r="Q12" s="769">
        <f t="shared" ref="Q12:Q40" si="58">C12</f>
        <v>70</v>
      </c>
      <c r="R12" s="769">
        <f t="shared" ref="R12:R40" si="59">B12</f>
        <v>11.32</v>
      </c>
      <c r="S12" s="761"/>
      <c r="T12" s="761">
        <v>76.840909090909022</v>
      </c>
      <c r="U12" s="763"/>
      <c r="V12" s="771">
        <f t="shared" ref="V12:V40" si="60">C12/2</f>
        <v>35</v>
      </c>
      <c r="W12" s="761">
        <v>6</v>
      </c>
      <c r="X12" s="769">
        <f t="shared" ref="X12:X40" si="61">C12</f>
        <v>70</v>
      </c>
      <c r="Y12" s="769">
        <f t="shared" ref="Y12:Y40" si="62">C12</f>
        <v>70</v>
      </c>
      <c r="Z12" s="764">
        <v>26.415035291132401</v>
      </c>
      <c r="AA12" s="764">
        <v>26.415035291132401</v>
      </c>
      <c r="AB12" s="765">
        <v>29</v>
      </c>
      <c r="AC12" s="765">
        <v>24</v>
      </c>
      <c r="AD12" s="764">
        <f t="shared" si="51"/>
        <v>48.671422647911356</v>
      </c>
      <c r="AE12" s="764">
        <f t="shared" si="36"/>
        <v>28.870751764556616</v>
      </c>
      <c r="AF12" s="764">
        <v>26.415035291132401</v>
      </c>
      <c r="AG12" s="765">
        <v>6.06</v>
      </c>
      <c r="AH12" s="772">
        <f t="shared" ref="AH12:AH40" si="63">BU12</f>
        <v>14.376032</v>
      </c>
      <c r="AI12" s="772">
        <f t="shared" ref="AI12:AI40" si="64">BV12</f>
        <v>7.7742222222222228</v>
      </c>
      <c r="AJ12" s="772">
        <f t="shared" ref="AJ12:AJ40" si="65">BW12</f>
        <v>4.1862222222222227</v>
      </c>
      <c r="AK12" s="766">
        <v>0</v>
      </c>
      <c r="AL12" s="6"/>
      <c r="AM12" s="6"/>
      <c r="AN12" s="6"/>
      <c r="AO12" s="772">
        <f>'Fuel Costs'!B12*AO$61</f>
        <v>10.720039999999999</v>
      </c>
      <c r="AP12" s="772">
        <f>'Fuel Costs'!C12/AP$61</f>
        <v>3.7177777777777781</v>
      </c>
      <c r="AQ12" s="772">
        <f>'Fuel Costs'!D12/AQ$61</f>
        <v>9.7941601066026891</v>
      </c>
      <c r="AR12" s="772">
        <f>'Fuel Costs'!E12/AR$61</f>
        <v>14.084161978436216</v>
      </c>
      <c r="AS12" s="764">
        <v>-2.7635193673339691</v>
      </c>
      <c r="AT12" s="772">
        <f>'Fuel Costs'!G12/AT$61</f>
        <v>4.666666666666667</v>
      </c>
      <c r="AU12" s="6"/>
      <c r="AV12" s="6"/>
      <c r="AW12" s="6"/>
      <c r="AX12" s="764">
        <v>3.5681818181818183</v>
      </c>
      <c r="AY12" s="6"/>
      <c r="AZ12" s="6"/>
      <c r="BA12" s="6"/>
      <c r="BB12" s="6"/>
      <c r="BC12" s="6"/>
      <c r="BD12" s="772">
        <f>'Fuel Costs'!Q12/BD$61</f>
        <v>3.7177777777777781</v>
      </c>
      <c r="BE12" s="772">
        <f>'Fuel Costs'!R12*BE$61</f>
        <v>10.720039999999999</v>
      </c>
      <c r="BF12" s="764">
        <v>1.0833342000000008</v>
      </c>
      <c r="BG12" s="772">
        <f>'Fuel Costs'!T12/BG$61</f>
        <v>5.1227272727272686</v>
      </c>
      <c r="BH12" s="772"/>
      <c r="BI12" s="772">
        <f>'Fuel Costs'!V12/BI$61</f>
        <v>2.39</v>
      </c>
      <c r="BJ12" s="772">
        <f>'Fuel Costs'!W12*BJ$61</f>
        <v>5.6819999999999995</v>
      </c>
      <c r="BK12" s="772">
        <f>'Fuel Costs'!X12/BK$61</f>
        <v>3.7177777777777781</v>
      </c>
      <c r="BL12" s="772">
        <f>'Fuel Costs'!Y12/BL$61</f>
        <v>3.7177777777777781</v>
      </c>
      <c r="BM12" s="772">
        <f t="shared" si="53"/>
        <v>26.415035291132401</v>
      </c>
      <c r="BN12" s="772">
        <f t="shared" si="53"/>
        <v>26.415035291132401</v>
      </c>
      <c r="BO12" s="772">
        <f t="shared" si="41"/>
        <v>29</v>
      </c>
      <c r="BP12" s="772">
        <f t="shared" si="42"/>
        <v>24</v>
      </c>
      <c r="BQ12" s="772">
        <f t="shared" si="53"/>
        <v>48.671422647911356</v>
      </c>
      <c r="BR12" s="772">
        <f t="shared" si="53"/>
        <v>28.870751764556616</v>
      </c>
      <c r="BS12" s="772">
        <f t="shared" si="53"/>
        <v>26.415035291132401</v>
      </c>
      <c r="BT12" s="772">
        <f t="shared" si="53"/>
        <v>6.06</v>
      </c>
      <c r="BU12" s="764">
        <f t="shared" si="54"/>
        <v>14.376032</v>
      </c>
      <c r="BV12" s="764">
        <f t="shared" si="54"/>
        <v>7.7742222222222228</v>
      </c>
      <c r="BW12" s="764">
        <f t="shared" si="55"/>
        <v>4.1862222222222227</v>
      </c>
      <c r="BX12" s="772">
        <f t="shared" si="56"/>
        <v>0</v>
      </c>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row>
    <row r="13" spans="1:117">
      <c r="A13" s="274">
        <v>2023</v>
      </c>
      <c r="B13" s="761">
        <v>11.5</v>
      </c>
      <c r="C13" s="762">
        <v>70</v>
      </c>
      <c r="D13" s="761">
        <v>53.749995544688936</v>
      </c>
      <c r="E13" s="761">
        <v>78.98226115905635</v>
      </c>
      <c r="F13" s="761"/>
      <c r="G13" s="769">
        <f t="shared" si="57"/>
        <v>70</v>
      </c>
      <c r="H13" s="763"/>
      <c r="I13" s="763"/>
      <c r="J13" s="763"/>
      <c r="K13" s="761"/>
      <c r="L13" s="763"/>
      <c r="M13" s="763"/>
      <c r="N13" s="763"/>
      <c r="O13" s="763"/>
      <c r="P13" s="763"/>
      <c r="Q13" s="769">
        <f t="shared" si="58"/>
        <v>70</v>
      </c>
      <c r="R13" s="769">
        <f t="shared" si="59"/>
        <v>11.5</v>
      </c>
      <c r="S13" s="761"/>
      <c r="T13" s="761">
        <v>76.840909090909022</v>
      </c>
      <c r="U13" s="763"/>
      <c r="V13" s="771">
        <f t="shared" si="60"/>
        <v>35</v>
      </c>
      <c r="W13" s="761">
        <v>6</v>
      </c>
      <c r="X13" s="769">
        <f t="shared" si="61"/>
        <v>70</v>
      </c>
      <c r="Y13" s="769">
        <f t="shared" si="62"/>
        <v>70</v>
      </c>
      <c r="Z13" s="764">
        <v>26.415035291132401</v>
      </c>
      <c r="AA13" s="764">
        <v>26.415035291132401</v>
      </c>
      <c r="AB13" s="765">
        <v>29</v>
      </c>
      <c r="AC13" s="765">
        <v>24</v>
      </c>
      <c r="AD13" s="764">
        <f t="shared" si="51"/>
        <v>48.671422647911356</v>
      </c>
      <c r="AE13" s="764">
        <f t="shared" si="36"/>
        <v>28.870751764556616</v>
      </c>
      <c r="AF13" s="764">
        <v>26.415035291132401</v>
      </c>
      <c r="AG13" s="765">
        <v>6.06</v>
      </c>
      <c r="AH13" s="772">
        <f t="shared" si="63"/>
        <v>14.512400000000001</v>
      </c>
      <c r="AI13" s="772">
        <f t="shared" si="64"/>
        <v>7.7742222222222228</v>
      </c>
      <c r="AJ13" s="772">
        <f t="shared" si="65"/>
        <v>4.1862222222222227</v>
      </c>
      <c r="AK13" s="766">
        <v>0</v>
      </c>
      <c r="AL13" s="6"/>
      <c r="AM13" s="6"/>
      <c r="AN13" s="6"/>
      <c r="AO13" s="772">
        <f>'Fuel Costs'!B13*AO$61</f>
        <v>10.890499999999999</v>
      </c>
      <c r="AP13" s="772">
        <f>'Fuel Costs'!C13/AP$61</f>
        <v>3.7177777777777781</v>
      </c>
      <c r="AQ13" s="772">
        <f>'Fuel Costs'!D13/AQ$61</f>
        <v>9.1723541885134701</v>
      </c>
      <c r="AR13" s="772">
        <f>'Fuel Costs'!E13/AR$61</f>
        <v>13.474706417287043</v>
      </c>
      <c r="AS13" s="764">
        <v>-2.7635193673339691</v>
      </c>
      <c r="AT13" s="772">
        <f>'Fuel Costs'!G13/AT$61</f>
        <v>4.666666666666667</v>
      </c>
      <c r="AU13" s="6"/>
      <c r="AV13" s="6"/>
      <c r="AW13" s="6"/>
      <c r="AX13" s="764">
        <v>3.5681818181818183</v>
      </c>
      <c r="AY13" s="6"/>
      <c r="AZ13" s="6"/>
      <c r="BA13" s="6"/>
      <c r="BB13" s="6"/>
      <c r="BC13" s="6"/>
      <c r="BD13" s="772">
        <f>'Fuel Costs'!Q13/BD$61</f>
        <v>3.7177777777777781</v>
      </c>
      <c r="BE13" s="772">
        <f>'Fuel Costs'!R13*BE$61</f>
        <v>10.890499999999999</v>
      </c>
      <c r="BF13" s="764">
        <v>1.0833342000000008</v>
      </c>
      <c r="BG13" s="772">
        <f>'Fuel Costs'!T13/BG$61</f>
        <v>5.1227272727272686</v>
      </c>
      <c r="BH13" s="772"/>
      <c r="BI13" s="772">
        <f>'Fuel Costs'!V13/BI$61</f>
        <v>2.39</v>
      </c>
      <c r="BJ13" s="772">
        <f>'Fuel Costs'!W13*BJ$61</f>
        <v>5.6819999999999995</v>
      </c>
      <c r="BK13" s="772">
        <f>'Fuel Costs'!X13/BK$61</f>
        <v>3.7177777777777781</v>
      </c>
      <c r="BL13" s="772">
        <f>'Fuel Costs'!Y13/BL$61</f>
        <v>3.7177777777777781</v>
      </c>
      <c r="BM13" s="772">
        <f t="shared" si="53"/>
        <v>26.415035291132401</v>
      </c>
      <c r="BN13" s="772">
        <f t="shared" si="53"/>
        <v>26.415035291132401</v>
      </c>
      <c r="BO13" s="772">
        <f t="shared" si="41"/>
        <v>29</v>
      </c>
      <c r="BP13" s="772">
        <f t="shared" si="42"/>
        <v>24</v>
      </c>
      <c r="BQ13" s="772">
        <f t="shared" si="53"/>
        <v>48.671422647911356</v>
      </c>
      <c r="BR13" s="772">
        <f t="shared" si="53"/>
        <v>28.870751764556616</v>
      </c>
      <c r="BS13" s="772">
        <f t="shared" si="53"/>
        <v>26.415035291132401</v>
      </c>
      <c r="BT13" s="772">
        <f t="shared" si="53"/>
        <v>6.06</v>
      </c>
      <c r="BU13" s="764">
        <f t="shared" si="54"/>
        <v>14.512400000000001</v>
      </c>
      <c r="BV13" s="764">
        <f t="shared" si="54"/>
        <v>7.7742222222222228</v>
      </c>
      <c r="BW13" s="764">
        <f t="shared" si="55"/>
        <v>4.1862222222222227</v>
      </c>
      <c r="BX13" s="772">
        <f t="shared" si="56"/>
        <v>0</v>
      </c>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row>
    <row r="14" spans="1:117">
      <c r="A14" s="274">
        <v>2024</v>
      </c>
      <c r="B14" s="761">
        <v>11.5</v>
      </c>
      <c r="C14" s="762">
        <v>70</v>
      </c>
      <c r="D14" s="761">
        <v>51.254023277328884</v>
      </c>
      <c r="E14" s="761">
        <v>76.535229524389621</v>
      </c>
      <c r="F14" s="761"/>
      <c r="G14" s="769">
        <f t="shared" si="57"/>
        <v>70</v>
      </c>
      <c r="H14" s="763"/>
      <c r="I14" s="763"/>
      <c r="J14" s="763"/>
      <c r="K14" s="761"/>
      <c r="L14" s="763"/>
      <c r="M14" s="763"/>
      <c r="N14" s="763"/>
      <c r="O14" s="763"/>
      <c r="P14" s="763"/>
      <c r="Q14" s="769">
        <f t="shared" si="58"/>
        <v>70</v>
      </c>
      <c r="R14" s="769">
        <f t="shared" si="59"/>
        <v>11.5</v>
      </c>
      <c r="S14" s="761"/>
      <c r="T14" s="761">
        <v>76.840909090909022</v>
      </c>
      <c r="U14" s="763"/>
      <c r="V14" s="771">
        <f t="shared" si="60"/>
        <v>35</v>
      </c>
      <c r="W14" s="761">
        <v>6</v>
      </c>
      <c r="X14" s="769">
        <f t="shared" si="61"/>
        <v>70</v>
      </c>
      <c r="Y14" s="769">
        <f t="shared" si="62"/>
        <v>70</v>
      </c>
      <c r="Z14" s="764">
        <v>25.675334168895031</v>
      </c>
      <c r="AA14" s="764">
        <v>25.675334168895031</v>
      </c>
      <c r="AB14" s="765">
        <v>29</v>
      </c>
      <c r="AC14" s="765">
        <v>24</v>
      </c>
      <c r="AD14" s="764">
        <f t="shared" si="51"/>
        <v>48.66004263064616</v>
      </c>
      <c r="AE14" s="764">
        <f t="shared" si="36"/>
        <v>28.833766708444749</v>
      </c>
      <c r="AF14" s="764">
        <v>25.675334168895031</v>
      </c>
      <c r="AG14" s="765">
        <v>6.06</v>
      </c>
      <c r="AH14" s="772">
        <f t="shared" si="63"/>
        <v>14.512400000000001</v>
      </c>
      <c r="AI14" s="772">
        <f t="shared" si="64"/>
        <v>7.7742222222222228</v>
      </c>
      <c r="AJ14" s="772">
        <f t="shared" si="65"/>
        <v>4.1862222222222227</v>
      </c>
      <c r="AK14" s="766">
        <v>0</v>
      </c>
      <c r="AL14" s="6"/>
      <c r="AM14" s="6"/>
      <c r="AN14" s="6"/>
      <c r="AO14" s="772">
        <f>'Fuel Costs'!B14*AO$61</f>
        <v>10.890499999999999</v>
      </c>
      <c r="AP14" s="772">
        <f>'Fuel Costs'!C14/AP$61</f>
        <v>3.7177777777777781</v>
      </c>
      <c r="AQ14" s="772">
        <f>'Fuel Costs'!D14/AQ$61</f>
        <v>8.7464203544929831</v>
      </c>
      <c r="AR14" s="772">
        <f>'Fuel Costs'!E14/AR$61</f>
        <v>13.057232513817171</v>
      </c>
      <c r="AS14" s="764">
        <v>-2.7635193673339691</v>
      </c>
      <c r="AT14" s="772">
        <f>'Fuel Costs'!G14/AT$61</f>
        <v>4.666666666666667</v>
      </c>
      <c r="AU14" s="6"/>
      <c r="AV14" s="6"/>
      <c r="AW14" s="6"/>
      <c r="AX14" s="764">
        <v>3.5681818181818183</v>
      </c>
      <c r="AY14" s="6"/>
      <c r="AZ14" s="6"/>
      <c r="BA14" s="6"/>
      <c r="BB14" s="6"/>
      <c r="BC14" s="6"/>
      <c r="BD14" s="772">
        <f>'Fuel Costs'!Q14/BD$61</f>
        <v>3.7177777777777781</v>
      </c>
      <c r="BE14" s="772">
        <f>'Fuel Costs'!R14*BE$61</f>
        <v>10.890499999999999</v>
      </c>
      <c r="BF14" s="764">
        <v>1.0833342000000008</v>
      </c>
      <c r="BG14" s="772">
        <f>'Fuel Costs'!T14/BG$61</f>
        <v>5.1227272727272686</v>
      </c>
      <c r="BH14" s="772"/>
      <c r="BI14" s="772">
        <f>'Fuel Costs'!V14/BI$61</f>
        <v>2.39</v>
      </c>
      <c r="BJ14" s="772">
        <f>'Fuel Costs'!W14*BJ$61</f>
        <v>5.6819999999999995</v>
      </c>
      <c r="BK14" s="772">
        <f>'Fuel Costs'!X14/BK$61</f>
        <v>3.7177777777777781</v>
      </c>
      <c r="BL14" s="772">
        <f>'Fuel Costs'!Y14/BL$61</f>
        <v>3.7177777777777781</v>
      </c>
      <c r="BM14" s="772">
        <f t="shared" si="53"/>
        <v>25.675334168895031</v>
      </c>
      <c r="BN14" s="772">
        <f t="shared" si="53"/>
        <v>25.675334168895031</v>
      </c>
      <c r="BO14" s="772">
        <f t="shared" si="41"/>
        <v>29</v>
      </c>
      <c r="BP14" s="772">
        <f t="shared" si="42"/>
        <v>24</v>
      </c>
      <c r="BQ14" s="772">
        <f t="shared" si="53"/>
        <v>48.66004263064616</v>
      </c>
      <c r="BR14" s="772">
        <f t="shared" si="53"/>
        <v>28.833766708444749</v>
      </c>
      <c r="BS14" s="772">
        <f t="shared" si="53"/>
        <v>25.675334168895031</v>
      </c>
      <c r="BT14" s="772">
        <f t="shared" si="53"/>
        <v>6.06</v>
      </c>
      <c r="BU14" s="764">
        <f t="shared" si="54"/>
        <v>14.512400000000001</v>
      </c>
      <c r="BV14" s="764">
        <f t="shared" si="54"/>
        <v>7.7742222222222228</v>
      </c>
      <c r="BW14" s="764">
        <f t="shared" si="55"/>
        <v>4.1862222222222227</v>
      </c>
      <c r="BX14" s="772">
        <f t="shared" si="56"/>
        <v>0</v>
      </c>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row>
    <row r="15" spans="1:117">
      <c r="A15" s="274">
        <v>2025</v>
      </c>
      <c r="B15" s="761">
        <v>11.5</v>
      </c>
      <c r="C15" s="762">
        <v>70</v>
      </c>
      <c r="D15" s="761">
        <v>50.728662477398387</v>
      </c>
      <c r="E15" s="761">
        <v>76.020169916614634</v>
      </c>
      <c r="F15" s="761"/>
      <c r="G15" s="769">
        <f t="shared" si="57"/>
        <v>70</v>
      </c>
      <c r="H15" s="763"/>
      <c r="I15" s="763"/>
      <c r="J15" s="763"/>
      <c r="K15" s="761"/>
      <c r="L15" s="763"/>
      <c r="M15" s="763"/>
      <c r="N15" s="763"/>
      <c r="O15" s="763"/>
      <c r="P15" s="763"/>
      <c r="Q15" s="769">
        <f t="shared" si="58"/>
        <v>70</v>
      </c>
      <c r="R15" s="769">
        <f t="shared" si="59"/>
        <v>11.5</v>
      </c>
      <c r="S15" s="761"/>
      <c r="T15" s="761">
        <v>76.840909090909022</v>
      </c>
      <c r="U15" s="763"/>
      <c r="V15" s="771">
        <f t="shared" si="60"/>
        <v>35</v>
      </c>
      <c r="W15" s="761">
        <v>6</v>
      </c>
      <c r="X15" s="769">
        <f t="shared" si="61"/>
        <v>70</v>
      </c>
      <c r="Y15" s="769">
        <f t="shared" si="62"/>
        <v>70</v>
      </c>
      <c r="Z15" s="764">
        <v>25.411613657789804</v>
      </c>
      <c r="AA15" s="764">
        <v>25.411613657789804</v>
      </c>
      <c r="AB15" s="765">
        <v>29</v>
      </c>
      <c r="AC15" s="765">
        <v>24</v>
      </c>
      <c r="AD15" s="764">
        <f t="shared" si="51"/>
        <v>48.655985392013775</v>
      </c>
      <c r="AE15" s="764">
        <f t="shared" si="36"/>
        <v>28.820580682889489</v>
      </c>
      <c r="AF15" s="764">
        <v>25.411613657789804</v>
      </c>
      <c r="AG15" s="765">
        <v>6.06</v>
      </c>
      <c r="AH15" s="772">
        <f t="shared" si="63"/>
        <v>14.512400000000001</v>
      </c>
      <c r="AI15" s="772">
        <f t="shared" si="64"/>
        <v>7.7742222222222228</v>
      </c>
      <c r="AJ15" s="772">
        <f t="shared" si="65"/>
        <v>4.1862222222222227</v>
      </c>
      <c r="AK15" s="766">
        <v>0</v>
      </c>
      <c r="AL15" s="6"/>
      <c r="AM15" s="6"/>
      <c r="AN15" s="6"/>
      <c r="AO15" s="772">
        <f>'Fuel Costs'!B15*AO$61</f>
        <v>10.890499999999999</v>
      </c>
      <c r="AP15" s="772">
        <f>'Fuel Costs'!C15/AP$61</f>
        <v>3.7177777777777781</v>
      </c>
      <c r="AQ15" s="772">
        <f>'Fuel Costs'!D15/AQ$61</f>
        <v>8.6567683408529668</v>
      </c>
      <c r="AR15" s="772">
        <f>'Fuel Costs'!E15/AR$61</f>
        <v>12.969361175363154</v>
      </c>
      <c r="AS15" s="764">
        <v>-2.7635193673339691</v>
      </c>
      <c r="AT15" s="772">
        <f>'Fuel Costs'!G15/AT$61</f>
        <v>4.666666666666667</v>
      </c>
      <c r="AU15" s="6"/>
      <c r="AV15" s="6"/>
      <c r="AW15" s="6"/>
      <c r="AX15" s="764">
        <v>3.5681818181818183</v>
      </c>
      <c r="AY15" s="6"/>
      <c r="AZ15" s="6"/>
      <c r="BA15" s="6"/>
      <c r="BB15" s="6"/>
      <c r="BC15" s="6"/>
      <c r="BD15" s="772">
        <f>'Fuel Costs'!Q15/BD$61</f>
        <v>3.7177777777777781</v>
      </c>
      <c r="BE15" s="772">
        <f>'Fuel Costs'!R15*BE$61</f>
        <v>10.890499999999999</v>
      </c>
      <c r="BF15" s="764">
        <v>1.0833342000000008</v>
      </c>
      <c r="BG15" s="772">
        <f>'Fuel Costs'!T15/BG$61</f>
        <v>5.1227272727272686</v>
      </c>
      <c r="BH15" s="772"/>
      <c r="BI15" s="772">
        <f>'Fuel Costs'!V15/BI$61</f>
        <v>2.39</v>
      </c>
      <c r="BJ15" s="772">
        <f>'Fuel Costs'!W15*BJ$61</f>
        <v>5.6819999999999995</v>
      </c>
      <c r="BK15" s="772">
        <f>'Fuel Costs'!X15/BK$61</f>
        <v>3.7177777777777781</v>
      </c>
      <c r="BL15" s="772">
        <f>'Fuel Costs'!Y15/BL$61</f>
        <v>3.7177777777777781</v>
      </c>
      <c r="BM15" s="772">
        <f t="shared" si="53"/>
        <v>25.411613657789804</v>
      </c>
      <c r="BN15" s="772">
        <f t="shared" si="53"/>
        <v>25.411613657789804</v>
      </c>
      <c r="BO15" s="772">
        <f t="shared" si="41"/>
        <v>29</v>
      </c>
      <c r="BP15" s="772">
        <f t="shared" si="42"/>
        <v>24</v>
      </c>
      <c r="BQ15" s="772">
        <f t="shared" si="53"/>
        <v>48.655985392013775</v>
      </c>
      <c r="BR15" s="772">
        <f t="shared" si="53"/>
        <v>28.820580682889489</v>
      </c>
      <c r="BS15" s="772">
        <f t="shared" si="53"/>
        <v>25.411613657789804</v>
      </c>
      <c r="BT15" s="772">
        <f t="shared" si="53"/>
        <v>6.06</v>
      </c>
      <c r="BU15" s="764">
        <f t="shared" si="54"/>
        <v>14.512400000000001</v>
      </c>
      <c r="BV15" s="764">
        <f t="shared" si="54"/>
        <v>7.7742222222222228</v>
      </c>
      <c r="BW15" s="764">
        <f t="shared" si="55"/>
        <v>4.1862222222222227</v>
      </c>
      <c r="BX15" s="772">
        <f t="shared" si="56"/>
        <v>0</v>
      </c>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row>
    <row r="16" spans="1:117">
      <c r="A16" s="274">
        <v>2026</v>
      </c>
      <c r="B16" s="761">
        <v>11.5</v>
      </c>
      <c r="C16" s="762">
        <v>70</v>
      </c>
      <c r="D16" s="761">
        <v>51.866669138754204</v>
      </c>
      <c r="E16" s="761">
        <v>77.13586272186545</v>
      </c>
      <c r="F16" s="761"/>
      <c r="G16" s="769">
        <f t="shared" si="57"/>
        <v>70</v>
      </c>
      <c r="H16" s="763"/>
      <c r="I16" s="763"/>
      <c r="J16" s="763"/>
      <c r="K16" s="761"/>
      <c r="L16" s="763"/>
      <c r="M16" s="763"/>
      <c r="N16" s="763"/>
      <c r="O16" s="763"/>
      <c r="P16" s="763"/>
      <c r="Q16" s="769">
        <f t="shared" si="58"/>
        <v>70</v>
      </c>
      <c r="R16" s="769">
        <f t="shared" si="59"/>
        <v>11.5</v>
      </c>
      <c r="S16" s="761"/>
      <c r="T16" s="761">
        <v>76.840909090909022</v>
      </c>
      <c r="U16" s="763"/>
      <c r="V16" s="771">
        <f t="shared" si="60"/>
        <v>35</v>
      </c>
      <c r="W16" s="761">
        <v>6</v>
      </c>
      <c r="X16" s="769">
        <f t="shared" si="61"/>
        <v>70</v>
      </c>
      <c r="Y16" s="769">
        <f t="shared" si="62"/>
        <v>70</v>
      </c>
      <c r="Z16" s="764">
        <v>24.856089213640015</v>
      </c>
      <c r="AA16" s="764">
        <v>24.856089213640015</v>
      </c>
      <c r="AB16" s="765">
        <v>29</v>
      </c>
      <c r="AC16" s="765">
        <v>24</v>
      </c>
      <c r="AD16" s="764">
        <f t="shared" si="51"/>
        <v>48.647438862103776</v>
      </c>
      <c r="AE16" s="764">
        <f t="shared" si="36"/>
        <v>28.792804460682</v>
      </c>
      <c r="AF16" s="764">
        <v>24.856089213640015</v>
      </c>
      <c r="AG16" s="765">
        <v>6.06</v>
      </c>
      <c r="AH16" s="772">
        <f t="shared" si="63"/>
        <v>14.512400000000001</v>
      </c>
      <c r="AI16" s="772">
        <f t="shared" si="64"/>
        <v>7.7742222222222228</v>
      </c>
      <c r="AJ16" s="772">
        <f t="shared" si="65"/>
        <v>4.1862222222222227</v>
      </c>
      <c r="AK16" s="766">
        <v>0</v>
      </c>
      <c r="AL16" s="6"/>
      <c r="AM16" s="6"/>
      <c r="AN16" s="6"/>
      <c r="AO16" s="772">
        <f>'Fuel Costs'!B16*AO$61</f>
        <v>10.890499999999999</v>
      </c>
      <c r="AP16" s="772">
        <f>'Fuel Costs'!C16/AP$61</f>
        <v>3.7177777777777781</v>
      </c>
      <c r="AQ16" s="772">
        <f>'Fuel Costs'!D16/AQ$61</f>
        <v>8.8509674298215355</v>
      </c>
      <c r="AR16" s="772">
        <f>'Fuel Costs'!E16/AR$61</f>
        <v>13.159703067099567</v>
      </c>
      <c r="AS16" s="764">
        <v>-2.7635193673339691</v>
      </c>
      <c r="AT16" s="772">
        <f>'Fuel Costs'!G16/AT$61</f>
        <v>4.666666666666667</v>
      </c>
      <c r="AU16" s="6"/>
      <c r="AV16" s="6"/>
      <c r="AW16" s="6"/>
      <c r="AX16" s="764">
        <v>3.5681818181818183</v>
      </c>
      <c r="AY16" s="6"/>
      <c r="AZ16" s="6"/>
      <c r="BA16" s="6"/>
      <c r="BB16" s="6"/>
      <c r="BC16" s="6"/>
      <c r="BD16" s="772">
        <f>'Fuel Costs'!Q16/BD$61</f>
        <v>3.7177777777777781</v>
      </c>
      <c r="BE16" s="772">
        <f>'Fuel Costs'!R16*BE$61</f>
        <v>10.890499999999999</v>
      </c>
      <c r="BF16" s="764">
        <v>1.0833342000000008</v>
      </c>
      <c r="BG16" s="772">
        <f>'Fuel Costs'!T16/BG$61</f>
        <v>5.1227272727272686</v>
      </c>
      <c r="BH16" s="772"/>
      <c r="BI16" s="772">
        <f>'Fuel Costs'!V16/BI$61</f>
        <v>2.39</v>
      </c>
      <c r="BJ16" s="772">
        <f>'Fuel Costs'!W16*BJ$61</f>
        <v>5.6819999999999995</v>
      </c>
      <c r="BK16" s="772">
        <f>'Fuel Costs'!X16/BK$61</f>
        <v>3.7177777777777781</v>
      </c>
      <c r="BL16" s="772">
        <f>'Fuel Costs'!Y16/BL$61</f>
        <v>3.7177777777777781</v>
      </c>
      <c r="BM16" s="772">
        <f t="shared" si="53"/>
        <v>24.856089213640015</v>
      </c>
      <c r="BN16" s="772">
        <f t="shared" si="53"/>
        <v>24.856089213640015</v>
      </c>
      <c r="BO16" s="772">
        <f t="shared" si="41"/>
        <v>29</v>
      </c>
      <c r="BP16" s="772">
        <f t="shared" si="42"/>
        <v>24</v>
      </c>
      <c r="BQ16" s="772">
        <f t="shared" si="53"/>
        <v>48.647438862103776</v>
      </c>
      <c r="BR16" s="772">
        <f t="shared" si="53"/>
        <v>28.792804460682</v>
      </c>
      <c r="BS16" s="772">
        <f t="shared" si="53"/>
        <v>24.856089213640015</v>
      </c>
      <c r="BT16" s="772">
        <f t="shared" si="53"/>
        <v>6.06</v>
      </c>
      <c r="BU16" s="764">
        <f t="shared" si="54"/>
        <v>14.512400000000001</v>
      </c>
      <c r="BV16" s="764">
        <f t="shared" si="54"/>
        <v>7.7742222222222228</v>
      </c>
      <c r="BW16" s="764">
        <f t="shared" si="55"/>
        <v>4.1862222222222227</v>
      </c>
      <c r="BX16" s="772">
        <f t="shared" si="56"/>
        <v>0</v>
      </c>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row>
    <row r="17" spans="1:113">
      <c r="A17" s="274">
        <v>2027</v>
      </c>
      <c r="B17" s="761">
        <v>11.5</v>
      </c>
      <c r="C17" s="762">
        <v>70</v>
      </c>
      <c r="D17" s="761">
        <v>54.578573282637088</v>
      </c>
      <c r="E17" s="761">
        <v>79.794592274691794</v>
      </c>
      <c r="F17" s="761"/>
      <c r="G17" s="769">
        <f t="shared" si="57"/>
        <v>70</v>
      </c>
      <c r="H17" s="763"/>
      <c r="I17" s="763"/>
      <c r="J17" s="763"/>
      <c r="K17" s="761"/>
      <c r="L17" s="763"/>
      <c r="M17" s="763"/>
      <c r="N17" s="763"/>
      <c r="O17" s="763"/>
      <c r="P17" s="763"/>
      <c r="Q17" s="769">
        <f t="shared" si="58"/>
        <v>70</v>
      </c>
      <c r="R17" s="769">
        <f t="shared" si="59"/>
        <v>11.5</v>
      </c>
      <c r="S17" s="761"/>
      <c r="T17" s="761">
        <v>76.840909090909022</v>
      </c>
      <c r="U17" s="763"/>
      <c r="V17" s="771">
        <f t="shared" si="60"/>
        <v>35</v>
      </c>
      <c r="W17" s="761">
        <v>6</v>
      </c>
      <c r="X17" s="769">
        <f t="shared" si="61"/>
        <v>70</v>
      </c>
      <c r="Y17" s="769">
        <f t="shared" si="62"/>
        <v>70</v>
      </c>
      <c r="Z17" s="764">
        <v>24.568551537896788</v>
      </c>
      <c r="AA17" s="764">
        <v>24.568551537896788</v>
      </c>
      <c r="AB17" s="765">
        <v>29</v>
      </c>
      <c r="AC17" s="765">
        <v>24</v>
      </c>
      <c r="AD17" s="764">
        <f t="shared" si="51"/>
        <v>48.64301520555388</v>
      </c>
      <c r="AE17" s="764">
        <f t="shared" si="36"/>
        <v>28.778427576894835</v>
      </c>
      <c r="AF17" s="764">
        <v>24.568551537896788</v>
      </c>
      <c r="AG17" s="765">
        <v>6.06</v>
      </c>
      <c r="AH17" s="772">
        <f t="shared" si="63"/>
        <v>14.512400000000001</v>
      </c>
      <c r="AI17" s="772">
        <f t="shared" si="64"/>
        <v>7.7742222222222228</v>
      </c>
      <c r="AJ17" s="772">
        <f t="shared" si="65"/>
        <v>4.1862222222222227</v>
      </c>
      <c r="AK17" s="766">
        <v>0</v>
      </c>
      <c r="AL17" s="6"/>
      <c r="AM17" s="6"/>
      <c r="AN17" s="6"/>
      <c r="AO17" s="772">
        <f>'Fuel Costs'!B17*AO$61</f>
        <v>10.890499999999999</v>
      </c>
      <c r="AP17" s="772">
        <f>'Fuel Costs'!C17/AP$61</f>
        <v>3.7177777777777781</v>
      </c>
      <c r="AQ17" s="772">
        <f>'Fuel Costs'!D17/AQ$61</f>
        <v>9.3137497069346562</v>
      </c>
      <c r="AR17" s="772">
        <f>'Fuel Costs'!E17/AR$61</f>
        <v>13.613293527053017</v>
      </c>
      <c r="AS17" s="764">
        <v>-2.7635193673339691</v>
      </c>
      <c r="AT17" s="772">
        <f>'Fuel Costs'!G17/AT$61</f>
        <v>4.666666666666667</v>
      </c>
      <c r="AU17" s="6"/>
      <c r="AV17" s="6"/>
      <c r="AW17" s="6"/>
      <c r="AX17" s="764">
        <v>3.5681818181818183</v>
      </c>
      <c r="AY17" s="6"/>
      <c r="AZ17" s="6"/>
      <c r="BA17" s="6"/>
      <c r="BB17" s="6"/>
      <c r="BC17" s="6"/>
      <c r="BD17" s="772">
        <f>'Fuel Costs'!Q17/BD$61</f>
        <v>3.7177777777777781</v>
      </c>
      <c r="BE17" s="772">
        <f>'Fuel Costs'!R17*BE$61</f>
        <v>10.890499999999999</v>
      </c>
      <c r="BF17" s="764">
        <v>1.0833342000000008</v>
      </c>
      <c r="BG17" s="772">
        <f>'Fuel Costs'!T17/BG$61</f>
        <v>5.1227272727272686</v>
      </c>
      <c r="BH17" s="772"/>
      <c r="BI17" s="772">
        <f>'Fuel Costs'!V17/BI$61</f>
        <v>2.39</v>
      </c>
      <c r="BJ17" s="772">
        <f>'Fuel Costs'!W17*BJ$61</f>
        <v>5.6819999999999995</v>
      </c>
      <c r="BK17" s="772">
        <f>'Fuel Costs'!X17/BK$61</f>
        <v>3.7177777777777781</v>
      </c>
      <c r="BL17" s="772">
        <f>'Fuel Costs'!Y17/BL$61</f>
        <v>3.7177777777777781</v>
      </c>
      <c r="BM17" s="772">
        <f t="shared" si="53"/>
        <v>24.568551537896788</v>
      </c>
      <c r="BN17" s="772">
        <f t="shared" si="53"/>
        <v>24.568551537896788</v>
      </c>
      <c r="BO17" s="772">
        <f t="shared" si="41"/>
        <v>29</v>
      </c>
      <c r="BP17" s="772">
        <f t="shared" si="42"/>
        <v>24</v>
      </c>
      <c r="BQ17" s="772">
        <f t="shared" si="53"/>
        <v>48.64301520555388</v>
      </c>
      <c r="BR17" s="772">
        <f t="shared" si="53"/>
        <v>28.778427576894835</v>
      </c>
      <c r="BS17" s="772">
        <f t="shared" si="53"/>
        <v>24.568551537896788</v>
      </c>
      <c r="BT17" s="772">
        <f t="shared" si="53"/>
        <v>6.06</v>
      </c>
      <c r="BU17" s="764">
        <f t="shared" si="54"/>
        <v>14.512400000000001</v>
      </c>
      <c r="BV17" s="764">
        <f t="shared" si="54"/>
        <v>7.7742222222222228</v>
      </c>
      <c r="BW17" s="764">
        <f t="shared" si="55"/>
        <v>4.1862222222222227</v>
      </c>
      <c r="BX17" s="772">
        <f t="shared" si="56"/>
        <v>0</v>
      </c>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row>
    <row r="18" spans="1:113">
      <c r="A18" s="274">
        <v>2028</v>
      </c>
      <c r="B18" s="761">
        <v>11.5</v>
      </c>
      <c r="C18" s="762">
        <v>70</v>
      </c>
      <c r="D18" s="761">
        <v>58.004763140805672</v>
      </c>
      <c r="E18" s="761">
        <v>83.153601939562961</v>
      </c>
      <c r="F18" s="761"/>
      <c r="G18" s="769">
        <f t="shared" si="57"/>
        <v>70</v>
      </c>
      <c r="H18" s="763"/>
      <c r="I18" s="763"/>
      <c r="J18" s="763"/>
      <c r="K18" s="761"/>
      <c r="L18" s="763"/>
      <c r="M18" s="763"/>
      <c r="N18" s="763"/>
      <c r="O18" s="763"/>
      <c r="P18" s="763"/>
      <c r="Q18" s="769">
        <f t="shared" si="58"/>
        <v>70</v>
      </c>
      <c r="R18" s="769">
        <f t="shared" si="59"/>
        <v>11.5</v>
      </c>
      <c r="S18" s="761"/>
      <c r="T18" s="761">
        <v>76.840909090909022</v>
      </c>
      <c r="U18" s="763"/>
      <c r="V18" s="771">
        <f t="shared" si="60"/>
        <v>35</v>
      </c>
      <c r="W18" s="761">
        <v>6</v>
      </c>
      <c r="X18" s="769">
        <f t="shared" si="61"/>
        <v>70</v>
      </c>
      <c r="Y18" s="769">
        <f t="shared" si="62"/>
        <v>70</v>
      </c>
      <c r="Z18" s="764">
        <v>24.130567877545275</v>
      </c>
      <c r="AA18" s="764">
        <v>24.130567877545275</v>
      </c>
      <c r="AB18" s="765">
        <v>29</v>
      </c>
      <c r="AC18" s="765">
        <v>24</v>
      </c>
      <c r="AD18" s="764">
        <f t="shared" si="51"/>
        <v>48.636276995394624</v>
      </c>
      <c r="AE18" s="764">
        <f t="shared" si="36"/>
        <v>28.756528393877261</v>
      </c>
      <c r="AF18" s="764">
        <v>24.130567877545275</v>
      </c>
      <c r="AG18" s="765">
        <v>6.06</v>
      </c>
      <c r="AH18" s="772">
        <f t="shared" si="63"/>
        <v>14.512400000000001</v>
      </c>
      <c r="AI18" s="772">
        <f t="shared" si="64"/>
        <v>7.7742222222222228</v>
      </c>
      <c r="AJ18" s="772">
        <f t="shared" si="65"/>
        <v>4.1862222222222227</v>
      </c>
      <c r="AK18" s="766">
        <v>0</v>
      </c>
      <c r="AL18" s="6"/>
      <c r="AM18" s="6"/>
      <c r="AN18" s="6"/>
      <c r="AO18" s="772">
        <f>'Fuel Costs'!B18*AO$61</f>
        <v>10.890499999999999</v>
      </c>
      <c r="AP18" s="772">
        <f>'Fuel Costs'!C18/AP$61</f>
        <v>3.7177777777777781</v>
      </c>
      <c r="AQ18" s="772">
        <f>'Fuel Costs'!D18/AQ$61</f>
        <v>9.8984237441647895</v>
      </c>
      <c r="AR18" s="772">
        <f>'Fuel Costs'!E18/AR$61</f>
        <v>14.186354723614858</v>
      </c>
      <c r="AS18" s="764">
        <v>-2.7635193673339691</v>
      </c>
      <c r="AT18" s="772">
        <f>'Fuel Costs'!G18/AT$61</f>
        <v>4.666666666666667</v>
      </c>
      <c r="AU18" s="6"/>
      <c r="AV18" s="6"/>
      <c r="AW18" s="6"/>
      <c r="AX18" s="764">
        <v>3.5681818181818183</v>
      </c>
      <c r="AY18" s="6"/>
      <c r="AZ18" s="6"/>
      <c r="BA18" s="6"/>
      <c r="BB18" s="6"/>
      <c r="BC18" s="6"/>
      <c r="BD18" s="772">
        <f>'Fuel Costs'!Q18/BD$61</f>
        <v>3.7177777777777781</v>
      </c>
      <c r="BE18" s="772">
        <f>'Fuel Costs'!R18*BE$61</f>
        <v>10.890499999999999</v>
      </c>
      <c r="BF18" s="764">
        <v>1.0833342000000008</v>
      </c>
      <c r="BG18" s="772">
        <f>'Fuel Costs'!T18/BG$61</f>
        <v>5.1227272727272686</v>
      </c>
      <c r="BH18" s="772"/>
      <c r="BI18" s="772">
        <f>'Fuel Costs'!V18/BI$61</f>
        <v>2.39</v>
      </c>
      <c r="BJ18" s="772">
        <f>'Fuel Costs'!W18*BJ$61</f>
        <v>5.6819999999999995</v>
      </c>
      <c r="BK18" s="772">
        <f>'Fuel Costs'!X18/BK$61</f>
        <v>3.7177777777777781</v>
      </c>
      <c r="BL18" s="772">
        <f>'Fuel Costs'!Y18/BL$61</f>
        <v>3.7177777777777781</v>
      </c>
      <c r="BM18" s="772">
        <f t="shared" si="53"/>
        <v>24.130567877545275</v>
      </c>
      <c r="BN18" s="772">
        <f t="shared" si="53"/>
        <v>24.130567877545275</v>
      </c>
      <c r="BO18" s="772">
        <f t="shared" si="41"/>
        <v>29</v>
      </c>
      <c r="BP18" s="772">
        <f t="shared" si="42"/>
        <v>24</v>
      </c>
      <c r="BQ18" s="772">
        <f t="shared" si="53"/>
        <v>48.636276995394624</v>
      </c>
      <c r="BR18" s="772">
        <f t="shared" si="53"/>
        <v>28.756528393877261</v>
      </c>
      <c r="BS18" s="772">
        <f t="shared" si="53"/>
        <v>24.130567877545275</v>
      </c>
      <c r="BT18" s="772">
        <f t="shared" si="53"/>
        <v>6.06</v>
      </c>
      <c r="BU18" s="764">
        <f t="shared" si="54"/>
        <v>14.512400000000001</v>
      </c>
      <c r="BV18" s="764">
        <f t="shared" si="54"/>
        <v>7.7742222222222228</v>
      </c>
      <c r="BW18" s="764">
        <f t="shared" si="55"/>
        <v>4.1862222222222227</v>
      </c>
      <c r="BX18" s="772">
        <f t="shared" si="56"/>
        <v>0</v>
      </c>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row>
    <row r="19" spans="1:113">
      <c r="A19" s="274">
        <v>2029</v>
      </c>
      <c r="B19" s="761">
        <v>11.5</v>
      </c>
      <c r="C19" s="762">
        <v>70</v>
      </c>
      <c r="D19" s="761">
        <v>62.145238713259978</v>
      </c>
      <c r="E19" s="761">
        <v>87.21289171647895</v>
      </c>
      <c r="F19" s="761"/>
      <c r="G19" s="769">
        <f t="shared" si="57"/>
        <v>70</v>
      </c>
      <c r="H19" s="763"/>
      <c r="I19" s="763"/>
      <c r="J19" s="763"/>
      <c r="K19" s="761"/>
      <c r="L19" s="763"/>
      <c r="M19" s="763"/>
      <c r="N19" s="763"/>
      <c r="O19" s="763"/>
      <c r="P19" s="763"/>
      <c r="Q19" s="769">
        <f t="shared" si="58"/>
        <v>70</v>
      </c>
      <c r="R19" s="769">
        <f t="shared" si="59"/>
        <v>11.5</v>
      </c>
      <c r="S19" s="761"/>
      <c r="T19" s="761">
        <v>76.840909090909022</v>
      </c>
      <c r="U19" s="763"/>
      <c r="V19" s="771">
        <f t="shared" si="60"/>
        <v>35</v>
      </c>
      <c r="W19" s="761">
        <v>6</v>
      </c>
      <c r="X19" s="769">
        <f t="shared" si="61"/>
        <v>70</v>
      </c>
      <c r="Y19" s="769">
        <f t="shared" si="62"/>
        <v>70</v>
      </c>
      <c r="Z19" s="764">
        <v>24.011906432511921</v>
      </c>
      <c r="AA19" s="764">
        <v>24.011906432511921</v>
      </c>
      <c r="AB19" s="765">
        <v>29</v>
      </c>
      <c r="AC19" s="765">
        <v>24</v>
      </c>
      <c r="AD19" s="764">
        <f t="shared" si="51"/>
        <v>48.634451434701802</v>
      </c>
      <c r="AE19" s="764">
        <f t="shared" si="36"/>
        <v>28.750595321625593</v>
      </c>
      <c r="AF19" s="764">
        <v>24.011906432511921</v>
      </c>
      <c r="AG19" s="765">
        <v>6.06</v>
      </c>
      <c r="AH19" s="772">
        <f t="shared" si="63"/>
        <v>14.512400000000001</v>
      </c>
      <c r="AI19" s="772">
        <f t="shared" si="64"/>
        <v>7.7742222222222228</v>
      </c>
      <c r="AJ19" s="772">
        <f t="shared" si="65"/>
        <v>4.1862222222222227</v>
      </c>
      <c r="AK19" s="766">
        <v>0</v>
      </c>
      <c r="AL19" s="6"/>
      <c r="AM19" s="6"/>
      <c r="AN19" s="6"/>
      <c r="AO19" s="772">
        <f>'Fuel Costs'!B19*AO$61</f>
        <v>10.890499999999999</v>
      </c>
      <c r="AP19" s="772">
        <f>'Fuel Costs'!C19/AP$61</f>
        <v>3.7177777777777781</v>
      </c>
      <c r="AQ19" s="772">
        <f>'Fuel Costs'!D19/AQ$61</f>
        <v>10.604989541511941</v>
      </c>
      <c r="AR19" s="772">
        <f>'Fuel Costs'!E19/AR$61</f>
        <v>14.878886656785092</v>
      </c>
      <c r="AS19" s="764">
        <v>-2.7635193673339691</v>
      </c>
      <c r="AT19" s="772">
        <f>'Fuel Costs'!G19/AT$61</f>
        <v>4.666666666666667</v>
      </c>
      <c r="AU19" s="6"/>
      <c r="AV19" s="6"/>
      <c r="AW19" s="6"/>
      <c r="AX19" s="764">
        <v>3.5681818181818183</v>
      </c>
      <c r="AY19" s="6"/>
      <c r="AZ19" s="6"/>
      <c r="BA19" s="6"/>
      <c r="BB19" s="6"/>
      <c r="BC19" s="6"/>
      <c r="BD19" s="772">
        <f>'Fuel Costs'!Q19/BD$61</f>
        <v>3.7177777777777781</v>
      </c>
      <c r="BE19" s="772">
        <f>'Fuel Costs'!R19*BE$61</f>
        <v>10.890499999999999</v>
      </c>
      <c r="BF19" s="764">
        <v>1.0833342000000008</v>
      </c>
      <c r="BG19" s="772">
        <f>'Fuel Costs'!T19/BG$61</f>
        <v>5.1227272727272686</v>
      </c>
      <c r="BH19" s="772"/>
      <c r="BI19" s="772">
        <f>'Fuel Costs'!V19/BI$61</f>
        <v>2.39</v>
      </c>
      <c r="BJ19" s="772">
        <f>'Fuel Costs'!W19*BJ$61</f>
        <v>5.6819999999999995</v>
      </c>
      <c r="BK19" s="772">
        <f>'Fuel Costs'!X19/BK$61</f>
        <v>3.7177777777777781</v>
      </c>
      <c r="BL19" s="772">
        <f>'Fuel Costs'!Y19/BL$61</f>
        <v>3.7177777777777781</v>
      </c>
      <c r="BM19" s="772">
        <f t="shared" si="53"/>
        <v>24.011906432511921</v>
      </c>
      <c r="BN19" s="772">
        <f t="shared" si="53"/>
        <v>24.011906432511921</v>
      </c>
      <c r="BO19" s="772">
        <f t="shared" si="41"/>
        <v>29</v>
      </c>
      <c r="BP19" s="772">
        <f t="shared" si="42"/>
        <v>24</v>
      </c>
      <c r="BQ19" s="772">
        <f t="shared" si="53"/>
        <v>48.634451434701802</v>
      </c>
      <c r="BR19" s="772">
        <f t="shared" si="53"/>
        <v>28.750595321625593</v>
      </c>
      <c r="BS19" s="772">
        <f t="shared" si="53"/>
        <v>24.011906432511921</v>
      </c>
      <c r="BT19" s="772">
        <f t="shared" si="53"/>
        <v>6.06</v>
      </c>
      <c r="BU19" s="764">
        <f t="shared" si="54"/>
        <v>14.512400000000001</v>
      </c>
      <c r="BV19" s="764">
        <f t="shared" si="54"/>
        <v>7.7742222222222228</v>
      </c>
      <c r="BW19" s="764">
        <f t="shared" si="55"/>
        <v>4.1862222222222227</v>
      </c>
      <c r="BX19" s="772">
        <f t="shared" si="56"/>
        <v>0</v>
      </c>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row>
    <row r="20" spans="1:113">
      <c r="A20" s="274">
        <v>2030</v>
      </c>
      <c r="B20" s="761">
        <v>11.5</v>
      </c>
      <c r="C20" s="762">
        <v>70</v>
      </c>
      <c r="D20" s="761">
        <v>67</v>
      </c>
      <c r="E20" s="761">
        <v>91.972461605439747</v>
      </c>
      <c r="F20" s="761"/>
      <c r="G20" s="769">
        <f t="shared" si="57"/>
        <v>70</v>
      </c>
      <c r="H20" s="763"/>
      <c r="I20" s="763"/>
      <c r="J20" s="763"/>
      <c r="K20" s="761"/>
      <c r="L20" s="763"/>
      <c r="M20" s="763"/>
      <c r="N20" s="763"/>
      <c r="O20" s="763"/>
      <c r="P20" s="763"/>
      <c r="Q20" s="769">
        <f t="shared" si="58"/>
        <v>70</v>
      </c>
      <c r="R20" s="769">
        <f t="shared" si="59"/>
        <v>11.5</v>
      </c>
      <c r="S20" s="761"/>
      <c r="T20" s="761">
        <v>76.840909090909022</v>
      </c>
      <c r="U20" s="763"/>
      <c r="V20" s="771">
        <f t="shared" si="60"/>
        <v>35</v>
      </c>
      <c r="W20" s="761">
        <v>6</v>
      </c>
      <c r="X20" s="769">
        <f t="shared" si="61"/>
        <v>70</v>
      </c>
      <c r="Y20" s="769">
        <f t="shared" si="62"/>
        <v>70</v>
      </c>
      <c r="Z20" s="764">
        <v>24.082724665816095</v>
      </c>
      <c r="AA20" s="764">
        <v>24.082724665816095</v>
      </c>
      <c r="AB20" s="765">
        <v>29</v>
      </c>
      <c r="AC20" s="765">
        <v>24</v>
      </c>
      <c r="AD20" s="764">
        <f>0.0153846153846154*Z20+0.984615384615385*AB20+1.4/5.54*90*78%</f>
        <v>46.664421812409401</v>
      </c>
      <c r="AE20" s="764">
        <f t="shared" si="36"/>
        <v>28.754136233290801</v>
      </c>
      <c r="AF20" s="764">
        <v>24.082724665816095</v>
      </c>
      <c r="AG20" s="765">
        <v>6.06</v>
      </c>
      <c r="AH20" s="772">
        <f t="shared" si="63"/>
        <v>14.512400000000001</v>
      </c>
      <c r="AI20" s="772">
        <f t="shared" si="64"/>
        <v>7.7742222222222228</v>
      </c>
      <c r="AJ20" s="772">
        <f t="shared" si="65"/>
        <v>4.1862222222222227</v>
      </c>
      <c r="AK20" s="766">
        <v>0</v>
      </c>
      <c r="AL20" s="6"/>
      <c r="AM20" s="6"/>
      <c r="AN20" s="6"/>
      <c r="AO20" s="772">
        <f>'Fuel Costs'!B20*AO$61</f>
        <v>10.890499999999999</v>
      </c>
      <c r="AP20" s="772">
        <f>'Fuel Costs'!C20/AP$61</f>
        <v>3.7177777777777781</v>
      </c>
      <c r="AQ20" s="772">
        <f>'Fuel Costs'!D20/AQ$61</f>
        <v>11.433447098976108</v>
      </c>
      <c r="AR20" s="772">
        <f>'Fuel Costs'!E20/AR$61</f>
        <v>15.690889326563717</v>
      </c>
      <c r="AS20" s="764">
        <v>-2.7635193673339691</v>
      </c>
      <c r="AT20" s="772">
        <f>'Fuel Costs'!G20/AT$61</f>
        <v>4.666666666666667</v>
      </c>
      <c r="AU20" s="6"/>
      <c r="AV20" s="6"/>
      <c r="AW20" s="6"/>
      <c r="AX20" s="764">
        <v>3.5681818181818183</v>
      </c>
      <c r="AY20" s="6"/>
      <c r="AZ20" s="6"/>
      <c r="BA20" s="6"/>
      <c r="BB20" s="6"/>
      <c r="BC20" s="6"/>
      <c r="BD20" s="772">
        <f>'Fuel Costs'!Q20/BD$61</f>
        <v>3.7177777777777781</v>
      </c>
      <c r="BE20" s="772">
        <f>'Fuel Costs'!R20*BE$61</f>
        <v>10.890499999999999</v>
      </c>
      <c r="BF20" s="764">
        <v>1.0833342000000008</v>
      </c>
      <c r="BG20" s="772">
        <f>'Fuel Costs'!T20/BG$61</f>
        <v>5.1227272727272686</v>
      </c>
      <c r="BH20" s="772"/>
      <c r="BI20" s="772">
        <f>'Fuel Costs'!V20/BI$61</f>
        <v>2.39</v>
      </c>
      <c r="BJ20" s="772">
        <f>'Fuel Costs'!W20*BJ$61</f>
        <v>5.6819999999999995</v>
      </c>
      <c r="BK20" s="772">
        <f>'Fuel Costs'!X20/BK$61</f>
        <v>3.7177777777777781</v>
      </c>
      <c r="BL20" s="772">
        <f>'Fuel Costs'!Y20/BL$61</f>
        <v>3.7177777777777781</v>
      </c>
      <c r="BM20" s="772">
        <f t="shared" si="53"/>
        <v>24.082724665816095</v>
      </c>
      <c r="BN20" s="772">
        <f t="shared" si="53"/>
        <v>24.082724665816095</v>
      </c>
      <c r="BO20" s="772">
        <f t="shared" si="41"/>
        <v>29</v>
      </c>
      <c r="BP20" s="772">
        <f t="shared" si="42"/>
        <v>24</v>
      </c>
      <c r="BQ20" s="772">
        <f t="shared" si="53"/>
        <v>46.664421812409401</v>
      </c>
      <c r="BR20" s="772">
        <f t="shared" si="53"/>
        <v>28.754136233290801</v>
      </c>
      <c r="BS20" s="772">
        <f t="shared" si="53"/>
        <v>24.082724665816095</v>
      </c>
      <c r="BT20" s="772">
        <f t="shared" si="53"/>
        <v>6.06</v>
      </c>
      <c r="BU20" s="764">
        <f t="shared" si="54"/>
        <v>14.512400000000001</v>
      </c>
      <c r="BV20" s="764">
        <f t="shared" si="54"/>
        <v>7.7742222222222228</v>
      </c>
      <c r="BW20" s="764">
        <f t="shared" si="55"/>
        <v>4.1862222222222227</v>
      </c>
      <c r="BX20" s="772">
        <f t="shared" si="56"/>
        <v>0</v>
      </c>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row>
    <row r="21" spans="1:113">
      <c r="A21" s="274">
        <v>2031</v>
      </c>
      <c r="B21" s="761">
        <v>11.5</v>
      </c>
      <c r="C21" s="762">
        <v>70</v>
      </c>
      <c r="D21" s="761">
        <v>66.849999999999994</v>
      </c>
      <c r="E21" s="761">
        <v>91.825402781910327</v>
      </c>
      <c r="F21" s="761"/>
      <c r="G21" s="769">
        <f t="shared" si="57"/>
        <v>70</v>
      </c>
      <c r="H21" s="763"/>
      <c r="I21" s="763"/>
      <c r="J21" s="763"/>
      <c r="K21" s="761"/>
      <c r="L21" s="763"/>
      <c r="M21" s="763"/>
      <c r="N21" s="763"/>
      <c r="O21" s="763"/>
      <c r="P21" s="763"/>
      <c r="Q21" s="769">
        <f t="shared" si="58"/>
        <v>70</v>
      </c>
      <c r="R21" s="769">
        <f t="shared" si="59"/>
        <v>11.5</v>
      </c>
      <c r="S21" s="761"/>
      <c r="T21" s="761">
        <v>76.840909090909022</v>
      </c>
      <c r="U21" s="763"/>
      <c r="V21" s="771">
        <f t="shared" si="60"/>
        <v>35</v>
      </c>
      <c r="W21" s="761">
        <v>6</v>
      </c>
      <c r="X21" s="769">
        <f t="shared" si="61"/>
        <v>70</v>
      </c>
      <c r="Y21" s="769">
        <f t="shared" si="62"/>
        <v>70</v>
      </c>
      <c r="Z21" s="764">
        <v>24.048031273422048</v>
      </c>
      <c r="AA21" s="764">
        <v>24.048031273422048</v>
      </c>
      <c r="AB21" s="765">
        <v>29</v>
      </c>
      <c r="AC21" s="765">
        <v>24</v>
      </c>
      <c r="AD21" s="764">
        <f t="shared" ref="AD21:AD30" si="66">0.0153846153846154*Z21+0.984615384615385*AB21+1.4/5.54*90*78%</f>
        <v>46.663888067911031</v>
      </c>
      <c r="AE21" s="764">
        <f t="shared" si="36"/>
        <v>28.7524015636711</v>
      </c>
      <c r="AF21" s="764">
        <v>24.048031273422048</v>
      </c>
      <c r="AG21" s="765">
        <v>6.06</v>
      </c>
      <c r="AH21" s="772">
        <f t="shared" si="63"/>
        <v>14.512400000000001</v>
      </c>
      <c r="AI21" s="772">
        <f t="shared" si="64"/>
        <v>7.7742222222222228</v>
      </c>
      <c r="AJ21" s="772">
        <f t="shared" si="65"/>
        <v>4.1862222222222227</v>
      </c>
      <c r="AK21" s="766">
        <v>0</v>
      </c>
      <c r="AL21" s="6"/>
      <c r="AM21" s="6"/>
      <c r="AN21" s="6"/>
      <c r="AO21" s="772">
        <f>'Fuel Costs'!B21*AO$61</f>
        <v>10.890499999999999</v>
      </c>
      <c r="AP21" s="772">
        <f>'Fuel Costs'!C21/AP$61</f>
        <v>3.7177777777777781</v>
      </c>
      <c r="AQ21" s="772">
        <f>'Fuel Costs'!D21/AQ$61</f>
        <v>11.407849829351534</v>
      </c>
      <c r="AR21" s="772">
        <f>'Fuel Costs'!E21/AR$61</f>
        <v>15.665800471875952</v>
      </c>
      <c r="AS21" s="764">
        <v>-2.7635193673339691</v>
      </c>
      <c r="AT21" s="772">
        <f>'Fuel Costs'!G21/AT$61</f>
        <v>4.666666666666667</v>
      </c>
      <c r="AU21" s="6"/>
      <c r="AV21" s="6"/>
      <c r="AW21" s="6"/>
      <c r="AX21" s="764">
        <v>3.5681818181818183</v>
      </c>
      <c r="AY21" s="6"/>
      <c r="AZ21" s="6"/>
      <c r="BA21" s="6"/>
      <c r="BB21" s="6"/>
      <c r="BC21" s="6"/>
      <c r="BD21" s="772">
        <f>'Fuel Costs'!Q21/BD$61</f>
        <v>3.7177777777777781</v>
      </c>
      <c r="BE21" s="772">
        <f>'Fuel Costs'!R21*BE$61</f>
        <v>10.890499999999999</v>
      </c>
      <c r="BF21" s="764">
        <v>1.0833342000000008</v>
      </c>
      <c r="BG21" s="772">
        <f>'Fuel Costs'!T21/BG$61</f>
        <v>5.1227272727272686</v>
      </c>
      <c r="BH21" s="772"/>
      <c r="BI21" s="772">
        <f>'Fuel Costs'!V21/BI$61</f>
        <v>2.39</v>
      </c>
      <c r="BJ21" s="772">
        <f>'Fuel Costs'!W21*BJ$61</f>
        <v>5.6819999999999995</v>
      </c>
      <c r="BK21" s="772">
        <f>'Fuel Costs'!X21/BK$61</f>
        <v>3.7177777777777781</v>
      </c>
      <c r="BL21" s="772">
        <f>'Fuel Costs'!Y21/BL$61</f>
        <v>3.7177777777777781</v>
      </c>
      <c r="BM21" s="772">
        <f t="shared" si="53"/>
        <v>24.048031273422048</v>
      </c>
      <c r="BN21" s="772">
        <f t="shared" si="53"/>
        <v>24.048031273422048</v>
      </c>
      <c r="BO21" s="772">
        <f t="shared" si="41"/>
        <v>29</v>
      </c>
      <c r="BP21" s="772">
        <f t="shared" si="42"/>
        <v>24</v>
      </c>
      <c r="BQ21" s="772">
        <f t="shared" si="53"/>
        <v>46.663888067911031</v>
      </c>
      <c r="BR21" s="772">
        <f t="shared" si="53"/>
        <v>28.7524015636711</v>
      </c>
      <c r="BS21" s="772">
        <f t="shared" si="53"/>
        <v>24.048031273422048</v>
      </c>
      <c r="BT21" s="772">
        <f t="shared" si="53"/>
        <v>6.06</v>
      </c>
      <c r="BU21" s="764">
        <f t="shared" si="54"/>
        <v>14.512400000000001</v>
      </c>
      <c r="BV21" s="764">
        <f t="shared" si="54"/>
        <v>7.7742222222222228</v>
      </c>
      <c r="BW21" s="764">
        <f t="shared" si="55"/>
        <v>4.1862222222222227</v>
      </c>
      <c r="BX21" s="772">
        <f t="shared" si="56"/>
        <v>0</v>
      </c>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row>
    <row r="22" spans="1:113">
      <c r="A22" s="274">
        <v>2032</v>
      </c>
      <c r="B22" s="761">
        <v>11.5</v>
      </c>
      <c r="C22" s="762">
        <v>70</v>
      </c>
      <c r="D22" s="761">
        <v>66.699999999999989</v>
      </c>
      <c r="E22" s="761">
        <v>91.678343958380907</v>
      </c>
      <c r="F22" s="761"/>
      <c r="G22" s="769">
        <f t="shared" si="57"/>
        <v>70</v>
      </c>
      <c r="H22" s="763"/>
      <c r="I22" s="763"/>
      <c r="J22" s="763"/>
      <c r="K22" s="761"/>
      <c r="L22" s="763"/>
      <c r="M22" s="763"/>
      <c r="N22" s="763"/>
      <c r="O22" s="763"/>
      <c r="P22" s="763"/>
      <c r="Q22" s="769">
        <f t="shared" si="58"/>
        <v>70</v>
      </c>
      <c r="R22" s="769">
        <f t="shared" si="59"/>
        <v>11.5</v>
      </c>
      <c r="S22" s="761"/>
      <c r="T22" s="761">
        <v>76.840909090909022</v>
      </c>
      <c r="U22" s="763"/>
      <c r="V22" s="771">
        <f t="shared" si="60"/>
        <v>35</v>
      </c>
      <c r="W22" s="761">
        <v>6</v>
      </c>
      <c r="X22" s="769">
        <f t="shared" si="61"/>
        <v>70</v>
      </c>
      <c r="Y22" s="769">
        <f t="shared" si="62"/>
        <v>70</v>
      </c>
      <c r="Z22" s="764">
        <v>23.849079164194286</v>
      </c>
      <c r="AA22" s="764">
        <v>23.849079164194286</v>
      </c>
      <c r="AB22" s="765">
        <v>29</v>
      </c>
      <c r="AC22" s="765">
        <v>24</v>
      </c>
      <c r="AD22" s="764">
        <f t="shared" si="66"/>
        <v>46.660827266230605</v>
      </c>
      <c r="AE22" s="764">
        <f t="shared" si="36"/>
        <v>28.742453958209712</v>
      </c>
      <c r="AF22" s="764">
        <v>23.849079164194286</v>
      </c>
      <c r="AG22" s="765">
        <v>6.06</v>
      </c>
      <c r="AH22" s="772">
        <f t="shared" si="63"/>
        <v>14.512400000000001</v>
      </c>
      <c r="AI22" s="772">
        <f t="shared" si="64"/>
        <v>7.7742222222222228</v>
      </c>
      <c r="AJ22" s="772">
        <f t="shared" si="65"/>
        <v>4.1862222222222227</v>
      </c>
      <c r="AK22" s="766">
        <v>0</v>
      </c>
      <c r="AL22" s="6"/>
      <c r="AM22" s="6"/>
      <c r="AN22" s="6"/>
      <c r="AO22" s="772">
        <f>'Fuel Costs'!B22*AO$61</f>
        <v>10.890499999999999</v>
      </c>
      <c r="AP22" s="772">
        <f>'Fuel Costs'!C22/AP$61</f>
        <v>3.7177777777777781</v>
      </c>
      <c r="AQ22" s="772">
        <f>'Fuel Costs'!D22/AQ$61</f>
        <v>11.382252559726959</v>
      </c>
      <c r="AR22" s="772">
        <f>'Fuel Costs'!E22/AR$61</f>
        <v>15.640711617188188</v>
      </c>
      <c r="AS22" s="764">
        <v>-2.7635193673339691</v>
      </c>
      <c r="AT22" s="772">
        <f>'Fuel Costs'!G22/AT$61</f>
        <v>4.666666666666667</v>
      </c>
      <c r="AU22" s="6"/>
      <c r="AV22" s="6"/>
      <c r="AW22" s="6"/>
      <c r="AX22" s="764">
        <v>3.5681818181818183</v>
      </c>
      <c r="AY22" s="6"/>
      <c r="AZ22" s="6"/>
      <c r="BA22" s="6"/>
      <c r="BB22" s="6"/>
      <c r="BC22" s="6"/>
      <c r="BD22" s="772">
        <f>'Fuel Costs'!Q22/BD$61</f>
        <v>3.7177777777777781</v>
      </c>
      <c r="BE22" s="772">
        <f>'Fuel Costs'!R22*BE$61</f>
        <v>10.890499999999999</v>
      </c>
      <c r="BF22" s="764">
        <v>1.0833342000000008</v>
      </c>
      <c r="BG22" s="772">
        <f>'Fuel Costs'!T22/BG$61</f>
        <v>5.1227272727272686</v>
      </c>
      <c r="BH22" s="772"/>
      <c r="BI22" s="772">
        <f>'Fuel Costs'!V22/BI$61</f>
        <v>2.39</v>
      </c>
      <c r="BJ22" s="772">
        <f>'Fuel Costs'!W22*BJ$61</f>
        <v>5.6819999999999995</v>
      </c>
      <c r="BK22" s="772">
        <f>'Fuel Costs'!X22/BK$61</f>
        <v>3.7177777777777781</v>
      </c>
      <c r="BL22" s="772">
        <f>'Fuel Costs'!Y22/BL$61</f>
        <v>3.7177777777777781</v>
      </c>
      <c r="BM22" s="772">
        <f t="shared" si="53"/>
        <v>23.849079164194286</v>
      </c>
      <c r="BN22" s="772">
        <f t="shared" si="53"/>
        <v>23.849079164194286</v>
      </c>
      <c r="BO22" s="772">
        <f t="shared" si="41"/>
        <v>29</v>
      </c>
      <c r="BP22" s="772">
        <f t="shared" si="42"/>
        <v>24</v>
      </c>
      <c r="BQ22" s="772">
        <f t="shared" si="53"/>
        <v>46.660827266230605</v>
      </c>
      <c r="BR22" s="772">
        <f t="shared" si="53"/>
        <v>28.742453958209712</v>
      </c>
      <c r="BS22" s="772">
        <f t="shared" si="53"/>
        <v>23.849079164194286</v>
      </c>
      <c r="BT22" s="772">
        <f t="shared" si="53"/>
        <v>6.06</v>
      </c>
      <c r="BU22" s="764">
        <f t="shared" si="54"/>
        <v>14.512400000000001</v>
      </c>
      <c r="BV22" s="764">
        <f t="shared" si="54"/>
        <v>7.7742222222222228</v>
      </c>
      <c r="BW22" s="764">
        <f t="shared" si="55"/>
        <v>4.1862222222222227</v>
      </c>
      <c r="BX22" s="772">
        <f t="shared" si="56"/>
        <v>0</v>
      </c>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row>
    <row r="23" spans="1:113">
      <c r="A23" s="274">
        <v>2033</v>
      </c>
      <c r="B23" s="761">
        <v>11.5</v>
      </c>
      <c r="C23" s="762">
        <v>70</v>
      </c>
      <c r="D23" s="761">
        <v>66.549999999999983</v>
      </c>
      <c r="E23" s="761">
        <v>91.531285134851487</v>
      </c>
      <c r="F23" s="761"/>
      <c r="G23" s="769">
        <f t="shared" si="57"/>
        <v>70</v>
      </c>
      <c r="H23" s="763"/>
      <c r="I23" s="763"/>
      <c r="J23" s="763"/>
      <c r="K23" s="761"/>
      <c r="L23" s="763"/>
      <c r="M23" s="763"/>
      <c r="N23" s="763"/>
      <c r="O23" s="763"/>
      <c r="P23" s="763"/>
      <c r="Q23" s="769">
        <f t="shared" si="58"/>
        <v>70</v>
      </c>
      <c r="R23" s="769">
        <f t="shared" si="59"/>
        <v>11.5</v>
      </c>
      <c r="S23" s="761"/>
      <c r="T23" s="761">
        <v>76.840909090909022</v>
      </c>
      <c r="U23" s="763"/>
      <c r="V23" s="771">
        <f t="shared" si="60"/>
        <v>35</v>
      </c>
      <c r="W23" s="761">
        <v>6</v>
      </c>
      <c r="X23" s="769">
        <f t="shared" si="61"/>
        <v>70</v>
      </c>
      <c r="Y23" s="769">
        <f t="shared" si="62"/>
        <v>70</v>
      </c>
      <c r="Z23" s="764">
        <v>23.771183658562197</v>
      </c>
      <c r="AA23" s="764">
        <v>23.771183658562197</v>
      </c>
      <c r="AB23" s="765">
        <v>29</v>
      </c>
      <c r="AC23" s="765">
        <v>24</v>
      </c>
      <c r="AD23" s="764">
        <f t="shared" si="66"/>
        <v>46.659628873836269</v>
      </c>
      <c r="AE23" s="764">
        <f t="shared" si="36"/>
        <v>28.738559182928107</v>
      </c>
      <c r="AF23" s="764">
        <v>23.771183658562197</v>
      </c>
      <c r="AG23" s="765">
        <v>6.06</v>
      </c>
      <c r="AH23" s="772">
        <f t="shared" si="63"/>
        <v>14.512400000000001</v>
      </c>
      <c r="AI23" s="772">
        <f t="shared" si="64"/>
        <v>7.7742222222222228</v>
      </c>
      <c r="AJ23" s="772">
        <f t="shared" si="65"/>
        <v>4.1862222222222227</v>
      </c>
      <c r="AK23" s="766">
        <v>0</v>
      </c>
      <c r="AL23" s="6"/>
      <c r="AM23" s="6"/>
      <c r="AN23" s="6"/>
      <c r="AO23" s="772">
        <f>'Fuel Costs'!B23*AO$61</f>
        <v>10.890499999999999</v>
      </c>
      <c r="AP23" s="772">
        <f>'Fuel Costs'!C23/AP$61</f>
        <v>3.7177777777777781</v>
      </c>
      <c r="AQ23" s="772">
        <f>'Fuel Costs'!D23/AQ$61</f>
        <v>11.356655290102385</v>
      </c>
      <c r="AR23" s="772">
        <f>'Fuel Costs'!E23/AR$61</f>
        <v>15.615622762500426</v>
      </c>
      <c r="AS23" s="764">
        <v>-2.7635193673339691</v>
      </c>
      <c r="AT23" s="772">
        <f>'Fuel Costs'!G23/AT$61</f>
        <v>4.666666666666667</v>
      </c>
      <c r="AU23" s="6"/>
      <c r="AV23" s="6"/>
      <c r="AW23" s="6"/>
      <c r="AX23" s="764">
        <v>3.5681818181818183</v>
      </c>
      <c r="AY23" s="6"/>
      <c r="AZ23" s="6"/>
      <c r="BA23" s="6"/>
      <c r="BB23" s="6"/>
      <c r="BC23" s="6"/>
      <c r="BD23" s="772">
        <f>'Fuel Costs'!Q23/BD$61</f>
        <v>3.7177777777777781</v>
      </c>
      <c r="BE23" s="772">
        <f>'Fuel Costs'!R23*BE$61</f>
        <v>10.890499999999999</v>
      </c>
      <c r="BF23" s="764">
        <v>1.0833342000000008</v>
      </c>
      <c r="BG23" s="772">
        <f>'Fuel Costs'!T23/BG$61</f>
        <v>5.1227272727272686</v>
      </c>
      <c r="BH23" s="772"/>
      <c r="BI23" s="772">
        <f>'Fuel Costs'!V23/BI$61</f>
        <v>2.39</v>
      </c>
      <c r="BJ23" s="772">
        <f>'Fuel Costs'!W23*BJ$61</f>
        <v>5.6819999999999995</v>
      </c>
      <c r="BK23" s="772">
        <f>'Fuel Costs'!X23/BK$61</f>
        <v>3.7177777777777781</v>
      </c>
      <c r="BL23" s="772">
        <f>'Fuel Costs'!Y23/BL$61</f>
        <v>3.7177777777777781</v>
      </c>
      <c r="BM23" s="772">
        <f t="shared" si="53"/>
        <v>23.771183658562197</v>
      </c>
      <c r="BN23" s="772">
        <f t="shared" si="53"/>
        <v>23.771183658562197</v>
      </c>
      <c r="BO23" s="772">
        <f t="shared" si="41"/>
        <v>29</v>
      </c>
      <c r="BP23" s="772">
        <f t="shared" si="42"/>
        <v>24</v>
      </c>
      <c r="BQ23" s="772">
        <f t="shared" si="53"/>
        <v>46.659628873836269</v>
      </c>
      <c r="BR23" s="772">
        <f t="shared" si="53"/>
        <v>28.738559182928107</v>
      </c>
      <c r="BS23" s="772">
        <f t="shared" si="53"/>
        <v>23.771183658562197</v>
      </c>
      <c r="BT23" s="772">
        <f t="shared" si="53"/>
        <v>6.06</v>
      </c>
      <c r="BU23" s="764">
        <f t="shared" si="54"/>
        <v>14.512400000000001</v>
      </c>
      <c r="BV23" s="764">
        <f t="shared" si="54"/>
        <v>7.7742222222222228</v>
      </c>
      <c r="BW23" s="764">
        <f t="shared" si="55"/>
        <v>4.1862222222222227</v>
      </c>
      <c r="BX23" s="772">
        <f t="shared" si="56"/>
        <v>0</v>
      </c>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row>
    <row r="24" spans="1:113">
      <c r="A24" s="274">
        <v>2034</v>
      </c>
      <c r="B24" s="761">
        <v>11.5</v>
      </c>
      <c r="C24" s="762">
        <v>70</v>
      </c>
      <c r="D24" s="761">
        <v>66.399999999999977</v>
      </c>
      <c r="E24" s="761">
        <v>91.384226311322067</v>
      </c>
      <c r="F24" s="761"/>
      <c r="G24" s="769">
        <f t="shared" si="57"/>
        <v>70</v>
      </c>
      <c r="H24" s="763"/>
      <c r="I24" s="763"/>
      <c r="J24" s="763"/>
      <c r="K24" s="761"/>
      <c r="L24" s="763"/>
      <c r="M24" s="763"/>
      <c r="N24" s="763"/>
      <c r="O24" s="763"/>
      <c r="P24" s="763"/>
      <c r="Q24" s="769">
        <f t="shared" si="58"/>
        <v>70</v>
      </c>
      <c r="R24" s="769">
        <f t="shared" si="59"/>
        <v>11.5</v>
      </c>
      <c r="S24" s="761"/>
      <c r="T24" s="761">
        <v>76.840909090909022</v>
      </c>
      <c r="U24" s="763"/>
      <c r="V24" s="771">
        <f t="shared" si="60"/>
        <v>35</v>
      </c>
      <c r="W24" s="761">
        <v>6</v>
      </c>
      <c r="X24" s="769">
        <f t="shared" si="61"/>
        <v>70</v>
      </c>
      <c r="Y24" s="769">
        <f t="shared" si="62"/>
        <v>70</v>
      </c>
      <c r="Z24" s="764">
        <v>24.052788094509673</v>
      </c>
      <c r="AA24" s="764">
        <v>24.052788094509673</v>
      </c>
      <c r="AB24" s="765">
        <v>29</v>
      </c>
      <c r="AC24" s="765">
        <v>24</v>
      </c>
      <c r="AD24" s="764">
        <f t="shared" si="66"/>
        <v>46.663961249773919</v>
      </c>
      <c r="AE24" s="764">
        <f t="shared" si="36"/>
        <v>28.752639404725482</v>
      </c>
      <c r="AF24" s="764">
        <v>24.052788094509673</v>
      </c>
      <c r="AG24" s="765">
        <v>6.06</v>
      </c>
      <c r="AH24" s="772">
        <f t="shared" si="63"/>
        <v>14.512400000000001</v>
      </c>
      <c r="AI24" s="772">
        <f t="shared" si="64"/>
        <v>7.7742222222222228</v>
      </c>
      <c r="AJ24" s="772">
        <f t="shared" si="65"/>
        <v>4.1862222222222227</v>
      </c>
      <c r="AK24" s="766">
        <v>0</v>
      </c>
      <c r="AL24" s="6"/>
      <c r="AM24" s="6"/>
      <c r="AN24" s="6"/>
      <c r="AO24" s="772">
        <f>'Fuel Costs'!B24*AO$61</f>
        <v>10.890499999999999</v>
      </c>
      <c r="AP24" s="772">
        <f>'Fuel Costs'!C24/AP$61</f>
        <v>3.7177777777777781</v>
      </c>
      <c r="AQ24" s="772">
        <f>'Fuel Costs'!D24/AQ$61</f>
        <v>11.331058020477812</v>
      </c>
      <c r="AR24" s="772">
        <f>'Fuel Costs'!E24/AR$61</f>
        <v>15.590533907812661</v>
      </c>
      <c r="AS24" s="764">
        <v>-2.7635193673339691</v>
      </c>
      <c r="AT24" s="772">
        <f>'Fuel Costs'!G24/AT$61</f>
        <v>4.666666666666667</v>
      </c>
      <c r="AU24" s="6"/>
      <c r="AV24" s="6"/>
      <c r="AW24" s="6"/>
      <c r="AX24" s="764">
        <v>3.5681818181818183</v>
      </c>
      <c r="AY24" s="6"/>
      <c r="AZ24" s="6"/>
      <c r="BA24" s="6"/>
      <c r="BB24" s="6"/>
      <c r="BC24" s="6"/>
      <c r="BD24" s="772">
        <f>'Fuel Costs'!Q24/BD$61</f>
        <v>3.7177777777777781</v>
      </c>
      <c r="BE24" s="772">
        <f>'Fuel Costs'!R24*BE$61</f>
        <v>10.890499999999999</v>
      </c>
      <c r="BF24" s="764">
        <v>1.0833342000000008</v>
      </c>
      <c r="BG24" s="772">
        <f>'Fuel Costs'!T24/BG$61</f>
        <v>5.1227272727272686</v>
      </c>
      <c r="BH24" s="772"/>
      <c r="BI24" s="772">
        <f>'Fuel Costs'!V24/BI$61</f>
        <v>2.39</v>
      </c>
      <c r="BJ24" s="772">
        <f>'Fuel Costs'!W24*BJ$61</f>
        <v>5.6819999999999995</v>
      </c>
      <c r="BK24" s="772">
        <f>'Fuel Costs'!X24/BK$61</f>
        <v>3.7177777777777781</v>
      </c>
      <c r="BL24" s="772">
        <f>'Fuel Costs'!Y24/BL$61</f>
        <v>3.7177777777777781</v>
      </c>
      <c r="BM24" s="772">
        <f t="shared" si="53"/>
        <v>24.052788094509673</v>
      </c>
      <c r="BN24" s="772">
        <f t="shared" si="53"/>
        <v>24.052788094509673</v>
      </c>
      <c r="BO24" s="772">
        <f t="shared" si="41"/>
        <v>29</v>
      </c>
      <c r="BP24" s="772">
        <f t="shared" si="42"/>
        <v>24</v>
      </c>
      <c r="BQ24" s="772">
        <f t="shared" si="53"/>
        <v>46.663961249773919</v>
      </c>
      <c r="BR24" s="772">
        <f t="shared" si="53"/>
        <v>28.752639404725482</v>
      </c>
      <c r="BS24" s="772">
        <f t="shared" si="53"/>
        <v>24.052788094509673</v>
      </c>
      <c r="BT24" s="772">
        <f t="shared" si="53"/>
        <v>6.06</v>
      </c>
      <c r="BU24" s="764">
        <f t="shared" si="54"/>
        <v>14.512400000000001</v>
      </c>
      <c r="BV24" s="764">
        <f t="shared" si="54"/>
        <v>7.7742222222222228</v>
      </c>
      <c r="BW24" s="764">
        <f t="shared" si="55"/>
        <v>4.1862222222222227</v>
      </c>
      <c r="BX24" s="772">
        <f t="shared" si="56"/>
        <v>0</v>
      </c>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row>
    <row r="25" spans="1:113">
      <c r="A25" s="274">
        <v>2035</v>
      </c>
      <c r="B25" s="761">
        <v>11.5</v>
      </c>
      <c r="C25" s="762">
        <v>70</v>
      </c>
      <c r="D25" s="761">
        <v>66.25</v>
      </c>
      <c r="E25" s="761">
        <v>91.237167487792689</v>
      </c>
      <c r="F25" s="761"/>
      <c r="G25" s="769">
        <f t="shared" si="57"/>
        <v>70</v>
      </c>
      <c r="H25" s="763"/>
      <c r="I25" s="763"/>
      <c r="J25" s="763"/>
      <c r="K25" s="761"/>
      <c r="L25" s="763"/>
      <c r="M25" s="763"/>
      <c r="N25" s="763"/>
      <c r="O25" s="763"/>
      <c r="P25" s="763"/>
      <c r="Q25" s="769">
        <f t="shared" si="58"/>
        <v>70</v>
      </c>
      <c r="R25" s="769">
        <f t="shared" si="59"/>
        <v>11.5</v>
      </c>
      <c r="S25" s="761"/>
      <c r="T25" s="761">
        <v>76.840909090909022</v>
      </c>
      <c r="U25" s="763"/>
      <c r="V25" s="771">
        <f t="shared" si="60"/>
        <v>35</v>
      </c>
      <c r="W25" s="761">
        <v>6</v>
      </c>
      <c r="X25" s="769">
        <f t="shared" si="61"/>
        <v>70</v>
      </c>
      <c r="Y25" s="769">
        <f t="shared" si="62"/>
        <v>70</v>
      </c>
      <c r="Z25" s="764">
        <v>23.786634265856595</v>
      </c>
      <c r="AA25" s="764">
        <v>23.786634265856595</v>
      </c>
      <c r="AB25" s="765">
        <v>29</v>
      </c>
      <c r="AC25" s="765">
        <v>24</v>
      </c>
      <c r="AD25" s="764">
        <f t="shared" si="66"/>
        <v>46.659866575486944</v>
      </c>
      <c r="AE25" s="764">
        <f t="shared" si="36"/>
        <v>28.739331713292827</v>
      </c>
      <c r="AF25" s="764">
        <v>23.786634265856595</v>
      </c>
      <c r="AG25" s="765">
        <v>6.06</v>
      </c>
      <c r="AH25" s="772">
        <f t="shared" si="63"/>
        <v>14.512400000000001</v>
      </c>
      <c r="AI25" s="772">
        <f t="shared" si="64"/>
        <v>7.7742222222222228</v>
      </c>
      <c r="AJ25" s="772">
        <f t="shared" si="65"/>
        <v>4.1862222222222227</v>
      </c>
      <c r="AK25" s="766">
        <v>0</v>
      </c>
      <c r="AL25" s="6"/>
      <c r="AM25" s="6"/>
      <c r="AN25" s="6"/>
      <c r="AO25" s="772">
        <f>'Fuel Costs'!B25*AO$61</f>
        <v>10.890499999999999</v>
      </c>
      <c r="AP25" s="772">
        <f>'Fuel Costs'!C25/AP$61</f>
        <v>3.7177777777777781</v>
      </c>
      <c r="AQ25" s="772">
        <f>'Fuel Costs'!D25/AQ$61</f>
        <v>11.305460750853241</v>
      </c>
      <c r="AR25" s="772">
        <f>'Fuel Costs'!E25/AR$61</f>
        <v>15.565445053124906</v>
      </c>
      <c r="AS25" s="764">
        <v>-2.7635193673339691</v>
      </c>
      <c r="AT25" s="772">
        <f>'Fuel Costs'!G25/AT$61</f>
        <v>4.666666666666667</v>
      </c>
      <c r="AU25" s="6"/>
      <c r="AV25" s="6"/>
      <c r="AW25" s="6"/>
      <c r="AX25" s="764">
        <v>3.5681818181818183</v>
      </c>
      <c r="AY25" s="6"/>
      <c r="AZ25" s="6"/>
      <c r="BA25" s="6"/>
      <c r="BB25" s="6"/>
      <c r="BC25" s="6"/>
      <c r="BD25" s="772">
        <f>'Fuel Costs'!Q25/BD$61</f>
        <v>3.7177777777777781</v>
      </c>
      <c r="BE25" s="772">
        <f>'Fuel Costs'!R25*BE$61</f>
        <v>10.890499999999999</v>
      </c>
      <c r="BF25" s="764">
        <v>1.0833342000000008</v>
      </c>
      <c r="BG25" s="772">
        <f>'Fuel Costs'!T25/BG$61</f>
        <v>5.1227272727272686</v>
      </c>
      <c r="BH25" s="772"/>
      <c r="BI25" s="772">
        <f>'Fuel Costs'!V25/BI$61</f>
        <v>2.39</v>
      </c>
      <c r="BJ25" s="772">
        <f>'Fuel Costs'!W25*BJ$61</f>
        <v>5.6819999999999995</v>
      </c>
      <c r="BK25" s="772">
        <f>'Fuel Costs'!X25/BK$61</f>
        <v>3.7177777777777781</v>
      </c>
      <c r="BL25" s="772">
        <f>'Fuel Costs'!Y25/BL$61</f>
        <v>3.7177777777777781</v>
      </c>
      <c r="BM25" s="772">
        <f t="shared" si="53"/>
        <v>23.786634265856595</v>
      </c>
      <c r="BN25" s="772">
        <f t="shared" si="53"/>
        <v>23.786634265856595</v>
      </c>
      <c r="BO25" s="772">
        <f t="shared" si="41"/>
        <v>29</v>
      </c>
      <c r="BP25" s="772">
        <f t="shared" si="42"/>
        <v>24</v>
      </c>
      <c r="BQ25" s="772">
        <f t="shared" si="53"/>
        <v>46.659866575486944</v>
      </c>
      <c r="BR25" s="772">
        <f t="shared" si="53"/>
        <v>28.739331713292827</v>
      </c>
      <c r="BS25" s="772">
        <f t="shared" si="53"/>
        <v>23.786634265856595</v>
      </c>
      <c r="BT25" s="772">
        <f t="shared" si="53"/>
        <v>6.06</v>
      </c>
      <c r="BU25" s="764">
        <f t="shared" si="54"/>
        <v>14.512400000000001</v>
      </c>
      <c r="BV25" s="764">
        <f t="shared" si="54"/>
        <v>7.7742222222222228</v>
      </c>
      <c r="BW25" s="764">
        <f t="shared" si="55"/>
        <v>4.1862222222222227</v>
      </c>
      <c r="BX25" s="772">
        <f t="shared" si="56"/>
        <v>0</v>
      </c>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row>
    <row r="26" spans="1:113">
      <c r="A26" s="274">
        <v>2036</v>
      </c>
      <c r="B26" s="761">
        <v>11.5</v>
      </c>
      <c r="C26" s="762">
        <v>70</v>
      </c>
      <c r="D26" s="761">
        <v>66.099999999999994</v>
      </c>
      <c r="E26" s="761">
        <v>91.090108664263269</v>
      </c>
      <c r="F26" s="761"/>
      <c r="G26" s="769">
        <f t="shared" si="57"/>
        <v>70</v>
      </c>
      <c r="H26" s="763"/>
      <c r="I26" s="763"/>
      <c r="J26" s="763"/>
      <c r="K26" s="761"/>
      <c r="L26" s="763"/>
      <c r="M26" s="763"/>
      <c r="N26" s="763"/>
      <c r="O26" s="763"/>
      <c r="P26" s="763"/>
      <c r="Q26" s="769">
        <f t="shared" si="58"/>
        <v>70</v>
      </c>
      <c r="R26" s="769">
        <f t="shared" si="59"/>
        <v>11.5</v>
      </c>
      <c r="S26" s="761"/>
      <c r="T26" s="761">
        <v>76.840909090909022</v>
      </c>
      <c r="U26" s="763"/>
      <c r="V26" s="771">
        <f t="shared" si="60"/>
        <v>35</v>
      </c>
      <c r="W26" s="761">
        <v>6</v>
      </c>
      <c r="X26" s="769">
        <f t="shared" si="61"/>
        <v>70</v>
      </c>
      <c r="Y26" s="769">
        <f t="shared" si="62"/>
        <v>70</v>
      </c>
      <c r="Z26" s="764">
        <v>23.89519181538752</v>
      </c>
      <c r="AA26" s="764">
        <v>23.89519181538752</v>
      </c>
      <c r="AB26" s="765">
        <v>29</v>
      </c>
      <c r="AC26" s="765">
        <v>24</v>
      </c>
      <c r="AD26" s="764">
        <f t="shared" si="66"/>
        <v>46.661536691633579</v>
      </c>
      <c r="AE26" s="764">
        <f t="shared" si="36"/>
        <v>28.744759590769373</v>
      </c>
      <c r="AF26" s="764">
        <v>23.89519181538752</v>
      </c>
      <c r="AG26" s="765">
        <v>6.06</v>
      </c>
      <c r="AH26" s="772">
        <f t="shared" si="63"/>
        <v>14.512400000000001</v>
      </c>
      <c r="AI26" s="772">
        <f t="shared" si="64"/>
        <v>7.7742222222222228</v>
      </c>
      <c r="AJ26" s="772">
        <f t="shared" si="65"/>
        <v>4.1862222222222227</v>
      </c>
      <c r="AK26" s="766">
        <v>0</v>
      </c>
      <c r="AL26" s="6"/>
      <c r="AM26" s="6"/>
      <c r="AN26" s="6"/>
      <c r="AO26" s="772">
        <f>'Fuel Costs'!B26*AO$61</f>
        <v>10.890499999999999</v>
      </c>
      <c r="AP26" s="772">
        <f>'Fuel Costs'!C26/AP$61</f>
        <v>3.7177777777777781</v>
      </c>
      <c r="AQ26" s="772">
        <f>'Fuel Costs'!D26/AQ$61</f>
        <v>11.279863481228668</v>
      </c>
      <c r="AR26" s="772">
        <f>'Fuel Costs'!E26/AR$61</f>
        <v>15.540356198437141</v>
      </c>
      <c r="AS26" s="764">
        <v>-2.7635193673339691</v>
      </c>
      <c r="AT26" s="772">
        <f>'Fuel Costs'!G26/AT$61</f>
        <v>4.666666666666667</v>
      </c>
      <c r="AU26" s="6"/>
      <c r="AV26" s="6"/>
      <c r="AW26" s="6"/>
      <c r="AX26" s="764">
        <v>3.5681818181818183</v>
      </c>
      <c r="AY26" s="6"/>
      <c r="AZ26" s="6"/>
      <c r="BA26" s="6"/>
      <c r="BB26" s="6"/>
      <c r="BC26" s="6"/>
      <c r="BD26" s="772">
        <f>'Fuel Costs'!Q26/BD$61</f>
        <v>3.7177777777777781</v>
      </c>
      <c r="BE26" s="772">
        <f>'Fuel Costs'!R26*BE$61</f>
        <v>10.890499999999999</v>
      </c>
      <c r="BF26" s="764">
        <v>1.0833342000000008</v>
      </c>
      <c r="BG26" s="772">
        <f>'Fuel Costs'!T26/BG$61</f>
        <v>5.1227272727272686</v>
      </c>
      <c r="BH26" s="772"/>
      <c r="BI26" s="772">
        <f>'Fuel Costs'!V26/BI$61</f>
        <v>2.39</v>
      </c>
      <c r="BJ26" s="772">
        <f>'Fuel Costs'!W26*BJ$61</f>
        <v>5.6819999999999995</v>
      </c>
      <c r="BK26" s="772">
        <f>'Fuel Costs'!X26/BK$61</f>
        <v>3.7177777777777781</v>
      </c>
      <c r="BL26" s="772">
        <f>'Fuel Costs'!Y26/BL$61</f>
        <v>3.7177777777777781</v>
      </c>
      <c r="BM26" s="772">
        <f t="shared" si="53"/>
        <v>23.89519181538752</v>
      </c>
      <c r="BN26" s="772">
        <f t="shared" si="53"/>
        <v>23.89519181538752</v>
      </c>
      <c r="BO26" s="772">
        <f t="shared" si="41"/>
        <v>29</v>
      </c>
      <c r="BP26" s="772">
        <f t="shared" si="42"/>
        <v>24</v>
      </c>
      <c r="BQ26" s="772">
        <f t="shared" si="53"/>
        <v>46.661536691633579</v>
      </c>
      <c r="BR26" s="772">
        <f t="shared" si="53"/>
        <v>28.744759590769373</v>
      </c>
      <c r="BS26" s="772">
        <f t="shared" si="53"/>
        <v>23.89519181538752</v>
      </c>
      <c r="BT26" s="772">
        <f t="shared" si="53"/>
        <v>6.06</v>
      </c>
      <c r="BU26" s="764">
        <f t="shared" si="54"/>
        <v>14.512400000000001</v>
      </c>
      <c r="BV26" s="764">
        <f t="shared" si="54"/>
        <v>7.7742222222222228</v>
      </c>
      <c r="BW26" s="764">
        <f t="shared" si="55"/>
        <v>4.1862222222222227</v>
      </c>
      <c r="BX26" s="772">
        <f t="shared" si="56"/>
        <v>0</v>
      </c>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row>
    <row r="27" spans="1:113">
      <c r="A27" s="274">
        <v>2037</v>
      </c>
      <c r="B27" s="761">
        <v>11.5</v>
      </c>
      <c r="C27" s="762">
        <v>70</v>
      </c>
      <c r="D27" s="761">
        <v>65.949999999999989</v>
      </c>
      <c r="E27" s="761">
        <v>90.943049840733849</v>
      </c>
      <c r="F27" s="761"/>
      <c r="G27" s="769">
        <f t="shared" si="57"/>
        <v>70</v>
      </c>
      <c r="H27" s="763"/>
      <c r="I27" s="763"/>
      <c r="J27" s="763"/>
      <c r="K27" s="761"/>
      <c r="L27" s="763"/>
      <c r="M27" s="763"/>
      <c r="N27" s="763"/>
      <c r="O27" s="763"/>
      <c r="P27" s="763"/>
      <c r="Q27" s="769">
        <f t="shared" si="58"/>
        <v>70</v>
      </c>
      <c r="R27" s="769">
        <f t="shared" si="59"/>
        <v>11.5</v>
      </c>
      <c r="S27" s="761"/>
      <c r="T27" s="761">
        <v>76.840909090909022</v>
      </c>
      <c r="U27" s="763"/>
      <c r="V27" s="771">
        <f t="shared" si="60"/>
        <v>35</v>
      </c>
      <c r="W27" s="761">
        <v>6</v>
      </c>
      <c r="X27" s="769">
        <f t="shared" si="61"/>
        <v>70</v>
      </c>
      <c r="Y27" s="769">
        <f t="shared" si="62"/>
        <v>70</v>
      </c>
      <c r="Z27" s="764">
        <v>23.924705867692897</v>
      </c>
      <c r="AA27" s="764">
        <v>23.924705867692897</v>
      </c>
      <c r="AB27" s="765">
        <v>29</v>
      </c>
      <c r="AC27" s="765">
        <v>24</v>
      </c>
      <c r="AD27" s="764">
        <f t="shared" si="66"/>
        <v>46.661990753976738</v>
      </c>
      <c r="AE27" s="764">
        <f t="shared" si="36"/>
        <v>28.746235293384643</v>
      </c>
      <c r="AF27" s="764">
        <v>23.924705867692897</v>
      </c>
      <c r="AG27" s="765">
        <v>6.06</v>
      </c>
      <c r="AH27" s="772">
        <f t="shared" si="63"/>
        <v>14.512400000000001</v>
      </c>
      <c r="AI27" s="772">
        <f t="shared" si="64"/>
        <v>7.7742222222222228</v>
      </c>
      <c r="AJ27" s="772">
        <f t="shared" si="65"/>
        <v>4.1862222222222227</v>
      </c>
      <c r="AK27" s="766">
        <v>0</v>
      </c>
      <c r="AL27" s="6"/>
      <c r="AM27" s="6"/>
      <c r="AN27" s="6"/>
      <c r="AO27" s="772">
        <f>'Fuel Costs'!B27*AO$61</f>
        <v>10.890499999999999</v>
      </c>
      <c r="AP27" s="772">
        <f>'Fuel Costs'!C27/AP$61</f>
        <v>3.7177777777777781</v>
      </c>
      <c r="AQ27" s="772">
        <f>'Fuel Costs'!D27/AQ$61</f>
        <v>11.254266211604094</v>
      </c>
      <c r="AR27" s="772">
        <f>'Fuel Costs'!E27/AR$61</f>
        <v>15.515267343749379</v>
      </c>
      <c r="AS27" s="764">
        <v>-2.7635193673339691</v>
      </c>
      <c r="AT27" s="772">
        <f>'Fuel Costs'!G27/AT$61</f>
        <v>4.666666666666667</v>
      </c>
      <c r="AU27" s="6"/>
      <c r="AV27" s="6"/>
      <c r="AW27" s="6"/>
      <c r="AX27" s="764">
        <v>3.5681818181818183</v>
      </c>
      <c r="AY27" s="6"/>
      <c r="AZ27" s="6"/>
      <c r="BA27" s="6"/>
      <c r="BB27" s="6"/>
      <c r="BC27" s="6"/>
      <c r="BD27" s="772">
        <f>'Fuel Costs'!Q27/BD$61</f>
        <v>3.7177777777777781</v>
      </c>
      <c r="BE27" s="772">
        <f>'Fuel Costs'!R27*BE$61</f>
        <v>10.890499999999999</v>
      </c>
      <c r="BF27" s="764">
        <v>1.0833342000000008</v>
      </c>
      <c r="BG27" s="772">
        <f>'Fuel Costs'!T27/BG$61</f>
        <v>5.1227272727272686</v>
      </c>
      <c r="BH27" s="772"/>
      <c r="BI27" s="772">
        <f>'Fuel Costs'!V27/BI$61</f>
        <v>2.39</v>
      </c>
      <c r="BJ27" s="772">
        <f>'Fuel Costs'!W27*BJ$61</f>
        <v>5.6819999999999995</v>
      </c>
      <c r="BK27" s="772">
        <f>'Fuel Costs'!X27/BK$61</f>
        <v>3.7177777777777781</v>
      </c>
      <c r="BL27" s="772">
        <f>'Fuel Costs'!Y27/BL$61</f>
        <v>3.7177777777777781</v>
      </c>
      <c r="BM27" s="772">
        <f t="shared" si="53"/>
        <v>23.924705867692897</v>
      </c>
      <c r="BN27" s="772">
        <f t="shared" si="53"/>
        <v>23.924705867692897</v>
      </c>
      <c r="BO27" s="772">
        <f t="shared" si="41"/>
        <v>29</v>
      </c>
      <c r="BP27" s="772">
        <f t="shared" si="42"/>
        <v>24</v>
      </c>
      <c r="BQ27" s="772">
        <f t="shared" si="53"/>
        <v>46.661990753976738</v>
      </c>
      <c r="BR27" s="772">
        <f t="shared" si="53"/>
        <v>28.746235293384643</v>
      </c>
      <c r="BS27" s="772">
        <f t="shared" si="53"/>
        <v>23.924705867692897</v>
      </c>
      <c r="BT27" s="772">
        <f t="shared" si="53"/>
        <v>6.06</v>
      </c>
      <c r="BU27" s="764">
        <f t="shared" si="54"/>
        <v>14.512400000000001</v>
      </c>
      <c r="BV27" s="764">
        <f t="shared" si="54"/>
        <v>7.7742222222222228</v>
      </c>
      <c r="BW27" s="764">
        <f t="shared" si="55"/>
        <v>4.1862222222222227</v>
      </c>
      <c r="BX27" s="772">
        <f t="shared" si="56"/>
        <v>0</v>
      </c>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row>
    <row r="28" spans="1:113">
      <c r="A28" s="274">
        <v>2038</v>
      </c>
      <c r="B28" s="761">
        <v>11.5</v>
      </c>
      <c r="C28" s="762">
        <v>70</v>
      </c>
      <c r="D28" s="761">
        <v>65.799999999999983</v>
      </c>
      <c r="E28" s="761">
        <v>90.795991017204429</v>
      </c>
      <c r="F28" s="761"/>
      <c r="G28" s="769">
        <f t="shared" si="57"/>
        <v>70</v>
      </c>
      <c r="H28" s="763"/>
      <c r="I28" s="763"/>
      <c r="J28" s="763"/>
      <c r="K28" s="761"/>
      <c r="L28" s="763"/>
      <c r="M28" s="763"/>
      <c r="N28" s="763"/>
      <c r="O28" s="763"/>
      <c r="P28" s="763"/>
      <c r="Q28" s="769">
        <f t="shared" si="58"/>
        <v>70</v>
      </c>
      <c r="R28" s="769">
        <f t="shared" si="59"/>
        <v>11.5</v>
      </c>
      <c r="S28" s="761"/>
      <c r="T28" s="761">
        <v>76.840909090909022</v>
      </c>
      <c r="U28" s="763"/>
      <c r="V28" s="771">
        <f t="shared" si="60"/>
        <v>35</v>
      </c>
      <c r="W28" s="761">
        <v>6</v>
      </c>
      <c r="X28" s="769">
        <f t="shared" si="61"/>
        <v>70</v>
      </c>
      <c r="Y28" s="769">
        <f t="shared" si="62"/>
        <v>70</v>
      </c>
      <c r="Z28" s="764">
        <v>24.139894241155499</v>
      </c>
      <c r="AA28" s="764">
        <v>24.139894241155499</v>
      </c>
      <c r="AB28" s="765">
        <v>29</v>
      </c>
      <c r="AC28" s="765">
        <v>24</v>
      </c>
      <c r="AD28" s="764">
        <f t="shared" si="66"/>
        <v>46.665301344337699</v>
      </c>
      <c r="AE28" s="764">
        <f t="shared" si="36"/>
        <v>28.756994712057772</v>
      </c>
      <c r="AF28" s="764">
        <v>24.139894241155499</v>
      </c>
      <c r="AG28" s="765">
        <v>6.06</v>
      </c>
      <c r="AH28" s="772">
        <f t="shared" si="63"/>
        <v>14.512400000000001</v>
      </c>
      <c r="AI28" s="772">
        <f t="shared" si="64"/>
        <v>7.7742222222222228</v>
      </c>
      <c r="AJ28" s="772">
        <f t="shared" si="65"/>
        <v>4.1862222222222227</v>
      </c>
      <c r="AK28" s="766">
        <v>0</v>
      </c>
      <c r="AL28" s="6"/>
      <c r="AM28" s="6"/>
      <c r="AN28" s="6"/>
      <c r="AO28" s="772">
        <f>'Fuel Costs'!B28*AO$61</f>
        <v>10.890499999999999</v>
      </c>
      <c r="AP28" s="772">
        <f>'Fuel Costs'!C28/AP$61</f>
        <v>3.7177777777777781</v>
      </c>
      <c r="AQ28" s="772">
        <f>'Fuel Costs'!D28/AQ$61</f>
        <v>11.228668941979519</v>
      </c>
      <c r="AR28" s="772">
        <f>'Fuel Costs'!E28/AR$61</f>
        <v>15.490178489061615</v>
      </c>
      <c r="AS28" s="764">
        <v>-2.7635193673339691</v>
      </c>
      <c r="AT28" s="772">
        <f>'Fuel Costs'!G28/AT$61</f>
        <v>4.666666666666667</v>
      </c>
      <c r="AU28" s="6"/>
      <c r="AV28" s="6"/>
      <c r="AW28" s="6"/>
      <c r="AX28" s="764">
        <v>3.5681818181818183</v>
      </c>
      <c r="AY28" s="6"/>
      <c r="AZ28" s="6"/>
      <c r="BA28" s="6"/>
      <c r="BB28" s="6"/>
      <c r="BC28" s="6"/>
      <c r="BD28" s="772">
        <f>'Fuel Costs'!Q28/BD$61</f>
        <v>3.7177777777777781</v>
      </c>
      <c r="BE28" s="772">
        <f>'Fuel Costs'!R28*BE$61</f>
        <v>10.890499999999999</v>
      </c>
      <c r="BF28" s="764">
        <v>1.0833342000000008</v>
      </c>
      <c r="BG28" s="772">
        <f>'Fuel Costs'!T28/BG$61</f>
        <v>5.1227272727272686</v>
      </c>
      <c r="BH28" s="772"/>
      <c r="BI28" s="772">
        <f>'Fuel Costs'!V28/BI$61</f>
        <v>2.39</v>
      </c>
      <c r="BJ28" s="772">
        <f>'Fuel Costs'!W28*BJ$61</f>
        <v>5.6819999999999995</v>
      </c>
      <c r="BK28" s="772">
        <f>'Fuel Costs'!X28/BK$61</f>
        <v>3.7177777777777781</v>
      </c>
      <c r="BL28" s="772">
        <f>'Fuel Costs'!Y28/BL$61</f>
        <v>3.7177777777777781</v>
      </c>
      <c r="BM28" s="772">
        <f t="shared" si="53"/>
        <v>24.139894241155499</v>
      </c>
      <c r="BN28" s="772">
        <f t="shared" si="53"/>
        <v>24.139894241155499</v>
      </c>
      <c r="BO28" s="772">
        <f t="shared" si="41"/>
        <v>29</v>
      </c>
      <c r="BP28" s="772">
        <f t="shared" si="42"/>
        <v>24</v>
      </c>
      <c r="BQ28" s="772">
        <f t="shared" si="53"/>
        <v>46.665301344337699</v>
      </c>
      <c r="BR28" s="772">
        <f t="shared" si="53"/>
        <v>28.756994712057772</v>
      </c>
      <c r="BS28" s="772">
        <f t="shared" si="53"/>
        <v>24.139894241155499</v>
      </c>
      <c r="BT28" s="772">
        <f t="shared" si="53"/>
        <v>6.06</v>
      </c>
      <c r="BU28" s="764">
        <f t="shared" si="54"/>
        <v>14.512400000000001</v>
      </c>
      <c r="BV28" s="764">
        <f t="shared" si="54"/>
        <v>7.7742222222222228</v>
      </c>
      <c r="BW28" s="764">
        <f t="shared" si="55"/>
        <v>4.1862222222222227</v>
      </c>
      <c r="BX28" s="772">
        <f t="shared" si="56"/>
        <v>0</v>
      </c>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row>
    <row r="29" spans="1:113">
      <c r="A29" s="274">
        <v>2039</v>
      </c>
      <c r="B29" s="761">
        <v>11.5</v>
      </c>
      <c r="C29" s="762">
        <v>70</v>
      </c>
      <c r="D29" s="761">
        <v>65.649999999999977</v>
      </c>
      <c r="E29" s="761">
        <v>90.648932193675009</v>
      </c>
      <c r="F29" s="761"/>
      <c r="G29" s="769">
        <f t="shared" si="57"/>
        <v>70</v>
      </c>
      <c r="H29" s="763"/>
      <c r="I29" s="763"/>
      <c r="J29" s="763"/>
      <c r="K29" s="761"/>
      <c r="L29" s="763"/>
      <c r="M29" s="763"/>
      <c r="N29" s="763"/>
      <c r="O29" s="763"/>
      <c r="P29" s="763"/>
      <c r="Q29" s="769">
        <f t="shared" si="58"/>
        <v>70</v>
      </c>
      <c r="R29" s="769">
        <f t="shared" si="59"/>
        <v>11.5</v>
      </c>
      <c r="S29" s="761"/>
      <c r="T29" s="761">
        <v>76.840909090909022</v>
      </c>
      <c r="U29" s="763"/>
      <c r="V29" s="771">
        <f t="shared" si="60"/>
        <v>35</v>
      </c>
      <c r="W29" s="761">
        <v>6</v>
      </c>
      <c r="X29" s="769">
        <f t="shared" si="61"/>
        <v>70</v>
      </c>
      <c r="Y29" s="769">
        <f t="shared" si="62"/>
        <v>70</v>
      </c>
      <c r="Z29" s="764">
        <v>24.604677560617215</v>
      </c>
      <c r="AA29" s="764">
        <v>24.604677560617215</v>
      </c>
      <c r="AB29" s="765">
        <v>29</v>
      </c>
      <c r="AC29" s="765">
        <v>24</v>
      </c>
      <c r="AD29" s="764">
        <f t="shared" si="66"/>
        <v>46.672451856944804</v>
      </c>
      <c r="AE29" s="764">
        <f t="shared" si="36"/>
        <v>28.78023387803086</v>
      </c>
      <c r="AF29" s="764">
        <v>24.604677560617215</v>
      </c>
      <c r="AG29" s="765">
        <v>6.06</v>
      </c>
      <c r="AH29" s="772">
        <f t="shared" si="63"/>
        <v>14.512400000000001</v>
      </c>
      <c r="AI29" s="772">
        <f t="shared" si="64"/>
        <v>7.7742222222222228</v>
      </c>
      <c r="AJ29" s="772">
        <f t="shared" si="65"/>
        <v>4.1862222222222227</v>
      </c>
      <c r="AK29" s="766">
        <v>0</v>
      </c>
      <c r="AL29" s="6"/>
      <c r="AM29" s="6"/>
      <c r="AN29" s="6"/>
      <c r="AO29" s="772">
        <f>'Fuel Costs'!B29*AO$61</f>
        <v>10.890499999999999</v>
      </c>
      <c r="AP29" s="772">
        <f>'Fuel Costs'!C29/AP$61</f>
        <v>3.7177777777777781</v>
      </c>
      <c r="AQ29" s="772">
        <f>'Fuel Costs'!D29/AQ$61</f>
        <v>11.203071672354945</v>
      </c>
      <c r="AR29" s="772">
        <f>'Fuel Costs'!E29/AR$61</f>
        <v>15.46508963437385</v>
      </c>
      <c r="AS29" s="764">
        <v>-2.7635193673339691</v>
      </c>
      <c r="AT29" s="772">
        <f>'Fuel Costs'!G29/AT$61</f>
        <v>4.666666666666667</v>
      </c>
      <c r="AU29" s="6"/>
      <c r="AV29" s="6"/>
      <c r="AW29" s="6"/>
      <c r="AX29" s="764">
        <v>3.5681818181818183</v>
      </c>
      <c r="AY29" s="6"/>
      <c r="AZ29" s="6"/>
      <c r="BA29" s="6"/>
      <c r="BB29" s="6"/>
      <c r="BC29" s="6"/>
      <c r="BD29" s="772">
        <f>'Fuel Costs'!Q29/BD$61</f>
        <v>3.7177777777777781</v>
      </c>
      <c r="BE29" s="772">
        <f>'Fuel Costs'!R29*BE$61</f>
        <v>10.890499999999999</v>
      </c>
      <c r="BF29" s="764">
        <v>1.0833342000000008</v>
      </c>
      <c r="BG29" s="772">
        <f>'Fuel Costs'!T29/BG$61</f>
        <v>5.1227272727272686</v>
      </c>
      <c r="BH29" s="772"/>
      <c r="BI29" s="772">
        <f>'Fuel Costs'!V29/BI$61</f>
        <v>2.39</v>
      </c>
      <c r="BJ29" s="772">
        <f>'Fuel Costs'!W29*BJ$61</f>
        <v>5.6819999999999995</v>
      </c>
      <c r="BK29" s="772">
        <f>'Fuel Costs'!X29/BK$61</f>
        <v>3.7177777777777781</v>
      </c>
      <c r="BL29" s="772">
        <f>'Fuel Costs'!Y29/BL$61</f>
        <v>3.7177777777777781</v>
      </c>
      <c r="BM29" s="772">
        <f t="shared" si="53"/>
        <v>24.604677560617215</v>
      </c>
      <c r="BN29" s="772">
        <f t="shared" si="53"/>
        <v>24.604677560617215</v>
      </c>
      <c r="BO29" s="772">
        <f t="shared" si="41"/>
        <v>29</v>
      </c>
      <c r="BP29" s="772">
        <f t="shared" si="42"/>
        <v>24</v>
      </c>
      <c r="BQ29" s="772">
        <f t="shared" si="53"/>
        <v>46.672451856944804</v>
      </c>
      <c r="BR29" s="772">
        <f t="shared" si="53"/>
        <v>28.78023387803086</v>
      </c>
      <c r="BS29" s="772">
        <f t="shared" si="53"/>
        <v>24.604677560617215</v>
      </c>
      <c r="BT29" s="772">
        <f t="shared" si="53"/>
        <v>6.06</v>
      </c>
      <c r="BU29" s="764">
        <f t="shared" si="54"/>
        <v>14.512400000000001</v>
      </c>
      <c r="BV29" s="764">
        <f t="shared" si="54"/>
        <v>7.7742222222222228</v>
      </c>
      <c r="BW29" s="764">
        <f t="shared" si="55"/>
        <v>4.1862222222222227</v>
      </c>
      <c r="BX29" s="772">
        <f t="shared" si="56"/>
        <v>0</v>
      </c>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row>
    <row r="30" spans="1:113">
      <c r="A30" s="274">
        <v>2040</v>
      </c>
      <c r="B30" s="761">
        <v>11.5</v>
      </c>
      <c r="C30" s="762">
        <v>70</v>
      </c>
      <c r="D30" s="761">
        <v>65.5</v>
      </c>
      <c r="E30" s="761">
        <v>90.501873370145617</v>
      </c>
      <c r="F30" s="761"/>
      <c r="G30" s="769">
        <f t="shared" si="57"/>
        <v>70</v>
      </c>
      <c r="H30" s="763"/>
      <c r="I30" s="763"/>
      <c r="J30" s="763"/>
      <c r="K30" s="761"/>
      <c r="L30" s="763"/>
      <c r="M30" s="763"/>
      <c r="N30" s="763"/>
      <c r="O30" s="763"/>
      <c r="P30" s="763"/>
      <c r="Q30" s="769">
        <f t="shared" si="58"/>
        <v>70</v>
      </c>
      <c r="R30" s="769">
        <f t="shared" si="59"/>
        <v>11.5</v>
      </c>
      <c r="S30" s="761"/>
      <c r="T30" s="761">
        <v>76.840909090909022</v>
      </c>
      <c r="U30" s="763"/>
      <c r="V30" s="771">
        <f t="shared" si="60"/>
        <v>35</v>
      </c>
      <c r="W30" s="761">
        <v>6</v>
      </c>
      <c r="X30" s="769">
        <f t="shared" si="61"/>
        <v>70</v>
      </c>
      <c r="Y30" s="769">
        <f t="shared" si="62"/>
        <v>70</v>
      </c>
      <c r="Z30" s="764">
        <v>24.984797496873238</v>
      </c>
      <c r="AA30" s="764">
        <v>24.984797496873238</v>
      </c>
      <c r="AB30" s="765">
        <v>29</v>
      </c>
      <c r="AC30" s="765">
        <v>24</v>
      </c>
      <c r="AD30" s="764">
        <f t="shared" si="66"/>
        <v>46.678299855964127</v>
      </c>
      <c r="AE30" s="764">
        <f t="shared" si="36"/>
        <v>28.799239874843661</v>
      </c>
      <c r="AF30" s="764">
        <v>24.984797496873238</v>
      </c>
      <c r="AG30" s="765">
        <v>6.06</v>
      </c>
      <c r="AH30" s="772">
        <f t="shared" si="63"/>
        <v>14.512400000000001</v>
      </c>
      <c r="AI30" s="772">
        <f t="shared" si="64"/>
        <v>7.7742222222222228</v>
      </c>
      <c r="AJ30" s="772">
        <f t="shared" si="65"/>
        <v>4.1862222222222227</v>
      </c>
      <c r="AK30" s="766">
        <v>0</v>
      </c>
      <c r="AL30" s="6"/>
      <c r="AM30" s="6"/>
      <c r="AN30" s="6"/>
      <c r="AO30" s="772">
        <f>'Fuel Costs'!B30*AO$61</f>
        <v>10.890499999999999</v>
      </c>
      <c r="AP30" s="772">
        <f>'Fuel Costs'!C30/AP$61</f>
        <v>3.7177777777777781</v>
      </c>
      <c r="AQ30" s="772">
        <f>'Fuel Costs'!D30/AQ$61</f>
        <v>11.177474402730375</v>
      </c>
      <c r="AR30" s="772">
        <f>'Fuel Costs'!E30/AR$61</f>
        <v>15.440000779686093</v>
      </c>
      <c r="AS30" s="764">
        <v>-2.7635193673339691</v>
      </c>
      <c r="AT30" s="772">
        <f>'Fuel Costs'!G30/AT$61</f>
        <v>4.666666666666667</v>
      </c>
      <c r="AU30" s="6"/>
      <c r="AV30" s="6"/>
      <c r="AW30" s="6"/>
      <c r="AX30" s="764">
        <v>3.5681818181818183</v>
      </c>
      <c r="AY30" s="6"/>
      <c r="AZ30" s="6"/>
      <c r="BA30" s="6"/>
      <c r="BB30" s="6"/>
      <c r="BC30" s="6"/>
      <c r="BD30" s="772">
        <f>'Fuel Costs'!Q30/BD$61</f>
        <v>3.7177777777777781</v>
      </c>
      <c r="BE30" s="772">
        <f>'Fuel Costs'!R30*BE$61</f>
        <v>10.890499999999999</v>
      </c>
      <c r="BF30" s="764">
        <v>1.0833342000000008</v>
      </c>
      <c r="BG30" s="772">
        <f>'Fuel Costs'!T30/BG$61</f>
        <v>5.1227272727272686</v>
      </c>
      <c r="BH30" s="772"/>
      <c r="BI30" s="772">
        <f>'Fuel Costs'!V30/BI$61</f>
        <v>2.39</v>
      </c>
      <c r="BJ30" s="772">
        <f>'Fuel Costs'!W30*BJ$61</f>
        <v>5.6819999999999995</v>
      </c>
      <c r="BK30" s="772">
        <f>'Fuel Costs'!X30/BK$61</f>
        <v>3.7177777777777781</v>
      </c>
      <c r="BL30" s="772">
        <f>'Fuel Costs'!Y30/BL$61</f>
        <v>3.7177777777777781</v>
      </c>
      <c r="BM30" s="772">
        <f t="shared" si="53"/>
        <v>24.984797496873238</v>
      </c>
      <c r="BN30" s="772">
        <f t="shared" si="53"/>
        <v>24.984797496873238</v>
      </c>
      <c r="BO30" s="772">
        <f t="shared" si="41"/>
        <v>29</v>
      </c>
      <c r="BP30" s="772">
        <f t="shared" si="42"/>
        <v>24</v>
      </c>
      <c r="BQ30" s="772">
        <f t="shared" si="53"/>
        <v>46.678299855964127</v>
      </c>
      <c r="BR30" s="772">
        <f t="shared" si="53"/>
        <v>28.799239874843661</v>
      </c>
      <c r="BS30" s="772">
        <f t="shared" si="53"/>
        <v>24.984797496873238</v>
      </c>
      <c r="BT30" s="772">
        <f t="shared" si="53"/>
        <v>6.06</v>
      </c>
      <c r="BU30" s="764">
        <f t="shared" si="54"/>
        <v>14.512400000000001</v>
      </c>
      <c r="BV30" s="764">
        <f t="shared" si="54"/>
        <v>7.7742222222222228</v>
      </c>
      <c r="BW30" s="764">
        <f t="shared" si="55"/>
        <v>4.1862222222222227</v>
      </c>
      <c r="BX30" s="772">
        <f t="shared" si="56"/>
        <v>0</v>
      </c>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row>
    <row r="31" spans="1:113">
      <c r="A31" s="274">
        <v>2041</v>
      </c>
      <c r="B31" s="761">
        <v>11.5</v>
      </c>
      <c r="C31" s="762">
        <v>70</v>
      </c>
      <c r="D31" s="761">
        <v>65.349999999999994</v>
      </c>
      <c r="E31" s="761">
        <v>90.354814546616211</v>
      </c>
      <c r="F31" s="761"/>
      <c r="G31" s="769">
        <f t="shared" si="57"/>
        <v>70</v>
      </c>
      <c r="H31" s="763"/>
      <c r="I31" s="763"/>
      <c r="J31" s="763"/>
      <c r="K31" s="761"/>
      <c r="L31" s="763"/>
      <c r="M31" s="763"/>
      <c r="N31" s="763"/>
      <c r="O31" s="763"/>
      <c r="P31" s="763"/>
      <c r="Q31" s="769">
        <f t="shared" si="58"/>
        <v>70</v>
      </c>
      <c r="R31" s="769">
        <f t="shared" si="59"/>
        <v>11.5</v>
      </c>
      <c r="S31" s="761"/>
      <c r="T31" s="761">
        <v>76.840909090909022</v>
      </c>
      <c r="U31" s="763"/>
      <c r="V31" s="771">
        <f t="shared" si="60"/>
        <v>35</v>
      </c>
      <c r="W31" s="761">
        <v>6</v>
      </c>
      <c r="X31" s="769">
        <f t="shared" si="61"/>
        <v>70</v>
      </c>
      <c r="Y31" s="769">
        <f t="shared" si="62"/>
        <v>70</v>
      </c>
      <c r="Z31" s="764">
        <v>24.541539595174505</v>
      </c>
      <c r="AA31" s="764">
        <v>24.541539595174505</v>
      </c>
      <c r="AB31" s="765">
        <v>29</v>
      </c>
      <c r="AC31" s="765">
        <v>24</v>
      </c>
      <c r="AD31" s="764">
        <f>0.0153846153846154*Z31+0.984615384615385*AB31+1.4/5.54*80*78%</f>
        <v>44.700361370056292</v>
      </c>
      <c r="AE31" s="764">
        <f t="shared" si="36"/>
        <v>28.777076979758721</v>
      </c>
      <c r="AF31" s="764">
        <v>24.541539595174505</v>
      </c>
      <c r="AG31" s="765">
        <v>6.06</v>
      </c>
      <c r="AH31" s="772">
        <f t="shared" si="63"/>
        <v>14.512400000000001</v>
      </c>
      <c r="AI31" s="772">
        <f t="shared" si="64"/>
        <v>7.7742222222222228</v>
      </c>
      <c r="AJ31" s="772">
        <f t="shared" si="65"/>
        <v>4.1862222222222227</v>
      </c>
      <c r="AK31" s="766">
        <v>0</v>
      </c>
      <c r="AL31" s="6"/>
      <c r="AM31" s="6"/>
      <c r="AN31" s="6"/>
      <c r="AO31" s="772">
        <f>'Fuel Costs'!B31*AO$61</f>
        <v>10.890499999999999</v>
      </c>
      <c r="AP31" s="772">
        <f>'Fuel Costs'!C31/AP$61</f>
        <v>3.7177777777777781</v>
      </c>
      <c r="AQ31" s="772">
        <f>'Fuel Costs'!D31/AQ$61</f>
        <v>11.151877133105801</v>
      </c>
      <c r="AR31" s="772">
        <f>'Fuel Costs'!E31/AR$61</f>
        <v>15.41491192499833</v>
      </c>
      <c r="AS31" s="764">
        <v>-2.7635193673339691</v>
      </c>
      <c r="AT31" s="772">
        <f>'Fuel Costs'!G31/AT$61</f>
        <v>4.666666666666667</v>
      </c>
      <c r="AU31" s="6"/>
      <c r="AV31" s="6"/>
      <c r="AW31" s="6"/>
      <c r="AX31" s="764">
        <v>3.5681818181818183</v>
      </c>
      <c r="AY31" s="6"/>
      <c r="AZ31" s="6"/>
      <c r="BA31" s="6"/>
      <c r="BB31" s="6"/>
      <c r="BC31" s="6"/>
      <c r="BD31" s="772">
        <f>'Fuel Costs'!Q31/BD$61</f>
        <v>3.7177777777777781</v>
      </c>
      <c r="BE31" s="772">
        <f>'Fuel Costs'!R31*BE$61</f>
        <v>10.890499999999999</v>
      </c>
      <c r="BF31" s="764">
        <v>1.0833342000000008</v>
      </c>
      <c r="BG31" s="772">
        <f>'Fuel Costs'!T31/BG$61</f>
        <v>5.1227272727272686</v>
      </c>
      <c r="BH31" s="772"/>
      <c r="BI31" s="772">
        <f>'Fuel Costs'!V31/BI$61</f>
        <v>2.39</v>
      </c>
      <c r="BJ31" s="772">
        <f>'Fuel Costs'!W31*BJ$61</f>
        <v>5.6819999999999995</v>
      </c>
      <c r="BK31" s="772">
        <f>'Fuel Costs'!X31/BK$61</f>
        <v>3.7177777777777781</v>
      </c>
      <c r="BL31" s="772">
        <f>'Fuel Costs'!Y31/BL$61</f>
        <v>3.7177777777777781</v>
      </c>
      <c r="BM31" s="772">
        <f t="shared" si="53"/>
        <v>24.541539595174505</v>
      </c>
      <c r="BN31" s="772">
        <f t="shared" si="53"/>
        <v>24.541539595174505</v>
      </c>
      <c r="BO31" s="772">
        <f t="shared" si="41"/>
        <v>29</v>
      </c>
      <c r="BP31" s="772">
        <f t="shared" si="42"/>
        <v>24</v>
      </c>
      <c r="BQ31" s="772">
        <f t="shared" si="53"/>
        <v>44.700361370056292</v>
      </c>
      <c r="BR31" s="772">
        <f t="shared" si="53"/>
        <v>28.777076979758721</v>
      </c>
      <c r="BS31" s="772">
        <f t="shared" si="53"/>
        <v>24.541539595174505</v>
      </c>
      <c r="BT31" s="772">
        <f t="shared" si="53"/>
        <v>6.06</v>
      </c>
      <c r="BU31" s="764">
        <f t="shared" si="54"/>
        <v>14.512400000000001</v>
      </c>
      <c r="BV31" s="764">
        <f t="shared" si="54"/>
        <v>7.7742222222222228</v>
      </c>
      <c r="BW31" s="764">
        <f t="shared" si="55"/>
        <v>4.1862222222222227</v>
      </c>
      <c r="BX31" s="772">
        <f t="shared" si="56"/>
        <v>0</v>
      </c>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row>
    <row r="32" spans="1:113">
      <c r="A32" s="274">
        <v>2042</v>
      </c>
      <c r="B32" s="761">
        <v>11.5</v>
      </c>
      <c r="C32" s="762">
        <v>70</v>
      </c>
      <c r="D32" s="761">
        <v>65.199999999999989</v>
      </c>
      <c r="E32" s="761">
        <v>90.207755723086791</v>
      </c>
      <c r="F32" s="761"/>
      <c r="G32" s="769">
        <f t="shared" si="57"/>
        <v>70</v>
      </c>
      <c r="H32" s="763"/>
      <c r="I32" s="763"/>
      <c r="J32" s="763"/>
      <c r="K32" s="761"/>
      <c r="L32" s="763"/>
      <c r="M32" s="763"/>
      <c r="N32" s="763"/>
      <c r="O32" s="763"/>
      <c r="P32" s="763"/>
      <c r="Q32" s="769">
        <f t="shared" si="58"/>
        <v>70</v>
      </c>
      <c r="R32" s="769">
        <f t="shared" si="59"/>
        <v>11.5</v>
      </c>
      <c r="S32" s="761"/>
      <c r="T32" s="761">
        <v>76.840909090909022</v>
      </c>
      <c r="U32" s="763"/>
      <c r="V32" s="771">
        <f t="shared" si="60"/>
        <v>35</v>
      </c>
      <c r="W32" s="761">
        <v>6</v>
      </c>
      <c r="X32" s="769">
        <f t="shared" si="61"/>
        <v>70</v>
      </c>
      <c r="Y32" s="769">
        <f t="shared" si="62"/>
        <v>70</v>
      </c>
      <c r="Z32" s="764">
        <v>24.397560661622066</v>
      </c>
      <c r="AA32" s="764">
        <v>24.397560661622066</v>
      </c>
      <c r="AB32" s="765">
        <v>29</v>
      </c>
      <c r="AC32" s="765">
        <v>24</v>
      </c>
      <c r="AD32" s="764">
        <f t="shared" ref="AD32:AD40" si="67">0.0153846153846154*Z32+0.984615384615385*AB32+1.4/5.54*80*78%</f>
        <v>44.698146309540107</v>
      </c>
      <c r="AE32" s="764">
        <f t="shared" si="36"/>
        <v>28.769878033081099</v>
      </c>
      <c r="AF32" s="764">
        <v>24.397560661622066</v>
      </c>
      <c r="AG32" s="765">
        <v>6.06</v>
      </c>
      <c r="AH32" s="772">
        <f t="shared" si="63"/>
        <v>14.512400000000001</v>
      </c>
      <c r="AI32" s="772">
        <f t="shared" si="64"/>
        <v>7.7742222222222228</v>
      </c>
      <c r="AJ32" s="772">
        <f t="shared" si="65"/>
        <v>4.1862222222222227</v>
      </c>
      <c r="AK32" s="766">
        <v>0</v>
      </c>
      <c r="AL32" s="6"/>
      <c r="AM32" s="6"/>
      <c r="AN32" s="6"/>
      <c r="AO32" s="772">
        <f>'Fuel Costs'!B32*AO$61</f>
        <v>10.890499999999999</v>
      </c>
      <c r="AP32" s="772">
        <f>'Fuel Costs'!C32/AP$61</f>
        <v>3.7177777777777781</v>
      </c>
      <c r="AQ32" s="772">
        <f>'Fuel Costs'!D32/AQ$61</f>
        <v>11.126279863481226</v>
      </c>
      <c r="AR32" s="772">
        <f>'Fuel Costs'!E32/AR$61</f>
        <v>15.389823070310568</v>
      </c>
      <c r="AS32" s="764">
        <v>-2.7635193673339691</v>
      </c>
      <c r="AT32" s="772">
        <f>'Fuel Costs'!G32/AT$61</f>
        <v>4.666666666666667</v>
      </c>
      <c r="AU32" s="6"/>
      <c r="AV32" s="6"/>
      <c r="AW32" s="6"/>
      <c r="AX32" s="764">
        <v>3.5681818181818183</v>
      </c>
      <c r="AY32" s="6"/>
      <c r="AZ32" s="6"/>
      <c r="BA32" s="6"/>
      <c r="BB32" s="6"/>
      <c r="BC32" s="6"/>
      <c r="BD32" s="772">
        <f>'Fuel Costs'!Q32/BD$61</f>
        <v>3.7177777777777781</v>
      </c>
      <c r="BE32" s="772">
        <f>'Fuel Costs'!R32*BE$61</f>
        <v>10.890499999999999</v>
      </c>
      <c r="BF32" s="764">
        <v>1.0833342000000008</v>
      </c>
      <c r="BG32" s="772">
        <f>'Fuel Costs'!T32/BG$61</f>
        <v>5.1227272727272686</v>
      </c>
      <c r="BH32" s="772"/>
      <c r="BI32" s="772">
        <f>'Fuel Costs'!V32/BI$61</f>
        <v>2.39</v>
      </c>
      <c r="BJ32" s="772">
        <f>'Fuel Costs'!W32*BJ$61</f>
        <v>5.6819999999999995</v>
      </c>
      <c r="BK32" s="772">
        <f>'Fuel Costs'!X32/BK$61</f>
        <v>3.7177777777777781</v>
      </c>
      <c r="BL32" s="772">
        <f>'Fuel Costs'!Y32/BL$61</f>
        <v>3.7177777777777781</v>
      </c>
      <c r="BM32" s="772">
        <f t="shared" si="53"/>
        <v>24.397560661622066</v>
      </c>
      <c r="BN32" s="772">
        <f t="shared" si="53"/>
        <v>24.397560661622066</v>
      </c>
      <c r="BO32" s="772">
        <f t="shared" si="41"/>
        <v>29</v>
      </c>
      <c r="BP32" s="772">
        <f t="shared" si="42"/>
        <v>24</v>
      </c>
      <c r="BQ32" s="772">
        <f t="shared" si="53"/>
        <v>44.698146309540107</v>
      </c>
      <c r="BR32" s="772">
        <f t="shared" si="53"/>
        <v>28.769878033081099</v>
      </c>
      <c r="BS32" s="772">
        <f t="shared" si="53"/>
        <v>24.397560661622066</v>
      </c>
      <c r="BT32" s="772">
        <f t="shared" si="53"/>
        <v>6.06</v>
      </c>
      <c r="BU32" s="764">
        <f t="shared" si="54"/>
        <v>14.512400000000001</v>
      </c>
      <c r="BV32" s="764">
        <f t="shared" si="54"/>
        <v>7.7742222222222228</v>
      </c>
      <c r="BW32" s="764">
        <f t="shared" si="55"/>
        <v>4.1862222222222227</v>
      </c>
      <c r="BX32" s="772">
        <f t="shared" si="56"/>
        <v>0</v>
      </c>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row>
    <row r="33" spans="1:113">
      <c r="A33" s="274">
        <v>2043</v>
      </c>
      <c r="B33" s="761">
        <v>11.5</v>
      </c>
      <c r="C33" s="762">
        <v>70</v>
      </c>
      <c r="D33" s="761">
        <v>65.049999999999983</v>
      </c>
      <c r="E33" s="761">
        <v>90.060696899557371</v>
      </c>
      <c r="F33" s="761"/>
      <c r="G33" s="769">
        <f t="shared" si="57"/>
        <v>70</v>
      </c>
      <c r="H33" s="763"/>
      <c r="I33" s="763"/>
      <c r="J33" s="763"/>
      <c r="K33" s="761"/>
      <c r="L33" s="763"/>
      <c r="M33" s="763"/>
      <c r="N33" s="763"/>
      <c r="O33" s="763"/>
      <c r="P33" s="763"/>
      <c r="Q33" s="769">
        <f t="shared" si="58"/>
        <v>70</v>
      </c>
      <c r="R33" s="769">
        <f t="shared" si="59"/>
        <v>11.5</v>
      </c>
      <c r="S33" s="761"/>
      <c r="T33" s="761">
        <v>76.840909090909022</v>
      </c>
      <c r="U33" s="763"/>
      <c r="V33" s="771">
        <f t="shared" si="60"/>
        <v>35</v>
      </c>
      <c r="W33" s="761">
        <v>6</v>
      </c>
      <c r="X33" s="769">
        <f t="shared" si="61"/>
        <v>70</v>
      </c>
      <c r="Y33" s="769">
        <f t="shared" si="62"/>
        <v>70</v>
      </c>
      <c r="Z33" s="764">
        <v>24.054405743780581</v>
      </c>
      <c r="AA33" s="764">
        <v>24.054405743780581</v>
      </c>
      <c r="AB33" s="765">
        <v>29</v>
      </c>
      <c r="AC33" s="765">
        <v>24</v>
      </c>
      <c r="AD33" s="764">
        <f t="shared" si="67"/>
        <v>44.692867003111772</v>
      </c>
      <c r="AE33" s="764">
        <f t="shared" si="36"/>
        <v>28.752720287189028</v>
      </c>
      <c r="AF33" s="764">
        <v>24.054405743780581</v>
      </c>
      <c r="AG33" s="765">
        <v>6.06</v>
      </c>
      <c r="AH33" s="772">
        <f t="shared" si="63"/>
        <v>14.512400000000001</v>
      </c>
      <c r="AI33" s="772">
        <f t="shared" si="64"/>
        <v>7.7742222222222228</v>
      </c>
      <c r="AJ33" s="772">
        <f t="shared" si="65"/>
        <v>4.1862222222222227</v>
      </c>
      <c r="AK33" s="766">
        <v>0</v>
      </c>
      <c r="AL33" s="6"/>
      <c r="AM33" s="6"/>
      <c r="AN33" s="6"/>
      <c r="AO33" s="772">
        <f>'Fuel Costs'!B33*AO$61</f>
        <v>10.890499999999999</v>
      </c>
      <c r="AP33" s="772">
        <f>'Fuel Costs'!C33/AP$61</f>
        <v>3.7177777777777781</v>
      </c>
      <c r="AQ33" s="772">
        <f>'Fuel Costs'!D33/AQ$61</f>
        <v>11.100682593856652</v>
      </c>
      <c r="AR33" s="772">
        <f>'Fuel Costs'!E33/AR$61</f>
        <v>15.364734215622804</v>
      </c>
      <c r="AS33" s="764">
        <v>-2.7635193673339691</v>
      </c>
      <c r="AT33" s="772">
        <f>'Fuel Costs'!G33/AT$61</f>
        <v>4.666666666666667</v>
      </c>
      <c r="AU33" s="6"/>
      <c r="AV33" s="6"/>
      <c r="AW33" s="6"/>
      <c r="AX33" s="764">
        <v>3.5681818181818183</v>
      </c>
      <c r="AY33" s="6"/>
      <c r="AZ33" s="6"/>
      <c r="BA33" s="6"/>
      <c r="BB33" s="6"/>
      <c r="BC33" s="6"/>
      <c r="BD33" s="772">
        <f>'Fuel Costs'!Q33/BD$61</f>
        <v>3.7177777777777781</v>
      </c>
      <c r="BE33" s="772">
        <f>'Fuel Costs'!R33*BE$61</f>
        <v>10.890499999999999</v>
      </c>
      <c r="BF33" s="764">
        <v>1.0833342000000008</v>
      </c>
      <c r="BG33" s="772">
        <f>'Fuel Costs'!T33/BG$61</f>
        <v>5.1227272727272686</v>
      </c>
      <c r="BH33" s="772"/>
      <c r="BI33" s="772">
        <f>'Fuel Costs'!V33/BI$61</f>
        <v>2.39</v>
      </c>
      <c r="BJ33" s="772">
        <f>'Fuel Costs'!W33*BJ$61</f>
        <v>5.6819999999999995</v>
      </c>
      <c r="BK33" s="772">
        <f>'Fuel Costs'!X33/BK$61</f>
        <v>3.7177777777777781</v>
      </c>
      <c r="BL33" s="772">
        <f>'Fuel Costs'!Y33/BL$61</f>
        <v>3.7177777777777781</v>
      </c>
      <c r="BM33" s="772">
        <f t="shared" si="53"/>
        <v>24.054405743780581</v>
      </c>
      <c r="BN33" s="772">
        <f t="shared" si="53"/>
        <v>24.054405743780581</v>
      </c>
      <c r="BO33" s="772">
        <f t="shared" si="41"/>
        <v>29</v>
      </c>
      <c r="BP33" s="772">
        <f t="shared" si="42"/>
        <v>24</v>
      </c>
      <c r="BQ33" s="772">
        <f t="shared" si="53"/>
        <v>44.692867003111772</v>
      </c>
      <c r="BR33" s="772">
        <f t="shared" si="53"/>
        <v>28.752720287189028</v>
      </c>
      <c r="BS33" s="772">
        <f t="shared" si="53"/>
        <v>24.054405743780581</v>
      </c>
      <c r="BT33" s="772">
        <f t="shared" si="53"/>
        <v>6.06</v>
      </c>
      <c r="BU33" s="764">
        <f t="shared" si="54"/>
        <v>14.512400000000001</v>
      </c>
      <c r="BV33" s="764">
        <f t="shared" si="54"/>
        <v>7.7742222222222228</v>
      </c>
      <c r="BW33" s="764">
        <f t="shared" si="55"/>
        <v>4.1862222222222227</v>
      </c>
      <c r="BX33" s="772">
        <f t="shared" si="56"/>
        <v>0</v>
      </c>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row>
    <row r="34" spans="1:113">
      <c r="A34" s="274">
        <v>2044</v>
      </c>
      <c r="B34" s="761">
        <v>11.5</v>
      </c>
      <c r="C34" s="762">
        <v>70</v>
      </c>
      <c r="D34" s="761">
        <v>64.899999999999977</v>
      </c>
      <c r="E34" s="761">
        <v>89.913638076027951</v>
      </c>
      <c r="F34" s="761"/>
      <c r="G34" s="769">
        <f t="shared" si="57"/>
        <v>70</v>
      </c>
      <c r="H34" s="763"/>
      <c r="I34" s="763"/>
      <c r="J34" s="763"/>
      <c r="K34" s="761"/>
      <c r="L34" s="763"/>
      <c r="M34" s="763"/>
      <c r="N34" s="763"/>
      <c r="O34" s="763"/>
      <c r="P34" s="763"/>
      <c r="Q34" s="769">
        <f t="shared" si="58"/>
        <v>70</v>
      </c>
      <c r="R34" s="769">
        <f t="shared" si="59"/>
        <v>11.5</v>
      </c>
      <c r="S34" s="761"/>
      <c r="T34" s="761">
        <v>76.840909090909022</v>
      </c>
      <c r="U34" s="763"/>
      <c r="V34" s="771">
        <f t="shared" si="60"/>
        <v>35</v>
      </c>
      <c r="W34" s="761">
        <v>6</v>
      </c>
      <c r="X34" s="769">
        <f t="shared" si="61"/>
        <v>70</v>
      </c>
      <c r="Y34" s="769">
        <f t="shared" si="62"/>
        <v>70</v>
      </c>
      <c r="Z34" s="764">
        <v>23.879572414304988</v>
      </c>
      <c r="AA34" s="764">
        <v>23.879572414304988</v>
      </c>
      <c r="AB34" s="765">
        <v>29</v>
      </c>
      <c r="AC34" s="765">
        <v>24</v>
      </c>
      <c r="AD34" s="764">
        <f t="shared" si="67"/>
        <v>44.690177259581375</v>
      </c>
      <c r="AE34" s="764">
        <f t="shared" si="36"/>
        <v>28.743978620715247</v>
      </c>
      <c r="AF34" s="764">
        <v>23.879572414304988</v>
      </c>
      <c r="AG34" s="765">
        <v>6.06</v>
      </c>
      <c r="AH34" s="772">
        <f t="shared" si="63"/>
        <v>14.512400000000001</v>
      </c>
      <c r="AI34" s="772">
        <f t="shared" si="64"/>
        <v>7.7742222222222228</v>
      </c>
      <c r="AJ34" s="772">
        <f t="shared" si="65"/>
        <v>4.1862222222222227</v>
      </c>
      <c r="AK34" s="766">
        <v>0</v>
      </c>
      <c r="AL34" s="6"/>
      <c r="AM34" s="6"/>
      <c r="AN34" s="6"/>
      <c r="AO34" s="772">
        <f>'Fuel Costs'!B34*AO$61</f>
        <v>10.890499999999999</v>
      </c>
      <c r="AP34" s="772">
        <f>'Fuel Costs'!C34/AP$61</f>
        <v>3.7177777777777781</v>
      </c>
      <c r="AQ34" s="772">
        <f>'Fuel Costs'!D34/AQ$61</f>
        <v>11.075085324232077</v>
      </c>
      <c r="AR34" s="772">
        <f>'Fuel Costs'!E34/AR$61</f>
        <v>15.339645360935041</v>
      </c>
      <c r="AS34" s="764">
        <v>-2.7635193673339691</v>
      </c>
      <c r="AT34" s="772">
        <f>'Fuel Costs'!G34/AT$61</f>
        <v>4.666666666666667</v>
      </c>
      <c r="AU34" s="6"/>
      <c r="AV34" s="6"/>
      <c r="AW34" s="6"/>
      <c r="AX34" s="764">
        <v>3.5681818181818183</v>
      </c>
      <c r="AY34" s="6"/>
      <c r="AZ34" s="6"/>
      <c r="BA34" s="6"/>
      <c r="BB34" s="6"/>
      <c r="BC34" s="6"/>
      <c r="BD34" s="772">
        <f>'Fuel Costs'!Q34/BD$61</f>
        <v>3.7177777777777781</v>
      </c>
      <c r="BE34" s="772">
        <f>'Fuel Costs'!R34*BE$61</f>
        <v>10.890499999999999</v>
      </c>
      <c r="BF34" s="764">
        <v>1.0833342000000008</v>
      </c>
      <c r="BG34" s="772">
        <f>'Fuel Costs'!T34/BG$61</f>
        <v>5.1227272727272686</v>
      </c>
      <c r="BH34" s="772"/>
      <c r="BI34" s="772">
        <f>'Fuel Costs'!V34/BI$61</f>
        <v>2.39</v>
      </c>
      <c r="BJ34" s="772">
        <f>'Fuel Costs'!W34*BJ$61</f>
        <v>5.6819999999999995</v>
      </c>
      <c r="BK34" s="772">
        <f>'Fuel Costs'!X34/BK$61</f>
        <v>3.7177777777777781</v>
      </c>
      <c r="BL34" s="772">
        <f>'Fuel Costs'!Y34/BL$61</f>
        <v>3.7177777777777781</v>
      </c>
      <c r="BM34" s="772">
        <f t="shared" si="53"/>
        <v>23.879572414304988</v>
      </c>
      <c r="BN34" s="772">
        <f t="shared" si="53"/>
        <v>23.879572414304988</v>
      </c>
      <c r="BO34" s="772">
        <f t="shared" si="41"/>
        <v>29</v>
      </c>
      <c r="BP34" s="772">
        <f t="shared" si="42"/>
        <v>24</v>
      </c>
      <c r="BQ34" s="772">
        <f t="shared" si="53"/>
        <v>44.690177259581375</v>
      </c>
      <c r="BR34" s="772">
        <f t="shared" si="53"/>
        <v>28.743978620715247</v>
      </c>
      <c r="BS34" s="772">
        <f t="shared" si="53"/>
        <v>23.879572414304988</v>
      </c>
      <c r="BT34" s="772">
        <f t="shared" si="53"/>
        <v>6.06</v>
      </c>
      <c r="BU34" s="764">
        <f t="shared" si="54"/>
        <v>14.512400000000001</v>
      </c>
      <c r="BV34" s="764">
        <f t="shared" si="54"/>
        <v>7.7742222222222228</v>
      </c>
      <c r="BW34" s="764">
        <f t="shared" si="55"/>
        <v>4.1862222222222227</v>
      </c>
      <c r="BX34" s="772">
        <f t="shared" si="56"/>
        <v>0</v>
      </c>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row>
    <row r="35" spans="1:113">
      <c r="A35" s="274">
        <v>2045</v>
      </c>
      <c r="B35" s="761">
        <v>11.5</v>
      </c>
      <c r="C35" s="762">
        <v>70</v>
      </c>
      <c r="D35" s="761">
        <v>64.75</v>
      </c>
      <c r="E35" s="761">
        <v>89.766579252498559</v>
      </c>
      <c r="F35" s="761"/>
      <c r="G35" s="769">
        <f t="shared" si="57"/>
        <v>70</v>
      </c>
      <c r="H35" s="763"/>
      <c r="I35" s="763"/>
      <c r="J35" s="763"/>
      <c r="K35" s="761"/>
      <c r="L35" s="763"/>
      <c r="M35" s="763"/>
      <c r="N35" s="763"/>
      <c r="O35" s="763"/>
      <c r="P35" s="763"/>
      <c r="Q35" s="769">
        <f t="shared" si="58"/>
        <v>70</v>
      </c>
      <c r="R35" s="769">
        <f t="shared" si="59"/>
        <v>11.5</v>
      </c>
      <c r="S35" s="761"/>
      <c r="T35" s="761">
        <v>76.840909090909022</v>
      </c>
      <c r="U35" s="763"/>
      <c r="V35" s="771">
        <f t="shared" si="60"/>
        <v>35</v>
      </c>
      <c r="W35" s="761">
        <v>6</v>
      </c>
      <c r="X35" s="769">
        <f t="shared" si="61"/>
        <v>70</v>
      </c>
      <c r="Y35" s="769">
        <f t="shared" si="62"/>
        <v>70</v>
      </c>
      <c r="Z35" s="764">
        <v>24.01353757302504</v>
      </c>
      <c r="AA35" s="764">
        <v>24.01353757302504</v>
      </c>
      <c r="AB35" s="765">
        <v>29</v>
      </c>
      <c r="AC35" s="765">
        <v>24</v>
      </c>
      <c r="AD35" s="764">
        <f t="shared" si="67"/>
        <v>44.692238262023224</v>
      </c>
      <c r="AE35" s="764">
        <f t="shared" si="36"/>
        <v>28.750676878651248</v>
      </c>
      <c r="AF35" s="764">
        <v>24.01353757302504</v>
      </c>
      <c r="AG35" s="765">
        <v>6.06</v>
      </c>
      <c r="AH35" s="772">
        <f t="shared" si="63"/>
        <v>14.512400000000001</v>
      </c>
      <c r="AI35" s="772">
        <f t="shared" si="64"/>
        <v>7.7742222222222228</v>
      </c>
      <c r="AJ35" s="772">
        <f t="shared" si="65"/>
        <v>4.1862222222222227</v>
      </c>
      <c r="AK35" s="766">
        <v>0</v>
      </c>
      <c r="AL35" s="6"/>
      <c r="AM35" s="6"/>
      <c r="AN35" s="6"/>
      <c r="AO35" s="772">
        <f>'Fuel Costs'!B35*AO$61</f>
        <v>10.890499999999999</v>
      </c>
      <c r="AP35" s="772">
        <f>'Fuel Costs'!C35/AP$61</f>
        <v>3.7177777777777781</v>
      </c>
      <c r="AQ35" s="772">
        <f>'Fuel Costs'!D35/AQ$61</f>
        <v>11.049488054607508</v>
      </c>
      <c r="AR35" s="772">
        <f>'Fuel Costs'!E35/AR$61</f>
        <v>15.314556506247282</v>
      </c>
      <c r="AS35" s="764">
        <v>-2.7635193673339691</v>
      </c>
      <c r="AT35" s="772">
        <f>'Fuel Costs'!G35/AT$61</f>
        <v>4.666666666666667</v>
      </c>
      <c r="AU35" s="6"/>
      <c r="AV35" s="6"/>
      <c r="AW35" s="6"/>
      <c r="AX35" s="764">
        <v>3.5681818181818183</v>
      </c>
      <c r="AY35" s="6"/>
      <c r="AZ35" s="6"/>
      <c r="BA35" s="6"/>
      <c r="BB35" s="6"/>
      <c r="BC35" s="6"/>
      <c r="BD35" s="772">
        <f>'Fuel Costs'!Q35/BD$61</f>
        <v>3.7177777777777781</v>
      </c>
      <c r="BE35" s="772">
        <f>'Fuel Costs'!R35*BE$61</f>
        <v>10.890499999999999</v>
      </c>
      <c r="BF35" s="764">
        <v>1.0833342000000008</v>
      </c>
      <c r="BG35" s="772">
        <f>'Fuel Costs'!T35/BG$61</f>
        <v>5.1227272727272686</v>
      </c>
      <c r="BH35" s="772"/>
      <c r="BI35" s="772">
        <f>'Fuel Costs'!V35/BI$61</f>
        <v>2.39</v>
      </c>
      <c r="BJ35" s="772">
        <f>'Fuel Costs'!W35*BJ$61</f>
        <v>5.6819999999999995</v>
      </c>
      <c r="BK35" s="772">
        <f>'Fuel Costs'!X35/BK$61</f>
        <v>3.7177777777777781</v>
      </c>
      <c r="BL35" s="772">
        <f>'Fuel Costs'!Y35/BL$61</f>
        <v>3.7177777777777781</v>
      </c>
      <c r="BM35" s="772">
        <f t="shared" si="53"/>
        <v>24.01353757302504</v>
      </c>
      <c r="BN35" s="772">
        <f t="shared" si="53"/>
        <v>24.01353757302504</v>
      </c>
      <c r="BO35" s="772">
        <f t="shared" si="41"/>
        <v>29</v>
      </c>
      <c r="BP35" s="772">
        <f t="shared" si="42"/>
        <v>24</v>
      </c>
      <c r="BQ35" s="772">
        <f t="shared" si="53"/>
        <v>44.692238262023224</v>
      </c>
      <c r="BR35" s="772">
        <f t="shared" si="53"/>
        <v>28.750676878651248</v>
      </c>
      <c r="BS35" s="772">
        <f t="shared" si="53"/>
        <v>24.01353757302504</v>
      </c>
      <c r="BT35" s="772">
        <f t="shared" si="53"/>
        <v>6.06</v>
      </c>
      <c r="BU35" s="764">
        <f t="shared" si="54"/>
        <v>14.512400000000001</v>
      </c>
      <c r="BV35" s="764">
        <f t="shared" si="54"/>
        <v>7.7742222222222228</v>
      </c>
      <c r="BW35" s="764">
        <f t="shared" si="55"/>
        <v>4.1862222222222227</v>
      </c>
      <c r="BX35" s="772">
        <f t="shared" si="56"/>
        <v>0</v>
      </c>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row>
    <row r="36" spans="1:113">
      <c r="A36" s="274">
        <v>2046</v>
      </c>
      <c r="B36" s="761">
        <v>11.5</v>
      </c>
      <c r="C36" s="762">
        <v>70</v>
      </c>
      <c r="D36" s="761">
        <v>64.599999999999994</v>
      </c>
      <c r="E36" s="761">
        <v>89.619520428969153</v>
      </c>
      <c r="F36" s="761"/>
      <c r="G36" s="769">
        <f t="shared" si="57"/>
        <v>70</v>
      </c>
      <c r="H36" s="763"/>
      <c r="I36" s="763"/>
      <c r="J36" s="763"/>
      <c r="K36" s="761"/>
      <c r="L36" s="763"/>
      <c r="M36" s="763"/>
      <c r="N36" s="763"/>
      <c r="O36" s="763"/>
      <c r="P36" s="763"/>
      <c r="Q36" s="769">
        <f t="shared" si="58"/>
        <v>70</v>
      </c>
      <c r="R36" s="769">
        <f t="shared" si="59"/>
        <v>11.5</v>
      </c>
      <c r="S36" s="761"/>
      <c r="T36" s="761">
        <v>76.840909090909022</v>
      </c>
      <c r="U36" s="763"/>
      <c r="V36" s="771">
        <f t="shared" si="60"/>
        <v>35</v>
      </c>
      <c r="W36" s="761">
        <v>6</v>
      </c>
      <c r="X36" s="769">
        <f t="shared" si="61"/>
        <v>70</v>
      </c>
      <c r="Y36" s="769">
        <f t="shared" si="62"/>
        <v>70</v>
      </c>
      <c r="Z36" s="764">
        <v>24.021245173779349</v>
      </c>
      <c r="AA36" s="764">
        <v>24.021245173779349</v>
      </c>
      <c r="AB36" s="765">
        <v>29</v>
      </c>
      <c r="AC36" s="765">
        <v>24</v>
      </c>
      <c r="AD36" s="764">
        <f t="shared" si="67"/>
        <v>44.692356840496373</v>
      </c>
      <c r="AE36" s="764">
        <f t="shared" si="36"/>
        <v>28.751062258688965</v>
      </c>
      <c r="AF36" s="764">
        <v>24.021245173779349</v>
      </c>
      <c r="AG36" s="765">
        <v>6.06</v>
      </c>
      <c r="AH36" s="772">
        <f t="shared" si="63"/>
        <v>14.512400000000001</v>
      </c>
      <c r="AI36" s="772">
        <f t="shared" si="64"/>
        <v>7.7742222222222228</v>
      </c>
      <c r="AJ36" s="772">
        <f t="shared" si="65"/>
        <v>4.1862222222222227</v>
      </c>
      <c r="AK36" s="766">
        <v>0</v>
      </c>
      <c r="AL36" s="6"/>
      <c r="AM36" s="6"/>
      <c r="AN36" s="6"/>
      <c r="AO36" s="772">
        <f>'Fuel Costs'!B36*AO$61</f>
        <v>10.890499999999999</v>
      </c>
      <c r="AP36" s="772">
        <f>'Fuel Costs'!C36/AP$61</f>
        <v>3.7177777777777781</v>
      </c>
      <c r="AQ36" s="772">
        <f>'Fuel Costs'!D36/AQ$61</f>
        <v>11.023890784982934</v>
      </c>
      <c r="AR36" s="772">
        <f>'Fuel Costs'!E36/AR$61</f>
        <v>15.289467651559519</v>
      </c>
      <c r="AS36" s="764">
        <v>-2.7635193673339691</v>
      </c>
      <c r="AT36" s="772">
        <f>'Fuel Costs'!G36/AT$61</f>
        <v>4.666666666666667</v>
      </c>
      <c r="AU36" s="6"/>
      <c r="AV36" s="6"/>
      <c r="AW36" s="6"/>
      <c r="AX36" s="764">
        <v>3.5681818181818183</v>
      </c>
      <c r="AY36" s="6"/>
      <c r="AZ36" s="6"/>
      <c r="BA36" s="6"/>
      <c r="BB36" s="6"/>
      <c r="BC36" s="6"/>
      <c r="BD36" s="772">
        <f>'Fuel Costs'!Q36/BD$61</f>
        <v>3.7177777777777781</v>
      </c>
      <c r="BE36" s="772">
        <f>'Fuel Costs'!R36*BE$61</f>
        <v>10.890499999999999</v>
      </c>
      <c r="BF36" s="764">
        <v>1.0833342000000008</v>
      </c>
      <c r="BG36" s="772">
        <f>'Fuel Costs'!T36/BG$61</f>
        <v>5.1227272727272686</v>
      </c>
      <c r="BH36" s="772"/>
      <c r="BI36" s="772">
        <f>'Fuel Costs'!V36/BI$61</f>
        <v>2.39</v>
      </c>
      <c r="BJ36" s="772">
        <f>'Fuel Costs'!W36*BJ$61</f>
        <v>5.6819999999999995</v>
      </c>
      <c r="BK36" s="772">
        <f>'Fuel Costs'!X36/BK$61</f>
        <v>3.7177777777777781</v>
      </c>
      <c r="BL36" s="772">
        <f>'Fuel Costs'!Y36/BL$61</f>
        <v>3.7177777777777781</v>
      </c>
      <c r="BM36" s="772">
        <f>Z36</f>
        <v>24.021245173779349</v>
      </c>
      <c r="BN36" s="772">
        <f t="shared" si="53"/>
        <v>24.021245173779349</v>
      </c>
      <c r="BO36" s="772">
        <f t="shared" si="41"/>
        <v>29</v>
      </c>
      <c r="BP36" s="772">
        <f t="shared" si="42"/>
        <v>24</v>
      </c>
      <c r="BQ36" s="772">
        <f t="shared" si="53"/>
        <v>44.692356840496373</v>
      </c>
      <c r="BR36" s="772">
        <f t="shared" si="53"/>
        <v>28.751062258688965</v>
      </c>
      <c r="BS36" s="772">
        <f t="shared" si="53"/>
        <v>24.021245173779349</v>
      </c>
      <c r="BT36" s="772">
        <f t="shared" si="53"/>
        <v>6.06</v>
      </c>
      <c r="BU36" s="764">
        <f t="shared" si="54"/>
        <v>14.512400000000001</v>
      </c>
      <c r="BV36" s="764">
        <f t="shared" si="54"/>
        <v>7.7742222222222228</v>
      </c>
      <c r="BW36" s="764">
        <f t="shared" si="55"/>
        <v>4.1862222222222227</v>
      </c>
      <c r="BX36" s="772">
        <f t="shared" si="56"/>
        <v>0</v>
      </c>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row>
    <row r="37" spans="1:113">
      <c r="A37" s="274">
        <v>2047</v>
      </c>
      <c r="B37" s="761">
        <v>11.5</v>
      </c>
      <c r="C37" s="762">
        <v>70</v>
      </c>
      <c r="D37" s="761">
        <v>64.449999999999989</v>
      </c>
      <c r="E37" s="761">
        <v>89.472461605439733</v>
      </c>
      <c r="F37" s="761"/>
      <c r="G37" s="769">
        <f t="shared" si="57"/>
        <v>70</v>
      </c>
      <c r="H37" s="763"/>
      <c r="I37" s="763"/>
      <c r="J37" s="763"/>
      <c r="K37" s="761"/>
      <c r="L37" s="763"/>
      <c r="M37" s="763"/>
      <c r="N37" s="763"/>
      <c r="O37" s="763"/>
      <c r="P37" s="763"/>
      <c r="Q37" s="769">
        <f t="shared" si="58"/>
        <v>70</v>
      </c>
      <c r="R37" s="769">
        <f t="shared" si="59"/>
        <v>11.5</v>
      </c>
      <c r="S37" s="761"/>
      <c r="T37" s="761">
        <v>76.840909090909022</v>
      </c>
      <c r="U37" s="763"/>
      <c r="V37" s="771">
        <f t="shared" si="60"/>
        <v>35</v>
      </c>
      <c r="W37" s="761">
        <v>6</v>
      </c>
      <c r="X37" s="769">
        <f t="shared" si="61"/>
        <v>70</v>
      </c>
      <c r="Y37" s="769">
        <f t="shared" si="62"/>
        <v>70</v>
      </c>
      <c r="Z37" s="764">
        <v>23.949253758999511</v>
      </c>
      <c r="AA37" s="764">
        <v>23.949253758999511</v>
      </c>
      <c r="AB37" s="765">
        <v>29</v>
      </c>
      <c r="AC37" s="765">
        <v>24</v>
      </c>
      <c r="AD37" s="764">
        <f t="shared" si="67"/>
        <v>44.691249280268991</v>
      </c>
      <c r="AE37" s="764">
        <f t="shared" si="36"/>
        <v>28.747462687949973</v>
      </c>
      <c r="AF37" s="764">
        <v>23.949253758999511</v>
      </c>
      <c r="AG37" s="765">
        <v>6.06</v>
      </c>
      <c r="AH37" s="772">
        <f t="shared" si="63"/>
        <v>14.512400000000001</v>
      </c>
      <c r="AI37" s="772">
        <f t="shared" si="64"/>
        <v>7.7742222222222228</v>
      </c>
      <c r="AJ37" s="772">
        <f t="shared" si="65"/>
        <v>4.1862222222222227</v>
      </c>
      <c r="AK37" s="766">
        <v>0</v>
      </c>
      <c r="AL37" s="6"/>
      <c r="AM37" s="6"/>
      <c r="AN37" s="6"/>
      <c r="AO37" s="772">
        <f>'Fuel Costs'!B37*AO$61</f>
        <v>10.890499999999999</v>
      </c>
      <c r="AP37" s="772">
        <f>'Fuel Costs'!C37/AP$61</f>
        <v>3.7177777777777781</v>
      </c>
      <c r="AQ37" s="772">
        <f>'Fuel Costs'!D37/AQ$61</f>
        <v>10.998293515358359</v>
      </c>
      <c r="AR37" s="772">
        <f>'Fuel Costs'!E37/AR$61</f>
        <v>15.264378796871757</v>
      </c>
      <c r="AS37" s="764">
        <v>-2.7635193673339691</v>
      </c>
      <c r="AT37" s="772">
        <f>'Fuel Costs'!G37/AT$61</f>
        <v>4.666666666666667</v>
      </c>
      <c r="AU37" s="6"/>
      <c r="AV37" s="6"/>
      <c r="AW37" s="6"/>
      <c r="AX37" s="764">
        <v>3.5681818181818183</v>
      </c>
      <c r="AY37" s="6"/>
      <c r="AZ37" s="6"/>
      <c r="BA37" s="6"/>
      <c r="BB37" s="6"/>
      <c r="BC37" s="6"/>
      <c r="BD37" s="772">
        <f>'Fuel Costs'!Q37/BD$61</f>
        <v>3.7177777777777781</v>
      </c>
      <c r="BE37" s="772">
        <f>'Fuel Costs'!R37*BE$61</f>
        <v>10.890499999999999</v>
      </c>
      <c r="BF37" s="764">
        <v>1.0833342000000008</v>
      </c>
      <c r="BG37" s="772">
        <f>'Fuel Costs'!T37/BG$61</f>
        <v>5.1227272727272686</v>
      </c>
      <c r="BH37" s="772"/>
      <c r="BI37" s="772">
        <f>'Fuel Costs'!V37/BI$61</f>
        <v>2.39</v>
      </c>
      <c r="BJ37" s="772">
        <f>'Fuel Costs'!W37*BJ$61</f>
        <v>5.6819999999999995</v>
      </c>
      <c r="BK37" s="772">
        <f>'Fuel Costs'!X37/BK$61</f>
        <v>3.7177777777777781</v>
      </c>
      <c r="BL37" s="772">
        <f>'Fuel Costs'!Y37/BL$61</f>
        <v>3.7177777777777781</v>
      </c>
      <c r="BM37" s="772">
        <f t="shared" ref="BM37:BT55" si="68">Z37</f>
        <v>23.949253758999511</v>
      </c>
      <c r="BN37" s="772">
        <f t="shared" si="53"/>
        <v>23.949253758999511</v>
      </c>
      <c r="BO37" s="772">
        <f t="shared" si="41"/>
        <v>29</v>
      </c>
      <c r="BP37" s="772">
        <f t="shared" si="42"/>
        <v>24</v>
      </c>
      <c r="BQ37" s="772">
        <f t="shared" si="53"/>
        <v>44.691249280268991</v>
      </c>
      <c r="BR37" s="772">
        <f t="shared" si="53"/>
        <v>28.747462687949973</v>
      </c>
      <c r="BS37" s="772">
        <f t="shared" si="53"/>
        <v>23.949253758999511</v>
      </c>
      <c r="BT37" s="772">
        <f t="shared" si="53"/>
        <v>6.06</v>
      </c>
      <c r="BU37" s="764">
        <f t="shared" si="54"/>
        <v>14.512400000000001</v>
      </c>
      <c r="BV37" s="764">
        <f t="shared" si="54"/>
        <v>7.7742222222222228</v>
      </c>
      <c r="BW37" s="764">
        <f t="shared" si="55"/>
        <v>4.1862222222222227</v>
      </c>
      <c r="BX37" s="772">
        <f t="shared" si="56"/>
        <v>0</v>
      </c>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row>
    <row r="38" spans="1:113">
      <c r="A38" s="274">
        <v>2048</v>
      </c>
      <c r="B38" s="761">
        <v>11.5</v>
      </c>
      <c r="C38" s="762">
        <v>70</v>
      </c>
      <c r="D38" s="761">
        <v>64.299999999999983</v>
      </c>
      <c r="E38" s="761">
        <v>89.325402781910313</v>
      </c>
      <c r="F38" s="761"/>
      <c r="G38" s="769">
        <f t="shared" si="57"/>
        <v>70</v>
      </c>
      <c r="H38" s="763"/>
      <c r="I38" s="763"/>
      <c r="J38" s="763"/>
      <c r="K38" s="761"/>
      <c r="L38" s="763"/>
      <c r="M38" s="763"/>
      <c r="N38" s="763"/>
      <c r="O38" s="763"/>
      <c r="P38" s="763"/>
      <c r="Q38" s="769">
        <f t="shared" si="58"/>
        <v>70</v>
      </c>
      <c r="R38" s="769">
        <f t="shared" si="59"/>
        <v>11.5</v>
      </c>
      <c r="S38" s="761"/>
      <c r="T38" s="761">
        <v>76.840909090909022</v>
      </c>
      <c r="U38" s="763"/>
      <c r="V38" s="771">
        <f t="shared" si="60"/>
        <v>35</v>
      </c>
      <c r="W38" s="761">
        <v>6</v>
      </c>
      <c r="X38" s="769">
        <f t="shared" si="61"/>
        <v>70</v>
      </c>
      <c r="Y38" s="769">
        <f t="shared" si="62"/>
        <v>70</v>
      </c>
      <c r="Z38" s="764">
        <v>23.84920291515753</v>
      </c>
      <c r="AA38" s="764">
        <v>23.84920291515753</v>
      </c>
      <c r="AB38" s="765">
        <v>29</v>
      </c>
      <c r="AC38" s="765">
        <v>24</v>
      </c>
      <c r="AD38" s="764">
        <f t="shared" si="67"/>
        <v>44.689710036517567</v>
      </c>
      <c r="AE38" s="764">
        <f t="shared" si="36"/>
        <v>28.742460145757875</v>
      </c>
      <c r="AF38" s="764">
        <v>23.84920291515753</v>
      </c>
      <c r="AG38" s="765">
        <v>6.06</v>
      </c>
      <c r="AH38" s="772">
        <f t="shared" si="63"/>
        <v>14.512400000000001</v>
      </c>
      <c r="AI38" s="772">
        <f t="shared" si="64"/>
        <v>7.7742222222222228</v>
      </c>
      <c r="AJ38" s="772">
        <f t="shared" si="65"/>
        <v>4.1862222222222227</v>
      </c>
      <c r="AK38" s="766">
        <v>0</v>
      </c>
      <c r="AL38" s="6"/>
      <c r="AM38" s="6"/>
      <c r="AN38" s="6"/>
      <c r="AO38" s="772">
        <f>'Fuel Costs'!B38*AO$61</f>
        <v>10.890499999999999</v>
      </c>
      <c r="AP38" s="772">
        <f>'Fuel Costs'!C38/AP$61</f>
        <v>3.7177777777777781</v>
      </c>
      <c r="AQ38" s="772">
        <f>'Fuel Costs'!D38/AQ$61</f>
        <v>10.972696245733784</v>
      </c>
      <c r="AR38" s="772">
        <f>'Fuel Costs'!E38/AR$61</f>
        <v>15.239289942183992</v>
      </c>
      <c r="AS38" s="764">
        <v>-2.7635193673339691</v>
      </c>
      <c r="AT38" s="772">
        <f>'Fuel Costs'!G38/AT$61</f>
        <v>4.666666666666667</v>
      </c>
      <c r="AU38" s="6"/>
      <c r="AV38" s="6"/>
      <c r="AW38" s="6"/>
      <c r="AX38" s="764">
        <v>3.5681818181818183</v>
      </c>
      <c r="AY38" s="6"/>
      <c r="AZ38" s="6"/>
      <c r="BA38" s="6"/>
      <c r="BB38" s="6"/>
      <c r="BC38" s="6"/>
      <c r="BD38" s="772">
        <f>'Fuel Costs'!Q38/BD$61</f>
        <v>3.7177777777777781</v>
      </c>
      <c r="BE38" s="772">
        <f>'Fuel Costs'!R38*BE$61</f>
        <v>10.890499999999999</v>
      </c>
      <c r="BF38" s="764">
        <v>1.0833342000000008</v>
      </c>
      <c r="BG38" s="772">
        <f>'Fuel Costs'!T38/BG$61</f>
        <v>5.1227272727272686</v>
      </c>
      <c r="BH38" s="772"/>
      <c r="BI38" s="772">
        <f>'Fuel Costs'!V38/BI$61</f>
        <v>2.39</v>
      </c>
      <c r="BJ38" s="772">
        <f>'Fuel Costs'!W38*BJ$61</f>
        <v>5.6819999999999995</v>
      </c>
      <c r="BK38" s="772">
        <f>'Fuel Costs'!X38/BK$61</f>
        <v>3.7177777777777781</v>
      </c>
      <c r="BL38" s="772">
        <f>'Fuel Costs'!Y38/BL$61</f>
        <v>3.7177777777777781</v>
      </c>
      <c r="BM38" s="772">
        <f t="shared" si="68"/>
        <v>23.84920291515753</v>
      </c>
      <c r="BN38" s="772">
        <f t="shared" si="53"/>
        <v>23.84920291515753</v>
      </c>
      <c r="BO38" s="772">
        <f t="shared" si="41"/>
        <v>29</v>
      </c>
      <c r="BP38" s="772">
        <f t="shared" si="42"/>
        <v>24</v>
      </c>
      <c r="BQ38" s="772">
        <f t="shared" si="53"/>
        <v>44.689710036517567</v>
      </c>
      <c r="BR38" s="772">
        <f t="shared" si="53"/>
        <v>28.742460145757875</v>
      </c>
      <c r="BS38" s="772">
        <f t="shared" si="53"/>
        <v>23.84920291515753</v>
      </c>
      <c r="BT38" s="772">
        <f t="shared" si="53"/>
        <v>6.06</v>
      </c>
      <c r="BU38" s="764">
        <f t="shared" si="54"/>
        <v>14.512400000000001</v>
      </c>
      <c r="BV38" s="764">
        <f t="shared" si="54"/>
        <v>7.7742222222222228</v>
      </c>
      <c r="BW38" s="764">
        <f t="shared" si="55"/>
        <v>4.1862222222222227</v>
      </c>
      <c r="BX38" s="772">
        <f t="shared" si="56"/>
        <v>0</v>
      </c>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row>
    <row r="39" spans="1:113">
      <c r="A39" s="274">
        <v>2049</v>
      </c>
      <c r="B39" s="761">
        <v>11.5</v>
      </c>
      <c r="C39" s="762">
        <v>70</v>
      </c>
      <c r="D39" s="761">
        <v>64.149999999999977</v>
      </c>
      <c r="E39" s="761">
        <v>89.178343958380893</v>
      </c>
      <c r="F39" s="761"/>
      <c r="G39" s="769">
        <f t="shared" si="57"/>
        <v>70</v>
      </c>
      <c r="H39" s="763"/>
      <c r="I39" s="763"/>
      <c r="J39" s="763"/>
      <c r="K39" s="761"/>
      <c r="L39" s="763"/>
      <c r="M39" s="763"/>
      <c r="N39" s="763"/>
      <c r="O39" s="763"/>
      <c r="P39" s="763"/>
      <c r="Q39" s="769">
        <f t="shared" si="58"/>
        <v>70</v>
      </c>
      <c r="R39" s="769">
        <f t="shared" si="59"/>
        <v>11.5</v>
      </c>
      <c r="S39" s="761"/>
      <c r="T39" s="761">
        <v>76.840909090909022</v>
      </c>
      <c r="U39" s="763"/>
      <c r="V39" s="771">
        <f t="shared" si="60"/>
        <v>35</v>
      </c>
      <c r="W39" s="761">
        <v>6</v>
      </c>
      <c r="X39" s="769">
        <f t="shared" si="61"/>
        <v>70</v>
      </c>
      <c r="Y39" s="769">
        <f t="shared" si="62"/>
        <v>70</v>
      </c>
      <c r="Z39" s="764">
        <v>23.810087562644764</v>
      </c>
      <c r="AA39" s="764">
        <v>23.810087562644764</v>
      </c>
      <c r="AB39" s="765">
        <v>29</v>
      </c>
      <c r="AC39" s="765">
        <v>24</v>
      </c>
      <c r="AD39" s="764">
        <f t="shared" si="67"/>
        <v>44.689108261863524</v>
      </c>
      <c r="AE39" s="764">
        <f t="shared" si="36"/>
        <v>28.740504378132236</v>
      </c>
      <c r="AF39" s="764">
        <v>23.810087562644764</v>
      </c>
      <c r="AG39" s="765">
        <v>6.06</v>
      </c>
      <c r="AH39" s="772">
        <f t="shared" si="63"/>
        <v>14.512400000000001</v>
      </c>
      <c r="AI39" s="772">
        <f t="shared" si="64"/>
        <v>7.7742222222222228</v>
      </c>
      <c r="AJ39" s="772">
        <f t="shared" si="65"/>
        <v>4.1862222222222227</v>
      </c>
      <c r="AK39" s="766">
        <v>0</v>
      </c>
      <c r="AL39" s="6"/>
      <c r="AM39" s="6"/>
      <c r="AN39" s="6"/>
      <c r="AO39" s="772">
        <f>'Fuel Costs'!B39*AO$61</f>
        <v>10.890499999999999</v>
      </c>
      <c r="AP39" s="772">
        <f>'Fuel Costs'!C39/AP$61</f>
        <v>3.7177777777777781</v>
      </c>
      <c r="AQ39" s="772">
        <f>'Fuel Costs'!D39/AQ$61</f>
        <v>10.94709897610921</v>
      </c>
      <c r="AR39" s="772">
        <f>'Fuel Costs'!E39/AR$61</f>
        <v>15.21420108749623</v>
      </c>
      <c r="AS39" s="764">
        <v>-2.7635193673339691</v>
      </c>
      <c r="AT39" s="772">
        <f>'Fuel Costs'!G39/AT$61</f>
        <v>4.666666666666667</v>
      </c>
      <c r="AU39" s="6"/>
      <c r="AV39" s="6"/>
      <c r="AW39" s="6"/>
      <c r="AX39" s="764">
        <v>3.5681818181818183</v>
      </c>
      <c r="AY39" s="6"/>
      <c r="AZ39" s="6"/>
      <c r="BA39" s="6"/>
      <c r="BB39" s="6"/>
      <c r="BC39" s="6"/>
      <c r="BD39" s="772">
        <f>'Fuel Costs'!Q39/BD$61</f>
        <v>3.7177777777777781</v>
      </c>
      <c r="BE39" s="772">
        <f>'Fuel Costs'!R39*BE$61</f>
        <v>10.890499999999999</v>
      </c>
      <c r="BF39" s="764">
        <v>1.0833342000000008</v>
      </c>
      <c r="BG39" s="772">
        <f>'Fuel Costs'!T39/BG$61</f>
        <v>5.1227272727272686</v>
      </c>
      <c r="BH39" s="772"/>
      <c r="BI39" s="772">
        <f>'Fuel Costs'!V39/BI$61</f>
        <v>2.39</v>
      </c>
      <c r="BJ39" s="772">
        <f>'Fuel Costs'!W39*BJ$61</f>
        <v>5.6819999999999995</v>
      </c>
      <c r="BK39" s="772">
        <f>'Fuel Costs'!X39/BK$61</f>
        <v>3.7177777777777781</v>
      </c>
      <c r="BL39" s="772">
        <f>'Fuel Costs'!Y39/BL$61</f>
        <v>3.7177777777777781</v>
      </c>
      <c r="BM39" s="772">
        <f t="shared" si="68"/>
        <v>23.810087562644764</v>
      </c>
      <c r="BN39" s="772">
        <f t="shared" si="53"/>
        <v>23.810087562644764</v>
      </c>
      <c r="BO39" s="772">
        <f t="shared" si="41"/>
        <v>29</v>
      </c>
      <c r="BP39" s="772">
        <f t="shared" si="42"/>
        <v>24</v>
      </c>
      <c r="BQ39" s="772">
        <f t="shared" si="53"/>
        <v>44.689108261863524</v>
      </c>
      <c r="BR39" s="772">
        <f t="shared" si="53"/>
        <v>28.740504378132236</v>
      </c>
      <c r="BS39" s="772">
        <f t="shared" si="53"/>
        <v>23.810087562644764</v>
      </c>
      <c r="BT39" s="772">
        <f t="shared" si="53"/>
        <v>6.06</v>
      </c>
      <c r="BU39" s="764">
        <f t="shared" si="54"/>
        <v>14.512400000000001</v>
      </c>
      <c r="BV39" s="764">
        <f t="shared" si="54"/>
        <v>7.7742222222222228</v>
      </c>
      <c r="BW39" s="764">
        <f t="shared" si="55"/>
        <v>4.1862222222222227</v>
      </c>
      <c r="BX39" s="772">
        <f t="shared" si="56"/>
        <v>0</v>
      </c>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row>
    <row r="40" spans="1:113">
      <c r="A40" s="274">
        <v>2050</v>
      </c>
      <c r="B40" s="761">
        <v>11.5</v>
      </c>
      <c r="C40" s="762">
        <v>70</v>
      </c>
      <c r="D40" s="761">
        <v>64</v>
      </c>
      <c r="E40" s="761">
        <v>89.031285134851501</v>
      </c>
      <c r="F40" s="761"/>
      <c r="G40" s="769">
        <f t="shared" si="57"/>
        <v>70</v>
      </c>
      <c r="H40" s="763"/>
      <c r="I40" s="763"/>
      <c r="J40" s="763"/>
      <c r="K40" s="761"/>
      <c r="L40" s="763"/>
      <c r="M40" s="763"/>
      <c r="N40" s="763"/>
      <c r="O40" s="763"/>
      <c r="P40" s="763"/>
      <c r="Q40" s="769">
        <f t="shared" si="58"/>
        <v>70</v>
      </c>
      <c r="R40" s="769">
        <f t="shared" si="59"/>
        <v>11.5</v>
      </c>
      <c r="S40" s="761"/>
      <c r="T40" s="761">
        <v>76.840909090909022</v>
      </c>
      <c r="U40" s="763"/>
      <c r="V40" s="771">
        <f t="shared" si="60"/>
        <v>35</v>
      </c>
      <c r="W40" s="761">
        <v>6</v>
      </c>
      <c r="X40" s="769">
        <f t="shared" si="61"/>
        <v>70</v>
      </c>
      <c r="Y40" s="769">
        <f t="shared" si="62"/>
        <v>70</v>
      </c>
      <c r="Z40" s="764">
        <v>23.616677889852713</v>
      </c>
      <c r="AA40" s="764">
        <v>23.616677889852713</v>
      </c>
      <c r="AB40" s="765">
        <v>29</v>
      </c>
      <c r="AC40" s="765">
        <v>24</v>
      </c>
      <c r="AD40" s="764">
        <f t="shared" si="67"/>
        <v>44.686132728435958</v>
      </c>
      <c r="AE40" s="764">
        <f t="shared" si="36"/>
        <v>28.730833894492633</v>
      </c>
      <c r="AF40" s="764">
        <v>23.616677889852713</v>
      </c>
      <c r="AG40" s="765">
        <v>6.06</v>
      </c>
      <c r="AH40" s="772">
        <f t="shared" si="63"/>
        <v>14.512400000000001</v>
      </c>
      <c r="AI40" s="772">
        <f t="shared" si="64"/>
        <v>7.7742222222222228</v>
      </c>
      <c r="AJ40" s="772">
        <f t="shared" si="65"/>
        <v>4.1862222222222227</v>
      </c>
      <c r="AK40" s="766">
        <v>0</v>
      </c>
      <c r="AL40" s="6"/>
      <c r="AM40" s="6"/>
      <c r="AN40" s="6"/>
      <c r="AO40" s="772">
        <f>'Fuel Costs'!B40*AO$61</f>
        <v>10.890499999999999</v>
      </c>
      <c r="AP40" s="772">
        <f>'Fuel Costs'!C40/AP$61</f>
        <v>3.7177777777777781</v>
      </c>
      <c r="AQ40" s="772">
        <f>'Fuel Costs'!D40/AQ$61</f>
        <v>10.921501706484641</v>
      </c>
      <c r="AR40" s="772">
        <f>'Fuel Costs'!E40/AR$61</f>
        <v>15.189112232808471</v>
      </c>
      <c r="AS40" s="764">
        <v>-2.7635193673339691</v>
      </c>
      <c r="AT40" s="772">
        <f>'Fuel Costs'!G40/AT$61</f>
        <v>4.666666666666667</v>
      </c>
      <c r="AU40" s="6"/>
      <c r="AV40" s="6"/>
      <c r="AW40" s="6"/>
      <c r="AX40" s="764">
        <v>3.5681818181818183</v>
      </c>
      <c r="AY40" s="6"/>
      <c r="AZ40" s="6"/>
      <c r="BA40" s="6"/>
      <c r="BB40" s="6"/>
      <c r="BC40" s="6"/>
      <c r="BD40" s="772">
        <f>'Fuel Costs'!Q40/BD$61</f>
        <v>3.7177777777777781</v>
      </c>
      <c r="BE40" s="772">
        <f>'Fuel Costs'!R40*BE$61</f>
        <v>10.890499999999999</v>
      </c>
      <c r="BF40" s="764">
        <v>1.0833342000000008</v>
      </c>
      <c r="BG40" s="772">
        <f>'Fuel Costs'!T40/BG$61</f>
        <v>5.1227272727272686</v>
      </c>
      <c r="BH40" s="772"/>
      <c r="BI40" s="772">
        <f>'Fuel Costs'!V40/BI$61</f>
        <v>2.39</v>
      </c>
      <c r="BJ40" s="772">
        <f>'Fuel Costs'!W40*BJ$61</f>
        <v>5.6819999999999995</v>
      </c>
      <c r="BK40" s="772">
        <f>'Fuel Costs'!X40/BK$61</f>
        <v>3.7177777777777781</v>
      </c>
      <c r="BL40" s="772">
        <f>'Fuel Costs'!Y40/BL$61</f>
        <v>3.7177777777777781</v>
      </c>
      <c r="BM40" s="772">
        <f t="shared" si="68"/>
        <v>23.616677889852713</v>
      </c>
      <c r="BN40" s="772">
        <f t="shared" si="68"/>
        <v>23.616677889852713</v>
      </c>
      <c r="BO40" s="772">
        <f t="shared" si="41"/>
        <v>29</v>
      </c>
      <c r="BP40" s="772">
        <f t="shared" si="42"/>
        <v>24</v>
      </c>
      <c r="BQ40" s="772">
        <f t="shared" si="68"/>
        <v>44.686132728435958</v>
      </c>
      <c r="BR40" s="772">
        <f t="shared" si="68"/>
        <v>28.730833894492633</v>
      </c>
      <c r="BS40" s="772">
        <f t="shared" si="68"/>
        <v>23.616677889852713</v>
      </c>
      <c r="BT40" s="772">
        <f t="shared" si="68"/>
        <v>6.06</v>
      </c>
      <c r="BU40" s="764">
        <f t="shared" si="54"/>
        <v>14.512400000000001</v>
      </c>
      <c r="BV40" s="764">
        <f t="shared" si="54"/>
        <v>7.7742222222222228</v>
      </c>
      <c r="BW40" s="764">
        <f t="shared" si="55"/>
        <v>4.1862222222222227</v>
      </c>
      <c r="BX40" s="772">
        <f t="shared" si="56"/>
        <v>0</v>
      </c>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row>
    <row r="41" spans="1:113">
      <c r="A41" s="508">
        <v>2051</v>
      </c>
      <c r="B41" s="767">
        <f>B$40</f>
        <v>11.5</v>
      </c>
      <c r="C41" s="767">
        <f t="shared" ref="C41:AK48" si="69">C$40</f>
        <v>70</v>
      </c>
      <c r="D41" s="767">
        <f t="shared" si="69"/>
        <v>64</v>
      </c>
      <c r="E41" s="767">
        <f t="shared" si="69"/>
        <v>89.031285134851501</v>
      </c>
      <c r="F41" s="767">
        <f t="shared" si="69"/>
        <v>0</v>
      </c>
      <c r="G41" s="770">
        <f t="shared" si="69"/>
        <v>70</v>
      </c>
      <c r="H41" s="767">
        <f t="shared" si="69"/>
        <v>0</v>
      </c>
      <c r="I41" s="767">
        <f t="shared" si="69"/>
        <v>0</v>
      </c>
      <c r="J41" s="767">
        <f t="shared" si="69"/>
        <v>0</v>
      </c>
      <c r="K41" s="767">
        <f t="shared" si="69"/>
        <v>0</v>
      </c>
      <c r="L41" s="767">
        <f t="shared" si="69"/>
        <v>0</v>
      </c>
      <c r="M41" s="767">
        <f t="shared" si="69"/>
        <v>0</v>
      </c>
      <c r="N41" s="767">
        <f t="shared" si="69"/>
        <v>0</v>
      </c>
      <c r="O41" s="767">
        <f t="shared" si="69"/>
        <v>0</v>
      </c>
      <c r="P41" s="767">
        <f t="shared" si="69"/>
        <v>0</v>
      </c>
      <c r="Q41" s="770">
        <f t="shared" si="69"/>
        <v>70</v>
      </c>
      <c r="R41" s="770">
        <f t="shared" si="69"/>
        <v>11.5</v>
      </c>
      <c r="S41" s="767">
        <f t="shared" si="69"/>
        <v>0</v>
      </c>
      <c r="T41" s="767">
        <f t="shared" si="69"/>
        <v>76.840909090909022</v>
      </c>
      <c r="U41" s="767">
        <f t="shared" si="69"/>
        <v>0</v>
      </c>
      <c r="V41" s="770">
        <f t="shared" si="69"/>
        <v>35</v>
      </c>
      <c r="W41" s="767">
        <f t="shared" si="69"/>
        <v>6</v>
      </c>
      <c r="X41" s="770">
        <f t="shared" si="69"/>
        <v>70</v>
      </c>
      <c r="Y41" s="770">
        <f t="shared" si="69"/>
        <v>70</v>
      </c>
      <c r="Z41" s="767">
        <v>23.767267188991266</v>
      </c>
      <c r="AA41" s="767">
        <v>23.767267188991266</v>
      </c>
      <c r="AB41" s="767">
        <v>29</v>
      </c>
      <c r="AC41" s="767">
        <v>24</v>
      </c>
      <c r="AD41" s="767">
        <f t="shared" si="69"/>
        <v>44.686132728435958</v>
      </c>
      <c r="AE41" s="767">
        <f t="shared" si="69"/>
        <v>28.730833894492633</v>
      </c>
      <c r="AF41" s="767">
        <v>23.767267188991266</v>
      </c>
      <c r="AG41" s="767">
        <v>6.06</v>
      </c>
      <c r="AH41" s="770">
        <f t="shared" si="69"/>
        <v>14.512400000000001</v>
      </c>
      <c r="AI41" s="770">
        <f t="shared" si="69"/>
        <v>7.7742222222222228</v>
      </c>
      <c r="AJ41" s="770">
        <f t="shared" si="69"/>
        <v>4.1862222222222227</v>
      </c>
      <c r="AK41" s="767">
        <f t="shared" si="69"/>
        <v>0</v>
      </c>
      <c r="AL41" s="289"/>
      <c r="AM41" s="289"/>
      <c r="AN41" s="6"/>
      <c r="AO41" s="772">
        <f>'Fuel Costs'!B41*AO$61</f>
        <v>10.890499999999999</v>
      </c>
      <c r="AP41" s="772">
        <f>'Fuel Costs'!C41/AP$61</f>
        <v>3.7177777777777781</v>
      </c>
      <c r="AQ41" s="772">
        <f>'Fuel Costs'!D41/AQ$61</f>
        <v>10.921501706484641</v>
      </c>
      <c r="AR41" s="772">
        <f>'Fuel Costs'!E41/AR$61</f>
        <v>15.189112232808471</v>
      </c>
      <c r="AS41" s="764">
        <v>-2.7635193673339691</v>
      </c>
      <c r="AT41" s="772">
        <f>'Fuel Costs'!G41/AT$61</f>
        <v>4.666666666666667</v>
      </c>
      <c r="AU41" s="6"/>
      <c r="AV41" s="6"/>
      <c r="AW41" s="6"/>
      <c r="AX41" s="764">
        <v>3.5681818181818183</v>
      </c>
      <c r="AY41" s="6"/>
      <c r="AZ41" s="6"/>
      <c r="BA41" s="6"/>
      <c r="BB41" s="6"/>
      <c r="BC41" s="6"/>
      <c r="BD41" s="772">
        <f>'Fuel Costs'!Q41/BD$61</f>
        <v>3.7177777777777781</v>
      </c>
      <c r="BE41" s="772">
        <f>'Fuel Costs'!R41*BE$61</f>
        <v>10.890499999999999</v>
      </c>
      <c r="BF41" s="764">
        <v>1.0833342000000008</v>
      </c>
      <c r="BG41" s="772">
        <f>'Fuel Costs'!T41/BG$61</f>
        <v>5.1227272727272686</v>
      </c>
      <c r="BH41" s="772"/>
      <c r="BI41" s="772">
        <f>'Fuel Costs'!V41/BI$61</f>
        <v>2.39</v>
      </c>
      <c r="BJ41" s="772">
        <f>'Fuel Costs'!W41*BJ$61</f>
        <v>5.6819999999999995</v>
      </c>
      <c r="BK41" s="772">
        <f>'Fuel Costs'!X41/BK$61</f>
        <v>3.7177777777777781</v>
      </c>
      <c r="BL41" s="772">
        <f>'Fuel Costs'!Y41/BL$61</f>
        <v>3.7177777777777781</v>
      </c>
      <c r="BM41" s="772">
        <f t="shared" si="68"/>
        <v>23.767267188991266</v>
      </c>
      <c r="BN41" s="772">
        <f t="shared" si="68"/>
        <v>23.767267188991266</v>
      </c>
      <c r="BO41" s="772">
        <f t="shared" si="41"/>
        <v>29</v>
      </c>
      <c r="BP41" s="772">
        <f t="shared" si="42"/>
        <v>24</v>
      </c>
      <c r="BQ41" s="772">
        <f t="shared" si="68"/>
        <v>44.686132728435958</v>
      </c>
      <c r="BR41" s="772">
        <f t="shared" si="68"/>
        <v>28.730833894492633</v>
      </c>
      <c r="BS41" s="772">
        <f t="shared" si="68"/>
        <v>23.767267188991266</v>
      </c>
      <c r="BT41" s="772">
        <f t="shared" si="68"/>
        <v>6.06</v>
      </c>
      <c r="BU41" s="764">
        <f t="shared" si="54"/>
        <v>14.512400000000001</v>
      </c>
      <c r="BV41" s="764">
        <f t="shared" si="54"/>
        <v>7.7742222222222228</v>
      </c>
      <c r="BW41" s="764">
        <f t="shared" si="55"/>
        <v>4.1862222222222227</v>
      </c>
      <c r="BX41" s="772">
        <f t="shared" si="56"/>
        <v>0</v>
      </c>
    </row>
    <row r="42" spans="1:113">
      <c r="A42" s="508">
        <v>2052</v>
      </c>
      <c r="B42" s="767">
        <f t="shared" ref="B42:Q59" si="70">B$40</f>
        <v>11.5</v>
      </c>
      <c r="C42" s="767">
        <f t="shared" si="70"/>
        <v>70</v>
      </c>
      <c r="D42" s="767">
        <f t="shared" si="70"/>
        <v>64</v>
      </c>
      <c r="E42" s="767">
        <f t="shared" si="70"/>
        <v>89.031285134851501</v>
      </c>
      <c r="F42" s="767">
        <f t="shared" si="70"/>
        <v>0</v>
      </c>
      <c r="G42" s="770">
        <f t="shared" si="70"/>
        <v>70</v>
      </c>
      <c r="H42" s="767">
        <f t="shared" si="70"/>
        <v>0</v>
      </c>
      <c r="I42" s="767">
        <f t="shared" si="70"/>
        <v>0</v>
      </c>
      <c r="J42" s="767">
        <f t="shared" si="70"/>
        <v>0</v>
      </c>
      <c r="K42" s="767">
        <f t="shared" si="70"/>
        <v>0</v>
      </c>
      <c r="L42" s="767">
        <f t="shared" si="70"/>
        <v>0</v>
      </c>
      <c r="M42" s="767">
        <f t="shared" si="70"/>
        <v>0</v>
      </c>
      <c r="N42" s="767">
        <f t="shared" si="70"/>
        <v>0</v>
      </c>
      <c r="O42" s="767">
        <f t="shared" si="70"/>
        <v>0</v>
      </c>
      <c r="P42" s="767">
        <f t="shared" si="70"/>
        <v>0</v>
      </c>
      <c r="Q42" s="770">
        <f t="shared" si="70"/>
        <v>70</v>
      </c>
      <c r="R42" s="770">
        <f t="shared" si="69"/>
        <v>11.5</v>
      </c>
      <c r="S42" s="767">
        <f t="shared" si="69"/>
        <v>0</v>
      </c>
      <c r="T42" s="767">
        <f t="shared" si="69"/>
        <v>76.840909090909022</v>
      </c>
      <c r="U42" s="767">
        <f t="shared" si="69"/>
        <v>0</v>
      </c>
      <c r="V42" s="770">
        <f t="shared" si="69"/>
        <v>35</v>
      </c>
      <c r="W42" s="767">
        <f t="shared" si="69"/>
        <v>6</v>
      </c>
      <c r="X42" s="770">
        <f t="shared" si="69"/>
        <v>70</v>
      </c>
      <c r="Y42" s="770">
        <f t="shared" si="69"/>
        <v>70</v>
      </c>
      <c r="Z42" s="767">
        <v>23.697239184655079</v>
      </c>
      <c r="AA42" s="767">
        <v>23.697239184655079</v>
      </c>
      <c r="AB42" s="767">
        <v>29</v>
      </c>
      <c r="AC42" s="767">
        <v>24</v>
      </c>
      <c r="AD42" s="767">
        <f t="shared" si="69"/>
        <v>44.686132728435958</v>
      </c>
      <c r="AE42" s="767">
        <f t="shared" si="69"/>
        <v>28.730833894492633</v>
      </c>
      <c r="AF42" s="767">
        <v>23.697239184655079</v>
      </c>
      <c r="AG42" s="767">
        <v>6.06</v>
      </c>
      <c r="AH42" s="770">
        <f t="shared" si="69"/>
        <v>14.512400000000001</v>
      </c>
      <c r="AI42" s="770">
        <f t="shared" si="69"/>
        <v>7.7742222222222228</v>
      </c>
      <c r="AJ42" s="770">
        <f t="shared" si="69"/>
        <v>4.1862222222222227</v>
      </c>
      <c r="AK42" s="767">
        <f t="shared" si="69"/>
        <v>0</v>
      </c>
      <c r="AL42" s="289"/>
      <c r="AM42" s="289"/>
      <c r="AN42" s="6"/>
      <c r="AO42" s="772">
        <f>'Fuel Costs'!B42*AO$61</f>
        <v>10.890499999999999</v>
      </c>
      <c r="AP42" s="772">
        <f>'Fuel Costs'!C42/AP$61</f>
        <v>3.7177777777777781</v>
      </c>
      <c r="AQ42" s="772">
        <f>'Fuel Costs'!D42/AQ$61</f>
        <v>10.921501706484641</v>
      </c>
      <c r="AR42" s="772">
        <f>'Fuel Costs'!E42/AR$61</f>
        <v>15.189112232808471</v>
      </c>
      <c r="AS42" s="764">
        <v>-2.7635193673339691</v>
      </c>
      <c r="AT42" s="772">
        <f>'Fuel Costs'!G42/AT$61</f>
        <v>4.666666666666667</v>
      </c>
      <c r="AU42" s="6"/>
      <c r="AV42" s="6"/>
      <c r="AW42" s="6"/>
      <c r="AX42" s="764">
        <v>3.5681818181818183</v>
      </c>
      <c r="AY42" s="6"/>
      <c r="AZ42" s="6"/>
      <c r="BA42" s="6"/>
      <c r="BB42" s="6"/>
      <c r="BC42" s="6"/>
      <c r="BD42" s="772">
        <f>'Fuel Costs'!Q42/BD$61</f>
        <v>3.7177777777777781</v>
      </c>
      <c r="BE42" s="772">
        <f>'Fuel Costs'!R42*BE$61</f>
        <v>10.890499999999999</v>
      </c>
      <c r="BF42" s="764">
        <v>1.0833342000000008</v>
      </c>
      <c r="BG42" s="772">
        <f>'Fuel Costs'!T42/BG$61</f>
        <v>5.1227272727272686</v>
      </c>
      <c r="BH42" s="772"/>
      <c r="BI42" s="772">
        <f>'Fuel Costs'!V42/BI$61</f>
        <v>2.39</v>
      </c>
      <c r="BJ42" s="772">
        <f>'Fuel Costs'!W42*BJ$61</f>
        <v>5.6819999999999995</v>
      </c>
      <c r="BK42" s="772">
        <f>'Fuel Costs'!X42/BK$61</f>
        <v>3.7177777777777781</v>
      </c>
      <c r="BL42" s="772">
        <f>'Fuel Costs'!Y42/BL$61</f>
        <v>3.7177777777777781</v>
      </c>
      <c r="BM42" s="772">
        <f t="shared" si="68"/>
        <v>23.697239184655079</v>
      </c>
      <c r="BN42" s="772">
        <f t="shared" si="68"/>
        <v>23.697239184655079</v>
      </c>
      <c r="BO42" s="772">
        <f t="shared" si="41"/>
        <v>29</v>
      </c>
      <c r="BP42" s="772">
        <f t="shared" si="42"/>
        <v>24</v>
      </c>
      <c r="BQ42" s="772">
        <f t="shared" si="68"/>
        <v>44.686132728435958</v>
      </c>
      <c r="BR42" s="772">
        <f t="shared" si="68"/>
        <v>28.730833894492633</v>
      </c>
      <c r="BS42" s="772">
        <f t="shared" si="68"/>
        <v>23.697239184655079</v>
      </c>
      <c r="BT42" s="772">
        <f t="shared" si="68"/>
        <v>6.06</v>
      </c>
      <c r="BU42" s="764">
        <f t="shared" si="54"/>
        <v>14.512400000000001</v>
      </c>
      <c r="BV42" s="764">
        <f t="shared" si="54"/>
        <v>7.7742222222222228</v>
      </c>
      <c r="BW42" s="764">
        <f t="shared" si="55"/>
        <v>4.1862222222222227</v>
      </c>
      <c r="BX42" s="772">
        <f t="shared" si="56"/>
        <v>0</v>
      </c>
    </row>
    <row r="43" spans="1:113">
      <c r="A43" s="508">
        <v>2053</v>
      </c>
      <c r="B43" s="767">
        <f t="shared" si="70"/>
        <v>11.5</v>
      </c>
      <c r="C43" s="767">
        <f t="shared" si="69"/>
        <v>70</v>
      </c>
      <c r="D43" s="767">
        <f t="shared" si="69"/>
        <v>64</v>
      </c>
      <c r="E43" s="767">
        <f t="shared" si="69"/>
        <v>89.031285134851501</v>
      </c>
      <c r="F43" s="767">
        <f t="shared" si="69"/>
        <v>0</v>
      </c>
      <c r="G43" s="770">
        <f t="shared" si="69"/>
        <v>70</v>
      </c>
      <c r="H43" s="767">
        <f t="shared" si="69"/>
        <v>0</v>
      </c>
      <c r="I43" s="767">
        <f t="shared" si="69"/>
        <v>0</v>
      </c>
      <c r="J43" s="767">
        <f t="shared" si="69"/>
        <v>0</v>
      </c>
      <c r="K43" s="767">
        <f t="shared" si="69"/>
        <v>0</v>
      </c>
      <c r="L43" s="767">
        <f t="shared" si="69"/>
        <v>0</v>
      </c>
      <c r="M43" s="767">
        <f t="shared" si="69"/>
        <v>0</v>
      </c>
      <c r="N43" s="767">
        <f t="shared" si="69"/>
        <v>0</v>
      </c>
      <c r="O43" s="767">
        <f t="shared" si="69"/>
        <v>0</v>
      </c>
      <c r="P43" s="767">
        <f t="shared" si="69"/>
        <v>0</v>
      </c>
      <c r="Q43" s="770">
        <f t="shared" si="69"/>
        <v>70</v>
      </c>
      <c r="R43" s="770">
        <f t="shared" si="69"/>
        <v>11.5</v>
      </c>
      <c r="S43" s="767">
        <f t="shared" si="69"/>
        <v>0</v>
      </c>
      <c r="T43" s="767">
        <f t="shared" si="69"/>
        <v>76.840909090909022</v>
      </c>
      <c r="U43" s="767">
        <f t="shared" si="69"/>
        <v>0</v>
      </c>
      <c r="V43" s="770">
        <f t="shared" si="69"/>
        <v>35</v>
      </c>
      <c r="W43" s="767">
        <f t="shared" si="69"/>
        <v>6</v>
      </c>
      <c r="X43" s="770">
        <f t="shared" si="69"/>
        <v>70</v>
      </c>
      <c r="Y43" s="770">
        <f t="shared" si="69"/>
        <v>70</v>
      </c>
      <c r="Z43" s="767">
        <v>23.592891250369892</v>
      </c>
      <c r="AA43" s="767">
        <v>23.592891250369892</v>
      </c>
      <c r="AB43" s="767">
        <v>29</v>
      </c>
      <c r="AC43" s="767">
        <v>24</v>
      </c>
      <c r="AD43" s="767">
        <f t="shared" si="69"/>
        <v>44.686132728435958</v>
      </c>
      <c r="AE43" s="767">
        <f t="shared" si="69"/>
        <v>28.730833894492633</v>
      </c>
      <c r="AF43" s="767">
        <v>23.592891250369892</v>
      </c>
      <c r="AG43" s="767">
        <v>6.06</v>
      </c>
      <c r="AH43" s="770">
        <f t="shared" si="69"/>
        <v>14.512400000000001</v>
      </c>
      <c r="AI43" s="770">
        <f t="shared" si="69"/>
        <v>7.7742222222222228</v>
      </c>
      <c r="AJ43" s="770">
        <f t="shared" si="69"/>
        <v>4.1862222222222227</v>
      </c>
      <c r="AK43" s="767">
        <f t="shared" si="69"/>
        <v>0</v>
      </c>
      <c r="AL43" s="289"/>
      <c r="AM43" s="289"/>
      <c r="AN43" s="6"/>
      <c r="AO43" s="772">
        <f>'Fuel Costs'!B43*AO$61</f>
        <v>10.890499999999999</v>
      </c>
      <c r="AP43" s="772">
        <f>'Fuel Costs'!C43/AP$61</f>
        <v>3.7177777777777781</v>
      </c>
      <c r="AQ43" s="772">
        <f>'Fuel Costs'!D43/AQ$61</f>
        <v>10.921501706484641</v>
      </c>
      <c r="AR43" s="772">
        <f>'Fuel Costs'!E43/AR$61</f>
        <v>15.189112232808471</v>
      </c>
      <c r="AS43" s="764">
        <v>-2.7635193673339691</v>
      </c>
      <c r="AT43" s="772">
        <f>'Fuel Costs'!G43/AT$61</f>
        <v>4.666666666666667</v>
      </c>
      <c r="AU43" s="6"/>
      <c r="AV43" s="6"/>
      <c r="AW43" s="6"/>
      <c r="AX43" s="764">
        <v>3.5681818181818183</v>
      </c>
      <c r="AY43" s="6"/>
      <c r="AZ43" s="6"/>
      <c r="BA43" s="6"/>
      <c r="BB43" s="6"/>
      <c r="BC43" s="6"/>
      <c r="BD43" s="772">
        <f>'Fuel Costs'!Q43/BD$61</f>
        <v>3.7177777777777781</v>
      </c>
      <c r="BE43" s="772">
        <f>'Fuel Costs'!R43*BE$61</f>
        <v>10.890499999999999</v>
      </c>
      <c r="BF43" s="764">
        <v>1.0833342000000008</v>
      </c>
      <c r="BG43" s="772">
        <f>'Fuel Costs'!T43/BG$61</f>
        <v>5.1227272727272686</v>
      </c>
      <c r="BH43" s="772"/>
      <c r="BI43" s="772">
        <f>'Fuel Costs'!V43/BI$61</f>
        <v>2.39</v>
      </c>
      <c r="BJ43" s="772">
        <f>'Fuel Costs'!W43*BJ$61</f>
        <v>5.6819999999999995</v>
      </c>
      <c r="BK43" s="772">
        <f>'Fuel Costs'!X43/BK$61</f>
        <v>3.7177777777777781</v>
      </c>
      <c r="BL43" s="772">
        <f>'Fuel Costs'!Y43/BL$61</f>
        <v>3.7177777777777781</v>
      </c>
      <c r="BM43" s="772">
        <f t="shared" si="68"/>
        <v>23.592891250369892</v>
      </c>
      <c r="BN43" s="772">
        <f t="shared" si="68"/>
        <v>23.592891250369892</v>
      </c>
      <c r="BO43" s="772">
        <f t="shared" si="41"/>
        <v>29</v>
      </c>
      <c r="BP43" s="772">
        <f t="shared" si="42"/>
        <v>24</v>
      </c>
      <c r="BQ43" s="772">
        <f t="shared" si="68"/>
        <v>44.686132728435958</v>
      </c>
      <c r="BR43" s="772">
        <f t="shared" si="68"/>
        <v>28.730833894492633</v>
      </c>
      <c r="BS43" s="772">
        <f t="shared" si="68"/>
        <v>23.592891250369892</v>
      </c>
      <c r="BT43" s="772">
        <f t="shared" si="68"/>
        <v>6.06</v>
      </c>
      <c r="BU43" s="764">
        <f t="shared" si="54"/>
        <v>14.512400000000001</v>
      </c>
      <c r="BV43" s="764">
        <f t="shared" si="54"/>
        <v>7.7742222222222228</v>
      </c>
      <c r="BW43" s="764">
        <f t="shared" si="55"/>
        <v>4.1862222222222227</v>
      </c>
      <c r="BX43" s="772">
        <f t="shared" si="56"/>
        <v>0</v>
      </c>
    </row>
    <row r="44" spans="1:113">
      <c r="A44" s="508">
        <v>2054</v>
      </c>
      <c r="B44" s="767">
        <f t="shared" si="70"/>
        <v>11.5</v>
      </c>
      <c r="C44" s="767">
        <f t="shared" si="69"/>
        <v>70</v>
      </c>
      <c r="D44" s="767">
        <f t="shared" si="69"/>
        <v>64</v>
      </c>
      <c r="E44" s="767">
        <f t="shared" si="69"/>
        <v>89.031285134851501</v>
      </c>
      <c r="F44" s="767">
        <f t="shared" si="69"/>
        <v>0</v>
      </c>
      <c r="G44" s="770">
        <f t="shared" si="69"/>
        <v>70</v>
      </c>
      <c r="H44" s="767">
        <f t="shared" si="69"/>
        <v>0</v>
      </c>
      <c r="I44" s="767">
        <f t="shared" si="69"/>
        <v>0</v>
      </c>
      <c r="J44" s="767">
        <f t="shared" si="69"/>
        <v>0</v>
      </c>
      <c r="K44" s="767">
        <f t="shared" si="69"/>
        <v>0</v>
      </c>
      <c r="L44" s="767">
        <f t="shared" si="69"/>
        <v>0</v>
      </c>
      <c r="M44" s="767">
        <f t="shared" si="69"/>
        <v>0</v>
      </c>
      <c r="N44" s="767">
        <f t="shared" si="69"/>
        <v>0</v>
      </c>
      <c r="O44" s="767">
        <f t="shared" si="69"/>
        <v>0</v>
      </c>
      <c r="P44" s="767">
        <f t="shared" si="69"/>
        <v>0</v>
      </c>
      <c r="Q44" s="770">
        <f t="shared" si="69"/>
        <v>70</v>
      </c>
      <c r="R44" s="770">
        <f t="shared" si="69"/>
        <v>11.5</v>
      </c>
      <c r="S44" s="767">
        <f t="shared" si="69"/>
        <v>0</v>
      </c>
      <c r="T44" s="767">
        <f t="shared" si="69"/>
        <v>76.840909090909022</v>
      </c>
      <c r="U44" s="767">
        <f t="shared" si="69"/>
        <v>0</v>
      </c>
      <c r="V44" s="770">
        <f t="shared" si="69"/>
        <v>35</v>
      </c>
      <c r="W44" s="767">
        <f t="shared" si="69"/>
        <v>6</v>
      </c>
      <c r="X44" s="770">
        <f t="shared" si="69"/>
        <v>70</v>
      </c>
      <c r="Y44" s="770">
        <f t="shared" si="69"/>
        <v>70</v>
      </c>
      <c r="Z44" s="767">
        <v>23.436847862490342</v>
      </c>
      <c r="AA44" s="767">
        <v>23.436847862490342</v>
      </c>
      <c r="AB44" s="767">
        <v>29</v>
      </c>
      <c r="AC44" s="767">
        <v>24</v>
      </c>
      <c r="AD44" s="767">
        <f t="shared" si="69"/>
        <v>44.686132728435958</v>
      </c>
      <c r="AE44" s="767">
        <f t="shared" si="69"/>
        <v>28.730833894492633</v>
      </c>
      <c r="AF44" s="767">
        <v>23.436847862490342</v>
      </c>
      <c r="AG44" s="767">
        <v>6.06</v>
      </c>
      <c r="AH44" s="770">
        <f t="shared" si="69"/>
        <v>14.512400000000001</v>
      </c>
      <c r="AI44" s="770">
        <f t="shared" si="69"/>
        <v>7.7742222222222228</v>
      </c>
      <c r="AJ44" s="770">
        <f t="shared" si="69"/>
        <v>4.1862222222222227</v>
      </c>
      <c r="AK44" s="767">
        <f t="shared" si="69"/>
        <v>0</v>
      </c>
      <c r="AL44" s="289"/>
      <c r="AM44" s="289"/>
      <c r="AN44" s="6"/>
      <c r="AO44" s="772">
        <f>'Fuel Costs'!B44*AO$61</f>
        <v>10.890499999999999</v>
      </c>
      <c r="AP44" s="772">
        <f>'Fuel Costs'!C44/AP$61</f>
        <v>3.7177777777777781</v>
      </c>
      <c r="AQ44" s="772">
        <f>'Fuel Costs'!D44/AQ$61</f>
        <v>10.921501706484641</v>
      </c>
      <c r="AR44" s="772">
        <f>'Fuel Costs'!E44/AR$61</f>
        <v>15.189112232808471</v>
      </c>
      <c r="AS44" s="764">
        <v>-2.7635193673339691</v>
      </c>
      <c r="AT44" s="772">
        <f>'Fuel Costs'!G44/AT$61</f>
        <v>4.666666666666667</v>
      </c>
      <c r="AU44" s="6"/>
      <c r="AV44" s="6"/>
      <c r="AW44" s="6"/>
      <c r="AX44" s="764">
        <v>3.5681818181818183</v>
      </c>
      <c r="AY44" s="6"/>
      <c r="AZ44" s="6"/>
      <c r="BA44" s="6"/>
      <c r="BB44" s="6"/>
      <c r="BC44" s="6"/>
      <c r="BD44" s="772">
        <f>'Fuel Costs'!Q44/BD$61</f>
        <v>3.7177777777777781</v>
      </c>
      <c r="BE44" s="772">
        <f>'Fuel Costs'!R44*BE$61</f>
        <v>10.890499999999999</v>
      </c>
      <c r="BF44" s="764">
        <v>1.0833342000000008</v>
      </c>
      <c r="BG44" s="772">
        <f>'Fuel Costs'!T44/BG$61</f>
        <v>5.1227272727272686</v>
      </c>
      <c r="BH44" s="772"/>
      <c r="BI44" s="772">
        <f>'Fuel Costs'!V44/BI$61</f>
        <v>2.39</v>
      </c>
      <c r="BJ44" s="772">
        <f>'Fuel Costs'!W44*BJ$61</f>
        <v>5.6819999999999995</v>
      </c>
      <c r="BK44" s="772">
        <f>'Fuel Costs'!X44/BK$61</f>
        <v>3.7177777777777781</v>
      </c>
      <c r="BL44" s="772">
        <f>'Fuel Costs'!Y44/BL$61</f>
        <v>3.7177777777777781</v>
      </c>
      <c r="BM44" s="772">
        <f t="shared" si="68"/>
        <v>23.436847862490342</v>
      </c>
      <c r="BN44" s="772">
        <f t="shared" si="68"/>
        <v>23.436847862490342</v>
      </c>
      <c r="BO44" s="772">
        <f t="shared" si="41"/>
        <v>29</v>
      </c>
      <c r="BP44" s="772">
        <f t="shared" si="42"/>
        <v>24</v>
      </c>
      <c r="BQ44" s="772">
        <f t="shared" si="68"/>
        <v>44.686132728435958</v>
      </c>
      <c r="BR44" s="772">
        <f t="shared" si="68"/>
        <v>28.730833894492633</v>
      </c>
      <c r="BS44" s="772">
        <f t="shared" si="68"/>
        <v>23.436847862490342</v>
      </c>
      <c r="BT44" s="772">
        <f t="shared" si="68"/>
        <v>6.06</v>
      </c>
      <c r="BU44" s="764">
        <f t="shared" si="54"/>
        <v>14.512400000000001</v>
      </c>
      <c r="BV44" s="764">
        <f t="shared" si="54"/>
        <v>7.7742222222222228</v>
      </c>
      <c r="BW44" s="764">
        <f t="shared" si="55"/>
        <v>4.1862222222222227</v>
      </c>
      <c r="BX44" s="772">
        <f t="shared" si="56"/>
        <v>0</v>
      </c>
    </row>
    <row r="45" spans="1:113">
      <c r="A45" s="508">
        <v>2055</v>
      </c>
      <c r="B45" s="767">
        <f t="shared" si="70"/>
        <v>11.5</v>
      </c>
      <c r="C45" s="767">
        <f t="shared" si="69"/>
        <v>70</v>
      </c>
      <c r="D45" s="767">
        <f t="shared" si="69"/>
        <v>64</v>
      </c>
      <c r="E45" s="767">
        <f t="shared" si="69"/>
        <v>89.031285134851501</v>
      </c>
      <c r="F45" s="767">
        <f t="shared" si="69"/>
        <v>0</v>
      </c>
      <c r="G45" s="770">
        <f t="shared" si="69"/>
        <v>70</v>
      </c>
      <c r="H45" s="767">
        <f t="shared" si="69"/>
        <v>0</v>
      </c>
      <c r="I45" s="767">
        <f t="shared" si="69"/>
        <v>0</v>
      </c>
      <c r="J45" s="767">
        <f t="shared" si="69"/>
        <v>0</v>
      </c>
      <c r="K45" s="767">
        <f t="shared" si="69"/>
        <v>0</v>
      </c>
      <c r="L45" s="767">
        <f t="shared" si="69"/>
        <v>0</v>
      </c>
      <c r="M45" s="767">
        <f t="shared" si="69"/>
        <v>0</v>
      </c>
      <c r="N45" s="767">
        <f t="shared" si="69"/>
        <v>0</v>
      </c>
      <c r="O45" s="767">
        <f t="shared" si="69"/>
        <v>0</v>
      </c>
      <c r="P45" s="767">
        <f t="shared" si="69"/>
        <v>0</v>
      </c>
      <c r="Q45" s="770">
        <f t="shared" si="69"/>
        <v>70</v>
      </c>
      <c r="R45" s="770">
        <f t="shared" si="69"/>
        <v>11.5</v>
      </c>
      <c r="S45" s="767">
        <f t="shared" si="69"/>
        <v>0</v>
      </c>
      <c r="T45" s="767">
        <f t="shared" si="69"/>
        <v>76.840909090909022</v>
      </c>
      <c r="U45" s="767">
        <f t="shared" si="69"/>
        <v>0</v>
      </c>
      <c r="V45" s="770">
        <f t="shared" si="69"/>
        <v>35</v>
      </c>
      <c r="W45" s="767">
        <f t="shared" si="69"/>
        <v>6</v>
      </c>
      <c r="X45" s="770">
        <f t="shared" si="69"/>
        <v>70</v>
      </c>
      <c r="Y45" s="770">
        <f t="shared" si="69"/>
        <v>70</v>
      </c>
      <c r="Z45" s="767">
        <v>23.653279010493737</v>
      </c>
      <c r="AA45" s="767">
        <v>23.653279010493737</v>
      </c>
      <c r="AB45" s="767">
        <v>29</v>
      </c>
      <c r="AC45" s="767">
        <v>24</v>
      </c>
      <c r="AD45" s="767">
        <f t="shared" si="69"/>
        <v>44.686132728435958</v>
      </c>
      <c r="AE45" s="767">
        <f t="shared" si="69"/>
        <v>28.730833894492633</v>
      </c>
      <c r="AF45" s="767">
        <v>23.653279010493737</v>
      </c>
      <c r="AG45" s="767">
        <v>6.06</v>
      </c>
      <c r="AH45" s="770">
        <f t="shared" si="69"/>
        <v>14.512400000000001</v>
      </c>
      <c r="AI45" s="770">
        <f t="shared" si="69"/>
        <v>7.7742222222222228</v>
      </c>
      <c r="AJ45" s="770">
        <f t="shared" si="69"/>
        <v>4.1862222222222227</v>
      </c>
      <c r="AK45" s="767">
        <f t="shared" si="69"/>
        <v>0</v>
      </c>
      <c r="AL45" s="289"/>
      <c r="AM45" s="289"/>
      <c r="AN45" s="6"/>
      <c r="AO45" s="772">
        <f>'Fuel Costs'!B45*AO$61</f>
        <v>10.890499999999999</v>
      </c>
      <c r="AP45" s="772">
        <f>'Fuel Costs'!C45/AP$61</f>
        <v>3.7177777777777781</v>
      </c>
      <c r="AQ45" s="772">
        <f>'Fuel Costs'!D45/AQ$61</f>
        <v>10.921501706484641</v>
      </c>
      <c r="AR45" s="772">
        <f>'Fuel Costs'!E45/AR$61</f>
        <v>15.189112232808471</v>
      </c>
      <c r="AS45" s="764">
        <v>-2.7635193673339691</v>
      </c>
      <c r="AT45" s="772">
        <f>'Fuel Costs'!G45/AT$61</f>
        <v>4.666666666666667</v>
      </c>
      <c r="AU45" s="6"/>
      <c r="AV45" s="6"/>
      <c r="AW45" s="6"/>
      <c r="AX45" s="764">
        <v>3.5681818181818183</v>
      </c>
      <c r="AY45" s="6"/>
      <c r="AZ45" s="6"/>
      <c r="BA45" s="6"/>
      <c r="BB45" s="6"/>
      <c r="BC45" s="6"/>
      <c r="BD45" s="772">
        <f>'Fuel Costs'!Q45/BD$61</f>
        <v>3.7177777777777781</v>
      </c>
      <c r="BE45" s="772">
        <f>'Fuel Costs'!R45*BE$61</f>
        <v>10.890499999999999</v>
      </c>
      <c r="BF45" s="764">
        <v>1.0833342000000008</v>
      </c>
      <c r="BG45" s="772">
        <f>'Fuel Costs'!T45/BG$61</f>
        <v>5.1227272727272686</v>
      </c>
      <c r="BH45" s="772"/>
      <c r="BI45" s="772">
        <f>'Fuel Costs'!V45/BI$61</f>
        <v>2.39</v>
      </c>
      <c r="BJ45" s="772">
        <f>'Fuel Costs'!W45*BJ$61</f>
        <v>5.6819999999999995</v>
      </c>
      <c r="BK45" s="772">
        <f>'Fuel Costs'!X45/BK$61</f>
        <v>3.7177777777777781</v>
      </c>
      <c r="BL45" s="772">
        <f>'Fuel Costs'!Y45/BL$61</f>
        <v>3.7177777777777781</v>
      </c>
      <c r="BM45" s="772">
        <f t="shared" si="68"/>
        <v>23.653279010493737</v>
      </c>
      <c r="BN45" s="772">
        <f t="shared" si="68"/>
        <v>23.653279010493737</v>
      </c>
      <c r="BO45" s="772">
        <f t="shared" si="41"/>
        <v>29</v>
      </c>
      <c r="BP45" s="772">
        <f t="shared" si="42"/>
        <v>24</v>
      </c>
      <c r="BQ45" s="772">
        <f t="shared" si="68"/>
        <v>44.686132728435958</v>
      </c>
      <c r="BR45" s="772">
        <f t="shared" si="68"/>
        <v>28.730833894492633</v>
      </c>
      <c r="BS45" s="772">
        <f t="shared" si="68"/>
        <v>23.653279010493737</v>
      </c>
      <c r="BT45" s="772">
        <f t="shared" si="68"/>
        <v>6.06</v>
      </c>
      <c r="BU45" s="764">
        <f t="shared" si="54"/>
        <v>14.512400000000001</v>
      </c>
      <c r="BV45" s="764">
        <f t="shared" si="54"/>
        <v>7.7742222222222228</v>
      </c>
      <c r="BW45" s="764">
        <f t="shared" si="55"/>
        <v>4.1862222222222227</v>
      </c>
      <c r="BX45" s="772">
        <f t="shared" si="56"/>
        <v>0</v>
      </c>
    </row>
    <row r="46" spans="1:113">
      <c r="A46" s="508">
        <v>2056</v>
      </c>
      <c r="B46" s="767">
        <f t="shared" si="70"/>
        <v>11.5</v>
      </c>
      <c r="C46" s="767">
        <f t="shared" si="69"/>
        <v>70</v>
      </c>
      <c r="D46" s="767">
        <f t="shared" si="69"/>
        <v>64</v>
      </c>
      <c r="E46" s="767">
        <f t="shared" si="69"/>
        <v>89.031285134851501</v>
      </c>
      <c r="F46" s="767">
        <f t="shared" si="69"/>
        <v>0</v>
      </c>
      <c r="G46" s="770">
        <f t="shared" si="69"/>
        <v>70</v>
      </c>
      <c r="H46" s="767">
        <f t="shared" si="69"/>
        <v>0</v>
      </c>
      <c r="I46" s="767">
        <f t="shared" si="69"/>
        <v>0</v>
      </c>
      <c r="J46" s="767">
        <f t="shared" si="69"/>
        <v>0</v>
      </c>
      <c r="K46" s="767">
        <f t="shared" si="69"/>
        <v>0</v>
      </c>
      <c r="L46" s="767">
        <f t="shared" si="69"/>
        <v>0</v>
      </c>
      <c r="M46" s="767">
        <f t="shared" si="69"/>
        <v>0</v>
      </c>
      <c r="N46" s="767">
        <f t="shared" si="69"/>
        <v>0</v>
      </c>
      <c r="O46" s="767">
        <f t="shared" si="69"/>
        <v>0</v>
      </c>
      <c r="P46" s="767">
        <f t="shared" si="69"/>
        <v>0</v>
      </c>
      <c r="Q46" s="770">
        <f t="shared" si="69"/>
        <v>70</v>
      </c>
      <c r="R46" s="770">
        <f t="shared" si="69"/>
        <v>11.5</v>
      </c>
      <c r="S46" s="767">
        <f t="shared" si="69"/>
        <v>0</v>
      </c>
      <c r="T46" s="767">
        <f t="shared" si="69"/>
        <v>76.840909090909022</v>
      </c>
      <c r="U46" s="767">
        <f t="shared" si="69"/>
        <v>0</v>
      </c>
      <c r="V46" s="770">
        <f t="shared" si="69"/>
        <v>35</v>
      </c>
      <c r="W46" s="767">
        <f t="shared" si="69"/>
        <v>6</v>
      </c>
      <c r="X46" s="770">
        <f t="shared" si="69"/>
        <v>70</v>
      </c>
      <c r="Y46" s="770">
        <f t="shared" si="69"/>
        <v>70</v>
      </c>
      <c r="Z46" s="767">
        <v>23.464393343842911</v>
      </c>
      <c r="AA46" s="767">
        <v>23.464393343842911</v>
      </c>
      <c r="AB46" s="767">
        <v>29</v>
      </c>
      <c r="AC46" s="767">
        <v>24</v>
      </c>
      <c r="AD46" s="767">
        <f t="shared" si="69"/>
        <v>44.686132728435958</v>
      </c>
      <c r="AE46" s="767">
        <f t="shared" si="69"/>
        <v>28.730833894492633</v>
      </c>
      <c r="AF46" s="767">
        <v>23.464393343842911</v>
      </c>
      <c r="AG46" s="767">
        <v>6.06</v>
      </c>
      <c r="AH46" s="770">
        <f t="shared" si="69"/>
        <v>14.512400000000001</v>
      </c>
      <c r="AI46" s="770">
        <f t="shared" si="69"/>
        <v>7.7742222222222228</v>
      </c>
      <c r="AJ46" s="770">
        <f t="shared" si="69"/>
        <v>4.1862222222222227</v>
      </c>
      <c r="AK46" s="767">
        <f t="shared" si="69"/>
        <v>0</v>
      </c>
      <c r="AL46" s="289"/>
      <c r="AM46" s="289"/>
      <c r="AN46" s="6"/>
      <c r="AO46" s="772">
        <f>'Fuel Costs'!B46*AO$61</f>
        <v>10.890499999999999</v>
      </c>
      <c r="AP46" s="772">
        <f>'Fuel Costs'!C46/AP$61</f>
        <v>3.7177777777777781</v>
      </c>
      <c r="AQ46" s="772">
        <f>'Fuel Costs'!D46/AQ$61</f>
        <v>10.921501706484641</v>
      </c>
      <c r="AR46" s="772">
        <f>'Fuel Costs'!E46/AR$61</f>
        <v>15.189112232808471</v>
      </c>
      <c r="AS46" s="764">
        <v>-2.7635193673339691</v>
      </c>
      <c r="AT46" s="772">
        <f>'Fuel Costs'!G46/AT$61</f>
        <v>4.666666666666667</v>
      </c>
      <c r="AU46" s="6"/>
      <c r="AV46" s="6"/>
      <c r="AW46" s="6"/>
      <c r="AX46" s="764">
        <v>3.5681818181818183</v>
      </c>
      <c r="AY46" s="6"/>
      <c r="AZ46" s="6"/>
      <c r="BA46" s="6"/>
      <c r="BB46" s="6"/>
      <c r="BC46" s="6"/>
      <c r="BD46" s="772">
        <f>'Fuel Costs'!Q46/BD$61</f>
        <v>3.7177777777777781</v>
      </c>
      <c r="BE46" s="772">
        <f>'Fuel Costs'!R46*BE$61</f>
        <v>10.890499999999999</v>
      </c>
      <c r="BF46" s="764">
        <v>1.0833342000000008</v>
      </c>
      <c r="BG46" s="772">
        <f>'Fuel Costs'!T46/BG$61</f>
        <v>5.1227272727272686</v>
      </c>
      <c r="BH46" s="772"/>
      <c r="BI46" s="772">
        <f>'Fuel Costs'!V46/BI$61</f>
        <v>2.39</v>
      </c>
      <c r="BJ46" s="772">
        <f>'Fuel Costs'!W46*BJ$61</f>
        <v>5.6819999999999995</v>
      </c>
      <c r="BK46" s="772">
        <f>'Fuel Costs'!X46/BK$61</f>
        <v>3.7177777777777781</v>
      </c>
      <c r="BL46" s="772">
        <f>'Fuel Costs'!Y46/BL$61</f>
        <v>3.7177777777777781</v>
      </c>
      <c r="BM46" s="772">
        <f t="shared" si="68"/>
        <v>23.464393343842911</v>
      </c>
      <c r="BN46" s="772">
        <f t="shared" si="68"/>
        <v>23.464393343842911</v>
      </c>
      <c r="BO46" s="772">
        <f t="shared" si="41"/>
        <v>29</v>
      </c>
      <c r="BP46" s="772">
        <f t="shared" si="42"/>
        <v>24</v>
      </c>
      <c r="BQ46" s="772">
        <f t="shared" si="68"/>
        <v>44.686132728435958</v>
      </c>
      <c r="BR46" s="772">
        <f t="shared" si="68"/>
        <v>28.730833894492633</v>
      </c>
      <c r="BS46" s="772">
        <f t="shared" si="68"/>
        <v>23.464393343842911</v>
      </c>
      <c r="BT46" s="772">
        <f t="shared" si="68"/>
        <v>6.06</v>
      </c>
      <c r="BU46" s="764">
        <f t="shared" si="54"/>
        <v>14.512400000000001</v>
      </c>
      <c r="BV46" s="764">
        <f t="shared" si="54"/>
        <v>7.7742222222222228</v>
      </c>
      <c r="BW46" s="764">
        <f t="shared" si="55"/>
        <v>4.1862222222222227</v>
      </c>
      <c r="BX46" s="772">
        <f t="shared" si="56"/>
        <v>0</v>
      </c>
    </row>
    <row r="47" spans="1:113">
      <c r="A47" s="508">
        <v>2057</v>
      </c>
      <c r="B47" s="767">
        <f t="shared" si="70"/>
        <v>11.5</v>
      </c>
      <c r="C47" s="767">
        <f t="shared" si="69"/>
        <v>70</v>
      </c>
      <c r="D47" s="767">
        <f t="shared" si="69"/>
        <v>64</v>
      </c>
      <c r="E47" s="767">
        <f t="shared" si="69"/>
        <v>89.031285134851501</v>
      </c>
      <c r="F47" s="767">
        <f t="shared" si="69"/>
        <v>0</v>
      </c>
      <c r="G47" s="770">
        <f t="shared" si="69"/>
        <v>70</v>
      </c>
      <c r="H47" s="767">
        <f t="shared" si="69"/>
        <v>0</v>
      </c>
      <c r="I47" s="767">
        <f t="shared" si="69"/>
        <v>0</v>
      </c>
      <c r="J47" s="767">
        <f t="shared" si="69"/>
        <v>0</v>
      </c>
      <c r="K47" s="767">
        <f t="shared" si="69"/>
        <v>0</v>
      </c>
      <c r="L47" s="767">
        <f t="shared" si="69"/>
        <v>0</v>
      </c>
      <c r="M47" s="767">
        <f t="shared" si="69"/>
        <v>0</v>
      </c>
      <c r="N47" s="767">
        <f t="shared" si="69"/>
        <v>0</v>
      </c>
      <c r="O47" s="767">
        <f t="shared" si="69"/>
        <v>0</v>
      </c>
      <c r="P47" s="767">
        <f t="shared" si="69"/>
        <v>0</v>
      </c>
      <c r="Q47" s="770">
        <f t="shared" si="69"/>
        <v>70</v>
      </c>
      <c r="R47" s="770">
        <f t="shared" si="69"/>
        <v>11.5</v>
      </c>
      <c r="S47" s="767">
        <f t="shared" si="69"/>
        <v>0</v>
      </c>
      <c r="T47" s="767">
        <f t="shared" si="69"/>
        <v>76.840909090909022</v>
      </c>
      <c r="U47" s="767">
        <f t="shared" si="69"/>
        <v>0</v>
      </c>
      <c r="V47" s="770">
        <f t="shared" si="69"/>
        <v>35</v>
      </c>
      <c r="W47" s="767">
        <f t="shared" si="69"/>
        <v>6</v>
      </c>
      <c r="X47" s="770">
        <f t="shared" si="69"/>
        <v>70</v>
      </c>
      <c r="Y47" s="770">
        <f t="shared" si="69"/>
        <v>70</v>
      </c>
      <c r="Z47" s="767">
        <v>23.390632634289076</v>
      </c>
      <c r="AA47" s="767">
        <v>23.390632634289076</v>
      </c>
      <c r="AB47" s="767">
        <v>29</v>
      </c>
      <c r="AC47" s="767">
        <v>24</v>
      </c>
      <c r="AD47" s="767">
        <f t="shared" si="69"/>
        <v>44.686132728435958</v>
      </c>
      <c r="AE47" s="767">
        <f t="shared" si="69"/>
        <v>28.730833894492633</v>
      </c>
      <c r="AF47" s="767">
        <v>23.390632634289076</v>
      </c>
      <c r="AG47" s="767">
        <v>6.06</v>
      </c>
      <c r="AH47" s="770">
        <f t="shared" si="69"/>
        <v>14.512400000000001</v>
      </c>
      <c r="AI47" s="770">
        <f t="shared" si="69"/>
        <v>7.7742222222222228</v>
      </c>
      <c r="AJ47" s="770">
        <f t="shared" si="69"/>
        <v>4.1862222222222227</v>
      </c>
      <c r="AK47" s="767">
        <f t="shared" si="69"/>
        <v>0</v>
      </c>
      <c r="AL47" s="289"/>
      <c r="AM47" s="289"/>
      <c r="AN47" s="6"/>
      <c r="AO47" s="772">
        <f>'Fuel Costs'!B47*AO$61</f>
        <v>10.890499999999999</v>
      </c>
      <c r="AP47" s="772">
        <f>'Fuel Costs'!C47/AP$61</f>
        <v>3.7177777777777781</v>
      </c>
      <c r="AQ47" s="772">
        <f>'Fuel Costs'!D47/AQ$61</f>
        <v>10.921501706484641</v>
      </c>
      <c r="AR47" s="772">
        <f>'Fuel Costs'!E47/AR$61</f>
        <v>15.189112232808471</v>
      </c>
      <c r="AS47" s="764">
        <v>-2.7635193673339691</v>
      </c>
      <c r="AT47" s="772">
        <f>'Fuel Costs'!G47/AT$61</f>
        <v>4.666666666666667</v>
      </c>
      <c r="AU47" s="6"/>
      <c r="AV47" s="6"/>
      <c r="AW47" s="6"/>
      <c r="AX47" s="764">
        <v>3.5681818181818183</v>
      </c>
      <c r="AY47" s="6"/>
      <c r="AZ47" s="6"/>
      <c r="BA47" s="6"/>
      <c r="BB47" s="6"/>
      <c r="BC47" s="6"/>
      <c r="BD47" s="772">
        <f>'Fuel Costs'!Q47/BD$61</f>
        <v>3.7177777777777781</v>
      </c>
      <c r="BE47" s="772">
        <f>'Fuel Costs'!R47*BE$61</f>
        <v>10.890499999999999</v>
      </c>
      <c r="BF47" s="764">
        <v>1.0833342000000008</v>
      </c>
      <c r="BG47" s="772">
        <f>'Fuel Costs'!T47/BG$61</f>
        <v>5.1227272727272686</v>
      </c>
      <c r="BH47" s="772"/>
      <c r="BI47" s="772">
        <f>'Fuel Costs'!V47/BI$61</f>
        <v>2.39</v>
      </c>
      <c r="BJ47" s="772">
        <f>'Fuel Costs'!W47*BJ$61</f>
        <v>5.6819999999999995</v>
      </c>
      <c r="BK47" s="772">
        <f>'Fuel Costs'!X47/BK$61</f>
        <v>3.7177777777777781</v>
      </c>
      <c r="BL47" s="772">
        <f>'Fuel Costs'!Y47/BL$61</f>
        <v>3.7177777777777781</v>
      </c>
      <c r="BM47" s="772">
        <f t="shared" si="68"/>
        <v>23.390632634289076</v>
      </c>
      <c r="BN47" s="772">
        <f t="shared" si="68"/>
        <v>23.390632634289076</v>
      </c>
      <c r="BO47" s="772">
        <f t="shared" si="41"/>
        <v>29</v>
      </c>
      <c r="BP47" s="772">
        <f t="shared" si="42"/>
        <v>24</v>
      </c>
      <c r="BQ47" s="772">
        <f t="shared" si="68"/>
        <v>44.686132728435958</v>
      </c>
      <c r="BR47" s="772">
        <f t="shared" si="68"/>
        <v>28.730833894492633</v>
      </c>
      <c r="BS47" s="772">
        <f t="shared" si="68"/>
        <v>23.390632634289076</v>
      </c>
      <c r="BT47" s="772">
        <f t="shared" si="68"/>
        <v>6.06</v>
      </c>
      <c r="BU47" s="764">
        <f t="shared" si="54"/>
        <v>14.512400000000001</v>
      </c>
      <c r="BV47" s="764">
        <f t="shared" si="54"/>
        <v>7.7742222222222228</v>
      </c>
      <c r="BW47" s="764">
        <f t="shared" si="55"/>
        <v>4.1862222222222227</v>
      </c>
      <c r="BX47" s="772">
        <f t="shared" si="56"/>
        <v>0</v>
      </c>
    </row>
    <row r="48" spans="1:113">
      <c r="A48" s="508">
        <v>2058</v>
      </c>
      <c r="B48" s="767">
        <f t="shared" si="70"/>
        <v>11.5</v>
      </c>
      <c r="C48" s="767">
        <f t="shared" si="69"/>
        <v>70</v>
      </c>
      <c r="D48" s="767">
        <f t="shared" si="69"/>
        <v>64</v>
      </c>
      <c r="E48" s="767">
        <f t="shared" si="69"/>
        <v>89.031285134851501</v>
      </c>
      <c r="F48" s="767">
        <f t="shared" si="69"/>
        <v>0</v>
      </c>
      <c r="G48" s="770">
        <f t="shared" si="69"/>
        <v>70</v>
      </c>
      <c r="H48" s="767">
        <f t="shared" si="69"/>
        <v>0</v>
      </c>
      <c r="I48" s="767">
        <f t="shared" si="69"/>
        <v>0</v>
      </c>
      <c r="J48" s="767">
        <f t="shared" si="69"/>
        <v>0</v>
      </c>
      <c r="K48" s="767">
        <f t="shared" si="69"/>
        <v>0</v>
      </c>
      <c r="L48" s="767">
        <f t="shared" si="69"/>
        <v>0</v>
      </c>
      <c r="M48" s="767">
        <f t="shared" si="69"/>
        <v>0</v>
      </c>
      <c r="N48" s="767">
        <f t="shared" si="69"/>
        <v>0</v>
      </c>
      <c r="O48" s="767">
        <f t="shared" si="69"/>
        <v>0</v>
      </c>
      <c r="P48" s="767">
        <f t="shared" si="69"/>
        <v>0</v>
      </c>
      <c r="Q48" s="770">
        <f t="shared" si="69"/>
        <v>70</v>
      </c>
      <c r="R48" s="770">
        <f t="shared" si="69"/>
        <v>11.5</v>
      </c>
      <c r="S48" s="767">
        <f t="shared" si="69"/>
        <v>0</v>
      </c>
      <c r="T48" s="767">
        <f t="shared" si="69"/>
        <v>76.840909090909022</v>
      </c>
      <c r="U48" s="767">
        <f t="shared" si="69"/>
        <v>0</v>
      </c>
      <c r="V48" s="770">
        <f t="shared" si="69"/>
        <v>35</v>
      </c>
      <c r="W48" s="767">
        <f t="shared" si="69"/>
        <v>6</v>
      </c>
      <c r="X48" s="770">
        <f t="shared" si="69"/>
        <v>70</v>
      </c>
      <c r="Y48" s="770">
        <f t="shared" si="69"/>
        <v>70</v>
      </c>
      <c r="Z48" s="767">
        <v>23.332554877460748</v>
      </c>
      <c r="AA48" s="767">
        <v>23.332554877460748</v>
      </c>
      <c r="AB48" s="767">
        <v>29</v>
      </c>
      <c r="AC48" s="767">
        <v>24</v>
      </c>
      <c r="AD48" s="767">
        <f t="shared" ref="C48:AK55" si="71">AD$40</f>
        <v>44.686132728435958</v>
      </c>
      <c r="AE48" s="767">
        <f t="shared" si="71"/>
        <v>28.730833894492633</v>
      </c>
      <c r="AF48" s="767">
        <v>23.332554877460748</v>
      </c>
      <c r="AG48" s="767">
        <v>6.06</v>
      </c>
      <c r="AH48" s="770">
        <f t="shared" si="71"/>
        <v>14.512400000000001</v>
      </c>
      <c r="AI48" s="770">
        <f t="shared" si="71"/>
        <v>7.7742222222222228</v>
      </c>
      <c r="AJ48" s="770">
        <f t="shared" si="71"/>
        <v>4.1862222222222227</v>
      </c>
      <c r="AK48" s="767">
        <f t="shared" si="71"/>
        <v>0</v>
      </c>
      <c r="AL48" s="289"/>
      <c r="AM48" s="289"/>
      <c r="AN48" s="6"/>
      <c r="AO48" s="772">
        <f>'Fuel Costs'!B48*AO$61</f>
        <v>10.890499999999999</v>
      </c>
      <c r="AP48" s="772">
        <f>'Fuel Costs'!C48/AP$61</f>
        <v>3.7177777777777781</v>
      </c>
      <c r="AQ48" s="772">
        <f>'Fuel Costs'!D48/AQ$61</f>
        <v>10.921501706484641</v>
      </c>
      <c r="AR48" s="772">
        <f>'Fuel Costs'!E48/AR$61</f>
        <v>15.189112232808471</v>
      </c>
      <c r="AS48" s="764">
        <v>-2.7635193673339691</v>
      </c>
      <c r="AT48" s="772">
        <f>'Fuel Costs'!G48/AT$61</f>
        <v>4.666666666666667</v>
      </c>
      <c r="AU48" s="6"/>
      <c r="AV48" s="6"/>
      <c r="AW48" s="6"/>
      <c r="AX48" s="764">
        <v>3.5681818181818183</v>
      </c>
      <c r="AY48" s="6"/>
      <c r="AZ48" s="6"/>
      <c r="BA48" s="6"/>
      <c r="BB48" s="6"/>
      <c r="BC48" s="6"/>
      <c r="BD48" s="772">
        <f>'Fuel Costs'!Q48/BD$61</f>
        <v>3.7177777777777781</v>
      </c>
      <c r="BE48" s="772">
        <f>'Fuel Costs'!R48*BE$61</f>
        <v>10.890499999999999</v>
      </c>
      <c r="BF48" s="764">
        <v>1.0833342000000008</v>
      </c>
      <c r="BG48" s="772">
        <f>'Fuel Costs'!T48/BG$61</f>
        <v>5.1227272727272686</v>
      </c>
      <c r="BH48" s="772"/>
      <c r="BI48" s="772">
        <f>'Fuel Costs'!V48/BI$61</f>
        <v>2.39</v>
      </c>
      <c r="BJ48" s="772">
        <f>'Fuel Costs'!W48*BJ$61</f>
        <v>5.6819999999999995</v>
      </c>
      <c r="BK48" s="772">
        <f>'Fuel Costs'!X48/BK$61</f>
        <v>3.7177777777777781</v>
      </c>
      <c r="BL48" s="772">
        <f>'Fuel Costs'!Y48/BL$61</f>
        <v>3.7177777777777781</v>
      </c>
      <c r="BM48" s="772">
        <f t="shared" si="68"/>
        <v>23.332554877460748</v>
      </c>
      <c r="BN48" s="772">
        <f t="shared" si="68"/>
        <v>23.332554877460748</v>
      </c>
      <c r="BO48" s="772">
        <f t="shared" si="41"/>
        <v>29</v>
      </c>
      <c r="BP48" s="772">
        <f t="shared" si="42"/>
        <v>24</v>
      </c>
      <c r="BQ48" s="772">
        <f t="shared" si="68"/>
        <v>44.686132728435958</v>
      </c>
      <c r="BR48" s="772">
        <f t="shared" si="68"/>
        <v>28.730833894492633</v>
      </c>
      <c r="BS48" s="772">
        <f t="shared" si="68"/>
        <v>23.332554877460748</v>
      </c>
      <c r="BT48" s="772">
        <f t="shared" si="68"/>
        <v>6.06</v>
      </c>
      <c r="BU48" s="764">
        <f t="shared" si="54"/>
        <v>14.512400000000001</v>
      </c>
      <c r="BV48" s="764">
        <f t="shared" si="54"/>
        <v>7.7742222222222228</v>
      </c>
      <c r="BW48" s="764">
        <f t="shared" si="55"/>
        <v>4.1862222222222227</v>
      </c>
      <c r="BX48" s="772">
        <f t="shared" si="56"/>
        <v>0</v>
      </c>
    </row>
    <row r="49" spans="1:76">
      <c r="A49" s="508">
        <v>2059</v>
      </c>
      <c r="B49" s="767">
        <f t="shared" si="70"/>
        <v>11.5</v>
      </c>
      <c r="C49" s="767">
        <f t="shared" si="71"/>
        <v>70</v>
      </c>
      <c r="D49" s="767">
        <f t="shared" si="71"/>
        <v>64</v>
      </c>
      <c r="E49" s="767">
        <f t="shared" si="71"/>
        <v>89.031285134851501</v>
      </c>
      <c r="F49" s="767">
        <f t="shared" si="71"/>
        <v>0</v>
      </c>
      <c r="G49" s="770">
        <f t="shared" si="71"/>
        <v>70</v>
      </c>
      <c r="H49" s="767">
        <f t="shared" si="71"/>
        <v>0</v>
      </c>
      <c r="I49" s="767">
        <f t="shared" si="71"/>
        <v>0</v>
      </c>
      <c r="J49" s="767">
        <f t="shared" si="71"/>
        <v>0</v>
      </c>
      <c r="K49" s="767">
        <f t="shared" si="71"/>
        <v>0</v>
      </c>
      <c r="L49" s="767">
        <f t="shared" si="71"/>
        <v>0</v>
      </c>
      <c r="M49" s="767">
        <f t="shared" si="71"/>
        <v>0</v>
      </c>
      <c r="N49" s="767">
        <f t="shared" si="71"/>
        <v>0</v>
      </c>
      <c r="O49" s="767">
        <f t="shared" si="71"/>
        <v>0</v>
      </c>
      <c r="P49" s="767">
        <f t="shared" si="71"/>
        <v>0</v>
      </c>
      <c r="Q49" s="770">
        <f t="shared" si="71"/>
        <v>70</v>
      </c>
      <c r="R49" s="770">
        <f t="shared" si="71"/>
        <v>11.5</v>
      </c>
      <c r="S49" s="767">
        <f t="shared" si="71"/>
        <v>0</v>
      </c>
      <c r="T49" s="767">
        <f t="shared" si="71"/>
        <v>76.840909090909022</v>
      </c>
      <c r="U49" s="767">
        <f t="shared" si="71"/>
        <v>0</v>
      </c>
      <c r="V49" s="770">
        <f t="shared" si="71"/>
        <v>35</v>
      </c>
      <c r="W49" s="767">
        <f t="shared" si="71"/>
        <v>6</v>
      </c>
      <c r="X49" s="770">
        <f t="shared" si="71"/>
        <v>70</v>
      </c>
      <c r="Y49" s="770">
        <f t="shared" si="71"/>
        <v>70</v>
      </c>
      <c r="Z49" s="767">
        <v>23.266606275980198</v>
      </c>
      <c r="AA49" s="767">
        <v>23.266606275980198</v>
      </c>
      <c r="AB49" s="767">
        <v>29</v>
      </c>
      <c r="AC49" s="767">
        <v>24</v>
      </c>
      <c r="AD49" s="767">
        <f t="shared" si="71"/>
        <v>44.686132728435958</v>
      </c>
      <c r="AE49" s="767">
        <f t="shared" si="71"/>
        <v>28.730833894492633</v>
      </c>
      <c r="AF49" s="767">
        <v>23.266606275980198</v>
      </c>
      <c r="AG49" s="767">
        <v>6.06</v>
      </c>
      <c r="AH49" s="770">
        <f t="shared" si="71"/>
        <v>14.512400000000001</v>
      </c>
      <c r="AI49" s="770">
        <f t="shared" si="71"/>
        <v>7.7742222222222228</v>
      </c>
      <c r="AJ49" s="770">
        <f t="shared" si="71"/>
        <v>4.1862222222222227</v>
      </c>
      <c r="AK49" s="767">
        <f t="shared" si="71"/>
        <v>0</v>
      </c>
      <c r="AL49" s="289"/>
      <c r="AM49" s="289"/>
      <c r="AN49" s="6"/>
      <c r="AO49" s="772">
        <f>'Fuel Costs'!B49*AO$61</f>
        <v>10.890499999999999</v>
      </c>
      <c r="AP49" s="772">
        <f>'Fuel Costs'!C49/AP$61</f>
        <v>3.7177777777777781</v>
      </c>
      <c r="AQ49" s="772">
        <f>'Fuel Costs'!D49/AQ$61</f>
        <v>10.921501706484641</v>
      </c>
      <c r="AR49" s="772">
        <f>'Fuel Costs'!E49/AR$61</f>
        <v>15.189112232808471</v>
      </c>
      <c r="AS49" s="764">
        <v>-2.7635193673339691</v>
      </c>
      <c r="AT49" s="772">
        <f>'Fuel Costs'!G49/AT$61</f>
        <v>4.666666666666667</v>
      </c>
      <c r="AU49" s="6"/>
      <c r="AV49" s="6"/>
      <c r="AW49" s="6"/>
      <c r="AX49" s="764">
        <v>3.5681818181818183</v>
      </c>
      <c r="AY49" s="6"/>
      <c r="AZ49" s="6"/>
      <c r="BA49" s="6"/>
      <c r="BB49" s="6"/>
      <c r="BC49" s="6"/>
      <c r="BD49" s="772">
        <f>'Fuel Costs'!Q49/BD$61</f>
        <v>3.7177777777777781</v>
      </c>
      <c r="BE49" s="772">
        <f>'Fuel Costs'!R49*BE$61</f>
        <v>10.890499999999999</v>
      </c>
      <c r="BF49" s="764">
        <v>1.0833342000000008</v>
      </c>
      <c r="BG49" s="772">
        <f>'Fuel Costs'!T49/BG$61</f>
        <v>5.1227272727272686</v>
      </c>
      <c r="BH49" s="772"/>
      <c r="BI49" s="772">
        <f>'Fuel Costs'!V49/BI$61</f>
        <v>2.39</v>
      </c>
      <c r="BJ49" s="772">
        <f>'Fuel Costs'!W49*BJ$61</f>
        <v>5.6819999999999995</v>
      </c>
      <c r="BK49" s="772">
        <f>'Fuel Costs'!X49/BK$61</f>
        <v>3.7177777777777781</v>
      </c>
      <c r="BL49" s="772">
        <f>'Fuel Costs'!Y49/BL$61</f>
        <v>3.7177777777777781</v>
      </c>
      <c r="BM49" s="772">
        <f t="shared" si="68"/>
        <v>23.266606275980198</v>
      </c>
      <c r="BN49" s="772">
        <f t="shared" si="68"/>
        <v>23.266606275980198</v>
      </c>
      <c r="BO49" s="772">
        <f t="shared" si="68"/>
        <v>29</v>
      </c>
      <c r="BP49" s="772">
        <f t="shared" si="68"/>
        <v>24</v>
      </c>
      <c r="BQ49" s="772">
        <f t="shared" si="68"/>
        <v>44.686132728435958</v>
      </c>
      <c r="BR49" s="772">
        <f t="shared" si="68"/>
        <v>28.730833894492633</v>
      </c>
      <c r="BS49" s="772">
        <f t="shared" si="68"/>
        <v>23.266606275980198</v>
      </c>
      <c r="BT49" s="772">
        <f t="shared" si="68"/>
        <v>6.06</v>
      </c>
      <c r="BU49" s="764">
        <f t="shared" si="54"/>
        <v>14.512400000000001</v>
      </c>
      <c r="BV49" s="764">
        <f t="shared" si="54"/>
        <v>7.7742222222222228</v>
      </c>
      <c r="BW49" s="764">
        <f t="shared" si="55"/>
        <v>4.1862222222222227</v>
      </c>
      <c r="BX49" s="772">
        <f t="shared" si="56"/>
        <v>0</v>
      </c>
    </row>
    <row r="50" spans="1:76">
      <c r="A50" s="508">
        <v>2060</v>
      </c>
      <c r="B50" s="767">
        <f t="shared" si="70"/>
        <v>11.5</v>
      </c>
      <c r="C50" s="767">
        <f t="shared" si="71"/>
        <v>70</v>
      </c>
      <c r="D50" s="767">
        <f t="shared" si="71"/>
        <v>64</v>
      </c>
      <c r="E50" s="767">
        <f t="shared" si="71"/>
        <v>89.031285134851501</v>
      </c>
      <c r="F50" s="767">
        <f t="shared" si="71"/>
        <v>0</v>
      </c>
      <c r="G50" s="770">
        <f t="shared" si="71"/>
        <v>70</v>
      </c>
      <c r="H50" s="767">
        <f t="shared" si="71"/>
        <v>0</v>
      </c>
      <c r="I50" s="767">
        <f t="shared" si="71"/>
        <v>0</v>
      </c>
      <c r="J50" s="767">
        <f t="shared" si="71"/>
        <v>0</v>
      </c>
      <c r="K50" s="767">
        <f t="shared" si="71"/>
        <v>0</v>
      </c>
      <c r="L50" s="767">
        <f t="shared" si="71"/>
        <v>0</v>
      </c>
      <c r="M50" s="767">
        <f t="shared" si="71"/>
        <v>0</v>
      </c>
      <c r="N50" s="767">
        <f t="shared" si="71"/>
        <v>0</v>
      </c>
      <c r="O50" s="767">
        <f t="shared" si="71"/>
        <v>0</v>
      </c>
      <c r="P50" s="767">
        <f t="shared" si="71"/>
        <v>0</v>
      </c>
      <c r="Q50" s="770">
        <f t="shared" si="71"/>
        <v>70</v>
      </c>
      <c r="R50" s="770">
        <f t="shared" si="71"/>
        <v>11.5</v>
      </c>
      <c r="S50" s="767">
        <f t="shared" si="71"/>
        <v>0</v>
      </c>
      <c r="T50" s="767">
        <f t="shared" si="71"/>
        <v>76.840909090909022</v>
      </c>
      <c r="U50" s="767">
        <f t="shared" si="71"/>
        <v>0</v>
      </c>
      <c r="V50" s="770">
        <f t="shared" si="71"/>
        <v>35</v>
      </c>
      <c r="W50" s="767">
        <f t="shared" si="71"/>
        <v>6</v>
      </c>
      <c r="X50" s="770">
        <f t="shared" si="71"/>
        <v>70</v>
      </c>
      <c r="Y50" s="770">
        <f t="shared" si="71"/>
        <v>70</v>
      </c>
      <c r="Z50" s="767">
        <v>23.094484456552102</v>
      </c>
      <c r="AA50" s="767">
        <v>23.094484456552102</v>
      </c>
      <c r="AB50" s="767">
        <v>29</v>
      </c>
      <c r="AC50" s="767">
        <v>24</v>
      </c>
      <c r="AD50" s="767">
        <f t="shared" si="71"/>
        <v>44.686132728435958</v>
      </c>
      <c r="AE50" s="767">
        <f t="shared" si="71"/>
        <v>28.730833894492633</v>
      </c>
      <c r="AF50" s="767">
        <v>23.094484456552102</v>
      </c>
      <c r="AG50" s="767">
        <v>6.06</v>
      </c>
      <c r="AH50" s="770">
        <f t="shared" si="71"/>
        <v>14.512400000000001</v>
      </c>
      <c r="AI50" s="770">
        <f t="shared" si="71"/>
        <v>7.7742222222222228</v>
      </c>
      <c r="AJ50" s="770">
        <f t="shared" si="71"/>
        <v>4.1862222222222227</v>
      </c>
      <c r="AK50" s="767">
        <f t="shared" si="71"/>
        <v>0</v>
      </c>
      <c r="AL50" s="289"/>
      <c r="AM50" s="289"/>
      <c r="AN50" s="6"/>
      <c r="AO50" s="772">
        <f>'Fuel Costs'!B50*AO$61</f>
        <v>10.890499999999999</v>
      </c>
      <c r="AP50" s="772">
        <f>'Fuel Costs'!C50/AP$61</f>
        <v>3.7177777777777781</v>
      </c>
      <c r="AQ50" s="772">
        <f>'Fuel Costs'!D50/AQ$61</f>
        <v>10.921501706484641</v>
      </c>
      <c r="AR50" s="772">
        <f>'Fuel Costs'!E50/AR$61</f>
        <v>15.189112232808471</v>
      </c>
      <c r="AS50" s="764">
        <v>-2.7635193673339691</v>
      </c>
      <c r="AT50" s="772">
        <f>'Fuel Costs'!G50/AT$61</f>
        <v>4.666666666666667</v>
      </c>
      <c r="AU50" s="6"/>
      <c r="AV50" s="6"/>
      <c r="AW50" s="6"/>
      <c r="AX50" s="764">
        <v>3.5681818181818183</v>
      </c>
      <c r="AY50" s="6"/>
      <c r="AZ50" s="6"/>
      <c r="BA50" s="6"/>
      <c r="BB50" s="6"/>
      <c r="BC50" s="6"/>
      <c r="BD50" s="772">
        <f>'Fuel Costs'!Q50/BD$61</f>
        <v>3.7177777777777781</v>
      </c>
      <c r="BE50" s="772">
        <f>'Fuel Costs'!R50*BE$61</f>
        <v>10.890499999999999</v>
      </c>
      <c r="BF50" s="764">
        <v>1.0833342000000008</v>
      </c>
      <c r="BG50" s="772">
        <f>'Fuel Costs'!T50/BG$61</f>
        <v>5.1227272727272686</v>
      </c>
      <c r="BH50" s="772"/>
      <c r="BI50" s="772">
        <f>'Fuel Costs'!V50/BI$61</f>
        <v>2.39</v>
      </c>
      <c r="BJ50" s="772">
        <f>'Fuel Costs'!W50*BJ$61</f>
        <v>5.6819999999999995</v>
      </c>
      <c r="BK50" s="772">
        <f>'Fuel Costs'!X50/BK$61</f>
        <v>3.7177777777777781</v>
      </c>
      <c r="BL50" s="772">
        <f>'Fuel Costs'!Y50/BL$61</f>
        <v>3.7177777777777781</v>
      </c>
      <c r="BM50" s="772">
        <f t="shared" si="68"/>
        <v>23.094484456552102</v>
      </c>
      <c r="BN50" s="772">
        <f t="shared" si="68"/>
        <v>23.094484456552102</v>
      </c>
      <c r="BO50" s="772">
        <f t="shared" si="68"/>
        <v>29</v>
      </c>
      <c r="BP50" s="772">
        <f t="shared" si="68"/>
        <v>24</v>
      </c>
      <c r="BQ50" s="772">
        <f t="shared" si="68"/>
        <v>44.686132728435958</v>
      </c>
      <c r="BR50" s="772">
        <f t="shared" si="68"/>
        <v>28.730833894492633</v>
      </c>
      <c r="BS50" s="772">
        <f t="shared" si="68"/>
        <v>23.094484456552102</v>
      </c>
      <c r="BT50" s="772">
        <f t="shared" si="68"/>
        <v>6.06</v>
      </c>
      <c r="BU50" s="764">
        <f t="shared" si="54"/>
        <v>14.512400000000001</v>
      </c>
      <c r="BV50" s="764">
        <f t="shared" si="54"/>
        <v>7.7742222222222228</v>
      </c>
      <c r="BW50" s="764">
        <f t="shared" si="55"/>
        <v>4.1862222222222227</v>
      </c>
      <c r="BX50" s="772">
        <f t="shared" si="56"/>
        <v>0</v>
      </c>
    </row>
    <row r="51" spans="1:76">
      <c r="A51" s="508">
        <v>2061</v>
      </c>
      <c r="B51" s="767">
        <f t="shared" si="70"/>
        <v>11.5</v>
      </c>
      <c r="C51" s="767">
        <f t="shared" si="71"/>
        <v>70</v>
      </c>
      <c r="D51" s="767">
        <f t="shared" si="71"/>
        <v>64</v>
      </c>
      <c r="E51" s="767">
        <f t="shared" si="71"/>
        <v>89.031285134851501</v>
      </c>
      <c r="F51" s="767">
        <f t="shared" si="71"/>
        <v>0</v>
      </c>
      <c r="G51" s="770">
        <f t="shared" si="71"/>
        <v>70</v>
      </c>
      <c r="H51" s="767">
        <f t="shared" si="71"/>
        <v>0</v>
      </c>
      <c r="I51" s="767">
        <f t="shared" si="71"/>
        <v>0</v>
      </c>
      <c r="J51" s="767">
        <f t="shared" si="71"/>
        <v>0</v>
      </c>
      <c r="K51" s="767">
        <f t="shared" si="71"/>
        <v>0</v>
      </c>
      <c r="L51" s="767">
        <f t="shared" si="71"/>
        <v>0</v>
      </c>
      <c r="M51" s="767">
        <f t="shared" si="71"/>
        <v>0</v>
      </c>
      <c r="N51" s="767">
        <f t="shared" si="71"/>
        <v>0</v>
      </c>
      <c r="O51" s="767">
        <f t="shared" si="71"/>
        <v>0</v>
      </c>
      <c r="P51" s="767">
        <f t="shared" si="71"/>
        <v>0</v>
      </c>
      <c r="Q51" s="770">
        <f t="shared" si="71"/>
        <v>70</v>
      </c>
      <c r="R51" s="770">
        <f t="shared" si="71"/>
        <v>11.5</v>
      </c>
      <c r="S51" s="767">
        <f t="shared" si="71"/>
        <v>0</v>
      </c>
      <c r="T51" s="767">
        <f t="shared" si="71"/>
        <v>76.840909090909022</v>
      </c>
      <c r="U51" s="767">
        <f t="shared" si="71"/>
        <v>0</v>
      </c>
      <c r="V51" s="770">
        <f t="shared" si="71"/>
        <v>35</v>
      </c>
      <c r="W51" s="767">
        <f t="shared" si="71"/>
        <v>6</v>
      </c>
      <c r="X51" s="770">
        <f t="shared" si="71"/>
        <v>70</v>
      </c>
      <c r="Y51" s="770">
        <f t="shared" si="71"/>
        <v>70</v>
      </c>
      <c r="Z51" s="767">
        <f t="shared" si="71"/>
        <v>23.616677889852713</v>
      </c>
      <c r="AA51" s="767">
        <f t="shared" si="71"/>
        <v>23.616677889852713</v>
      </c>
      <c r="AB51" s="767">
        <f t="shared" ref="AB51:AC59" si="72">AB$40</f>
        <v>29</v>
      </c>
      <c r="AC51" s="767">
        <f t="shared" si="72"/>
        <v>24</v>
      </c>
      <c r="AD51" s="767">
        <f t="shared" si="71"/>
        <v>44.686132728435958</v>
      </c>
      <c r="AE51" s="767">
        <f t="shared" si="71"/>
        <v>28.730833894492633</v>
      </c>
      <c r="AF51" s="767">
        <f t="shared" si="71"/>
        <v>23.616677889852713</v>
      </c>
      <c r="AG51" s="767">
        <f t="shared" si="71"/>
        <v>6.06</v>
      </c>
      <c r="AH51" s="770">
        <f t="shared" si="71"/>
        <v>14.512400000000001</v>
      </c>
      <c r="AI51" s="770">
        <f t="shared" si="71"/>
        <v>7.7742222222222228</v>
      </c>
      <c r="AJ51" s="770">
        <f t="shared" si="71"/>
        <v>4.1862222222222227</v>
      </c>
      <c r="AK51" s="767">
        <f t="shared" si="71"/>
        <v>0</v>
      </c>
      <c r="AL51" s="289"/>
      <c r="AM51" s="289"/>
      <c r="AN51" s="6"/>
      <c r="AO51" s="772">
        <f>'Fuel Costs'!B51*AO$61</f>
        <v>10.890499999999999</v>
      </c>
      <c r="AP51" s="772">
        <f>'Fuel Costs'!C51/AP$61</f>
        <v>3.7177777777777781</v>
      </c>
      <c r="AQ51" s="772">
        <f>'Fuel Costs'!D51/AQ$61</f>
        <v>10.921501706484641</v>
      </c>
      <c r="AR51" s="772">
        <f>'Fuel Costs'!E51/AR$61</f>
        <v>15.189112232808471</v>
      </c>
      <c r="AS51" s="764">
        <v>-2.76351936733397</v>
      </c>
      <c r="AT51" s="772">
        <f>'Fuel Costs'!G51/AT$61</f>
        <v>4.666666666666667</v>
      </c>
      <c r="AU51" s="6"/>
      <c r="AV51" s="6"/>
      <c r="AW51" s="6"/>
      <c r="AX51" s="764">
        <v>3.5681818181818201</v>
      </c>
      <c r="AY51" s="6"/>
      <c r="AZ51" s="6"/>
      <c r="BA51" s="6"/>
      <c r="BB51" s="6"/>
      <c r="BC51" s="6"/>
      <c r="BD51" s="772">
        <f>'Fuel Costs'!Q51/BD$61</f>
        <v>3.7177777777777781</v>
      </c>
      <c r="BE51" s="772">
        <f>'Fuel Costs'!R51*BE$61</f>
        <v>10.890499999999999</v>
      </c>
      <c r="BF51" s="764">
        <v>1.0833341999999999</v>
      </c>
      <c r="BG51" s="772">
        <f>'Fuel Costs'!T51/BG$61</f>
        <v>5.1227272727272686</v>
      </c>
      <c r="BH51" s="772"/>
      <c r="BI51" s="772">
        <f>'Fuel Costs'!V51/BI$61</f>
        <v>2.39</v>
      </c>
      <c r="BJ51" s="772">
        <f>'Fuel Costs'!W51*BJ$61</f>
        <v>5.6819999999999995</v>
      </c>
      <c r="BK51" s="772">
        <f>'Fuel Costs'!X51/BK$61</f>
        <v>3.7177777777777781</v>
      </c>
      <c r="BL51" s="772">
        <f>'Fuel Costs'!Y51/BL$61</f>
        <v>3.7177777777777781</v>
      </c>
      <c r="BM51" s="772">
        <f t="shared" si="68"/>
        <v>23.616677889852713</v>
      </c>
      <c r="BN51" s="772">
        <f t="shared" si="68"/>
        <v>23.616677889852713</v>
      </c>
      <c r="BO51" s="772">
        <f t="shared" si="68"/>
        <v>29</v>
      </c>
      <c r="BP51" s="772">
        <f t="shared" si="68"/>
        <v>24</v>
      </c>
      <c r="BQ51" s="772">
        <f t="shared" si="68"/>
        <v>44.686132728435958</v>
      </c>
      <c r="BR51" s="772">
        <f t="shared" si="68"/>
        <v>28.730833894492633</v>
      </c>
      <c r="BS51" s="772">
        <f t="shared" si="68"/>
        <v>23.616677889852713</v>
      </c>
      <c r="BT51" s="772">
        <f t="shared" si="68"/>
        <v>6.06</v>
      </c>
      <c r="BU51" s="764">
        <f t="shared" si="54"/>
        <v>14.512400000000001</v>
      </c>
      <c r="BV51" s="764">
        <f t="shared" si="54"/>
        <v>7.7742222222222228</v>
      </c>
      <c r="BW51" s="764">
        <f t="shared" si="55"/>
        <v>4.1862222222222227</v>
      </c>
      <c r="BX51" s="772">
        <f t="shared" si="56"/>
        <v>0</v>
      </c>
    </row>
    <row r="52" spans="1:76">
      <c r="A52" s="508">
        <v>2062</v>
      </c>
      <c r="B52" s="767">
        <f t="shared" si="70"/>
        <v>11.5</v>
      </c>
      <c r="C52" s="767">
        <f t="shared" si="71"/>
        <v>70</v>
      </c>
      <c r="D52" s="767">
        <f t="shared" si="71"/>
        <v>64</v>
      </c>
      <c r="E52" s="767">
        <f t="shared" si="71"/>
        <v>89.031285134851501</v>
      </c>
      <c r="F52" s="767">
        <f t="shared" si="71"/>
        <v>0</v>
      </c>
      <c r="G52" s="770">
        <f t="shared" si="71"/>
        <v>70</v>
      </c>
      <c r="H52" s="767">
        <f t="shared" si="71"/>
        <v>0</v>
      </c>
      <c r="I52" s="767">
        <f t="shared" si="71"/>
        <v>0</v>
      </c>
      <c r="J52" s="767">
        <f t="shared" si="71"/>
        <v>0</v>
      </c>
      <c r="K52" s="767">
        <f t="shared" si="71"/>
        <v>0</v>
      </c>
      <c r="L52" s="767">
        <f t="shared" si="71"/>
        <v>0</v>
      </c>
      <c r="M52" s="767">
        <f t="shared" si="71"/>
        <v>0</v>
      </c>
      <c r="N52" s="767">
        <f t="shared" si="71"/>
        <v>0</v>
      </c>
      <c r="O52" s="767">
        <f t="shared" si="71"/>
        <v>0</v>
      </c>
      <c r="P52" s="767">
        <f t="shared" si="71"/>
        <v>0</v>
      </c>
      <c r="Q52" s="770">
        <f t="shared" si="71"/>
        <v>70</v>
      </c>
      <c r="R52" s="770">
        <f t="shared" si="71"/>
        <v>11.5</v>
      </c>
      <c r="S52" s="767">
        <f t="shared" si="71"/>
        <v>0</v>
      </c>
      <c r="T52" s="767">
        <f t="shared" si="71"/>
        <v>76.840909090909022</v>
      </c>
      <c r="U52" s="767">
        <f t="shared" si="71"/>
        <v>0</v>
      </c>
      <c r="V52" s="770">
        <f t="shared" si="71"/>
        <v>35</v>
      </c>
      <c r="W52" s="767">
        <f t="shared" si="71"/>
        <v>6</v>
      </c>
      <c r="X52" s="770">
        <f t="shared" si="71"/>
        <v>70</v>
      </c>
      <c r="Y52" s="770">
        <f t="shared" si="71"/>
        <v>70</v>
      </c>
      <c r="Z52" s="767">
        <f t="shared" si="71"/>
        <v>23.616677889852713</v>
      </c>
      <c r="AA52" s="767">
        <f t="shared" si="71"/>
        <v>23.616677889852713</v>
      </c>
      <c r="AB52" s="767">
        <f t="shared" si="72"/>
        <v>29</v>
      </c>
      <c r="AC52" s="767">
        <f t="shared" si="72"/>
        <v>24</v>
      </c>
      <c r="AD52" s="767">
        <f t="shared" si="71"/>
        <v>44.686132728435958</v>
      </c>
      <c r="AE52" s="767">
        <f t="shared" si="71"/>
        <v>28.730833894492633</v>
      </c>
      <c r="AF52" s="767">
        <f t="shared" si="71"/>
        <v>23.616677889852713</v>
      </c>
      <c r="AG52" s="767">
        <f t="shared" si="71"/>
        <v>6.06</v>
      </c>
      <c r="AH52" s="770">
        <f t="shared" si="71"/>
        <v>14.512400000000001</v>
      </c>
      <c r="AI52" s="770">
        <f t="shared" si="71"/>
        <v>7.7742222222222228</v>
      </c>
      <c r="AJ52" s="770">
        <f t="shared" si="71"/>
        <v>4.1862222222222227</v>
      </c>
      <c r="AK52" s="767">
        <f t="shared" si="71"/>
        <v>0</v>
      </c>
      <c r="AL52" s="289"/>
      <c r="AM52" s="289"/>
      <c r="AN52" s="6"/>
      <c r="AO52" s="772">
        <f>'Fuel Costs'!B52*AO$61</f>
        <v>10.890499999999999</v>
      </c>
      <c r="AP52" s="772">
        <f>'Fuel Costs'!C52/AP$61</f>
        <v>3.7177777777777781</v>
      </c>
      <c r="AQ52" s="772">
        <f>'Fuel Costs'!D52/AQ$61</f>
        <v>10.921501706484641</v>
      </c>
      <c r="AR52" s="772">
        <f>'Fuel Costs'!E52/AR$61</f>
        <v>15.189112232808471</v>
      </c>
      <c r="AS52" s="764">
        <v>-2.76351936733397</v>
      </c>
      <c r="AT52" s="772">
        <f>'Fuel Costs'!G52/AT$61</f>
        <v>4.666666666666667</v>
      </c>
      <c r="AU52" s="6"/>
      <c r="AV52" s="6"/>
      <c r="AW52" s="6"/>
      <c r="AX52" s="764">
        <v>3.5681818181818201</v>
      </c>
      <c r="AY52" s="6"/>
      <c r="AZ52" s="6"/>
      <c r="BA52" s="6"/>
      <c r="BB52" s="6"/>
      <c r="BC52" s="6"/>
      <c r="BD52" s="772">
        <f>'Fuel Costs'!Q52/BD$61</f>
        <v>3.7177777777777781</v>
      </c>
      <c r="BE52" s="772">
        <f>'Fuel Costs'!R52*BE$61</f>
        <v>10.890499999999999</v>
      </c>
      <c r="BF52" s="764">
        <v>1.0833341999999999</v>
      </c>
      <c r="BG52" s="772">
        <f>'Fuel Costs'!T52/BG$61</f>
        <v>5.1227272727272686</v>
      </c>
      <c r="BH52" s="772"/>
      <c r="BI52" s="772">
        <f>'Fuel Costs'!V52/BI$61</f>
        <v>2.39</v>
      </c>
      <c r="BJ52" s="772">
        <f>'Fuel Costs'!W52*BJ$61</f>
        <v>5.6819999999999995</v>
      </c>
      <c r="BK52" s="772">
        <f>'Fuel Costs'!X52/BK$61</f>
        <v>3.7177777777777781</v>
      </c>
      <c r="BL52" s="772">
        <f>'Fuel Costs'!Y52/BL$61</f>
        <v>3.7177777777777781</v>
      </c>
      <c r="BM52" s="772">
        <f t="shared" si="68"/>
        <v>23.616677889852713</v>
      </c>
      <c r="BN52" s="772">
        <f t="shared" si="68"/>
        <v>23.616677889852713</v>
      </c>
      <c r="BO52" s="772">
        <f t="shared" si="68"/>
        <v>29</v>
      </c>
      <c r="BP52" s="772">
        <f t="shared" si="68"/>
        <v>24</v>
      </c>
      <c r="BQ52" s="772">
        <f t="shared" si="68"/>
        <v>44.686132728435958</v>
      </c>
      <c r="BR52" s="772">
        <f t="shared" si="68"/>
        <v>28.730833894492633</v>
      </c>
      <c r="BS52" s="772">
        <f t="shared" si="68"/>
        <v>23.616677889852713</v>
      </c>
      <c r="BT52" s="772">
        <f t="shared" si="68"/>
        <v>6.06</v>
      </c>
      <c r="BU52" s="764">
        <f t="shared" si="54"/>
        <v>14.512400000000001</v>
      </c>
      <c r="BV52" s="764">
        <f t="shared" si="54"/>
        <v>7.7742222222222228</v>
      </c>
      <c r="BW52" s="764">
        <f t="shared" si="55"/>
        <v>4.1862222222222227</v>
      </c>
      <c r="BX52" s="772">
        <f t="shared" si="56"/>
        <v>0</v>
      </c>
    </row>
    <row r="53" spans="1:76">
      <c r="A53" s="508">
        <v>2063</v>
      </c>
      <c r="B53" s="767">
        <f t="shared" si="70"/>
        <v>11.5</v>
      </c>
      <c r="C53" s="767">
        <f t="shared" si="71"/>
        <v>70</v>
      </c>
      <c r="D53" s="767">
        <f t="shared" si="71"/>
        <v>64</v>
      </c>
      <c r="E53" s="767">
        <f t="shared" si="71"/>
        <v>89.031285134851501</v>
      </c>
      <c r="F53" s="767">
        <f t="shared" si="71"/>
        <v>0</v>
      </c>
      <c r="G53" s="770">
        <f t="shared" si="71"/>
        <v>70</v>
      </c>
      <c r="H53" s="767">
        <f t="shared" si="71"/>
        <v>0</v>
      </c>
      <c r="I53" s="767">
        <f t="shared" si="71"/>
        <v>0</v>
      </c>
      <c r="J53" s="767">
        <f t="shared" si="71"/>
        <v>0</v>
      </c>
      <c r="K53" s="767">
        <f t="shared" si="71"/>
        <v>0</v>
      </c>
      <c r="L53" s="767">
        <f t="shared" si="71"/>
        <v>0</v>
      </c>
      <c r="M53" s="767">
        <f t="shared" si="71"/>
        <v>0</v>
      </c>
      <c r="N53" s="767">
        <f t="shared" si="71"/>
        <v>0</v>
      </c>
      <c r="O53" s="767">
        <f t="shared" si="71"/>
        <v>0</v>
      </c>
      <c r="P53" s="767">
        <f t="shared" si="71"/>
        <v>0</v>
      </c>
      <c r="Q53" s="770">
        <f t="shared" si="71"/>
        <v>70</v>
      </c>
      <c r="R53" s="770">
        <f t="shared" si="71"/>
        <v>11.5</v>
      </c>
      <c r="S53" s="767">
        <f t="shared" si="71"/>
        <v>0</v>
      </c>
      <c r="T53" s="767">
        <f t="shared" si="71"/>
        <v>76.840909090909022</v>
      </c>
      <c r="U53" s="767">
        <f t="shared" si="71"/>
        <v>0</v>
      </c>
      <c r="V53" s="770">
        <f t="shared" si="71"/>
        <v>35</v>
      </c>
      <c r="W53" s="767">
        <f t="shared" si="71"/>
        <v>6</v>
      </c>
      <c r="X53" s="770">
        <f t="shared" si="71"/>
        <v>70</v>
      </c>
      <c r="Y53" s="770">
        <f t="shared" si="71"/>
        <v>70</v>
      </c>
      <c r="Z53" s="767">
        <f t="shared" si="71"/>
        <v>23.616677889852713</v>
      </c>
      <c r="AA53" s="767">
        <f t="shared" si="71"/>
        <v>23.616677889852713</v>
      </c>
      <c r="AB53" s="767">
        <f t="shared" si="72"/>
        <v>29</v>
      </c>
      <c r="AC53" s="767">
        <f t="shared" si="72"/>
        <v>24</v>
      </c>
      <c r="AD53" s="767">
        <f t="shared" si="71"/>
        <v>44.686132728435958</v>
      </c>
      <c r="AE53" s="767">
        <f t="shared" si="71"/>
        <v>28.730833894492633</v>
      </c>
      <c r="AF53" s="767">
        <f t="shared" si="71"/>
        <v>23.616677889852713</v>
      </c>
      <c r="AG53" s="767">
        <f t="shared" si="71"/>
        <v>6.06</v>
      </c>
      <c r="AH53" s="770">
        <f t="shared" si="71"/>
        <v>14.512400000000001</v>
      </c>
      <c r="AI53" s="770">
        <f t="shared" si="71"/>
        <v>7.7742222222222228</v>
      </c>
      <c r="AJ53" s="770">
        <f t="shared" si="71"/>
        <v>4.1862222222222227</v>
      </c>
      <c r="AK53" s="767">
        <f t="shared" si="71"/>
        <v>0</v>
      </c>
      <c r="AL53" s="289"/>
      <c r="AM53" s="289"/>
      <c r="AN53" s="6"/>
      <c r="AO53" s="772">
        <f>'Fuel Costs'!B53*AO$61</f>
        <v>10.890499999999999</v>
      </c>
      <c r="AP53" s="772">
        <f>'Fuel Costs'!C53/AP$61</f>
        <v>3.7177777777777781</v>
      </c>
      <c r="AQ53" s="772">
        <f>'Fuel Costs'!D53/AQ$61</f>
        <v>10.921501706484641</v>
      </c>
      <c r="AR53" s="772">
        <f>'Fuel Costs'!E53/AR$61</f>
        <v>15.189112232808471</v>
      </c>
      <c r="AS53" s="764">
        <v>-2.76351936733397</v>
      </c>
      <c r="AT53" s="772">
        <f>'Fuel Costs'!G53/AT$61</f>
        <v>4.666666666666667</v>
      </c>
      <c r="AU53" s="6"/>
      <c r="AV53" s="6"/>
      <c r="AW53" s="6"/>
      <c r="AX53" s="764">
        <v>3.5681818181818201</v>
      </c>
      <c r="AY53" s="6"/>
      <c r="AZ53" s="6"/>
      <c r="BA53" s="6"/>
      <c r="BB53" s="6"/>
      <c r="BC53" s="6"/>
      <c r="BD53" s="772">
        <f>'Fuel Costs'!Q53/BD$61</f>
        <v>3.7177777777777781</v>
      </c>
      <c r="BE53" s="772">
        <f>'Fuel Costs'!R53*BE$61</f>
        <v>10.890499999999999</v>
      </c>
      <c r="BF53" s="764">
        <v>1.0833341999999999</v>
      </c>
      <c r="BG53" s="772">
        <f>'Fuel Costs'!T53/BG$61</f>
        <v>5.1227272727272686</v>
      </c>
      <c r="BH53" s="772"/>
      <c r="BI53" s="772">
        <f>'Fuel Costs'!V53/BI$61</f>
        <v>2.39</v>
      </c>
      <c r="BJ53" s="772">
        <f>'Fuel Costs'!W53*BJ$61</f>
        <v>5.6819999999999995</v>
      </c>
      <c r="BK53" s="772">
        <f>'Fuel Costs'!X53/BK$61</f>
        <v>3.7177777777777781</v>
      </c>
      <c r="BL53" s="772">
        <f>'Fuel Costs'!Y53/BL$61</f>
        <v>3.7177777777777781</v>
      </c>
      <c r="BM53" s="772">
        <f t="shared" si="68"/>
        <v>23.616677889852713</v>
      </c>
      <c r="BN53" s="772">
        <f t="shared" si="68"/>
        <v>23.616677889852713</v>
      </c>
      <c r="BO53" s="772">
        <f t="shared" si="68"/>
        <v>29</v>
      </c>
      <c r="BP53" s="772">
        <f t="shared" si="68"/>
        <v>24</v>
      </c>
      <c r="BQ53" s="772">
        <f t="shared" si="68"/>
        <v>44.686132728435958</v>
      </c>
      <c r="BR53" s="772">
        <f t="shared" si="68"/>
        <v>28.730833894492633</v>
      </c>
      <c r="BS53" s="772">
        <f t="shared" si="68"/>
        <v>23.616677889852713</v>
      </c>
      <c r="BT53" s="772">
        <f t="shared" si="68"/>
        <v>6.06</v>
      </c>
      <c r="BU53" s="764">
        <f t="shared" si="54"/>
        <v>14.512400000000001</v>
      </c>
      <c r="BV53" s="764">
        <f t="shared" si="54"/>
        <v>7.7742222222222228</v>
      </c>
      <c r="BW53" s="764">
        <f t="shared" si="55"/>
        <v>4.1862222222222227</v>
      </c>
      <c r="BX53" s="772">
        <f t="shared" si="56"/>
        <v>0</v>
      </c>
    </row>
    <row r="54" spans="1:76">
      <c r="A54" s="508">
        <v>2064</v>
      </c>
      <c r="B54" s="767">
        <f t="shared" si="70"/>
        <v>11.5</v>
      </c>
      <c r="C54" s="767">
        <f t="shared" si="71"/>
        <v>70</v>
      </c>
      <c r="D54" s="767">
        <f t="shared" si="71"/>
        <v>64</v>
      </c>
      <c r="E54" s="767">
        <f t="shared" si="71"/>
        <v>89.031285134851501</v>
      </c>
      <c r="F54" s="767">
        <f t="shared" si="71"/>
        <v>0</v>
      </c>
      <c r="G54" s="770">
        <f t="shared" si="71"/>
        <v>70</v>
      </c>
      <c r="H54" s="767">
        <f t="shared" si="71"/>
        <v>0</v>
      </c>
      <c r="I54" s="767">
        <f t="shared" si="71"/>
        <v>0</v>
      </c>
      <c r="J54" s="767">
        <f t="shared" si="71"/>
        <v>0</v>
      </c>
      <c r="K54" s="767">
        <f t="shared" si="71"/>
        <v>0</v>
      </c>
      <c r="L54" s="767">
        <f t="shared" si="71"/>
        <v>0</v>
      </c>
      <c r="M54" s="767">
        <f t="shared" si="71"/>
        <v>0</v>
      </c>
      <c r="N54" s="767">
        <f t="shared" si="71"/>
        <v>0</v>
      </c>
      <c r="O54" s="767">
        <f t="shared" si="71"/>
        <v>0</v>
      </c>
      <c r="P54" s="767">
        <f t="shared" si="71"/>
        <v>0</v>
      </c>
      <c r="Q54" s="770">
        <f t="shared" si="71"/>
        <v>70</v>
      </c>
      <c r="R54" s="770">
        <f t="shared" si="71"/>
        <v>11.5</v>
      </c>
      <c r="S54" s="767">
        <f t="shared" si="71"/>
        <v>0</v>
      </c>
      <c r="T54" s="767">
        <f t="shared" si="71"/>
        <v>76.840909090909022</v>
      </c>
      <c r="U54" s="767">
        <f t="shared" si="71"/>
        <v>0</v>
      </c>
      <c r="V54" s="770">
        <f t="shared" si="71"/>
        <v>35</v>
      </c>
      <c r="W54" s="767">
        <f t="shared" si="71"/>
        <v>6</v>
      </c>
      <c r="X54" s="770">
        <f t="shared" si="71"/>
        <v>70</v>
      </c>
      <c r="Y54" s="770">
        <f t="shared" si="71"/>
        <v>70</v>
      </c>
      <c r="Z54" s="767">
        <f t="shared" si="71"/>
        <v>23.616677889852713</v>
      </c>
      <c r="AA54" s="767">
        <f t="shared" si="71"/>
        <v>23.616677889852713</v>
      </c>
      <c r="AB54" s="767">
        <f t="shared" si="72"/>
        <v>29</v>
      </c>
      <c r="AC54" s="767">
        <f t="shared" si="72"/>
        <v>24</v>
      </c>
      <c r="AD54" s="767">
        <f t="shared" si="71"/>
        <v>44.686132728435958</v>
      </c>
      <c r="AE54" s="767">
        <f t="shared" si="71"/>
        <v>28.730833894492633</v>
      </c>
      <c r="AF54" s="767">
        <f t="shared" si="71"/>
        <v>23.616677889852713</v>
      </c>
      <c r="AG54" s="767">
        <f t="shared" si="71"/>
        <v>6.06</v>
      </c>
      <c r="AH54" s="770">
        <f t="shared" si="71"/>
        <v>14.512400000000001</v>
      </c>
      <c r="AI54" s="770">
        <f t="shared" si="71"/>
        <v>7.7742222222222228</v>
      </c>
      <c r="AJ54" s="770">
        <f t="shared" si="71"/>
        <v>4.1862222222222227</v>
      </c>
      <c r="AK54" s="767">
        <f t="shared" si="71"/>
        <v>0</v>
      </c>
      <c r="AL54" s="289"/>
      <c r="AM54" s="289"/>
      <c r="AN54" s="6"/>
      <c r="AO54" s="772">
        <f>'Fuel Costs'!B54*AO$61</f>
        <v>10.890499999999999</v>
      </c>
      <c r="AP54" s="772">
        <f>'Fuel Costs'!C54/AP$61</f>
        <v>3.7177777777777781</v>
      </c>
      <c r="AQ54" s="772">
        <f>'Fuel Costs'!D54/AQ$61</f>
        <v>10.921501706484641</v>
      </c>
      <c r="AR54" s="772">
        <f>'Fuel Costs'!E54/AR$61</f>
        <v>15.189112232808471</v>
      </c>
      <c r="AS54" s="764">
        <v>-2.76351936733397</v>
      </c>
      <c r="AT54" s="772">
        <f>'Fuel Costs'!G54/AT$61</f>
        <v>4.666666666666667</v>
      </c>
      <c r="AU54" s="6"/>
      <c r="AV54" s="6"/>
      <c r="AW54" s="6"/>
      <c r="AX54" s="764">
        <v>3.5681818181818201</v>
      </c>
      <c r="AY54" s="6"/>
      <c r="AZ54" s="6"/>
      <c r="BA54" s="6"/>
      <c r="BB54" s="6"/>
      <c r="BC54" s="6"/>
      <c r="BD54" s="772">
        <f>'Fuel Costs'!Q54/BD$61</f>
        <v>3.7177777777777781</v>
      </c>
      <c r="BE54" s="772">
        <f>'Fuel Costs'!R54*BE$61</f>
        <v>10.890499999999999</v>
      </c>
      <c r="BF54" s="764">
        <v>1.0833341999999999</v>
      </c>
      <c r="BG54" s="772">
        <f>'Fuel Costs'!T54/BG$61</f>
        <v>5.1227272727272686</v>
      </c>
      <c r="BH54" s="772"/>
      <c r="BI54" s="772">
        <f>'Fuel Costs'!V54/BI$61</f>
        <v>2.39</v>
      </c>
      <c r="BJ54" s="772">
        <f>'Fuel Costs'!W54*BJ$61</f>
        <v>5.6819999999999995</v>
      </c>
      <c r="BK54" s="772">
        <f>'Fuel Costs'!X54/BK$61</f>
        <v>3.7177777777777781</v>
      </c>
      <c r="BL54" s="772">
        <f>'Fuel Costs'!Y54/BL$61</f>
        <v>3.7177777777777781</v>
      </c>
      <c r="BM54" s="772">
        <f t="shared" si="68"/>
        <v>23.616677889852713</v>
      </c>
      <c r="BN54" s="772">
        <f t="shared" si="68"/>
        <v>23.616677889852713</v>
      </c>
      <c r="BO54" s="772">
        <f t="shared" si="68"/>
        <v>29</v>
      </c>
      <c r="BP54" s="772">
        <f t="shared" si="68"/>
        <v>24</v>
      </c>
      <c r="BQ54" s="772">
        <f t="shared" si="68"/>
        <v>44.686132728435958</v>
      </c>
      <c r="BR54" s="772">
        <f t="shared" si="68"/>
        <v>28.730833894492633</v>
      </c>
      <c r="BS54" s="772">
        <f t="shared" si="68"/>
        <v>23.616677889852713</v>
      </c>
      <c r="BT54" s="772">
        <f t="shared" si="68"/>
        <v>6.06</v>
      </c>
      <c r="BU54" s="764">
        <f t="shared" si="54"/>
        <v>14.512400000000001</v>
      </c>
      <c r="BV54" s="764">
        <f t="shared" si="54"/>
        <v>7.7742222222222228</v>
      </c>
      <c r="BW54" s="764">
        <f t="shared" si="55"/>
        <v>4.1862222222222227</v>
      </c>
      <c r="BX54" s="772">
        <f t="shared" si="56"/>
        <v>0</v>
      </c>
    </row>
    <row r="55" spans="1:76">
      <c r="A55" s="508">
        <v>2065</v>
      </c>
      <c r="B55" s="767">
        <f t="shared" si="70"/>
        <v>11.5</v>
      </c>
      <c r="C55" s="767">
        <f t="shared" si="71"/>
        <v>70</v>
      </c>
      <c r="D55" s="767">
        <f t="shared" si="71"/>
        <v>64</v>
      </c>
      <c r="E55" s="767">
        <f t="shared" si="71"/>
        <v>89.031285134851501</v>
      </c>
      <c r="F55" s="767">
        <f t="shared" si="71"/>
        <v>0</v>
      </c>
      <c r="G55" s="770">
        <f t="shared" si="71"/>
        <v>70</v>
      </c>
      <c r="H55" s="767">
        <f t="shared" si="71"/>
        <v>0</v>
      </c>
      <c r="I55" s="767">
        <f t="shared" si="71"/>
        <v>0</v>
      </c>
      <c r="J55" s="767">
        <f t="shared" si="71"/>
        <v>0</v>
      </c>
      <c r="K55" s="767">
        <f t="shared" si="71"/>
        <v>0</v>
      </c>
      <c r="L55" s="767">
        <f t="shared" si="71"/>
        <v>0</v>
      </c>
      <c r="M55" s="767">
        <f t="shared" si="71"/>
        <v>0</v>
      </c>
      <c r="N55" s="767">
        <f t="shared" si="71"/>
        <v>0</v>
      </c>
      <c r="O55" s="767">
        <f t="shared" si="71"/>
        <v>0</v>
      </c>
      <c r="P55" s="767">
        <f t="shared" si="71"/>
        <v>0</v>
      </c>
      <c r="Q55" s="770">
        <f t="shared" si="71"/>
        <v>70</v>
      </c>
      <c r="R55" s="770">
        <f t="shared" si="71"/>
        <v>11.5</v>
      </c>
      <c r="S55" s="767">
        <f t="shared" si="71"/>
        <v>0</v>
      </c>
      <c r="T55" s="767">
        <f t="shared" si="71"/>
        <v>76.840909090909022</v>
      </c>
      <c r="U55" s="767">
        <f t="shared" si="71"/>
        <v>0</v>
      </c>
      <c r="V55" s="770">
        <f t="shared" si="71"/>
        <v>35</v>
      </c>
      <c r="W55" s="767">
        <f t="shared" si="71"/>
        <v>6</v>
      </c>
      <c r="X55" s="770">
        <f t="shared" si="71"/>
        <v>70</v>
      </c>
      <c r="Y55" s="770">
        <f t="shared" si="71"/>
        <v>70</v>
      </c>
      <c r="Z55" s="767">
        <f t="shared" si="71"/>
        <v>23.616677889852713</v>
      </c>
      <c r="AA55" s="767">
        <f t="shared" si="71"/>
        <v>23.616677889852713</v>
      </c>
      <c r="AB55" s="767">
        <f t="shared" si="72"/>
        <v>29</v>
      </c>
      <c r="AC55" s="767">
        <f t="shared" si="72"/>
        <v>24</v>
      </c>
      <c r="AD55" s="767">
        <f t="shared" si="71"/>
        <v>44.686132728435958</v>
      </c>
      <c r="AE55" s="767">
        <f t="shared" si="71"/>
        <v>28.730833894492633</v>
      </c>
      <c r="AF55" s="767">
        <f t="shared" si="71"/>
        <v>23.616677889852713</v>
      </c>
      <c r="AG55" s="767">
        <f t="shared" si="71"/>
        <v>6.06</v>
      </c>
      <c r="AH55" s="770">
        <f t="shared" si="71"/>
        <v>14.512400000000001</v>
      </c>
      <c r="AI55" s="770">
        <f t="shared" si="71"/>
        <v>7.7742222222222228</v>
      </c>
      <c r="AJ55" s="770">
        <f t="shared" si="71"/>
        <v>4.1862222222222227</v>
      </c>
      <c r="AK55" s="767">
        <f t="shared" si="71"/>
        <v>0</v>
      </c>
      <c r="AL55" s="289"/>
      <c r="AM55" s="289"/>
      <c r="AN55" s="6"/>
      <c r="AO55" s="772">
        <f>'Fuel Costs'!B55*AO$61</f>
        <v>10.890499999999999</v>
      </c>
      <c r="AP55" s="772">
        <f>'Fuel Costs'!C55/AP$61</f>
        <v>3.7177777777777781</v>
      </c>
      <c r="AQ55" s="772">
        <f>'Fuel Costs'!D55/AQ$61</f>
        <v>10.921501706484641</v>
      </c>
      <c r="AR55" s="772">
        <f>'Fuel Costs'!E55/AR$61</f>
        <v>15.189112232808471</v>
      </c>
      <c r="AS55" s="764">
        <v>-2.76351936733397</v>
      </c>
      <c r="AT55" s="772">
        <f>'Fuel Costs'!G55/AT$61</f>
        <v>4.666666666666667</v>
      </c>
      <c r="AU55" s="6"/>
      <c r="AV55" s="6"/>
      <c r="AW55" s="6"/>
      <c r="AX55" s="764">
        <v>3.5681818181818201</v>
      </c>
      <c r="AY55" s="6"/>
      <c r="AZ55" s="6"/>
      <c r="BA55" s="6"/>
      <c r="BB55" s="6"/>
      <c r="BC55" s="6"/>
      <c r="BD55" s="772">
        <f>'Fuel Costs'!Q55/BD$61</f>
        <v>3.7177777777777781</v>
      </c>
      <c r="BE55" s="772">
        <f>'Fuel Costs'!R55*BE$61</f>
        <v>10.890499999999999</v>
      </c>
      <c r="BF55" s="764">
        <v>1.0833341999999999</v>
      </c>
      <c r="BG55" s="772">
        <f>'Fuel Costs'!T55/BG$61</f>
        <v>5.1227272727272686</v>
      </c>
      <c r="BH55" s="772"/>
      <c r="BI55" s="772">
        <f>'Fuel Costs'!V55/BI$61</f>
        <v>2.39</v>
      </c>
      <c r="BJ55" s="772">
        <f>'Fuel Costs'!W55*BJ$61</f>
        <v>5.6819999999999995</v>
      </c>
      <c r="BK55" s="772">
        <f>'Fuel Costs'!X55/BK$61</f>
        <v>3.7177777777777781</v>
      </c>
      <c r="BL55" s="772">
        <f>'Fuel Costs'!Y55/BL$61</f>
        <v>3.7177777777777781</v>
      </c>
      <c r="BM55" s="772">
        <f t="shared" si="68"/>
        <v>23.616677889852713</v>
      </c>
      <c r="BN55" s="772">
        <f t="shared" si="68"/>
        <v>23.616677889852713</v>
      </c>
      <c r="BO55" s="772">
        <f t="shared" si="68"/>
        <v>29</v>
      </c>
      <c r="BP55" s="772">
        <f t="shared" si="68"/>
        <v>24</v>
      </c>
      <c r="BQ55" s="772">
        <f t="shared" si="68"/>
        <v>44.686132728435958</v>
      </c>
      <c r="BR55" s="772">
        <f t="shared" si="68"/>
        <v>28.730833894492633</v>
      </c>
      <c r="BS55" s="772">
        <f t="shared" si="68"/>
        <v>23.616677889852713</v>
      </c>
      <c r="BT55" s="772">
        <f t="shared" si="68"/>
        <v>6.06</v>
      </c>
      <c r="BU55" s="764">
        <f t="shared" si="54"/>
        <v>14.512400000000001</v>
      </c>
      <c r="BV55" s="764">
        <f t="shared" si="54"/>
        <v>7.7742222222222228</v>
      </c>
      <c r="BW55" s="764">
        <f t="shared" si="55"/>
        <v>4.1862222222222227</v>
      </c>
      <c r="BX55" s="772">
        <f t="shared" si="56"/>
        <v>0</v>
      </c>
    </row>
    <row r="56" spans="1:76">
      <c r="A56" s="508">
        <v>2066</v>
      </c>
      <c r="B56" s="767">
        <f t="shared" si="70"/>
        <v>11.5</v>
      </c>
      <c r="C56" s="767">
        <f t="shared" ref="C56:AK59" si="73">C$40</f>
        <v>70</v>
      </c>
      <c r="D56" s="767">
        <f t="shared" si="73"/>
        <v>64</v>
      </c>
      <c r="E56" s="767">
        <f t="shared" si="73"/>
        <v>89.031285134851501</v>
      </c>
      <c r="F56" s="767">
        <f t="shared" si="73"/>
        <v>0</v>
      </c>
      <c r="G56" s="770">
        <f t="shared" si="73"/>
        <v>70</v>
      </c>
      <c r="H56" s="767">
        <f t="shared" si="73"/>
        <v>0</v>
      </c>
      <c r="I56" s="767">
        <f t="shared" si="73"/>
        <v>0</v>
      </c>
      <c r="J56" s="767">
        <f t="shared" si="73"/>
        <v>0</v>
      </c>
      <c r="K56" s="767">
        <f t="shared" si="73"/>
        <v>0</v>
      </c>
      <c r="L56" s="767">
        <f t="shared" si="73"/>
        <v>0</v>
      </c>
      <c r="M56" s="767">
        <f t="shared" si="73"/>
        <v>0</v>
      </c>
      <c r="N56" s="767">
        <f t="shared" si="73"/>
        <v>0</v>
      </c>
      <c r="O56" s="767">
        <f t="shared" si="73"/>
        <v>0</v>
      </c>
      <c r="P56" s="767">
        <f t="shared" si="73"/>
        <v>0</v>
      </c>
      <c r="Q56" s="770">
        <f t="shared" si="73"/>
        <v>70</v>
      </c>
      <c r="R56" s="770">
        <f t="shared" si="73"/>
        <v>11.5</v>
      </c>
      <c r="S56" s="767">
        <f t="shared" si="73"/>
        <v>0</v>
      </c>
      <c r="T56" s="767">
        <f t="shared" si="73"/>
        <v>76.840909090909022</v>
      </c>
      <c r="U56" s="767">
        <f t="shared" si="73"/>
        <v>0</v>
      </c>
      <c r="V56" s="770">
        <f t="shared" si="73"/>
        <v>35</v>
      </c>
      <c r="W56" s="767">
        <f t="shared" si="73"/>
        <v>6</v>
      </c>
      <c r="X56" s="770">
        <f t="shared" si="73"/>
        <v>70</v>
      </c>
      <c r="Y56" s="770">
        <f t="shared" si="73"/>
        <v>70</v>
      </c>
      <c r="Z56" s="767">
        <f t="shared" si="73"/>
        <v>23.616677889852713</v>
      </c>
      <c r="AA56" s="767">
        <f t="shared" si="73"/>
        <v>23.616677889852713</v>
      </c>
      <c r="AB56" s="767">
        <f t="shared" si="72"/>
        <v>29</v>
      </c>
      <c r="AC56" s="767">
        <f t="shared" si="72"/>
        <v>24</v>
      </c>
      <c r="AD56" s="767">
        <f t="shared" si="73"/>
        <v>44.686132728435958</v>
      </c>
      <c r="AE56" s="767">
        <f t="shared" si="73"/>
        <v>28.730833894492633</v>
      </c>
      <c r="AF56" s="767">
        <f t="shared" si="73"/>
        <v>23.616677889852713</v>
      </c>
      <c r="AG56" s="767">
        <f t="shared" si="73"/>
        <v>6.06</v>
      </c>
      <c r="AH56" s="770">
        <f t="shared" si="73"/>
        <v>14.512400000000001</v>
      </c>
      <c r="AI56" s="770">
        <f t="shared" si="73"/>
        <v>7.7742222222222228</v>
      </c>
      <c r="AJ56" s="770">
        <f t="shared" si="73"/>
        <v>4.1862222222222227</v>
      </c>
      <c r="AK56" s="767">
        <f t="shared" si="73"/>
        <v>0</v>
      </c>
      <c r="AL56" s="289"/>
      <c r="AM56" s="289"/>
      <c r="AN56" s="6"/>
      <c r="AO56" s="772">
        <f>'Fuel Costs'!B56*AO$61</f>
        <v>10.890499999999999</v>
      </c>
      <c r="AP56" s="772">
        <f>'Fuel Costs'!C56/AP$61</f>
        <v>3.7177777777777781</v>
      </c>
      <c r="AQ56" s="772">
        <f>'Fuel Costs'!D56/AQ$61</f>
        <v>10.921501706484641</v>
      </c>
      <c r="AR56" s="772">
        <f>'Fuel Costs'!E56/AR$61</f>
        <v>15.189112232808471</v>
      </c>
      <c r="AS56" s="764">
        <v>-2.76351936733397</v>
      </c>
      <c r="AT56" s="772">
        <f>'Fuel Costs'!G56/AT$61</f>
        <v>4.666666666666667</v>
      </c>
      <c r="AU56" s="6"/>
      <c r="AV56" s="6"/>
      <c r="AW56" s="6"/>
      <c r="AX56" s="764">
        <v>3.5681818181818201</v>
      </c>
      <c r="AY56" s="6"/>
      <c r="AZ56" s="6"/>
      <c r="BA56" s="6"/>
      <c r="BB56" s="6"/>
      <c r="BC56" s="6"/>
      <c r="BD56" s="772">
        <f>'Fuel Costs'!Q56/BD$61</f>
        <v>3.7177777777777781</v>
      </c>
      <c r="BE56" s="772">
        <f>'Fuel Costs'!R56*BE$61</f>
        <v>10.890499999999999</v>
      </c>
      <c r="BF56" s="764">
        <v>1.0833341999999999</v>
      </c>
      <c r="BG56" s="772">
        <f>'Fuel Costs'!T56/BG$61</f>
        <v>5.1227272727272686</v>
      </c>
      <c r="BH56" s="772"/>
      <c r="BI56" s="772">
        <f>'Fuel Costs'!V56/BI$61</f>
        <v>2.39</v>
      </c>
      <c r="BJ56" s="772">
        <f>'Fuel Costs'!W56*BJ$61</f>
        <v>5.6819999999999995</v>
      </c>
      <c r="BK56" s="772">
        <f>'Fuel Costs'!X56/BK$61</f>
        <v>3.7177777777777781</v>
      </c>
      <c r="BL56" s="772">
        <f>'Fuel Costs'!Y56/BL$61</f>
        <v>3.7177777777777781</v>
      </c>
      <c r="BM56" s="772">
        <f t="shared" ref="BM56:BM59" si="74">Z56</f>
        <v>23.616677889852713</v>
      </c>
      <c r="BN56" s="772">
        <f t="shared" ref="BN56:BN59" si="75">AA56</f>
        <v>23.616677889852713</v>
      </c>
      <c r="BO56" s="772">
        <f t="shared" ref="BO56:BO59" si="76">AB56</f>
        <v>29</v>
      </c>
      <c r="BP56" s="772">
        <f t="shared" ref="BP56:BP59" si="77">AC56</f>
        <v>24</v>
      </c>
      <c r="BQ56" s="772">
        <f t="shared" ref="BQ56:BQ59" si="78">AD56</f>
        <v>44.686132728435958</v>
      </c>
      <c r="BR56" s="772">
        <f t="shared" ref="BR56:BR59" si="79">AE56</f>
        <v>28.730833894492633</v>
      </c>
      <c r="BS56" s="772">
        <f t="shared" ref="BS56:BS59" si="80">AF56</f>
        <v>23.616677889852713</v>
      </c>
      <c r="BT56" s="772">
        <f t="shared" ref="BT56:BT59" si="81">AG56</f>
        <v>6.06</v>
      </c>
      <c r="BU56" s="764">
        <f t="shared" ref="BU56:BU59" si="82">0.2*BO56+0.8*AO56</f>
        <v>14.512400000000001</v>
      </c>
      <c r="BV56" s="764">
        <f t="shared" ref="BV56:BV59" si="83">0.2*BP56+0.8*AP56</f>
        <v>7.7742222222222228</v>
      </c>
      <c r="BW56" s="764">
        <f t="shared" ref="BW56:BW59" si="84">0.2*BT56+0.8*AP56</f>
        <v>4.1862222222222227</v>
      </c>
      <c r="BX56" s="772">
        <f t="shared" ref="BX56:BX59" si="85">AK56</f>
        <v>0</v>
      </c>
    </row>
    <row r="57" spans="1:76">
      <c r="A57" s="508">
        <v>2067</v>
      </c>
      <c r="B57" s="767">
        <f t="shared" si="70"/>
        <v>11.5</v>
      </c>
      <c r="C57" s="767">
        <f t="shared" si="73"/>
        <v>70</v>
      </c>
      <c r="D57" s="767">
        <f t="shared" si="73"/>
        <v>64</v>
      </c>
      <c r="E57" s="767">
        <f t="shared" si="73"/>
        <v>89.031285134851501</v>
      </c>
      <c r="F57" s="767">
        <f t="shared" si="73"/>
        <v>0</v>
      </c>
      <c r="G57" s="770">
        <f t="shared" si="73"/>
        <v>70</v>
      </c>
      <c r="H57" s="767">
        <f t="shared" si="73"/>
        <v>0</v>
      </c>
      <c r="I57" s="767">
        <f t="shared" si="73"/>
        <v>0</v>
      </c>
      <c r="J57" s="767">
        <f t="shared" si="73"/>
        <v>0</v>
      </c>
      <c r="K57" s="767">
        <f t="shared" si="73"/>
        <v>0</v>
      </c>
      <c r="L57" s="767">
        <f t="shared" si="73"/>
        <v>0</v>
      </c>
      <c r="M57" s="767">
        <f t="shared" si="73"/>
        <v>0</v>
      </c>
      <c r="N57" s="767">
        <f t="shared" si="73"/>
        <v>0</v>
      </c>
      <c r="O57" s="767">
        <f t="shared" si="73"/>
        <v>0</v>
      </c>
      <c r="P57" s="767">
        <f t="shared" si="73"/>
        <v>0</v>
      </c>
      <c r="Q57" s="770">
        <f t="shared" si="73"/>
        <v>70</v>
      </c>
      <c r="R57" s="770">
        <f t="shared" si="73"/>
        <v>11.5</v>
      </c>
      <c r="S57" s="767">
        <f t="shared" si="73"/>
        <v>0</v>
      </c>
      <c r="T57" s="767">
        <f t="shared" si="73"/>
        <v>76.840909090909022</v>
      </c>
      <c r="U57" s="767">
        <f t="shared" si="73"/>
        <v>0</v>
      </c>
      <c r="V57" s="770">
        <f t="shared" si="73"/>
        <v>35</v>
      </c>
      <c r="W57" s="767">
        <f t="shared" si="73"/>
        <v>6</v>
      </c>
      <c r="X57" s="770">
        <f t="shared" si="73"/>
        <v>70</v>
      </c>
      <c r="Y57" s="770">
        <f t="shared" si="73"/>
        <v>70</v>
      </c>
      <c r="Z57" s="767">
        <f t="shared" si="73"/>
        <v>23.616677889852713</v>
      </c>
      <c r="AA57" s="767">
        <f t="shared" si="73"/>
        <v>23.616677889852713</v>
      </c>
      <c r="AB57" s="767">
        <f t="shared" si="72"/>
        <v>29</v>
      </c>
      <c r="AC57" s="767">
        <f t="shared" si="72"/>
        <v>24</v>
      </c>
      <c r="AD57" s="767">
        <f t="shared" si="73"/>
        <v>44.686132728435958</v>
      </c>
      <c r="AE57" s="767">
        <f t="shared" si="73"/>
        <v>28.730833894492633</v>
      </c>
      <c r="AF57" s="767">
        <f t="shared" si="73"/>
        <v>23.616677889852713</v>
      </c>
      <c r="AG57" s="767">
        <f t="shared" si="73"/>
        <v>6.06</v>
      </c>
      <c r="AH57" s="770">
        <f t="shared" si="73"/>
        <v>14.512400000000001</v>
      </c>
      <c r="AI57" s="770">
        <f t="shared" si="73"/>
        <v>7.7742222222222228</v>
      </c>
      <c r="AJ57" s="770">
        <f t="shared" si="73"/>
        <v>4.1862222222222227</v>
      </c>
      <c r="AK57" s="767">
        <f t="shared" si="73"/>
        <v>0</v>
      </c>
      <c r="AL57" s="289"/>
      <c r="AM57" s="289"/>
      <c r="AN57" s="6"/>
      <c r="AO57" s="772">
        <f>'Fuel Costs'!B57*AO$61</f>
        <v>10.890499999999999</v>
      </c>
      <c r="AP57" s="772">
        <f>'Fuel Costs'!C57/AP$61</f>
        <v>3.7177777777777781</v>
      </c>
      <c r="AQ57" s="772">
        <f>'Fuel Costs'!D57/AQ$61</f>
        <v>10.921501706484641</v>
      </c>
      <c r="AR57" s="772">
        <f>'Fuel Costs'!E57/AR$61</f>
        <v>15.189112232808471</v>
      </c>
      <c r="AS57" s="764">
        <v>-2.76351936733397</v>
      </c>
      <c r="AT57" s="772">
        <f>'Fuel Costs'!G57/AT$61</f>
        <v>4.666666666666667</v>
      </c>
      <c r="AU57" s="6"/>
      <c r="AV57" s="6"/>
      <c r="AW57" s="6"/>
      <c r="AX57" s="764">
        <v>3.5681818181818201</v>
      </c>
      <c r="AY57" s="6"/>
      <c r="AZ57" s="6"/>
      <c r="BA57" s="6"/>
      <c r="BB57" s="6"/>
      <c r="BC57" s="6"/>
      <c r="BD57" s="772">
        <f>'Fuel Costs'!Q57/BD$61</f>
        <v>3.7177777777777781</v>
      </c>
      <c r="BE57" s="772">
        <f>'Fuel Costs'!R57*BE$61</f>
        <v>10.890499999999999</v>
      </c>
      <c r="BF57" s="764">
        <v>1.0833341999999999</v>
      </c>
      <c r="BG57" s="772">
        <f>'Fuel Costs'!T57/BG$61</f>
        <v>5.1227272727272686</v>
      </c>
      <c r="BH57" s="772"/>
      <c r="BI57" s="772">
        <f>'Fuel Costs'!V57/BI$61</f>
        <v>2.39</v>
      </c>
      <c r="BJ57" s="772">
        <f>'Fuel Costs'!W57*BJ$61</f>
        <v>5.6819999999999995</v>
      </c>
      <c r="BK57" s="772">
        <f>'Fuel Costs'!X57/BK$61</f>
        <v>3.7177777777777781</v>
      </c>
      <c r="BL57" s="772">
        <f>'Fuel Costs'!Y57/BL$61</f>
        <v>3.7177777777777781</v>
      </c>
      <c r="BM57" s="772">
        <f t="shared" si="74"/>
        <v>23.616677889852713</v>
      </c>
      <c r="BN57" s="772">
        <f t="shared" si="75"/>
        <v>23.616677889852713</v>
      </c>
      <c r="BO57" s="772">
        <f t="shared" si="76"/>
        <v>29</v>
      </c>
      <c r="BP57" s="772">
        <f t="shared" si="77"/>
        <v>24</v>
      </c>
      <c r="BQ57" s="772">
        <f t="shared" si="78"/>
        <v>44.686132728435958</v>
      </c>
      <c r="BR57" s="772">
        <f t="shared" si="79"/>
        <v>28.730833894492633</v>
      </c>
      <c r="BS57" s="772">
        <f t="shared" si="80"/>
        <v>23.616677889852713</v>
      </c>
      <c r="BT57" s="772">
        <f t="shared" si="81"/>
        <v>6.06</v>
      </c>
      <c r="BU57" s="764">
        <f t="shared" si="82"/>
        <v>14.512400000000001</v>
      </c>
      <c r="BV57" s="764">
        <f t="shared" si="83"/>
        <v>7.7742222222222228</v>
      </c>
      <c r="BW57" s="764">
        <f t="shared" si="84"/>
        <v>4.1862222222222227</v>
      </c>
      <c r="BX57" s="772">
        <f t="shared" si="85"/>
        <v>0</v>
      </c>
    </row>
    <row r="58" spans="1:76">
      <c r="A58" s="508">
        <v>2068</v>
      </c>
      <c r="B58" s="767">
        <f t="shared" si="70"/>
        <v>11.5</v>
      </c>
      <c r="C58" s="767">
        <f t="shared" si="73"/>
        <v>70</v>
      </c>
      <c r="D58" s="767">
        <f t="shared" si="73"/>
        <v>64</v>
      </c>
      <c r="E58" s="767">
        <f t="shared" si="73"/>
        <v>89.031285134851501</v>
      </c>
      <c r="F58" s="767">
        <f t="shared" si="73"/>
        <v>0</v>
      </c>
      <c r="G58" s="770">
        <f t="shared" si="73"/>
        <v>70</v>
      </c>
      <c r="H58" s="767">
        <f t="shared" si="73"/>
        <v>0</v>
      </c>
      <c r="I58" s="767">
        <f t="shared" si="73"/>
        <v>0</v>
      </c>
      <c r="J58" s="767">
        <f t="shared" si="73"/>
        <v>0</v>
      </c>
      <c r="K58" s="767">
        <f t="shared" si="73"/>
        <v>0</v>
      </c>
      <c r="L58" s="767">
        <f t="shared" si="73"/>
        <v>0</v>
      </c>
      <c r="M58" s="767">
        <f t="shared" si="73"/>
        <v>0</v>
      </c>
      <c r="N58" s="767">
        <f t="shared" si="73"/>
        <v>0</v>
      </c>
      <c r="O58" s="767">
        <f t="shared" si="73"/>
        <v>0</v>
      </c>
      <c r="P58" s="767">
        <f t="shared" si="73"/>
        <v>0</v>
      </c>
      <c r="Q58" s="770">
        <f t="shared" si="73"/>
        <v>70</v>
      </c>
      <c r="R58" s="770">
        <f t="shared" si="73"/>
        <v>11.5</v>
      </c>
      <c r="S58" s="767">
        <f t="shared" si="73"/>
        <v>0</v>
      </c>
      <c r="T58" s="767">
        <f t="shared" si="73"/>
        <v>76.840909090909022</v>
      </c>
      <c r="U58" s="767">
        <f t="shared" si="73"/>
        <v>0</v>
      </c>
      <c r="V58" s="770">
        <f t="shared" si="73"/>
        <v>35</v>
      </c>
      <c r="W58" s="767">
        <f t="shared" si="73"/>
        <v>6</v>
      </c>
      <c r="X58" s="770">
        <f t="shared" si="73"/>
        <v>70</v>
      </c>
      <c r="Y58" s="770">
        <f t="shared" si="73"/>
        <v>70</v>
      </c>
      <c r="Z58" s="767">
        <f t="shared" si="73"/>
        <v>23.616677889852713</v>
      </c>
      <c r="AA58" s="767">
        <f t="shared" si="73"/>
        <v>23.616677889852713</v>
      </c>
      <c r="AB58" s="767">
        <f t="shared" si="72"/>
        <v>29</v>
      </c>
      <c r="AC58" s="767">
        <f t="shared" si="72"/>
        <v>24</v>
      </c>
      <c r="AD58" s="767">
        <f t="shared" si="73"/>
        <v>44.686132728435958</v>
      </c>
      <c r="AE58" s="767">
        <f t="shared" si="73"/>
        <v>28.730833894492633</v>
      </c>
      <c r="AF58" s="767">
        <f t="shared" si="73"/>
        <v>23.616677889852713</v>
      </c>
      <c r="AG58" s="767">
        <f t="shared" si="73"/>
        <v>6.06</v>
      </c>
      <c r="AH58" s="770">
        <f t="shared" si="73"/>
        <v>14.512400000000001</v>
      </c>
      <c r="AI58" s="770">
        <f t="shared" si="73"/>
        <v>7.7742222222222228</v>
      </c>
      <c r="AJ58" s="770">
        <f t="shared" si="73"/>
        <v>4.1862222222222227</v>
      </c>
      <c r="AK58" s="767">
        <f t="shared" si="73"/>
        <v>0</v>
      </c>
      <c r="AL58" s="289"/>
      <c r="AM58" s="289"/>
      <c r="AN58" s="6"/>
      <c r="AO58" s="772">
        <f>'Fuel Costs'!B58*AO$61</f>
        <v>10.890499999999999</v>
      </c>
      <c r="AP58" s="772">
        <f>'Fuel Costs'!C58/AP$61</f>
        <v>3.7177777777777781</v>
      </c>
      <c r="AQ58" s="772">
        <f>'Fuel Costs'!D58/AQ$61</f>
        <v>10.921501706484641</v>
      </c>
      <c r="AR58" s="772">
        <f>'Fuel Costs'!E58/AR$61</f>
        <v>15.189112232808471</v>
      </c>
      <c r="AS58" s="764">
        <v>-2.76351936733397</v>
      </c>
      <c r="AT58" s="772">
        <f>'Fuel Costs'!G58/AT$61</f>
        <v>4.666666666666667</v>
      </c>
      <c r="AU58" s="6"/>
      <c r="AV58" s="6"/>
      <c r="AW58" s="6"/>
      <c r="AX58" s="764">
        <v>3.5681818181818201</v>
      </c>
      <c r="AY58" s="6"/>
      <c r="AZ58" s="6"/>
      <c r="BA58" s="6"/>
      <c r="BB58" s="6"/>
      <c r="BC58" s="6"/>
      <c r="BD58" s="772">
        <f>'Fuel Costs'!Q58/BD$61</f>
        <v>3.7177777777777781</v>
      </c>
      <c r="BE58" s="772">
        <f>'Fuel Costs'!R58*BE$61</f>
        <v>10.890499999999999</v>
      </c>
      <c r="BF58" s="764">
        <v>1.0833341999999999</v>
      </c>
      <c r="BG58" s="772">
        <f>'Fuel Costs'!T58/BG$61</f>
        <v>5.1227272727272686</v>
      </c>
      <c r="BH58" s="772"/>
      <c r="BI58" s="772">
        <f>'Fuel Costs'!V58/BI$61</f>
        <v>2.39</v>
      </c>
      <c r="BJ58" s="772">
        <f>'Fuel Costs'!W58*BJ$61</f>
        <v>5.6819999999999995</v>
      </c>
      <c r="BK58" s="772">
        <f>'Fuel Costs'!X58/BK$61</f>
        <v>3.7177777777777781</v>
      </c>
      <c r="BL58" s="772">
        <f>'Fuel Costs'!Y58/BL$61</f>
        <v>3.7177777777777781</v>
      </c>
      <c r="BM58" s="772">
        <f t="shared" si="74"/>
        <v>23.616677889852713</v>
      </c>
      <c r="BN58" s="772">
        <f t="shared" si="75"/>
        <v>23.616677889852713</v>
      </c>
      <c r="BO58" s="772">
        <f t="shared" si="76"/>
        <v>29</v>
      </c>
      <c r="BP58" s="772">
        <f t="shared" si="77"/>
        <v>24</v>
      </c>
      <c r="BQ58" s="772">
        <f t="shared" si="78"/>
        <v>44.686132728435958</v>
      </c>
      <c r="BR58" s="772">
        <f t="shared" si="79"/>
        <v>28.730833894492633</v>
      </c>
      <c r="BS58" s="772">
        <f t="shared" si="80"/>
        <v>23.616677889852713</v>
      </c>
      <c r="BT58" s="772">
        <f t="shared" si="81"/>
        <v>6.06</v>
      </c>
      <c r="BU58" s="764">
        <f t="shared" si="82"/>
        <v>14.512400000000001</v>
      </c>
      <c r="BV58" s="764">
        <f t="shared" si="83"/>
        <v>7.7742222222222228</v>
      </c>
      <c r="BW58" s="764">
        <f t="shared" si="84"/>
        <v>4.1862222222222227</v>
      </c>
      <c r="BX58" s="772">
        <f t="shared" si="85"/>
        <v>0</v>
      </c>
    </row>
    <row r="59" spans="1:76">
      <c r="A59" s="508">
        <v>2069</v>
      </c>
      <c r="B59" s="767">
        <f t="shared" si="70"/>
        <v>11.5</v>
      </c>
      <c r="C59" s="767">
        <f t="shared" si="73"/>
        <v>70</v>
      </c>
      <c r="D59" s="767">
        <f t="shared" si="73"/>
        <v>64</v>
      </c>
      <c r="E59" s="767">
        <f t="shared" si="73"/>
        <v>89.031285134851501</v>
      </c>
      <c r="F59" s="767">
        <f t="shared" si="73"/>
        <v>0</v>
      </c>
      <c r="G59" s="770">
        <f t="shared" si="73"/>
        <v>70</v>
      </c>
      <c r="H59" s="767">
        <f t="shared" si="73"/>
        <v>0</v>
      </c>
      <c r="I59" s="767">
        <f t="shared" si="73"/>
        <v>0</v>
      </c>
      <c r="J59" s="767">
        <f t="shared" si="73"/>
        <v>0</v>
      </c>
      <c r="K59" s="767">
        <f t="shared" si="73"/>
        <v>0</v>
      </c>
      <c r="L59" s="767">
        <f t="shared" si="73"/>
        <v>0</v>
      </c>
      <c r="M59" s="767">
        <f t="shared" si="73"/>
        <v>0</v>
      </c>
      <c r="N59" s="767">
        <f t="shared" si="73"/>
        <v>0</v>
      </c>
      <c r="O59" s="767">
        <f t="shared" si="73"/>
        <v>0</v>
      </c>
      <c r="P59" s="767">
        <f t="shared" si="73"/>
        <v>0</v>
      </c>
      <c r="Q59" s="770">
        <f t="shared" si="73"/>
        <v>70</v>
      </c>
      <c r="R59" s="770">
        <f t="shared" si="73"/>
        <v>11.5</v>
      </c>
      <c r="S59" s="767">
        <f t="shared" si="73"/>
        <v>0</v>
      </c>
      <c r="T59" s="767">
        <f t="shared" si="73"/>
        <v>76.840909090909022</v>
      </c>
      <c r="U59" s="767">
        <f t="shared" si="73"/>
        <v>0</v>
      </c>
      <c r="V59" s="770">
        <f t="shared" si="73"/>
        <v>35</v>
      </c>
      <c r="W59" s="767">
        <f t="shared" si="73"/>
        <v>6</v>
      </c>
      <c r="X59" s="770">
        <f t="shared" si="73"/>
        <v>70</v>
      </c>
      <c r="Y59" s="770">
        <f t="shared" si="73"/>
        <v>70</v>
      </c>
      <c r="Z59" s="767">
        <f t="shared" si="73"/>
        <v>23.616677889852713</v>
      </c>
      <c r="AA59" s="767">
        <f t="shared" si="73"/>
        <v>23.616677889852713</v>
      </c>
      <c r="AB59" s="767">
        <f t="shared" si="72"/>
        <v>29</v>
      </c>
      <c r="AC59" s="767">
        <f t="shared" si="72"/>
        <v>24</v>
      </c>
      <c r="AD59" s="767">
        <f t="shared" si="73"/>
        <v>44.686132728435958</v>
      </c>
      <c r="AE59" s="767">
        <f t="shared" si="73"/>
        <v>28.730833894492633</v>
      </c>
      <c r="AF59" s="767">
        <f t="shared" si="73"/>
        <v>23.616677889852713</v>
      </c>
      <c r="AG59" s="767">
        <f t="shared" si="73"/>
        <v>6.06</v>
      </c>
      <c r="AH59" s="770">
        <f t="shared" si="73"/>
        <v>14.512400000000001</v>
      </c>
      <c r="AI59" s="770">
        <f t="shared" si="73"/>
        <v>7.7742222222222228</v>
      </c>
      <c r="AJ59" s="770">
        <f t="shared" si="73"/>
        <v>4.1862222222222227</v>
      </c>
      <c r="AK59" s="767">
        <f t="shared" si="73"/>
        <v>0</v>
      </c>
      <c r="AL59" s="289"/>
      <c r="AM59" s="289"/>
      <c r="AN59" s="6"/>
      <c r="AO59" s="772">
        <f>'Fuel Costs'!B59*AO$61</f>
        <v>10.890499999999999</v>
      </c>
      <c r="AP59" s="772">
        <f>'Fuel Costs'!C59/AP$61</f>
        <v>3.7177777777777781</v>
      </c>
      <c r="AQ59" s="772">
        <f>'Fuel Costs'!D59/AQ$61</f>
        <v>10.921501706484641</v>
      </c>
      <c r="AR59" s="772">
        <f>'Fuel Costs'!E59/AR$61</f>
        <v>15.189112232808471</v>
      </c>
      <c r="AS59" s="764">
        <v>-2.76351936733397</v>
      </c>
      <c r="AT59" s="772">
        <f>'Fuel Costs'!G59/AT$61</f>
        <v>4.666666666666667</v>
      </c>
      <c r="AU59" s="6"/>
      <c r="AV59" s="6"/>
      <c r="AW59" s="6"/>
      <c r="AX59" s="764">
        <v>3.5681818181818201</v>
      </c>
      <c r="AY59" s="6"/>
      <c r="AZ59" s="6"/>
      <c r="BA59" s="6"/>
      <c r="BB59" s="6"/>
      <c r="BC59" s="6"/>
      <c r="BD59" s="772">
        <f>'Fuel Costs'!Q59/BD$61</f>
        <v>3.7177777777777781</v>
      </c>
      <c r="BE59" s="772">
        <f>'Fuel Costs'!R59*BE$61</f>
        <v>10.890499999999999</v>
      </c>
      <c r="BF59" s="764">
        <v>1.0833341999999999</v>
      </c>
      <c r="BG59" s="772">
        <f>'Fuel Costs'!T59/BG$61</f>
        <v>5.1227272727272686</v>
      </c>
      <c r="BH59" s="772"/>
      <c r="BI59" s="772">
        <f>'Fuel Costs'!V59/BI$61</f>
        <v>2.39</v>
      </c>
      <c r="BJ59" s="772">
        <f>'Fuel Costs'!W59*BJ$61</f>
        <v>5.6819999999999995</v>
      </c>
      <c r="BK59" s="772">
        <f>'Fuel Costs'!X59/BK$61</f>
        <v>3.7177777777777781</v>
      </c>
      <c r="BL59" s="772">
        <f>'Fuel Costs'!Y59/BL$61</f>
        <v>3.7177777777777781</v>
      </c>
      <c r="BM59" s="772">
        <f t="shared" si="74"/>
        <v>23.616677889852713</v>
      </c>
      <c r="BN59" s="772">
        <f t="shared" si="75"/>
        <v>23.616677889852713</v>
      </c>
      <c r="BO59" s="772">
        <f t="shared" si="76"/>
        <v>29</v>
      </c>
      <c r="BP59" s="772">
        <f t="shared" si="77"/>
        <v>24</v>
      </c>
      <c r="BQ59" s="772">
        <f t="shared" si="78"/>
        <v>44.686132728435958</v>
      </c>
      <c r="BR59" s="772">
        <f t="shared" si="79"/>
        <v>28.730833894492633</v>
      </c>
      <c r="BS59" s="772">
        <f t="shared" si="80"/>
        <v>23.616677889852713</v>
      </c>
      <c r="BT59" s="772">
        <f t="shared" si="81"/>
        <v>6.06</v>
      </c>
      <c r="BU59" s="764">
        <f t="shared" si="82"/>
        <v>14.512400000000001</v>
      </c>
      <c r="BV59" s="764">
        <f t="shared" si="83"/>
        <v>7.7742222222222228</v>
      </c>
      <c r="BW59" s="764">
        <f t="shared" si="84"/>
        <v>4.1862222222222227</v>
      </c>
      <c r="BX59" s="772">
        <f t="shared" si="85"/>
        <v>0</v>
      </c>
    </row>
    <row r="60" spans="1:76">
      <c r="B60" s="25"/>
      <c r="C60" s="24"/>
      <c r="D60" s="25"/>
      <c r="E60" s="25"/>
      <c r="F60" s="25"/>
      <c r="G60" s="25"/>
      <c r="H60" s="26"/>
      <c r="I60" s="26"/>
      <c r="J60" s="26"/>
      <c r="K60" s="25"/>
      <c r="L60" s="26"/>
      <c r="M60" s="26"/>
      <c r="N60" s="26"/>
      <c r="O60" s="26"/>
      <c r="P60" s="26"/>
      <c r="Q60" s="25"/>
      <c r="R60" s="25"/>
      <c r="S60" s="25"/>
      <c r="T60" s="25"/>
      <c r="U60" s="26"/>
      <c r="V60" s="27"/>
      <c r="W60" s="25"/>
      <c r="X60" s="25"/>
      <c r="Y60" s="25"/>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N60" s="6"/>
    </row>
    <row r="61" spans="1:76">
      <c r="B61" s="1225" t="s">
        <v>931</v>
      </c>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288"/>
      <c r="AM61" s="288"/>
      <c r="AO61" s="32">
        <v>0.94699999999999995</v>
      </c>
      <c r="AP61" s="20">
        <f>AP62/239</f>
        <v>18.828451882845187</v>
      </c>
      <c r="AQ61" s="21">
        <v>5.86</v>
      </c>
      <c r="AR61" s="31">
        <v>5.8615199999999996</v>
      </c>
      <c r="AS61" s="20">
        <v>10</v>
      </c>
      <c r="AT61" s="20">
        <v>15</v>
      </c>
      <c r="BD61" s="20">
        <f>AP61</f>
        <v>18.828451882845187</v>
      </c>
      <c r="BE61" s="32">
        <v>0.94699999999999995</v>
      </c>
      <c r="BF61" s="23">
        <v>1.0833342000000001</v>
      </c>
      <c r="BG61" s="20">
        <v>15</v>
      </c>
      <c r="BI61" s="20">
        <f>BI62/239</f>
        <v>14.644351464435147</v>
      </c>
      <c r="BJ61" s="32">
        <v>0.94699999999999995</v>
      </c>
      <c r="BK61" s="20">
        <f>AP61</f>
        <v>18.828451882845187</v>
      </c>
      <c r="BL61" s="20">
        <f>BK61</f>
        <v>18.828451882845187</v>
      </c>
      <c r="BN61" s="6"/>
    </row>
    <row r="62" spans="1:76">
      <c r="AP62" s="22">
        <v>4500</v>
      </c>
      <c r="BI62" s="22">
        <v>3500</v>
      </c>
      <c r="BN62" s="6"/>
    </row>
    <row r="63" spans="1:76">
      <c r="BN63" s="6"/>
    </row>
    <row r="64" spans="1:76">
      <c r="B64" s="6"/>
      <c r="C64" s="6"/>
      <c r="D64" s="6"/>
      <c r="E64" s="6"/>
      <c r="F64" s="6"/>
      <c r="G64" s="6"/>
      <c r="H64" s="6"/>
      <c r="I64" s="6"/>
      <c r="J64" s="6"/>
      <c r="K64" s="6"/>
      <c r="L64" s="6"/>
      <c r="M64" s="6"/>
      <c r="N64" s="6"/>
      <c r="O64" s="6"/>
      <c r="P64" s="6"/>
      <c r="Q64" s="6"/>
      <c r="R64" s="6"/>
      <c r="S64" s="6"/>
      <c r="T64" s="6"/>
      <c r="U64" s="6"/>
      <c r="V64" s="6"/>
      <c r="W64" s="6"/>
      <c r="X64" s="6"/>
      <c r="AO64" s="6"/>
      <c r="AP64" s="6"/>
      <c r="AQ64" s="6"/>
      <c r="AR64" s="6"/>
      <c r="AS64" s="6"/>
      <c r="AT64" s="6"/>
      <c r="AU64" s="6"/>
      <c r="AV64" s="6"/>
      <c r="AW64" s="6"/>
      <c r="AX64" s="6"/>
      <c r="AY64" s="6"/>
      <c r="AZ64" s="6"/>
      <c r="BA64" s="6"/>
      <c r="BB64" s="6"/>
      <c r="BC64" s="6"/>
      <c r="BD64" s="6"/>
      <c r="BE64" s="6"/>
      <c r="BF64" s="6"/>
      <c r="BG64" s="6"/>
      <c r="BH64" s="6"/>
      <c r="BI64" s="6"/>
      <c r="BJ64" s="6"/>
      <c r="BK64" s="6"/>
    </row>
    <row r="65" spans="2:63">
      <c r="B65" s="6"/>
      <c r="C65" s="6"/>
      <c r="D65" s="6"/>
      <c r="E65" s="6"/>
      <c r="F65" s="6"/>
      <c r="G65" s="6"/>
      <c r="H65" s="6"/>
      <c r="I65" s="6"/>
      <c r="J65" s="6"/>
      <c r="K65" s="6"/>
      <c r="L65" s="6"/>
      <c r="M65" s="6"/>
      <c r="N65" s="6"/>
      <c r="O65" s="6"/>
      <c r="P65" s="6"/>
      <c r="Q65" s="6"/>
      <c r="R65" s="6"/>
      <c r="S65" s="6"/>
      <c r="T65" s="6"/>
      <c r="U65" s="6"/>
      <c r="V65" s="6"/>
      <c r="W65" s="6"/>
      <c r="X65" s="6"/>
      <c r="AO65" s="6"/>
      <c r="AP65" s="6"/>
      <c r="AQ65" s="6"/>
      <c r="AR65" s="6"/>
      <c r="AS65" s="6"/>
      <c r="AT65" s="6"/>
      <c r="AU65" s="6"/>
      <c r="AV65" s="6"/>
      <c r="AW65" s="6"/>
      <c r="AX65" s="6"/>
      <c r="AY65" s="6"/>
      <c r="AZ65" s="6"/>
      <c r="BA65" s="6"/>
      <c r="BB65" s="6"/>
      <c r="BC65" s="6"/>
      <c r="BD65" s="6"/>
      <c r="BE65" s="6"/>
      <c r="BF65" s="6"/>
      <c r="BG65" s="6"/>
      <c r="BH65" s="6"/>
      <c r="BI65" s="6"/>
      <c r="BJ65" s="6"/>
      <c r="BK65" s="6"/>
    </row>
    <row r="66" spans="2:63">
      <c r="B66" s="6"/>
      <c r="C66" s="6"/>
      <c r="D66" s="6"/>
      <c r="E66" s="6"/>
      <c r="F66" s="6"/>
      <c r="G66" s="6"/>
      <c r="H66" s="6"/>
      <c r="I66" s="6"/>
      <c r="J66" s="6"/>
      <c r="K66" s="6"/>
      <c r="L66" s="6"/>
      <c r="M66" s="6"/>
      <c r="N66" s="6"/>
      <c r="O66" s="6"/>
      <c r="P66" s="6"/>
      <c r="Q66" s="6"/>
      <c r="R66" s="6"/>
      <c r="S66" s="6"/>
      <c r="T66" s="6"/>
      <c r="U66" s="6"/>
      <c r="V66" s="6"/>
      <c r="W66" s="6"/>
      <c r="X66" s="6"/>
      <c r="AO66" s="6"/>
      <c r="AP66" s="6"/>
      <c r="AQ66" s="6"/>
      <c r="AR66" s="6"/>
      <c r="AS66" s="6"/>
      <c r="AT66" s="6"/>
      <c r="AU66" s="6"/>
      <c r="AV66" s="6"/>
      <c r="AW66" s="6"/>
      <c r="AX66" s="6"/>
      <c r="AY66" s="6"/>
      <c r="AZ66" s="6"/>
      <c r="BA66" s="6"/>
      <c r="BB66" s="6"/>
      <c r="BC66" s="6"/>
      <c r="BD66" s="6"/>
      <c r="BE66" s="6"/>
      <c r="BF66" s="6"/>
      <c r="BG66" s="6"/>
      <c r="BH66" s="6"/>
      <c r="BI66" s="6"/>
      <c r="BJ66" s="6"/>
      <c r="BK66" s="6"/>
    </row>
    <row r="67" spans="2:63">
      <c r="B67" s="6"/>
      <c r="C67" s="6"/>
      <c r="D67" s="6"/>
      <c r="E67" s="6"/>
      <c r="F67" s="6"/>
      <c r="G67" s="6"/>
      <c r="H67" s="6"/>
      <c r="I67" s="6"/>
      <c r="J67" s="6"/>
      <c r="K67" s="6"/>
      <c r="L67" s="6"/>
      <c r="M67" s="6"/>
      <c r="N67" s="6"/>
      <c r="O67" s="6"/>
      <c r="P67" s="6"/>
      <c r="Q67" s="6"/>
      <c r="R67" s="6"/>
      <c r="S67" s="6"/>
      <c r="T67" s="6"/>
      <c r="U67" s="6"/>
      <c r="V67" s="6"/>
      <c r="W67" s="6"/>
      <c r="X67" s="6"/>
      <c r="AO67" s="6"/>
      <c r="AP67" s="6"/>
      <c r="AQ67" s="6"/>
      <c r="AR67" s="6"/>
      <c r="AS67" s="6"/>
      <c r="AT67" s="6"/>
      <c r="AU67" s="6"/>
      <c r="AV67" s="6"/>
      <c r="AW67" s="6"/>
      <c r="AX67" s="6"/>
      <c r="AY67" s="6"/>
      <c r="AZ67" s="6"/>
      <c r="BA67" s="6"/>
      <c r="BB67" s="6"/>
      <c r="BC67" s="6"/>
      <c r="BD67" s="6"/>
      <c r="BE67" s="6"/>
      <c r="BF67" s="6"/>
      <c r="BG67" s="6"/>
      <c r="BH67" s="6"/>
      <c r="BI67" s="6"/>
      <c r="BJ67" s="6"/>
      <c r="BK67" s="6"/>
    </row>
    <row r="68" spans="2:63">
      <c r="B68" s="6"/>
      <c r="C68" s="6"/>
      <c r="D68" s="6"/>
      <c r="E68" s="6"/>
      <c r="F68" s="6"/>
      <c r="G68" s="6"/>
      <c r="H68" s="6"/>
      <c r="I68" s="6"/>
      <c r="J68" s="6"/>
      <c r="K68" s="6"/>
      <c r="L68" s="6"/>
      <c r="M68" s="6"/>
      <c r="N68" s="6"/>
      <c r="O68" s="6"/>
      <c r="P68" s="6"/>
      <c r="Q68" s="6"/>
      <c r="R68" s="6"/>
      <c r="S68" s="6"/>
      <c r="T68" s="6"/>
      <c r="U68" s="6"/>
      <c r="V68" s="6"/>
      <c r="W68" s="6"/>
      <c r="X68" s="6"/>
      <c r="AO68" s="6"/>
      <c r="AP68" s="6"/>
      <c r="AQ68" s="6"/>
      <c r="AR68" s="6"/>
      <c r="AS68" s="6"/>
      <c r="AT68" s="6"/>
      <c r="AU68" s="6"/>
      <c r="AV68" s="6"/>
      <c r="AW68" s="6"/>
      <c r="AX68" s="6"/>
      <c r="AY68" s="6"/>
      <c r="AZ68" s="6"/>
      <c r="BA68" s="6"/>
      <c r="BB68" s="6"/>
      <c r="BC68" s="6"/>
      <c r="BD68" s="6"/>
      <c r="BE68" s="6"/>
      <c r="BF68" s="6"/>
      <c r="BG68" s="6"/>
      <c r="BH68" s="6"/>
      <c r="BI68" s="6"/>
      <c r="BJ68" s="6"/>
      <c r="BK68" s="6"/>
    </row>
    <row r="69" spans="2:63">
      <c r="B69" s="6"/>
      <c r="C69" s="6"/>
      <c r="D69" s="6"/>
      <c r="E69" s="6"/>
      <c r="F69" s="6"/>
      <c r="G69" s="6"/>
      <c r="H69" s="6"/>
      <c r="I69" s="6"/>
      <c r="J69" s="6"/>
      <c r="K69" s="6"/>
      <c r="L69" s="6"/>
      <c r="M69" s="6"/>
      <c r="N69" s="6"/>
      <c r="O69" s="6"/>
      <c r="P69" s="6"/>
      <c r="Q69" s="6"/>
      <c r="R69" s="6"/>
      <c r="S69" s="6"/>
      <c r="T69" s="6"/>
      <c r="U69" s="6"/>
      <c r="V69" s="6"/>
      <c r="W69" s="6"/>
      <c r="X69" s="6"/>
      <c r="AO69" s="6"/>
      <c r="AP69" s="6"/>
      <c r="AQ69" s="6"/>
      <c r="AR69" s="6"/>
      <c r="AS69" s="6"/>
      <c r="AT69" s="6"/>
      <c r="AU69" s="6"/>
      <c r="AV69" s="6"/>
      <c r="AW69" s="6"/>
      <c r="AX69" s="6"/>
      <c r="AY69" s="6"/>
      <c r="AZ69" s="6"/>
      <c r="BA69" s="6"/>
      <c r="BB69" s="6"/>
      <c r="BC69" s="6"/>
      <c r="BD69" s="6"/>
      <c r="BE69" s="6"/>
      <c r="BF69" s="6"/>
      <c r="BG69" s="6"/>
      <c r="BH69" s="6"/>
      <c r="BI69" s="6"/>
      <c r="BJ69" s="6"/>
      <c r="BK69" s="6"/>
    </row>
    <row r="70" spans="2:63">
      <c r="B70" s="6"/>
      <c r="C70" s="6"/>
      <c r="D70" s="6"/>
      <c r="E70" s="6"/>
      <c r="F70" s="6"/>
      <c r="G70" s="6"/>
      <c r="H70" s="6"/>
      <c r="I70" s="6"/>
      <c r="J70" s="6"/>
      <c r="K70" s="6"/>
      <c r="L70" s="6"/>
      <c r="M70" s="6"/>
      <c r="N70" s="6"/>
      <c r="O70" s="6"/>
      <c r="P70" s="6"/>
      <c r="Q70" s="6"/>
      <c r="R70" s="6"/>
      <c r="S70" s="6"/>
      <c r="T70" s="6"/>
      <c r="U70" s="6"/>
      <c r="V70" s="6"/>
      <c r="W70" s="6"/>
      <c r="X70" s="6"/>
      <c r="AO70" s="6"/>
      <c r="AP70" s="6"/>
      <c r="AQ70" s="6"/>
      <c r="AR70" s="6"/>
      <c r="AS70" s="6"/>
      <c r="AT70" s="6"/>
      <c r="AU70" s="6"/>
      <c r="AV70" s="6"/>
      <c r="AW70" s="6"/>
      <c r="AX70" s="6"/>
      <c r="AY70" s="6"/>
      <c r="AZ70" s="6"/>
      <c r="BA70" s="6"/>
      <c r="BB70" s="6"/>
      <c r="BC70" s="6"/>
      <c r="BD70" s="6"/>
      <c r="BE70" s="6"/>
      <c r="BF70" s="6"/>
      <c r="BG70" s="6"/>
      <c r="BH70" s="6"/>
      <c r="BI70" s="6"/>
      <c r="BJ70" s="6"/>
      <c r="BK70" s="6"/>
    </row>
    <row r="71" spans="2:63">
      <c r="B71" s="6"/>
      <c r="C71" s="6"/>
      <c r="D71" s="6"/>
      <c r="E71" s="6"/>
      <c r="F71" s="6"/>
      <c r="G71" s="6"/>
      <c r="H71" s="6"/>
      <c r="I71" s="6"/>
      <c r="J71" s="6"/>
      <c r="K71" s="6"/>
      <c r="L71" s="6"/>
      <c r="M71" s="6"/>
      <c r="N71" s="6"/>
      <c r="O71" s="6"/>
      <c r="P71" s="6"/>
      <c r="Q71" s="6"/>
      <c r="R71" s="6"/>
      <c r="S71" s="6"/>
      <c r="T71" s="6"/>
      <c r="U71" s="6"/>
      <c r="V71" s="6"/>
      <c r="W71" s="6"/>
      <c r="X71" s="6"/>
      <c r="AO71" s="6"/>
      <c r="AP71" s="6"/>
      <c r="AQ71" s="6"/>
      <c r="AR71" s="6"/>
      <c r="AS71" s="6"/>
      <c r="AT71" s="6"/>
      <c r="AU71" s="6"/>
      <c r="AV71" s="6"/>
      <c r="AW71" s="6"/>
      <c r="AX71" s="6"/>
      <c r="AY71" s="6"/>
      <c r="AZ71" s="6"/>
      <c r="BA71" s="6"/>
      <c r="BB71" s="6"/>
      <c r="BC71" s="6"/>
      <c r="BD71" s="6"/>
      <c r="BE71" s="6"/>
      <c r="BF71" s="6"/>
      <c r="BG71" s="6"/>
      <c r="BH71" s="6"/>
      <c r="BI71" s="6"/>
      <c r="BJ71" s="6"/>
      <c r="BK71" s="6"/>
    </row>
    <row r="72" spans="2:63">
      <c r="B72" s="6"/>
      <c r="C72" s="6"/>
      <c r="D72" s="6"/>
      <c r="E72" s="6"/>
      <c r="F72" s="6"/>
      <c r="G72" s="6"/>
      <c r="H72" s="6"/>
      <c r="I72" s="6"/>
      <c r="J72" s="6"/>
      <c r="K72" s="6"/>
      <c r="L72" s="6"/>
      <c r="M72" s="6"/>
      <c r="N72" s="6"/>
      <c r="O72" s="6"/>
      <c r="P72" s="6"/>
      <c r="Q72" s="6"/>
      <c r="R72" s="6"/>
      <c r="S72" s="6"/>
      <c r="T72" s="6"/>
      <c r="U72" s="6"/>
      <c r="V72" s="6"/>
      <c r="W72" s="6"/>
      <c r="X72" s="6"/>
      <c r="AO72" s="6"/>
      <c r="AP72" s="6"/>
      <c r="AQ72" s="6"/>
      <c r="AR72" s="6"/>
      <c r="AS72" s="6"/>
      <c r="AT72" s="6"/>
      <c r="AU72" s="6"/>
      <c r="AV72" s="6"/>
      <c r="AW72" s="6"/>
      <c r="AX72" s="6"/>
      <c r="AY72" s="6"/>
      <c r="AZ72" s="6"/>
      <c r="BA72" s="6"/>
      <c r="BB72" s="6"/>
      <c r="BC72" s="6"/>
      <c r="BD72" s="6"/>
      <c r="BE72" s="6"/>
      <c r="BF72" s="6"/>
      <c r="BG72" s="6"/>
      <c r="BH72" s="6"/>
      <c r="BI72" s="6"/>
      <c r="BJ72" s="6"/>
      <c r="BK72" s="6"/>
    </row>
    <row r="73" spans="2:63">
      <c r="B73" s="6"/>
      <c r="C73" s="6"/>
      <c r="D73" s="6"/>
      <c r="E73" s="6"/>
      <c r="F73" s="6"/>
      <c r="G73" s="6"/>
      <c r="H73" s="6"/>
      <c r="I73" s="6"/>
      <c r="J73" s="6"/>
      <c r="K73" s="6"/>
      <c r="L73" s="6"/>
      <c r="M73" s="6"/>
      <c r="N73" s="6"/>
      <c r="O73" s="6"/>
      <c r="P73" s="6"/>
      <c r="Q73" s="6"/>
      <c r="R73" s="6"/>
      <c r="S73" s="6"/>
      <c r="T73" s="6"/>
      <c r="U73" s="6"/>
      <c r="V73" s="6"/>
      <c r="W73" s="6"/>
      <c r="X73" s="6"/>
      <c r="AO73" s="6"/>
      <c r="AP73" s="6"/>
      <c r="AQ73" s="6"/>
      <c r="AR73" s="6"/>
      <c r="AS73" s="6"/>
      <c r="AT73" s="6"/>
      <c r="AU73" s="6"/>
      <c r="AV73" s="6"/>
      <c r="AW73" s="6"/>
      <c r="AX73" s="6"/>
      <c r="AY73" s="6"/>
      <c r="AZ73" s="6"/>
      <c r="BA73" s="6"/>
      <c r="BB73" s="6"/>
      <c r="BC73" s="6"/>
      <c r="BD73" s="6"/>
      <c r="BE73" s="6"/>
      <c r="BF73" s="6"/>
      <c r="BG73" s="6"/>
      <c r="BH73" s="6"/>
      <c r="BI73" s="6"/>
      <c r="BJ73" s="6"/>
      <c r="BK73" s="6"/>
    </row>
  </sheetData>
  <mergeCells count="1">
    <mergeCell ref="B61:AK61"/>
  </mergeCells>
  <conditionalFormatting sqref="A10:BL10 R11:BL40">
    <cfRule type="containsBlanks" dxfId="3" priority="8">
      <formula>LEN(TRIM(A10))=0</formula>
    </cfRule>
  </conditionalFormatting>
  <conditionalFormatting sqref="A1:BX9">
    <cfRule type="containsBlanks" dxfId="2" priority="6">
      <formula>LEN(TRIM(A1))=0</formula>
    </cfRule>
  </conditionalFormatting>
  <conditionalFormatting sqref="BM10:BX59">
    <cfRule type="containsBlanks" dxfId="1" priority="12">
      <formula>LEN(TRIM(BM10))=0</formula>
    </cfRule>
  </conditionalFormatting>
  <conditionalFormatting sqref="BY1:XFD60 A11:P40 A41:BL59 A60:P60 R60:BX60 A61:B61 AN61:XFD61 A62:XFD1048576">
    <cfRule type="containsBlanks" dxfId="0" priority="30">
      <formula>LEN(TRIM(A1))=0</formula>
    </cfRule>
  </conditionalFormatting>
  <dataValidations count="1">
    <dataValidation type="list" errorStyle="information" allowBlank="1" showInputMessage="1" showErrorMessage="1" sqref="AO4:BI4 B4:V4" xr:uid="{00000000-0002-0000-1E00-000000000000}">
      <formula1>FFF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xr:uid="{2885043C-287C-4504-B7DD-55C9A7563105}">
          <x14:formula1>
            <xm:f>'D:\Cloud\Drive ESDM\@Home\Planning\Balmorel (DEA - Denmark)\Model\Core 2021 (Cloud)\NZE\NZE_COP26_Cofiring\data\[211028 -- Base NZE - GDX Input (COP26)_Cofiring.xlsm]SET_LIST'!#REF!</xm:f>
          </x14:formula1>
          <xm:sqref>BJ4:BK4 W4:X4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E67D-A641-4642-9852-92E38957BDA8}">
  <sheetPr codeName="Sheet92">
    <tabColor theme="1"/>
  </sheetPr>
  <dimension ref="A1"/>
  <sheetViews>
    <sheetView showGridLines="0" workbookViewId="0"/>
  </sheetViews>
  <sheetFormatPr defaultRowHeight="15"/>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D4271-BAE7-43F1-96C7-90E911758C0D}">
  <sheetPr>
    <tabColor theme="2" tint="-0.499984740745262"/>
  </sheetPr>
  <dimension ref="A1:B15"/>
  <sheetViews>
    <sheetView showGridLines="0" workbookViewId="0">
      <selection activeCell="O22" sqref="O22"/>
    </sheetView>
  </sheetViews>
  <sheetFormatPr defaultRowHeight="15"/>
  <cols>
    <col min="1" max="1" width="14.5703125" bestFit="1" customWidth="1"/>
    <col min="2" max="2" width="12.42578125" bestFit="1" customWidth="1"/>
  </cols>
  <sheetData>
    <row r="1" spans="1:2">
      <c r="A1" s="15" t="s">
        <v>1012</v>
      </c>
    </row>
    <row r="3" spans="1:2">
      <c r="A3" s="1" t="s">
        <v>10</v>
      </c>
      <c r="B3" s="45" t="s">
        <v>932</v>
      </c>
    </row>
    <row r="4" spans="1:2">
      <c r="A4" t="s">
        <v>213</v>
      </c>
      <c r="B4" s="35">
        <v>56.8</v>
      </c>
    </row>
    <row r="5" spans="1:2">
      <c r="A5" t="s">
        <v>210</v>
      </c>
      <c r="B5" s="35">
        <v>106.4</v>
      </c>
    </row>
    <row r="6" spans="1:2">
      <c r="A6" t="s">
        <v>921</v>
      </c>
      <c r="B6" s="35">
        <v>78</v>
      </c>
    </row>
    <row r="7" spans="1:2">
      <c r="A7" t="s">
        <v>222</v>
      </c>
      <c r="B7" s="35">
        <v>78</v>
      </c>
    </row>
    <row r="8" spans="1:2">
      <c r="A8" t="s">
        <v>215</v>
      </c>
      <c r="B8" s="35">
        <v>9.64</v>
      </c>
    </row>
    <row r="9" spans="1:2">
      <c r="A9" t="s">
        <v>216</v>
      </c>
      <c r="B9" s="35">
        <v>7.18</v>
      </c>
    </row>
    <row r="10" spans="1:2">
      <c r="A10" t="s">
        <v>927</v>
      </c>
      <c r="B10" s="35">
        <v>106.4</v>
      </c>
    </row>
    <row r="11" spans="1:2">
      <c r="A11" t="s">
        <v>928</v>
      </c>
      <c r="B11" s="35">
        <v>56.8</v>
      </c>
    </row>
    <row r="12" spans="1:2">
      <c r="A12" t="s">
        <v>212</v>
      </c>
      <c r="B12" s="35">
        <v>56.8</v>
      </c>
    </row>
    <row r="13" spans="1:2">
      <c r="A13" t="s">
        <v>217</v>
      </c>
      <c r="B13" s="35">
        <v>5.68</v>
      </c>
    </row>
    <row r="14" spans="1:2">
      <c r="A14" t="s">
        <v>1011</v>
      </c>
      <c r="B14" s="35">
        <v>-109.127819548872</v>
      </c>
    </row>
    <row r="15" spans="1:2">
      <c r="A15" t="s">
        <v>220</v>
      </c>
      <c r="B15">
        <v>37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40839-6402-407D-9671-3789F30B102A}">
  <sheetPr codeName="Sheet46"/>
  <dimension ref="A21:C678"/>
  <sheetViews>
    <sheetView workbookViewId="0"/>
  </sheetViews>
  <sheetFormatPr defaultRowHeight="15"/>
  <sheetData>
    <row r="21" spans="1:3">
      <c r="A21" s="83"/>
      <c r="B21" s="84"/>
      <c r="C21" s="85"/>
    </row>
    <row r="22" spans="1:3">
      <c r="A22" s="86"/>
      <c r="B22" s="87"/>
      <c r="C22" s="88"/>
    </row>
    <row r="23" spans="1:3">
      <c r="A23" s="86"/>
      <c r="B23" s="87"/>
      <c r="C23" s="88"/>
    </row>
    <row r="24" spans="1:3">
      <c r="A24" s="86"/>
      <c r="B24" s="87"/>
      <c r="C24" s="88"/>
    </row>
    <row r="25" spans="1:3">
      <c r="A25" s="86"/>
      <c r="B25" s="87"/>
      <c r="C25" s="88"/>
    </row>
    <row r="26" spans="1:3">
      <c r="A26" s="86"/>
      <c r="B26" s="87"/>
      <c r="C26" s="88"/>
    </row>
    <row r="27" spans="1:3">
      <c r="A27" s="86"/>
      <c r="B27" s="87"/>
      <c r="C27" s="88"/>
    </row>
    <row r="28" spans="1:3">
      <c r="A28" s="86"/>
      <c r="B28" s="87"/>
      <c r="C28" s="88"/>
    </row>
    <row r="29" spans="1:3">
      <c r="A29" s="86"/>
      <c r="B29" s="87"/>
      <c r="C29" s="88"/>
    </row>
    <row r="30" spans="1:3">
      <c r="A30" s="86"/>
      <c r="B30" s="87"/>
      <c r="C30" s="88"/>
    </row>
    <row r="31" spans="1:3">
      <c r="A31" s="86"/>
      <c r="B31" s="87"/>
      <c r="C31" s="88"/>
    </row>
    <row r="32" spans="1:3">
      <c r="A32" s="86"/>
      <c r="B32" s="87"/>
      <c r="C32" s="88"/>
    </row>
    <row r="33" spans="1:3">
      <c r="A33" s="86"/>
      <c r="B33" s="87"/>
      <c r="C33" s="88"/>
    </row>
    <row r="34" spans="1:3">
      <c r="A34" s="86"/>
      <c r="B34" s="87"/>
      <c r="C34" s="88"/>
    </row>
    <row r="35" spans="1:3">
      <c r="A35" s="86"/>
      <c r="B35" s="87"/>
      <c r="C35" s="88"/>
    </row>
    <row r="36" spans="1:3">
      <c r="A36" s="86"/>
      <c r="B36" s="87"/>
      <c r="C36" s="88"/>
    </row>
    <row r="37" spans="1:3">
      <c r="A37" s="86"/>
      <c r="B37" s="87"/>
      <c r="C37" s="88"/>
    </row>
    <row r="38" spans="1:3">
      <c r="A38" s="89"/>
      <c r="B38" s="90"/>
      <c r="C38" s="91"/>
    </row>
    <row r="41" spans="1:3">
      <c r="A41" s="83"/>
      <c r="B41" s="84"/>
      <c r="C41" s="85"/>
    </row>
    <row r="42" spans="1:3">
      <c r="A42" s="86"/>
      <c r="B42" s="87"/>
      <c r="C42" s="88"/>
    </row>
    <row r="43" spans="1:3">
      <c r="A43" s="86"/>
      <c r="B43" s="87"/>
      <c r="C43" s="88"/>
    </row>
    <row r="44" spans="1:3">
      <c r="A44" s="86"/>
      <c r="B44" s="87"/>
      <c r="C44" s="88"/>
    </row>
    <row r="45" spans="1:3">
      <c r="A45" s="86"/>
      <c r="B45" s="87"/>
      <c r="C45" s="88"/>
    </row>
    <row r="46" spans="1:3">
      <c r="A46" s="86"/>
      <c r="B46" s="87"/>
      <c r="C46" s="88"/>
    </row>
    <row r="47" spans="1:3">
      <c r="A47" s="86"/>
      <c r="B47" s="87"/>
      <c r="C47" s="88"/>
    </row>
    <row r="48" spans="1:3">
      <c r="A48" s="86"/>
      <c r="B48" s="87"/>
      <c r="C48" s="88"/>
    </row>
    <row r="49" spans="1:3">
      <c r="A49" s="86"/>
      <c r="B49" s="87"/>
      <c r="C49" s="88"/>
    </row>
    <row r="50" spans="1:3">
      <c r="A50" s="86"/>
      <c r="B50" s="87"/>
      <c r="C50" s="88"/>
    </row>
    <row r="51" spans="1:3">
      <c r="A51" s="86"/>
      <c r="B51" s="87"/>
      <c r="C51" s="88"/>
    </row>
    <row r="52" spans="1:3">
      <c r="A52" s="86"/>
      <c r="B52" s="87"/>
      <c r="C52" s="88"/>
    </row>
    <row r="53" spans="1:3">
      <c r="A53" s="86"/>
      <c r="B53" s="87"/>
      <c r="C53" s="88"/>
    </row>
    <row r="54" spans="1:3">
      <c r="A54" s="86"/>
      <c r="B54" s="87"/>
      <c r="C54" s="88"/>
    </row>
    <row r="55" spans="1:3">
      <c r="A55" s="86"/>
      <c r="B55" s="87"/>
      <c r="C55" s="88"/>
    </row>
    <row r="56" spans="1:3">
      <c r="A56" s="86"/>
      <c r="B56" s="87"/>
      <c r="C56" s="88"/>
    </row>
    <row r="57" spans="1:3">
      <c r="A57" s="86"/>
      <c r="B57" s="87"/>
      <c r="C57" s="88"/>
    </row>
    <row r="58" spans="1:3">
      <c r="A58" s="89"/>
      <c r="B58" s="90"/>
      <c r="C58" s="91"/>
    </row>
    <row r="61" spans="1:3">
      <c r="A61" s="83"/>
      <c r="B61" s="84"/>
      <c r="C61" s="85"/>
    </row>
    <row r="62" spans="1:3">
      <c r="A62" s="86"/>
      <c r="B62" s="87"/>
      <c r="C62" s="88"/>
    </row>
    <row r="63" spans="1:3">
      <c r="A63" s="86"/>
      <c r="B63" s="87"/>
      <c r="C63" s="88"/>
    </row>
    <row r="64" spans="1:3">
      <c r="A64" s="86"/>
      <c r="B64" s="87"/>
      <c r="C64" s="88"/>
    </row>
    <row r="65" spans="1:3">
      <c r="A65" s="86"/>
      <c r="B65" s="87"/>
      <c r="C65" s="88"/>
    </row>
    <row r="66" spans="1:3">
      <c r="A66" s="86"/>
      <c r="B66" s="87"/>
      <c r="C66" s="88"/>
    </row>
    <row r="67" spans="1:3">
      <c r="A67" s="86"/>
      <c r="B67" s="87"/>
      <c r="C67" s="88"/>
    </row>
    <row r="68" spans="1:3">
      <c r="A68" s="86"/>
      <c r="B68" s="87"/>
      <c r="C68" s="88"/>
    </row>
    <row r="69" spans="1:3">
      <c r="A69" s="86"/>
      <c r="B69" s="87"/>
      <c r="C69" s="88"/>
    </row>
    <row r="70" spans="1:3">
      <c r="A70" s="86"/>
      <c r="B70" s="87"/>
      <c r="C70" s="88"/>
    </row>
    <row r="71" spans="1:3">
      <c r="A71" s="86"/>
      <c r="B71" s="87"/>
      <c r="C71" s="88"/>
    </row>
    <row r="72" spans="1:3">
      <c r="A72" s="86"/>
      <c r="B72" s="87"/>
      <c r="C72" s="88"/>
    </row>
    <row r="73" spans="1:3">
      <c r="A73" s="86"/>
      <c r="B73" s="87"/>
      <c r="C73" s="88"/>
    </row>
    <row r="74" spans="1:3">
      <c r="A74" s="86"/>
      <c r="B74" s="87"/>
      <c r="C74" s="88"/>
    </row>
    <row r="75" spans="1:3">
      <c r="A75" s="86"/>
      <c r="B75" s="87"/>
      <c r="C75" s="88"/>
    </row>
    <row r="76" spans="1:3">
      <c r="A76" s="86"/>
      <c r="B76" s="87"/>
      <c r="C76" s="88"/>
    </row>
    <row r="77" spans="1:3">
      <c r="A77" s="86"/>
      <c r="B77" s="87"/>
      <c r="C77" s="88"/>
    </row>
    <row r="78" spans="1:3">
      <c r="A78" s="89"/>
      <c r="B78" s="90"/>
      <c r="C78" s="91"/>
    </row>
    <row r="81" spans="1:3">
      <c r="A81" s="83"/>
      <c r="B81" s="84"/>
      <c r="C81" s="85"/>
    </row>
    <row r="82" spans="1:3">
      <c r="A82" s="86"/>
      <c r="B82" s="87"/>
      <c r="C82" s="88"/>
    </row>
    <row r="83" spans="1:3">
      <c r="A83" s="86"/>
      <c r="B83" s="87"/>
      <c r="C83" s="88"/>
    </row>
    <row r="84" spans="1:3">
      <c r="A84" s="86"/>
      <c r="B84" s="87"/>
      <c r="C84" s="88"/>
    </row>
    <row r="85" spans="1:3">
      <c r="A85" s="86"/>
      <c r="B85" s="87"/>
      <c r="C85" s="88"/>
    </row>
    <row r="86" spans="1:3">
      <c r="A86" s="86"/>
      <c r="B86" s="87"/>
      <c r="C86" s="88"/>
    </row>
    <row r="87" spans="1:3">
      <c r="A87" s="86"/>
      <c r="B87" s="87"/>
      <c r="C87" s="88"/>
    </row>
    <row r="88" spans="1:3">
      <c r="A88" s="86"/>
      <c r="B88" s="87"/>
      <c r="C88" s="88"/>
    </row>
    <row r="89" spans="1:3">
      <c r="A89" s="86"/>
      <c r="B89" s="87"/>
      <c r="C89" s="88"/>
    </row>
    <row r="90" spans="1:3">
      <c r="A90" s="86"/>
      <c r="B90" s="87"/>
      <c r="C90" s="88"/>
    </row>
    <row r="91" spans="1:3">
      <c r="A91" s="86"/>
      <c r="B91" s="87"/>
      <c r="C91" s="88"/>
    </row>
    <row r="92" spans="1:3">
      <c r="A92" s="86"/>
      <c r="B92" s="87"/>
      <c r="C92" s="88"/>
    </row>
    <row r="93" spans="1:3">
      <c r="A93" s="86"/>
      <c r="B93" s="87"/>
      <c r="C93" s="88"/>
    </row>
    <row r="94" spans="1:3">
      <c r="A94" s="86"/>
      <c r="B94" s="87"/>
      <c r="C94" s="88"/>
    </row>
    <row r="95" spans="1:3">
      <c r="A95" s="86"/>
      <c r="B95" s="87"/>
      <c r="C95" s="88"/>
    </row>
    <row r="96" spans="1:3">
      <c r="A96" s="86"/>
      <c r="B96" s="87"/>
      <c r="C96" s="88"/>
    </row>
    <row r="97" spans="1:3">
      <c r="A97" s="86"/>
      <c r="B97" s="87"/>
      <c r="C97" s="88"/>
    </row>
    <row r="98" spans="1:3">
      <c r="A98" s="89"/>
      <c r="B98" s="90"/>
      <c r="C98" s="91"/>
    </row>
    <row r="101" spans="1:3">
      <c r="A101" s="83"/>
      <c r="B101" s="84"/>
      <c r="C101" s="85"/>
    </row>
    <row r="102" spans="1:3">
      <c r="A102" s="86"/>
      <c r="B102" s="87"/>
      <c r="C102" s="88"/>
    </row>
    <row r="103" spans="1:3">
      <c r="A103" s="86"/>
      <c r="B103" s="87"/>
      <c r="C103" s="88"/>
    </row>
    <row r="104" spans="1:3">
      <c r="A104" s="86"/>
      <c r="B104" s="87"/>
      <c r="C104" s="88"/>
    </row>
    <row r="105" spans="1:3">
      <c r="A105" s="86"/>
      <c r="B105" s="87"/>
      <c r="C105" s="88"/>
    </row>
    <row r="106" spans="1:3">
      <c r="A106" s="86"/>
      <c r="B106" s="87"/>
      <c r="C106" s="88"/>
    </row>
    <row r="107" spans="1:3">
      <c r="A107" s="86"/>
      <c r="B107" s="87"/>
      <c r="C107" s="88"/>
    </row>
    <row r="108" spans="1:3">
      <c r="A108" s="86"/>
      <c r="B108" s="87"/>
      <c r="C108" s="88"/>
    </row>
    <row r="109" spans="1:3">
      <c r="A109" s="86"/>
      <c r="B109" s="87"/>
      <c r="C109" s="88"/>
    </row>
    <row r="110" spans="1:3">
      <c r="A110" s="86"/>
      <c r="B110" s="87"/>
      <c r="C110" s="88"/>
    </row>
    <row r="111" spans="1:3">
      <c r="A111" s="86"/>
      <c r="B111" s="87"/>
      <c r="C111" s="88"/>
    </row>
    <row r="112" spans="1:3">
      <c r="A112" s="86"/>
      <c r="B112" s="87"/>
      <c r="C112" s="88"/>
    </row>
    <row r="113" spans="1:3">
      <c r="A113" s="86"/>
      <c r="B113" s="87"/>
      <c r="C113" s="88"/>
    </row>
    <row r="114" spans="1:3">
      <c r="A114" s="86"/>
      <c r="B114" s="87"/>
      <c r="C114" s="88"/>
    </row>
    <row r="115" spans="1:3">
      <c r="A115" s="86"/>
      <c r="B115" s="87"/>
      <c r="C115" s="88"/>
    </row>
    <row r="116" spans="1:3">
      <c r="A116" s="86"/>
      <c r="B116" s="87"/>
      <c r="C116" s="88"/>
    </row>
    <row r="117" spans="1:3">
      <c r="A117" s="86"/>
      <c r="B117" s="87"/>
      <c r="C117" s="88"/>
    </row>
    <row r="118" spans="1:3">
      <c r="A118" s="89"/>
      <c r="B118" s="90"/>
      <c r="C118" s="91"/>
    </row>
    <row r="121" spans="1:3">
      <c r="A121" s="83"/>
      <c r="B121" s="84"/>
      <c r="C121" s="85"/>
    </row>
    <row r="122" spans="1:3">
      <c r="A122" s="86"/>
      <c r="B122" s="87"/>
      <c r="C122" s="88"/>
    </row>
    <row r="123" spans="1:3">
      <c r="A123" s="86"/>
      <c r="B123" s="87"/>
      <c r="C123" s="88"/>
    </row>
    <row r="124" spans="1:3">
      <c r="A124" s="86"/>
      <c r="B124" s="87"/>
      <c r="C124" s="88"/>
    </row>
    <row r="125" spans="1:3">
      <c r="A125" s="86"/>
      <c r="B125" s="87"/>
      <c r="C125" s="88"/>
    </row>
    <row r="126" spans="1:3">
      <c r="A126" s="86"/>
      <c r="B126" s="87"/>
      <c r="C126" s="88"/>
    </row>
    <row r="127" spans="1:3">
      <c r="A127" s="86"/>
      <c r="B127" s="87"/>
      <c r="C127" s="88"/>
    </row>
    <row r="128" spans="1:3">
      <c r="A128" s="86"/>
      <c r="B128" s="87"/>
      <c r="C128" s="88"/>
    </row>
    <row r="129" spans="1:3">
      <c r="A129" s="86"/>
      <c r="B129" s="87"/>
      <c r="C129" s="88"/>
    </row>
    <row r="130" spans="1:3">
      <c r="A130" s="86"/>
      <c r="B130" s="87"/>
      <c r="C130" s="88"/>
    </row>
    <row r="131" spans="1:3">
      <c r="A131" s="86"/>
      <c r="B131" s="87"/>
      <c r="C131" s="88"/>
    </row>
    <row r="132" spans="1:3">
      <c r="A132" s="86"/>
      <c r="B132" s="87"/>
      <c r="C132" s="88"/>
    </row>
    <row r="133" spans="1:3">
      <c r="A133" s="86"/>
      <c r="B133" s="87"/>
      <c r="C133" s="88"/>
    </row>
    <row r="134" spans="1:3">
      <c r="A134" s="86"/>
      <c r="B134" s="87"/>
      <c r="C134" s="88"/>
    </row>
    <row r="135" spans="1:3">
      <c r="A135" s="86"/>
      <c r="B135" s="87"/>
      <c r="C135" s="88"/>
    </row>
    <row r="136" spans="1:3">
      <c r="A136" s="86"/>
      <c r="B136" s="87"/>
      <c r="C136" s="88"/>
    </row>
    <row r="137" spans="1:3">
      <c r="A137" s="86"/>
      <c r="B137" s="87"/>
      <c r="C137" s="88"/>
    </row>
    <row r="138" spans="1:3">
      <c r="A138" s="89"/>
      <c r="B138" s="90"/>
      <c r="C138" s="91"/>
    </row>
    <row r="141" spans="1:3">
      <c r="A141" s="83"/>
      <c r="B141" s="84"/>
      <c r="C141" s="85"/>
    </row>
    <row r="142" spans="1:3">
      <c r="A142" s="86"/>
      <c r="B142" s="87"/>
      <c r="C142" s="88"/>
    </row>
    <row r="143" spans="1:3">
      <c r="A143" s="86"/>
      <c r="B143" s="87"/>
      <c r="C143" s="88"/>
    </row>
    <row r="144" spans="1:3">
      <c r="A144" s="86"/>
      <c r="B144" s="87"/>
      <c r="C144" s="88"/>
    </row>
    <row r="145" spans="1:3">
      <c r="A145" s="86"/>
      <c r="B145" s="87"/>
      <c r="C145" s="88"/>
    </row>
    <row r="146" spans="1:3">
      <c r="A146" s="86"/>
      <c r="B146" s="87"/>
      <c r="C146" s="88"/>
    </row>
    <row r="147" spans="1:3">
      <c r="A147" s="86"/>
      <c r="B147" s="87"/>
      <c r="C147" s="88"/>
    </row>
    <row r="148" spans="1:3">
      <c r="A148" s="86"/>
      <c r="B148" s="87"/>
      <c r="C148" s="88"/>
    </row>
    <row r="149" spans="1:3">
      <c r="A149" s="86"/>
      <c r="B149" s="87"/>
      <c r="C149" s="88"/>
    </row>
    <row r="150" spans="1:3">
      <c r="A150" s="86"/>
      <c r="B150" s="87"/>
      <c r="C150" s="88"/>
    </row>
    <row r="151" spans="1:3">
      <c r="A151" s="86"/>
      <c r="B151" s="87"/>
      <c r="C151" s="88"/>
    </row>
    <row r="152" spans="1:3">
      <c r="A152" s="86"/>
      <c r="B152" s="87"/>
      <c r="C152" s="88"/>
    </row>
    <row r="153" spans="1:3">
      <c r="A153" s="86"/>
      <c r="B153" s="87"/>
      <c r="C153" s="88"/>
    </row>
    <row r="154" spans="1:3">
      <c r="A154" s="86"/>
      <c r="B154" s="87"/>
      <c r="C154" s="88"/>
    </row>
    <row r="155" spans="1:3">
      <c r="A155" s="86"/>
      <c r="B155" s="87"/>
      <c r="C155" s="88"/>
    </row>
    <row r="156" spans="1:3">
      <c r="A156" s="86"/>
      <c r="B156" s="87"/>
      <c r="C156" s="88"/>
    </row>
    <row r="157" spans="1:3">
      <c r="A157" s="86"/>
      <c r="B157" s="87"/>
      <c r="C157" s="88"/>
    </row>
    <row r="158" spans="1:3">
      <c r="A158" s="89"/>
      <c r="B158" s="90"/>
      <c r="C158" s="91"/>
    </row>
    <row r="161" spans="1:3">
      <c r="A161" s="83"/>
      <c r="B161" s="84"/>
      <c r="C161" s="85"/>
    </row>
    <row r="162" spans="1:3">
      <c r="A162" s="86"/>
      <c r="B162" s="87"/>
      <c r="C162" s="88"/>
    </row>
    <row r="163" spans="1:3">
      <c r="A163" s="86"/>
      <c r="B163" s="87"/>
      <c r="C163" s="88"/>
    </row>
    <row r="164" spans="1:3">
      <c r="A164" s="86"/>
      <c r="B164" s="87"/>
      <c r="C164" s="88"/>
    </row>
    <row r="165" spans="1:3">
      <c r="A165" s="86"/>
      <c r="B165" s="87"/>
      <c r="C165" s="88"/>
    </row>
    <row r="166" spans="1:3">
      <c r="A166" s="86"/>
      <c r="B166" s="87"/>
      <c r="C166" s="88"/>
    </row>
    <row r="167" spans="1:3">
      <c r="A167" s="86"/>
      <c r="B167" s="87"/>
      <c r="C167" s="88"/>
    </row>
    <row r="168" spans="1:3">
      <c r="A168" s="86"/>
      <c r="B168" s="87"/>
      <c r="C168" s="88"/>
    </row>
    <row r="169" spans="1:3">
      <c r="A169" s="86"/>
      <c r="B169" s="87"/>
      <c r="C169" s="88"/>
    </row>
    <row r="170" spans="1:3">
      <c r="A170" s="86"/>
      <c r="B170" s="87"/>
      <c r="C170" s="88"/>
    </row>
    <row r="171" spans="1:3">
      <c r="A171" s="86"/>
      <c r="B171" s="87"/>
      <c r="C171" s="88"/>
    </row>
    <row r="172" spans="1:3">
      <c r="A172" s="86"/>
      <c r="B172" s="87"/>
      <c r="C172" s="88"/>
    </row>
    <row r="173" spans="1:3">
      <c r="A173" s="86"/>
      <c r="B173" s="87"/>
      <c r="C173" s="88"/>
    </row>
    <row r="174" spans="1:3">
      <c r="A174" s="86"/>
      <c r="B174" s="87"/>
      <c r="C174" s="88"/>
    </row>
    <row r="175" spans="1:3">
      <c r="A175" s="86"/>
      <c r="B175" s="87"/>
      <c r="C175" s="88"/>
    </row>
    <row r="176" spans="1:3">
      <c r="A176" s="86"/>
      <c r="B176" s="87"/>
      <c r="C176" s="88"/>
    </row>
    <row r="177" spans="1:3">
      <c r="A177" s="86"/>
      <c r="B177" s="87"/>
      <c r="C177" s="88"/>
    </row>
    <row r="178" spans="1:3">
      <c r="A178" s="89"/>
      <c r="B178" s="90"/>
      <c r="C178" s="91"/>
    </row>
    <row r="181" spans="1:3">
      <c r="A181" s="83"/>
      <c r="B181" s="84"/>
      <c r="C181" s="85"/>
    </row>
    <row r="182" spans="1:3">
      <c r="A182" s="86"/>
      <c r="B182" s="87"/>
      <c r="C182" s="88"/>
    </row>
    <row r="183" spans="1:3">
      <c r="A183" s="86"/>
      <c r="B183" s="87"/>
      <c r="C183" s="88"/>
    </row>
    <row r="184" spans="1:3">
      <c r="A184" s="86"/>
      <c r="B184" s="87"/>
      <c r="C184" s="88"/>
    </row>
    <row r="185" spans="1:3">
      <c r="A185" s="86"/>
      <c r="B185" s="87"/>
      <c r="C185" s="88"/>
    </row>
    <row r="186" spans="1:3">
      <c r="A186" s="86"/>
      <c r="B186" s="87"/>
      <c r="C186" s="88"/>
    </row>
    <row r="187" spans="1:3">
      <c r="A187" s="86"/>
      <c r="B187" s="87"/>
      <c r="C187" s="88"/>
    </row>
    <row r="188" spans="1:3">
      <c r="A188" s="86"/>
      <c r="B188" s="87"/>
      <c r="C188" s="88"/>
    </row>
    <row r="189" spans="1:3">
      <c r="A189" s="86"/>
      <c r="B189" s="87"/>
      <c r="C189" s="88"/>
    </row>
    <row r="190" spans="1:3">
      <c r="A190" s="86"/>
      <c r="B190" s="87"/>
      <c r="C190" s="88"/>
    </row>
    <row r="191" spans="1:3">
      <c r="A191" s="86"/>
      <c r="B191" s="87"/>
      <c r="C191" s="88"/>
    </row>
    <row r="192" spans="1:3">
      <c r="A192" s="86"/>
      <c r="B192" s="87"/>
      <c r="C192" s="88"/>
    </row>
    <row r="193" spans="1:3">
      <c r="A193" s="86"/>
      <c r="B193" s="87"/>
      <c r="C193" s="88"/>
    </row>
    <row r="194" spans="1:3">
      <c r="A194" s="86"/>
      <c r="B194" s="87"/>
      <c r="C194" s="88"/>
    </row>
    <row r="195" spans="1:3">
      <c r="A195" s="86"/>
      <c r="B195" s="87"/>
      <c r="C195" s="88"/>
    </row>
    <row r="196" spans="1:3">
      <c r="A196" s="86"/>
      <c r="B196" s="87"/>
      <c r="C196" s="88"/>
    </row>
    <row r="197" spans="1:3">
      <c r="A197" s="86"/>
      <c r="B197" s="87"/>
      <c r="C197" s="88"/>
    </row>
    <row r="198" spans="1:3">
      <c r="A198" s="89"/>
      <c r="B198" s="90"/>
      <c r="C198" s="91"/>
    </row>
    <row r="201" spans="1:3">
      <c r="A201" s="83"/>
      <c r="B201" s="84"/>
      <c r="C201" s="85"/>
    </row>
    <row r="202" spans="1:3">
      <c r="A202" s="86"/>
      <c r="B202" s="87"/>
      <c r="C202" s="88"/>
    </row>
    <row r="203" spans="1:3">
      <c r="A203" s="86"/>
      <c r="B203" s="87"/>
      <c r="C203" s="88"/>
    </row>
    <row r="204" spans="1:3">
      <c r="A204" s="86"/>
      <c r="B204" s="87"/>
      <c r="C204" s="88"/>
    </row>
    <row r="205" spans="1:3">
      <c r="A205" s="86"/>
      <c r="B205" s="87"/>
      <c r="C205" s="88"/>
    </row>
    <row r="206" spans="1:3">
      <c r="A206" s="86"/>
      <c r="B206" s="87"/>
      <c r="C206" s="88"/>
    </row>
    <row r="207" spans="1:3">
      <c r="A207" s="86"/>
      <c r="B207" s="87"/>
      <c r="C207" s="88"/>
    </row>
    <row r="208" spans="1:3">
      <c r="A208" s="86"/>
      <c r="B208" s="87"/>
      <c r="C208" s="88"/>
    </row>
    <row r="209" spans="1:3">
      <c r="A209" s="86"/>
      <c r="B209" s="87"/>
      <c r="C209" s="88"/>
    </row>
    <row r="210" spans="1:3">
      <c r="A210" s="86"/>
      <c r="B210" s="87"/>
      <c r="C210" s="88"/>
    </row>
    <row r="211" spans="1:3">
      <c r="A211" s="86"/>
      <c r="B211" s="87"/>
      <c r="C211" s="88"/>
    </row>
    <row r="212" spans="1:3">
      <c r="A212" s="86"/>
      <c r="B212" s="87"/>
      <c r="C212" s="88"/>
    </row>
    <row r="213" spans="1:3">
      <c r="A213" s="86"/>
      <c r="B213" s="87"/>
      <c r="C213" s="88"/>
    </row>
    <row r="214" spans="1:3">
      <c r="A214" s="86"/>
      <c r="B214" s="87"/>
      <c r="C214" s="88"/>
    </row>
    <row r="215" spans="1:3">
      <c r="A215" s="86"/>
      <c r="B215" s="87"/>
      <c r="C215" s="88"/>
    </row>
    <row r="216" spans="1:3">
      <c r="A216" s="86"/>
      <c r="B216" s="87"/>
      <c r="C216" s="88"/>
    </row>
    <row r="217" spans="1:3">
      <c r="A217" s="86"/>
      <c r="B217" s="87"/>
      <c r="C217" s="88"/>
    </row>
    <row r="218" spans="1:3">
      <c r="A218" s="89"/>
      <c r="B218" s="90"/>
      <c r="C218" s="91"/>
    </row>
    <row r="221" spans="1:3">
      <c r="A221" s="83"/>
      <c r="B221" s="84"/>
      <c r="C221" s="85"/>
    </row>
    <row r="222" spans="1:3">
      <c r="A222" s="86"/>
      <c r="B222" s="87"/>
      <c r="C222" s="88"/>
    </row>
    <row r="223" spans="1:3">
      <c r="A223" s="86"/>
      <c r="B223" s="87"/>
      <c r="C223" s="88"/>
    </row>
    <row r="224" spans="1:3">
      <c r="A224" s="86"/>
      <c r="B224" s="87"/>
      <c r="C224" s="88"/>
    </row>
    <row r="225" spans="1:3">
      <c r="A225" s="86"/>
      <c r="B225" s="87"/>
      <c r="C225" s="88"/>
    </row>
    <row r="226" spans="1:3">
      <c r="A226" s="86"/>
      <c r="B226" s="87"/>
      <c r="C226" s="88"/>
    </row>
    <row r="227" spans="1:3">
      <c r="A227" s="86"/>
      <c r="B227" s="87"/>
      <c r="C227" s="88"/>
    </row>
    <row r="228" spans="1:3">
      <c r="A228" s="86"/>
      <c r="B228" s="87"/>
      <c r="C228" s="88"/>
    </row>
    <row r="229" spans="1:3">
      <c r="A229" s="86"/>
      <c r="B229" s="87"/>
      <c r="C229" s="88"/>
    </row>
    <row r="230" spans="1:3">
      <c r="A230" s="86"/>
      <c r="B230" s="87"/>
      <c r="C230" s="88"/>
    </row>
    <row r="231" spans="1:3">
      <c r="A231" s="86"/>
      <c r="B231" s="87"/>
      <c r="C231" s="88"/>
    </row>
    <row r="232" spans="1:3">
      <c r="A232" s="86"/>
      <c r="B232" s="87"/>
      <c r="C232" s="88"/>
    </row>
    <row r="233" spans="1:3">
      <c r="A233" s="86"/>
      <c r="B233" s="87"/>
      <c r="C233" s="88"/>
    </row>
    <row r="234" spans="1:3">
      <c r="A234" s="86"/>
      <c r="B234" s="87"/>
      <c r="C234" s="88"/>
    </row>
    <row r="235" spans="1:3">
      <c r="A235" s="86"/>
      <c r="B235" s="87"/>
      <c r="C235" s="88"/>
    </row>
    <row r="236" spans="1:3">
      <c r="A236" s="86"/>
      <c r="B236" s="87"/>
      <c r="C236" s="88"/>
    </row>
    <row r="237" spans="1:3">
      <c r="A237" s="86"/>
      <c r="B237" s="87"/>
      <c r="C237" s="88"/>
    </row>
    <row r="238" spans="1:3">
      <c r="A238" s="89"/>
      <c r="B238" s="90"/>
      <c r="C238" s="91"/>
    </row>
    <row r="241" spans="1:3">
      <c r="A241" s="83"/>
      <c r="B241" s="84"/>
      <c r="C241" s="85"/>
    </row>
    <row r="242" spans="1:3">
      <c r="A242" s="86"/>
      <c r="B242" s="87"/>
      <c r="C242" s="88"/>
    </row>
    <row r="243" spans="1:3">
      <c r="A243" s="86"/>
      <c r="B243" s="87"/>
      <c r="C243" s="88"/>
    </row>
    <row r="244" spans="1:3">
      <c r="A244" s="86"/>
      <c r="B244" s="87"/>
      <c r="C244" s="88"/>
    </row>
    <row r="245" spans="1:3">
      <c r="A245" s="86"/>
      <c r="B245" s="87"/>
      <c r="C245" s="88"/>
    </row>
    <row r="246" spans="1:3">
      <c r="A246" s="86"/>
      <c r="B246" s="87"/>
      <c r="C246" s="88"/>
    </row>
    <row r="247" spans="1:3">
      <c r="A247" s="86"/>
      <c r="B247" s="87"/>
      <c r="C247" s="88"/>
    </row>
    <row r="248" spans="1:3">
      <c r="A248" s="86"/>
      <c r="B248" s="87"/>
      <c r="C248" s="88"/>
    </row>
    <row r="249" spans="1:3">
      <c r="A249" s="86"/>
      <c r="B249" s="87"/>
      <c r="C249" s="88"/>
    </row>
    <row r="250" spans="1:3">
      <c r="A250" s="86"/>
      <c r="B250" s="87"/>
      <c r="C250" s="88"/>
    </row>
    <row r="251" spans="1:3">
      <c r="A251" s="86"/>
      <c r="B251" s="87"/>
      <c r="C251" s="88"/>
    </row>
    <row r="252" spans="1:3">
      <c r="A252" s="86"/>
      <c r="B252" s="87"/>
      <c r="C252" s="88"/>
    </row>
    <row r="253" spans="1:3">
      <c r="A253" s="86"/>
      <c r="B253" s="87"/>
      <c r="C253" s="88"/>
    </row>
    <row r="254" spans="1:3">
      <c r="A254" s="86"/>
      <c r="B254" s="87"/>
      <c r="C254" s="88"/>
    </row>
    <row r="255" spans="1:3">
      <c r="A255" s="86"/>
      <c r="B255" s="87"/>
      <c r="C255" s="88"/>
    </row>
    <row r="256" spans="1:3">
      <c r="A256" s="86"/>
      <c r="B256" s="87"/>
      <c r="C256" s="88"/>
    </row>
    <row r="257" spans="1:3">
      <c r="A257" s="86"/>
      <c r="B257" s="87"/>
      <c r="C257" s="88"/>
    </row>
    <row r="258" spans="1:3">
      <c r="A258" s="89"/>
      <c r="B258" s="90"/>
      <c r="C258" s="91"/>
    </row>
    <row r="261" spans="1:3">
      <c r="A261" s="83"/>
      <c r="B261" s="84"/>
      <c r="C261" s="85"/>
    </row>
    <row r="262" spans="1:3">
      <c r="A262" s="86"/>
      <c r="B262" s="87"/>
      <c r="C262" s="88"/>
    </row>
    <row r="263" spans="1:3">
      <c r="A263" s="86"/>
      <c r="B263" s="87"/>
      <c r="C263" s="88"/>
    </row>
    <row r="264" spans="1:3">
      <c r="A264" s="86"/>
      <c r="B264" s="87"/>
      <c r="C264" s="88"/>
    </row>
    <row r="265" spans="1:3">
      <c r="A265" s="86"/>
      <c r="B265" s="87"/>
      <c r="C265" s="88"/>
    </row>
    <row r="266" spans="1:3">
      <c r="A266" s="86"/>
      <c r="B266" s="87"/>
      <c r="C266" s="88"/>
    </row>
    <row r="267" spans="1:3">
      <c r="A267" s="86"/>
      <c r="B267" s="87"/>
      <c r="C267" s="88"/>
    </row>
    <row r="268" spans="1:3">
      <c r="A268" s="86"/>
      <c r="B268" s="87"/>
      <c r="C268" s="88"/>
    </row>
    <row r="269" spans="1:3">
      <c r="A269" s="86"/>
      <c r="B269" s="87"/>
      <c r="C269" s="88"/>
    </row>
    <row r="270" spans="1:3">
      <c r="A270" s="86"/>
      <c r="B270" s="87"/>
      <c r="C270" s="88"/>
    </row>
    <row r="271" spans="1:3">
      <c r="A271" s="86"/>
      <c r="B271" s="87"/>
      <c r="C271" s="88"/>
    </row>
    <row r="272" spans="1:3">
      <c r="A272" s="86"/>
      <c r="B272" s="87"/>
      <c r="C272" s="88"/>
    </row>
    <row r="273" spans="1:3">
      <c r="A273" s="86"/>
      <c r="B273" s="87"/>
      <c r="C273" s="88"/>
    </row>
    <row r="274" spans="1:3">
      <c r="A274" s="86"/>
      <c r="B274" s="87"/>
      <c r="C274" s="88"/>
    </row>
    <row r="275" spans="1:3">
      <c r="A275" s="86"/>
      <c r="B275" s="87"/>
      <c r="C275" s="88"/>
    </row>
    <row r="276" spans="1:3">
      <c r="A276" s="86"/>
      <c r="B276" s="87"/>
      <c r="C276" s="88"/>
    </row>
    <row r="277" spans="1:3">
      <c r="A277" s="86"/>
      <c r="B277" s="87"/>
      <c r="C277" s="88"/>
    </row>
    <row r="278" spans="1:3">
      <c r="A278" s="89"/>
      <c r="B278" s="90"/>
      <c r="C278" s="91"/>
    </row>
    <row r="281" spans="1:3">
      <c r="A281" s="83"/>
      <c r="B281" s="84"/>
      <c r="C281" s="85"/>
    </row>
    <row r="282" spans="1:3">
      <c r="A282" s="86"/>
      <c r="B282" s="87"/>
      <c r="C282" s="88"/>
    </row>
    <row r="283" spans="1:3">
      <c r="A283" s="86"/>
      <c r="B283" s="87"/>
      <c r="C283" s="88"/>
    </row>
    <row r="284" spans="1:3">
      <c r="A284" s="86"/>
      <c r="B284" s="87"/>
      <c r="C284" s="88"/>
    </row>
    <row r="285" spans="1:3">
      <c r="A285" s="86"/>
      <c r="B285" s="87"/>
      <c r="C285" s="88"/>
    </row>
    <row r="286" spans="1:3">
      <c r="A286" s="86"/>
      <c r="B286" s="87"/>
      <c r="C286" s="88"/>
    </row>
    <row r="287" spans="1:3">
      <c r="A287" s="86"/>
      <c r="B287" s="87"/>
      <c r="C287" s="88"/>
    </row>
    <row r="288" spans="1:3">
      <c r="A288" s="86"/>
      <c r="B288" s="87"/>
      <c r="C288" s="88"/>
    </row>
    <row r="289" spans="1:3">
      <c r="A289" s="86"/>
      <c r="B289" s="87"/>
      <c r="C289" s="88"/>
    </row>
    <row r="290" spans="1:3">
      <c r="A290" s="86"/>
      <c r="B290" s="87"/>
      <c r="C290" s="88"/>
    </row>
    <row r="291" spans="1:3">
      <c r="A291" s="86"/>
      <c r="B291" s="87"/>
      <c r="C291" s="88"/>
    </row>
    <row r="292" spans="1:3">
      <c r="A292" s="86"/>
      <c r="B292" s="87"/>
      <c r="C292" s="88"/>
    </row>
    <row r="293" spans="1:3">
      <c r="A293" s="86"/>
      <c r="B293" s="87"/>
      <c r="C293" s="88"/>
    </row>
    <row r="294" spans="1:3">
      <c r="A294" s="86"/>
      <c r="B294" s="87"/>
      <c r="C294" s="88"/>
    </row>
    <row r="295" spans="1:3">
      <c r="A295" s="86"/>
      <c r="B295" s="87"/>
      <c r="C295" s="88"/>
    </row>
    <row r="296" spans="1:3">
      <c r="A296" s="86"/>
      <c r="B296" s="87"/>
      <c r="C296" s="88"/>
    </row>
    <row r="297" spans="1:3">
      <c r="A297" s="86"/>
      <c r="B297" s="87"/>
      <c r="C297" s="88"/>
    </row>
    <row r="298" spans="1:3">
      <c r="A298" s="89"/>
      <c r="B298" s="90"/>
      <c r="C298" s="91"/>
    </row>
    <row r="301" spans="1:3">
      <c r="A301" s="83"/>
      <c r="B301" s="84"/>
      <c r="C301" s="85"/>
    </row>
    <row r="302" spans="1:3">
      <c r="A302" s="86"/>
      <c r="B302" s="87"/>
      <c r="C302" s="88"/>
    </row>
    <row r="303" spans="1:3">
      <c r="A303" s="86"/>
      <c r="B303" s="87"/>
      <c r="C303" s="88"/>
    </row>
    <row r="304" spans="1:3">
      <c r="A304" s="86"/>
      <c r="B304" s="87"/>
      <c r="C304" s="88"/>
    </row>
    <row r="305" spans="1:3">
      <c r="A305" s="86"/>
      <c r="B305" s="87"/>
      <c r="C305" s="88"/>
    </row>
    <row r="306" spans="1:3">
      <c r="A306" s="86"/>
      <c r="B306" s="87"/>
      <c r="C306" s="88"/>
    </row>
    <row r="307" spans="1:3">
      <c r="A307" s="86"/>
      <c r="B307" s="87"/>
      <c r="C307" s="88"/>
    </row>
    <row r="308" spans="1:3">
      <c r="A308" s="86"/>
      <c r="B308" s="87"/>
      <c r="C308" s="88"/>
    </row>
    <row r="309" spans="1:3">
      <c r="A309" s="86"/>
      <c r="B309" s="87"/>
      <c r="C309" s="88"/>
    </row>
    <row r="310" spans="1:3">
      <c r="A310" s="86"/>
      <c r="B310" s="87"/>
      <c r="C310" s="88"/>
    </row>
    <row r="311" spans="1:3">
      <c r="A311" s="86"/>
      <c r="B311" s="87"/>
      <c r="C311" s="88"/>
    </row>
    <row r="312" spans="1:3">
      <c r="A312" s="86"/>
      <c r="B312" s="87"/>
      <c r="C312" s="88"/>
    </row>
    <row r="313" spans="1:3">
      <c r="A313" s="86"/>
      <c r="B313" s="87"/>
      <c r="C313" s="88"/>
    </row>
    <row r="314" spans="1:3">
      <c r="A314" s="86"/>
      <c r="B314" s="87"/>
      <c r="C314" s="88"/>
    </row>
    <row r="315" spans="1:3">
      <c r="A315" s="86"/>
      <c r="B315" s="87"/>
      <c r="C315" s="88"/>
    </row>
    <row r="316" spans="1:3">
      <c r="A316" s="86"/>
      <c r="B316" s="87"/>
      <c r="C316" s="88"/>
    </row>
    <row r="317" spans="1:3">
      <c r="A317" s="86"/>
      <c r="B317" s="87"/>
      <c r="C317" s="88"/>
    </row>
    <row r="318" spans="1:3">
      <c r="A318" s="89"/>
      <c r="B318" s="90"/>
      <c r="C318" s="91"/>
    </row>
    <row r="321" spans="1:3">
      <c r="A321" s="83"/>
      <c r="B321" s="84"/>
      <c r="C321" s="85"/>
    </row>
    <row r="322" spans="1:3">
      <c r="A322" s="86"/>
      <c r="B322" s="87"/>
      <c r="C322" s="88"/>
    </row>
    <row r="323" spans="1:3">
      <c r="A323" s="86"/>
      <c r="B323" s="87"/>
      <c r="C323" s="88"/>
    </row>
    <row r="324" spans="1:3">
      <c r="A324" s="86"/>
      <c r="B324" s="87"/>
      <c r="C324" s="88"/>
    </row>
    <row r="325" spans="1:3">
      <c r="A325" s="86"/>
      <c r="B325" s="87"/>
      <c r="C325" s="88"/>
    </row>
    <row r="326" spans="1:3">
      <c r="A326" s="86"/>
      <c r="B326" s="87"/>
      <c r="C326" s="88"/>
    </row>
    <row r="327" spans="1:3">
      <c r="A327" s="86"/>
      <c r="B327" s="87"/>
      <c r="C327" s="88"/>
    </row>
    <row r="328" spans="1:3">
      <c r="A328" s="86"/>
      <c r="B328" s="87"/>
      <c r="C328" s="88"/>
    </row>
    <row r="329" spans="1:3">
      <c r="A329" s="86"/>
      <c r="B329" s="87"/>
      <c r="C329" s="88"/>
    </row>
    <row r="330" spans="1:3">
      <c r="A330" s="86"/>
      <c r="B330" s="87"/>
      <c r="C330" s="88"/>
    </row>
    <row r="331" spans="1:3">
      <c r="A331" s="86"/>
      <c r="B331" s="87"/>
      <c r="C331" s="88"/>
    </row>
    <row r="332" spans="1:3">
      <c r="A332" s="86"/>
      <c r="B332" s="87"/>
      <c r="C332" s="88"/>
    </row>
    <row r="333" spans="1:3">
      <c r="A333" s="86"/>
      <c r="B333" s="87"/>
      <c r="C333" s="88"/>
    </row>
    <row r="334" spans="1:3">
      <c r="A334" s="86"/>
      <c r="B334" s="87"/>
      <c r="C334" s="88"/>
    </row>
    <row r="335" spans="1:3">
      <c r="A335" s="86"/>
      <c r="B335" s="87"/>
      <c r="C335" s="88"/>
    </row>
    <row r="336" spans="1:3">
      <c r="A336" s="86"/>
      <c r="B336" s="87"/>
      <c r="C336" s="88"/>
    </row>
    <row r="337" spans="1:3">
      <c r="A337" s="86"/>
      <c r="B337" s="87"/>
      <c r="C337" s="88"/>
    </row>
    <row r="338" spans="1:3">
      <c r="A338" s="89"/>
      <c r="B338" s="90"/>
      <c r="C338" s="91"/>
    </row>
    <row r="341" spans="1:3">
      <c r="A341" s="83"/>
      <c r="B341" s="84"/>
      <c r="C341" s="85"/>
    </row>
    <row r="342" spans="1:3">
      <c r="A342" s="86"/>
      <c r="B342" s="87"/>
      <c r="C342" s="88"/>
    </row>
    <row r="343" spans="1:3">
      <c r="A343" s="86"/>
      <c r="B343" s="87"/>
      <c r="C343" s="88"/>
    </row>
    <row r="344" spans="1:3">
      <c r="A344" s="86"/>
      <c r="B344" s="87"/>
      <c r="C344" s="88"/>
    </row>
    <row r="345" spans="1:3">
      <c r="A345" s="86"/>
      <c r="B345" s="87"/>
      <c r="C345" s="88"/>
    </row>
    <row r="346" spans="1:3">
      <c r="A346" s="86"/>
      <c r="B346" s="87"/>
      <c r="C346" s="88"/>
    </row>
    <row r="347" spans="1:3">
      <c r="A347" s="86"/>
      <c r="B347" s="87"/>
      <c r="C347" s="88"/>
    </row>
    <row r="348" spans="1:3">
      <c r="A348" s="86"/>
      <c r="B348" s="87"/>
      <c r="C348" s="88"/>
    </row>
    <row r="349" spans="1:3">
      <c r="A349" s="86"/>
      <c r="B349" s="87"/>
      <c r="C349" s="88"/>
    </row>
    <row r="350" spans="1:3">
      <c r="A350" s="86"/>
      <c r="B350" s="87"/>
      <c r="C350" s="88"/>
    </row>
    <row r="351" spans="1:3">
      <c r="A351" s="86"/>
      <c r="B351" s="87"/>
      <c r="C351" s="88"/>
    </row>
    <row r="352" spans="1:3">
      <c r="A352" s="86"/>
      <c r="B352" s="87"/>
      <c r="C352" s="88"/>
    </row>
    <row r="353" spans="1:3">
      <c r="A353" s="86"/>
      <c r="B353" s="87"/>
      <c r="C353" s="88"/>
    </row>
    <row r="354" spans="1:3">
      <c r="A354" s="86"/>
      <c r="B354" s="87"/>
      <c r="C354" s="88"/>
    </row>
    <row r="355" spans="1:3">
      <c r="A355" s="86"/>
      <c r="B355" s="87"/>
      <c r="C355" s="88"/>
    </row>
    <row r="356" spans="1:3">
      <c r="A356" s="86"/>
      <c r="B356" s="87"/>
      <c r="C356" s="88"/>
    </row>
    <row r="357" spans="1:3">
      <c r="A357" s="86"/>
      <c r="B357" s="87"/>
      <c r="C357" s="88"/>
    </row>
    <row r="358" spans="1:3">
      <c r="A358" s="89"/>
      <c r="B358" s="90"/>
      <c r="C358" s="91"/>
    </row>
    <row r="361" spans="1:3">
      <c r="A361" s="83"/>
      <c r="B361" s="84"/>
      <c r="C361" s="85"/>
    </row>
    <row r="362" spans="1:3">
      <c r="A362" s="86"/>
      <c r="B362" s="87"/>
      <c r="C362" s="88"/>
    </row>
    <row r="363" spans="1:3">
      <c r="A363" s="86"/>
      <c r="B363" s="87"/>
      <c r="C363" s="88"/>
    </row>
    <row r="364" spans="1:3">
      <c r="A364" s="86"/>
      <c r="B364" s="87"/>
      <c r="C364" s="88"/>
    </row>
    <row r="365" spans="1:3">
      <c r="A365" s="86"/>
      <c r="B365" s="87"/>
      <c r="C365" s="88"/>
    </row>
    <row r="366" spans="1:3">
      <c r="A366" s="86"/>
      <c r="B366" s="87"/>
      <c r="C366" s="88"/>
    </row>
    <row r="367" spans="1:3">
      <c r="A367" s="86"/>
      <c r="B367" s="87"/>
      <c r="C367" s="88"/>
    </row>
    <row r="368" spans="1:3">
      <c r="A368" s="86"/>
      <c r="B368" s="87"/>
      <c r="C368" s="88"/>
    </row>
    <row r="369" spans="1:3">
      <c r="A369" s="86"/>
      <c r="B369" s="87"/>
      <c r="C369" s="88"/>
    </row>
    <row r="370" spans="1:3">
      <c r="A370" s="86"/>
      <c r="B370" s="87"/>
      <c r="C370" s="88"/>
    </row>
    <row r="371" spans="1:3">
      <c r="A371" s="86"/>
      <c r="B371" s="87"/>
      <c r="C371" s="88"/>
    </row>
    <row r="372" spans="1:3">
      <c r="A372" s="86"/>
      <c r="B372" s="87"/>
      <c r="C372" s="88"/>
    </row>
    <row r="373" spans="1:3">
      <c r="A373" s="86"/>
      <c r="B373" s="87"/>
      <c r="C373" s="88"/>
    </row>
    <row r="374" spans="1:3">
      <c r="A374" s="86"/>
      <c r="B374" s="87"/>
      <c r="C374" s="88"/>
    </row>
    <row r="375" spans="1:3">
      <c r="A375" s="86"/>
      <c r="B375" s="87"/>
      <c r="C375" s="88"/>
    </row>
    <row r="376" spans="1:3">
      <c r="A376" s="86"/>
      <c r="B376" s="87"/>
      <c r="C376" s="88"/>
    </row>
    <row r="377" spans="1:3">
      <c r="A377" s="86"/>
      <c r="B377" s="87"/>
      <c r="C377" s="88"/>
    </row>
    <row r="378" spans="1:3">
      <c r="A378" s="89"/>
      <c r="B378" s="90"/>
      <c r="C378" s="91"/>
    </row>
    <row r="381" spans="1:3">
      <c r="A381" s="83"/>
      <c r="B381" s="84"/>
      <c r="C381" s="85"/>
    </row>
    <row r="382" spans="1:3">
      <c r="A382" s="86"/>
      <c r="B382" s="87"/>
      <c r="C382" s="88"/>
    </row>
    <row r="383" spans="1:3">
      <c r="A383" s="86"/>
      <c r="B383" s="87"/>
      <c r="C383" s="88"/>
    </row>
    <row r="384" spans="1:3">
      <c r="A384" s="86"/>
      <c r="B384" s="87"/>
      <c r="C384" s="88"/>
    </row>
    <row r="385" spans="1:3">
      <c r="A385" s="86"/>
      <c r="B385" s="87"/>
      <c r="C385" s="88"/>
    </row>
    <row r="386" spans="1:3">
      <c r="A386" s="86"/>
      <c r="B386" s="87"/>
      <c r="C386" s="88"/>
    </row>
    <row r="387" spans="1:3">
      <c r="A387" s="86"/>
      <c r="B387" s="87"/>
      <c r="C387" s="88"/>
    </row>
    <row r="388" spans="1:3">
      <c r="A388" s="86"/>
      <c r="B388" s="87"/>
      <c r="C388" s="88"/>
    </row>
    <row r="389" spans="1:3">
      <c r="A389" s="86"/>
      <c r="B389" s="87"/>
      <c r="C389" s="88"/>
    </row>
    <row r="390" spans="1:3">
      <c r="A390" s="86"/>
      <c r="B390" s="87"/>
      <c r="C390" s="88"/>
    </row>
    <row r="391" spans="1:3">
      <c r="A391" s="86"/>
      <c r="B391" s="87"/>
      <c r="C391" s="88"/>
    </row>
    <row r="392" spans="1:3">
      <c r="A392" s="86"/>
      <c r="B392" s="87"/>
      <c r="C392" s="88"/>
    </row>
    <row r="393" spans="1:3">
      <c r="A393" s="86"/>
      <c r="B393" s="87"/>
      <c r="C393" s="88"/>
    </row>
    <row r="394" spans="1:3">
      <c r="A394" s="86"/>
      <c r="B394" s="87"/>
      <c r="C394" s="88"/>
    </row>
    <row r="395" spans="1:3">
      <c r="A395" s="86"/>
      <c r="B395" s="87"/>
      <c r="C395" s="88"/>
    </row>
    <row r="396" spans="1:3">
      <c r="A396" s="86"/>
      <c r="B396" s="87"/>
      <c r="C396" s="88"/>
    </row>
    <row r="397" spans="1:3">
      <c r="A397" s="86"/>
      <c r="B397" s="87"/>
      <c r="C397" s="88"/>
    </row>
    <row r="398" spans="1:3">
      <c r="A398" s="89"/>
      <c r="B398" s="90"/>
      <c r="C398" s="91"/>
    </row>
    <row r="401" spans="1:3">
      <c r="A401" s="83"/>
      <c r="B401" s="84"/>
      <c r="C401" s="85"/>
    </row>
    <row r="402" spans="1:3">
      <c r="A402" s="86"/>
      <c r="B402" s="87"/>
      <c r="C402" s="88"/>
    </row>
    <row r="403" spans="1:3">
      <c r="A403" s="86"/>
      <c r="B403" s="87"/>
      <c r="C403" s="88"/>
    </row>
    <row r="404" spans="1:3">
      <c r="A404" s="86"/>
      <c r="B404" s="87"/>
      <c r="C404" s="88"/>
    </row>
    <row r="405" spans="1:3">
      <c r="A405" s="86"/>
      <c r="B405" s="87"/>
      <c r="C405" s="88"/>
    </row>
    <row r="406" spans="1:3">
      <c r="A406" s="86"/>
      <c r="B406" s="87"/>
      <c r="C406" s="88"/>
    </row>
    <row r="407" spans="1:3">
      <c r="A407" s="86"/>
      <c r="B407" s="87"/>
      <c r="C407" s="88"/>
    </row>
    <row r="408" spans="1:3">
      <c r="A408" s="86"/>
      <c r="B408" s="87"/>
      <c r="C408" s="88"/>
    </row>
    <row r="409" spans="1:3">
      <c r="A409" s="86"/>
      <c r="B409" s="87"/>
      <c r="C409" s="88"/>
    </row>
    <row r="410" spans="1:3">
      <c r="A410" s="86"/>
      <c r="B410" s="87"/>
      <c r="C410" s="88"/>
    </row>
    <row r="411" spans="1:3">
      <c r="A411" s="86"/>
      <c r="B411" s="87"/>
      <c r="C411" s="88"/>
    </row>
    <row r="412" spans="1:3">
      <c r="A412" s="86"/>
      <c r="B412" s="87"/>
      <c r="C412" s="88"/>
    </row>
    <row r="413" spans="1:3">
      <c r="A413" s="86"/>
      <c r="B413" s="87"/>
      <c r="C413" s="88"/>
    </row>
    <row r="414" spans="1:3">
      <c r="A414" s="86"/>
      <c r="B414" s="87"/>
      <c r="C414" s="88"/>
    </row>
    <row r="415" spans="1:3">
      <c r="A415" s="86"/>
      <c r="B415" s="87"/>
      <c r="C415" s="88"/>
    </row>
    <row r="416" spans="1:3">
      <c r="A416" s="86"/>
      <c r="B416" s="87"/>
      <c r="C416" s="88"/>
    </row>
    <row r="417" spans="1:3">
      <c r="A417" s="86"/>
      <c r="B417" s="87"/>
      <c r="C417" s="88"/>
    </row>
    <row r="418" spans="1:3">
      <c r="A418" s="89"/>
      <c r="B418" s="90"/>
      <c r="C418" s="91"/>
    </row>
    <row r="421" spans="1:3">
      <c r="A421" s="83"/>
      <c r="B421" s="84"/>
      <c r="C421" s="85"/>
    </row>
    <row r="422" spans="1:3">
      <c r="A422" s="86"/>
      <c r="B422" s="87"/>
      <c r="C422" s="88"/>
    </row>
    <row r="423" spans="1:3">
      <c r="A423" s="86"/>
      <c r="B423" s="87"/>
      <c r="C423" s="88"/>
    </row>
    <row r="424" spans="1:3">
      <c r="A424" s="86"/>
      <c r="B424" s="87"/>
      <c r="C424" s="88"/>
    </row>
    <row r="425" spans="1:3">
      <c r="A425" s="86"/>
      <c r="B425" s="87"/>
      <c r="C425" s="88"/>
    </row>
    <row r="426" spans="1:3">
      <c r="A426" s="86"/>
      <c r="B426" s="87"/>
      <c r="C426" s="88"/>
    </row>
    <row r="427" spans="1:3">
      <c r="A427" s="86"/>
      <c r="B427" s="87"/>
      <c r="C427" s="88"/>
    </row>
    <row r="428" spans="1:3">
      <c r="A428" s="86"/>
      <c r="B428" s="87"/>
      <c r="C428" s="88"/>
    </row>
    <row r="429" spans="1:3">
      <c r="A429" s="86"/>
      <c r="B429" s="87"/>
      <c r="C429" s="88"/>
    </row>
    <row r="430" spans="1:3">
      <c r="A430" s="86"/>
      <c r="B430" s="87"/>
      <c r="C430" s="88"/>
    </row>
    <row r="431" spans="1:3">
      <c r="A431" s="86"/>
      <c r="B431" s="87"/>
      <c r="C431" s="88"/>
    </row>
    <row r="432" spans="1:3">
      <c r="A432" s="86"/>
      <c r="B432" s="87"/>
      <c r="C432" s="88"/>
    </row>
    <row r="433" spans="1:3">
      <c r="A433" s="86"/>
      <c r="B433" s="87"/>
      <c r="C433" s="88"/>
    </row>
    <row r="434" spans="1:3">
      <c r="A434" s="86"/>
      <c r="B434" s="87"/>
      <c r="C434" s="88"/>
    </row>
    <row r="435" spans="1:3">
      <c r="A435" s="86"/>
      <c r="B435" s="87"/>
      <c r="C435" s="88"/>
    </row>
    <row r="436" spans="1:3">
      <c r="A436" s="86"/>
      <c r="B436" s="87"/>
      <c r="C436" s="88"/>
    </row>
    <row r="437" spans="1:3">
      <c r="A437" s="86"/>
      <c r="B437" s="87"/>
      <c r="C437" s="88"/>
    </row>
    <row r="438" spans="1:3">
      <c r="A438" s="89"/>
      <c r="B438" s="90"/>
      <c r="C438" s="91"/>
    </row>
    <row r="441" spans="1:3">
      <c r="A441" s="83"/>
      <c r="B441" s="84"/>
      <c r="C441" s="85"/>
    </row>
    <row r="442" spans="1:3">
      <c r="A442" s="86"/>
      <c r="B442" s="87"/>
      <c r="C442" s="88"/>
    </row>
    <row r="443" spans="1:3">
      <c r="A443" s="86"/>
      <c r="B443" s="87"/>
      <c r="C443" s="88"/>
    </row>
    <row r="444" spans="1:3">
      <c r="A444" s="86"/>
      <c r="B444" s="87"/>
      <c r="C444" s="88"/>
    </row>
    <row r="445" spans="1:3">
      <c r="A445" s="86"/>
      <c r="B445" s="87"/>
      <c r="C445" s="88"/>
    </row>
    <row r="446" spans="1:3">
      <c r="A446" s="86"/>
      <c r="B446" s="87"/>
      <c r="C446" s="88"/>
    </row>
    <row r="447" spans="1:3">
      <c r="A447" s="86"/>
      <c r="B447" s="87"/>
      <c r="C447" s="88"/>
    </row>
    <row r="448" spans="1:3">
      <c r="A448" s="86"/>
      <c r="B448" s="87"/>
      <c r="C448" s="88"/>
    </row>
    <row r="449" spans="1:3">
      <c r="A449" s="86"/>
      <c r="B449" s="87"/>
      <c r="C449" s="88"/>
    </row>
    <row r="450" spans="1:3">
      <c r="A450" s="86"/>
      <c r="B450" s="87"/>
      <c r="C450" s="88"/>
    </row>
    <row r="451" spans="1:3">
      <c r="A451" s="86"/>
      <c r="B451" s="87"/>
      <c r="C451" s="88"/>
    </row>
    <row r="452" spans="1:3">
      <c r="A452" s="86"/>
      <c r="B452" s="87"/>
      <c r="C452" s="88"/>
    </row>
    <row r="453" spans="1:3">
      <c r="A453" s="86"/>
      <c r="B453" s="87"/>
      <c r="C453" s="88"/>
    </row>
    <row r="454" spans="1:3">
      <c r="A454" s="86"/>
      <c r="B454" s="87"/>
      <c r="C454" s="88"/>
    </row>
    <row r="455" spans="1:3">
      <c r="A455" s="86"/>
      <c r="B455" s="87"/>
      <c r="C455" s="88"/>
    </row>
    <row r="456" spans="1:3">
      <c r="A456" s="86"/>
      <c r="B456" s="87"/>
      <c r="C456" s="88"/>
    </row>
    <row r="457" spans="1:3">
      <c r="A457" s="86"/>
      <c r="B457" s="87"/>
      <c r="C457" s="88"/>
    </row>
    <row r="458" spans="1:3">
      <c r="A458" s="89"/>
      <c r="B458" s="90"/>
      <c r="C458" s="91"/>
    </row>
    <row r="461" spans="1:3">
      <c r="A461" s="83"/>
      <c r="B461" s="84"/>
      <c r="C461" s="85"/>
    </row>
    <row r="462" spans="1:3">
      <c r="A462" s="86"/>
      <c r="B462" s="87"/>
      <c r="C462" s="88"/>
    </row>
    <row r="463" spans="1:3">
      <c r="A463" s="86"/>
      <c r="B463" s="87"/>
      <c r="C463" s="88"/>
    </row>
    <row r="464" spans="1:3">
      <c r="A464" s="86"/>
      <c r="B464" s="87"/>
      <c r="C464" s="88"/>
    </row>
    <row r="465" spans="1:3">
      <c r="A465" s="86"/>
      <c r="B465" s="87"/>
      <c r="C465" s="88"/>
    </row>
    <row r="466" spans="1:3">
      <c r="A466" s="86"/>
      <c r="B466" s="87"/>
      <c r="C466" s="88"/>
    </row>
    <row r="467" spans="1:3">
      <c r="A467" s="86"/>
      <c r="B467" s="87"/>
      <c r="C467" s="88"/>
    </row>
    <row r="468" spans="1:3">
      <c r="A468" s="86"/>
      <c r="B468" s="87"/>
      <c r="C468" s="88"/>
    </row>
    <row r="469" spans="1:3">
      <c r="A469" s="86"/>
      <c r="B469" s="87"/>
      <c r="C469" s="88"/>
    </row>
    <row r="470" spans="1:3">
      <c r="A470" s="86"/>
      <c r="B470" s="87"/>
      <c r="C470" s="88"/>
    </row>
    <row r="471" spans="1:3">
      <c r="A471" s="86"/>
      <c r="B471" s="87"/>
      <c r="C471" s="88"/>
    </row>
    <row r="472" spans="1:3">
      <c r="A472" s="86"/>
      <c r="B472" s="87"/>
      <c r="C472" s="88"/>
    </row>
    <row r="473" spans="1:3">
      <c r="A473" s="86"/>
      <c r="B473" s="87"/>
      <c r="C473" s="88"/>
    </row>
    <row r="474" spans="1:3">
      <c r="A474" s="86"/>
      <c r="B474" s="87"/>
      <c r="C474" s="88"/>
    </row>
    <row r="475" spans="1:3">
      <c r="A475" s="86"/>
      <c r="B475" s="87"/>
      <c r="C475" s="88"/>
    </row>
    <row r="476" spans="1:3">
      <c r="A476" s="86"/>
      <c r="B476" s="87"/>
      <c r="C476" s="88"/>
    </row>
    <row r="477" spans="1:3">
      <c r="A477" s="86"/>
      <c r="B477" s="87"/>
      <c r="C477" s="88"/>
    </row>
    <row r="478" spans="1:3">
      <c r="A478" s="89"/>
      <c r="B478" s="90"/>
      <c r="C478" s="91"/>
    </row>
    <row r="481" spans="1:3">
      <c r="A481" s="83"/>
      <c r="B481" s="84"/>
      <c r="C481" s="85"/>
    </row>
    <row r="482" spans="1:3">
      <c r="A482" s="86"/>
      <c r="B482" s="87"/>
      <c r="C482" s="88"/>
    </row>
    <row r="483" spans="1:3">
      <c r="A483" s="86"/>
      <c r="B483" s="87"/>
      <c r="C483" s="88"/>
    </row>
    <row r="484" spans="1:3">
      <c r="A484" s="86"/>
      <c r="B484" s="87"/>
      <c r="C484" s="88"/>
    </row>
    <row r="485" spans="1:3">
      <c r="A485" s="86"/>
      <c r="B485" s="87"/>
      <c r="C485" s="88"/>
    </row>
    <row r="486" spans="1:3">
      <c r="A486" s="86"/>
      <c r="B486" s="87"/>
      <c r="C486" s="88"/>
    </row>
    <row r="487" spans="1:3">
      <c r="A487" s="86"/>
      <c r="B487" s="87"/>
      <c r="C487" s="88"/>
    </row>
    <row r="488" spans="1:3">
      <c r="A488" s="86"/>
      <c r="B488" s="87"/>
      <c r="C488" s="88"/>
    </row>
    <row r="489" spans="1:3">
      <c r="A489" s="86"/>
      <c r="B489" s="87"/>
      <c r="C489" s="88"/>
    </row>
    <row r="490" spans="1:3">
      <c r="A490" s="86"/>
      <c r="B490" s="87"/>
      <c r="C490" s="88"/>
    </row>
    <row r="491" spans="1:3">
      <c r="A491" s="86"/>
      <c r="B491" s="87"/>
      <c r="C491" s="88"/>
    </row>
    <row r="492" spans="1:3">
      <c r="A492" s="86"/>
      <c r="B492" s="87"/>
      <c r="C492" s="88"/>
    </row>
    <row r="493" spans="1:3">
      <c r="A493" s="86"/>
      <c r="B493" s="87"/>
      <c r="C493" s="88"/>
    </row>
    <row r="494" spans="1:3">
      <c r="A494" s="86"/>
      <c r="B494" s="87"/>
      <c r="C494" s="88"/>
    </row>
    <row r="495" spans="1:3">
      <c r="A495" s="86"/>
      <c r="B495" s="87"/>
      <c r="C495" s="88"/>
    </row>
    <row r="496" spans="1:3">
      <c r="A496" s="86"/>
      <c r="B496" s="87"/>
      <c r="C496" s="88"/>
    </row>
    <row r="497" spans="1:3">
      <c r="A497" s="86"/>
      <c r="B497" s="87"/>
      <c r="C497" s="88"/>
    </row>
    <row r="498" spans="1:3">
      <c r="A498" s="89"/>
      <c r="B498" s="90"/>
      <c r="C498" s="91"/>
    </row>
    <row r="501" spans="1:3">
      <c r="A501" s="83"/>
      <c r="B501" s="84"/>
      <c r="C501" s="85"/>
    </row>
    <row r="502" spans="1:3">
      <c r="A502" s="86"/>
      <c r="B502" s="87"/>
      <c r="C502" s="88"/>
    </row>
    <row r="503" spans="1:3">
      <c r="A503" s="86"/>
      <c r="B503" s="87"/>
      <c r="C503" s="88"/>
    </row>
    <row r="504" spans="1:3">
      <c r="A504" s="86"/>
      <c r="B504" s="87"/>
      <c r="C504" s="88"/>
    </row>
    <row r="505" spans="1:3">
      <c r="A505" s="86"/>
      <c r="B505" s="87"/>
      <c r="C505" s="88"/>
    </row>
    <row r="506" spans="1:3">
      <c r="A506" s="86"/>
      <c r="B506" s="87"/>
      <c r="C506" s="88"/>
    </row>
    <row r="507" spans="1:3">
      <c r="A507" s="86"/>
      <c r="B507" s="87"/>
      <c r="C507" s="88"/>
    </row>
    <row r="508" spans="1:3">
      <c r="A508" s="86"/>
      <c r="B508" s="87"/>
      <c r="C508" s="88"/>
    </row>
    <row r="509" spans="1:3">
      <c r="A509" s="86"/>
      <c r="B509" s="87"/>
      <c r="C509" s="88"/>
    </row>
    <row r="510" spans="1:3">
      <c r="A510" s="86"/>
      <c r="B510" s="87"/>
      <c r="C510" s="88"/>
    </row>
    <row r="511" spans="1:3">
      <c r="A511" s="86"/>
      <c r="B511" s="87"/>
      <c r="C511" s="88"/>
    </row>
    <row r="512" spans="1:3">
      <c r="A512" s="86"/>
      <c r="B512" s="87"/>
      <c r="C512" s="88"/>
    </row>
    <row r="513" spans="1:3">
      <c r="A513" s="86"/>
      <c r="B513" s="87"/>
      <c r="C513" s="88"/>
    </row>
    <row r="514" spans="1:3">
      <c r="A514" s="86"/>
      <c r="B514" s="87"/>
      <c r="C514" s="88"/>
    </row>
    <row r="515" spans="1:3">
      <c r="A515" s="86"/>
      <c r="B515" s="87"/>
      <c r="C515" s="88"/>
    </row>
    <row r="516" spans="1:3">
      <c r="A516" s="86"/>
      <c r="B516" s="87"/>
      <c r="C516" s="88"/>
    </row>
    <row r="517" spans="1:3">
      <c r="A517" s="86"/>
      <c r="B517" s="87"/>
      <c r="C517" s="88"/>
    </row>
    <row r="518" spans="1:3">
      <c r="A518" s="89"/>
      <c r="B518" s="90"/>
      <c r="C518" s="91"/>
    </row>
    <row r="521" spans="1:3">
      <c r="A521" s="83"/>
      <c r="B521" s="84"/>
      <c r="C521" s="85"/>
    </row>
    <row r="522" spans="1:3">
      <c r="A522" s="86"/>
      <c r="B522" s="87"/>
      <c r="C522" s="88"/>
    </row>
    <row r="523" spans="1:3">
      <c r="A523" s="86"/>
      <c r="B523" s="87"/>
      <c r="C523" s="88"/>
    </row>
    <row r="524" spans="1:3">
      <c r="A524" s="86"/>
      <c r="B524" s="87"/>
      <c r="C524" s="88"/>
    </row>
    <row r="525" spans="1:3">
      <c r="A525" s="86"/>
      <c r="B525" s="87"/>
      <c r="C525" s="88"/>
    </row>
    <row r="526" spans="1:3">
      <c r="A526" s="86"/>
      <c r="B526" s="87"/>
      <c r="C526" s="88"/>
    </row>
    <row r="527" spans="1:3">
      <c r="A527" s="86"/>
      <c r="B527" s="87"/>
      <c r="C527" s="88"/>
    </row>
    <row r="528" spans="1:3">
      <c r="A528" s="86"/>
      <c r="B528" s="87"/>
      <c r="C528" s="88"/>
    </row>
    <row r="529" spans="1:3">
      <c r="A529" s="86"/>
      <c r="B529" s="87"/>
      <c r="C529" s="88"/>
    </row>
    <row r="530" spans="1:3">
      <c r="A530" s="86"/>
      <c r="B530" s="87"/>
      <c r="C530" s="88"/>
    </row>
    <row r="531" spans="1:3">
      <c r="A531" s="86"/>
      <c r="B531" s="87"/>
      <c r="C531" s="88"/>
    </row>
    <row r="532" spans="1:3">
      <c r="A532" s="86"/>
      <c r="B532" s="87"/>
      <c r="C532" s="88"/>
    </row>
    <row r="533" spans="1:3">
      <c r="A533" s="86"/>
      <c r="B533" s="87"/>
      <c r="C533" s="88"/>
    </row>
    <row r="534" spans="1:3">
      <c r="A534" s="86"/>
      <c r="B534" s="87"/>
      <c r="C534" s="88"/>
    </row>
    <row r="535" spans="1:3">
      <c r="A535" s="86"/>
      <c r="B535" s="87"/>
      <c r="C535" s="88"/>
    </row>
    <row r="536" spans="1:3">
      <c r="A536" s="86"/>
      <c r="B536" s="87"/>
      <c r="C536" s="88"/>
    </row>
    <row r="537" spans="1:3">
      <c r="A537" s="86"/>
      <c r="B537" s="87"/>
      <c r="C537" s="88"/>
    </row>
    <row r="538" spans="1:3">
      <c r="A538" s="89"/>
      <c r="B538" s="90"/>
      <c r="C538" s="91"/>
    </row>
    <row r="541" spans="1:3">
      <c r="A541" s="83"/>
      <c r="B541" s="84"/>
      <c r="C541" s="85"/>
    </row>
    <row r="542" spans="1:3">
      <c r="A542" s="86"/>
      <c r="B542" s="87"/>
      <c r="C542" s="88"/>
    </row>
    <row r="543" spans="1:3">
      <c r="A543" s="86"/>
      <c r="B543" s="87"/>
      <c r="C543" s="88"/>
    </row>
    <row r="544" spans="1:3">
      <c r="A544" s="86"/>
      <c r="B544" s="87"/>
      <c r="C544" s="88"/>
    </row>
    <row r="545" spans="1:3">
      <c r="A545" s="86"/>
      <c r="B545" s="87"/>
      <c r="C545" s="88"/>
    </row>
    <row r="546" spans="1:3">
      <c r="A546" s="86"/>
      <c r="B546" s="87"/>
      <c r="C546" s="88"/>
    </row>
    <row r="547" spans="1:3">
      <c r="A547" s="86"/>
      <c r="B547" s="87"/>
      <c r="C547" s="88"/>
    </row>
    <row r="548" spans="1:3">
      <c r="A548" s="86"/>
      <c r="B548" s="87"/>
      <c r="C548" s="88"/>
    </row>
    <row r="549" spans="1:3">
      <c r="A549" s="86"/>
      <c r="B549" s="87"/>
      <c r="C549" s="88"/>
    </row>
    <row r="550" spans="1:3">
      <c r="A550" s="86"/>
      <c r="B550" s="87"/>
      <c r="C550" s="88"/>
    </row>
    <row r="551" spans="1:3">
      <c r="A551" s="86"/>
      <c r="B551" s="87"/>
      <c r="C551" s="88"/>
    </row>
    <row r="552" spans="1:3">
      <c r="A552" s="86"/>
      <c r="B552" s="87"/>
      <c r="C552" s="88"/>
    </row>
    <row r="553" spans="1:3">
      <c r="A553" s="86"/>
      <c r="B553" s="87"/>
      <c r="C553" s="88"/>
    </row>
    <row r="554" spans="1:3">
      <c r="A554" s="86"/>
      <c r="B554" s="87"/>
      <c r="C554" s="88"/>
    </row>
    <row r="555" spans="1:3">
      <c r="A555" s="86"/>
      <c r="B555" s="87"/>
      <c r="C555" s="88"/>
    </row>
    <row r="556" spans="1:3">
      <c r="A556" s="86"/>
      <c r="B556" s="87"/>
      <c r="C556" s="88"/>
    </row>
    <row r="557" spans="1:3">
      <c r="A557" s="86"/>
      <c r="B557" s="87"/>
      <c r="C557" s="88"/>
    </row>
    <row r="558" spans="1:3">
      <c r="A558" s="89"/>
      <c r="B558" s="90"/>
      <c r="C558" s="91"/>
    </row>
    <row r="561" spans="1:3">
      <c r="A561" s="83"/>
      <c r="B561" s="84"/>
      <c r="C561" s="85"/>
    </row>
    <row r="562" spans="1:3">
      <c r="A562" s="86"/>
      <c r="B562" s="87"/>
      <c r="C562" s="88"/>
    </row>
    <row r="563" spans="1:3">
      <c r="A563" s="86"/>
      <c r="B563" s="87"/>
      <c r="C563" s="88"/>
    </row>
    <row r="564" spans="1:3">
      <c r="A564" s="86"/>
      <c r="B564" s="87"/>
      <c r="C564" s="88"/>
    </row>
    <row r="565" spans="1:3">
      <c r="A565" s="86"/>
      <c r="B565" s="87"/>
      <c r="C565" s="88"/>
    </row>
    <row r="566" spans="1:3">
      <c r="A566" s="86"/>
      <c r="B566" s="87"/>
      <c r="C566" s="88"/>
    </row>
    <row r="567" spans="1:3">
      <c r="A567" s="86"/>
      <c r="B567" s="87"/>
      <c r="C567" s="88"/>
    </row>
    <row r="568" spans="1:3">
      <c r="A568" s="86"/>
      <c r="B568" s="87"/>
      <c r="C568" s="88"/>
    </row>
    <row r="569" spans="1:3">
      <c r="A569" s="86"/>
      <c r="B569" s="87"/>
      <c r="C569" s="88"/>
    </row>
    <row r="570" spans="1:3">
      <c r="A570" s="86"/>
      <c r="B570" s="87"/>
      <c r="C570" s="88"/>
    </row>
    <row r="571" spans="1:3">
      <c r="A571" s="86"/>
      <c r="B571" s="87"/>
      <c r="C571" s="88"/>
    </row>
    <row r="572" spans="1:3">
      <c r="A572" s="86"/>
      <c r="B572" s="87"/>
      <c r="C572" s="88"/>
    </row>
    <row r="573" spans="1:3">
      <c r="A573" s="86"/>
      <c r="B573" s="87"/>
      <c r="C573" s="88"/>
    </row>
    <row r="574" spans="1:3">
      <c r="A574" s="86"/>
      <c r="B574" s="87"/>
      <c r="C574" s="88"/>
    </row>
    <row r="575" spans="1:3">
      <c r="A575" s="86"/>
      <c r="B575" s="87"/>
      <c r="C575" s="88"/>
    </row>
    <row r="576" spans="1:3">
      <c r="A576" s="86"/>
      <c r="B576" s="87"/>
      <c r="C576" s="88"/>
    </row>
    <row r="577" spans="1:3">
      <c r="A577" s="86"/>
      <c r="B577" s="87"/>
      <c r="C577" s="88"/>
    </row>
    <row r="578" spans="1:3">
      <c r="A578" s="89"/>
      <c r="B578" s="90"/>
      <c r="C578" s="91"/>
    </row>
    <row r="581" spans="1:3">
      <c r="A581" s="83"/>
      <c r="B581" s="84"/>
      <c r="C581" s="85"/>
    </row>
    <row r="582" spans="1:3">
      <c r="A582" s="86"/>
      <c r="B582" s="87"/>
      <c r="C582" s="88"/>
    </row>
    <row r="583" spans="1:3">
      <c r="A583" s="86"/>
      <c r="B583" s="87"/>
      <c r="C583" s="88"/>
    </row>
    <row r="584" spans="1:3">
      <c r="A584" s="86"/>
      <c r="B584" s="87"/>
      <c r="C584" s="88"/>
    </row>
    <row r="585" spans="1:3">
      <c r="A585" s="86"/>
      <c r="B585" s="87"/>
      <c r="C585" s="88"/>
    </row>
    <row r="586" spans="1:3">
      <c r="A586" s="86"/>
      <c r="B586" s="87"/>
      <c r="C586" s="88"/>
    </row>
    <row r="587" spans="1:3">
      <c r="A587" s="86"/>
      <c r="B587" s="87"/>
      <c r="C587" s="88"/>
    </row>
    <row r="588" spans="1:3">
      <c r="A588" s="86"/>
      <c r="B588" s="87"/>
      <c r="C588" s="88"/>
    </row>
    <row r="589" spans="1:3">
      <c r="A589" s="86"/>
      <c r="B589" s="87"/>
      <c r="C589" s="88"/>
    </row>
    <row r="590" spans="1:3">
      <c r="A590" s="86"/>
      <c r="B590" s="87"/>
      <c r="C590" s="88"/>
    </row>
    <row r="591" spans="1:3">
      <c r="A591" s="86"/>
      <c r="B591" s="87"/>
      <c r="C591" s="88"/>
    </row>
    <row r="592" spans="1:3">
      <c r="A592" s="86"/>
      <c r="B592" s="87"/>
      <c r="C592" s="88"/>
    </row>
    <row r="593" spans="1:3">
      <c r="A593" s="86"/>
      <c r="B593" s="87"/>
      <c r="C593" s="88"/>
    </row>
    <row r="594" spans="1:3">
      <c r="A594" s="86"/>
      <c r="B594" s="87"/>
      <c r="C594" s="88"/>
    </row>
    <row r="595" spans="1:3">
      <c r="A595" s="86"/>
      <c r="B595" s="87"/>
      <c r="C595" s="88"/>
    </row>
    <row r="596" spans="1:3">
      <c r="A596" s="86"/>
      <c r="B596" s="87"/>
      <c r="C596" s="88"/>
    </row>
    <row r="597" spans="1:3">
      <c r="A597" s="86"/>
      <c r="B597" s="87"/>
      <c r="C597" s="88"/>
    </row>
    <row r="598" spans="1:3">
      <c r="A598" s="89"/>
      <c r="B598" s="90"/>
      <c r="C598" s="91"/>
    </row>
    <row r="601" spans="1:3">
      <c r="A601" s="83"/>
      <c r="B601" s="84"/>
      <c r="C601" s="85"/>
    </row>
    <row r="602" spans="1:3">
      <c r="A602" s="86"/>
      <c r="B602" s="87"/>
      <c r="C602" s="88"/>
    </row>
    <row r="603" spans="1:3">
      <c r="A603" s="86"/>
      <c r="B603" s="87"/>
      <c r="C603" s="88"/>
    </row>
    <row r="604" spans="1:3">
      <c r="A604" s="86"/>
      <c r="B604" s="87"/>
      <c r="C604" s="88"/>
    </row>
    <row r="605" spans="1:3">
      <c r="A605" s="86"/>
      <c r="B605" s="87"/>
      <c r="C605" s="88"/>
    </row>
    <row r="606" spans="1:3">
      <c r="A606" s="86"/>
      <c r="B606" s="87"/>
      <c r="C606" s="88"/>
    </row>
    <row r="607" spans="1:3">
      <c r="A607" s="86"/>
      <c r="B607" s="87"/>
      <c r="C607" s="88"/>
    </row>
    <row r="608" spans="1:3">
      <c r="A608" s="86"/>
      <c r="B608" s="87"/>
      <c r="C608" s="88"/>
    </row>
    <row r="609" spans="1:3">
      <c r="A609" s="86"/>
      <c r="B609" s="87"/>
      <c r="C609" s="88"/>
    </row>
    <row r="610" spans="1:3">
      <c r="A610" s="86"/>
      <c r="B610" s="87"/>
      <c r="C610" s="88"/>
    </row>
    <row r="611" spans="1:3">
      <c r="A611" s="86"/>
      <c r="B611" s="87"/>
      <c r="C611" s="88"/>
    </row>
    <row r="612" spans="1:3">
      <c r="A612" s="86"/>
      <c r="B612" s="87"/>
      <c r="C612" s="88"/>
    </row>
    <row r="613" spans="1:3">
      <c r="A613" s="86"/>
      <c r="B613" s="87"/>
      <c r="C613" s="88"/>
    </row>
    <row r="614" spans="1:3">
      <c r="A614" s="86"/>
      <c r="B614" s="87"/>
      <c r="C614" s="88"/>
    </row>
    <row r="615" spans="1:3">
      <c r="A615" s="86"/>
      <c r="B615" s="87"/>
      <c r="C615" s="88"/>
    </row>
    <row r="616" spans="1:3">
      <c r="A616" s="86"/>
      <c r="B616" s="87"/>
      <c r="C616" s="88"/>
    </row>
    <row r="617" spans="1:3">
      <c r="A617" s="86"/>
      <c r="B617" s="87"/>
      <c r="C617" s="88"/>
    </row>
    <row r="618" spans="1:3">
      <c r="A618" s="89"/>
      <c r="B618" s="90"/>
      <c r="C618" s="91"/>
    </row>
    <row r="621" spans="1:3">
      <c r="A621" s="83"/>
      <c r="B621" s="84"/>
      <c r="C621" s="85"/>
    </row>
    <row r="622" spans="1:3">
      <c r="A622" s="86"/>
      <c r="B622" s="87"/>
      <c r="C622" s="88"/>
    </row>
    <row r="623" spans="1:3">
      <c r="A623" s="86"/>
      <c r="B623" s="87"/>
      <c r="C623" s="88"/>
    </row>
    <row r="624" spans="1:3">
      <c r="A624" s="86"/>
      <c r="B624" s="87"/>
      <c r="C624" s="88"/>
    </row>
    <row r="625" spans="1:3">
      <c r="A625" s="86"/>
      <c r="B625" s="87"/>
      <c r="C625" s="88"/>
    </row>
    <row r="626" spans="1:3">
      <c r="A626" s="86"/>
      <c r="B626" s="87"/>
      <c r="C626" s="88"/>
    </row>
    <row r="627" spans="1:3">
      <c r="A627" s="86"/>
      <c r="B627" s="87"/>
      <c r="C627" s="88"/>
    </row>
    <row r="628" spans="1:3">
      <c r="A628" s="86"/>
      <c r="B628" s="87"/>
      <c r="C628" s="88"/>
    </row>
    <row r="629" spans="1:3">
      <c r="A629" s="86"/>
      <c r="B629" s="87"/>
      <c r="C629" s="88"/>
    </row>
    <row r="630" spans="1:3">
      <c r="A630" s="86"/>
      <c r="B630" s="87"/>
      <c r="C630" s="88"/>
    </row>
    <row r="631" spans="1:3">
      <c r="A631" s="86"/>
      <c r="B631" s="87"/>
      <c r="C631" s="88"/>
    </row>
    <row r="632" spans="1:3">
      <c r="A632" s="86"/>
      <c r="B632" s="87"/>
      <c r="C632" s="88"/>
    </row>
    <row r="633" spans="1:3">
      <c r="A633" s="86"/>
      <c r="B633" s="87"/>
      <c r="C633" s="88"/>
    </row>
    <row r="634" spans="1:3">
      <c r="A634" s="86"/>
      <c r="B634" s="87"/>
      <c r="C634" s="88"/>
    </row>
    <row r="635" spans="1:3">
      <c r="A635" s="86"/>
      <c r="B635" s="87"/>
      <c r="C635" s="88"/>
    </row>
    <row r="636" spans="1:3">
      <c r="A636" s="86"/>
      <c r="B636" s="87"/>
      <c r="C636" s="88"/>
    </row>
    <row r="637" spans="1:3">
      <c r="A637" s="86"/>
      <c r="B637" s="87"/>
      <c r="C637" s="88"/>
    </row>
    <row r="638" spans="1:3">
      <c r="A638" s="89"/>
      <c r="B638" s="90"/>
      <c r="C638" s="91"/>
    </row>
    <row r="641" spans="1:3">
      <c r="A641" s="83"/>
      <c r="B641" s="84"/>
      <c r="C641" s="85"/>
    </row>
    <row r="642" spans="1:3">
      <c r="A642" s="86"/>
      <c r="B642" s="87"/>
      <c r="C642" s="88"/>
    </row>
    <row r="643" spans="1:3">
      <c r="A643" s="86"/>
      <c r="B643" s="87"/>
      <c r="C643" s="88"/>
    </row>
    <row r="644" spans="1:3">
      <c r="A644" s="86"/>
      <c r="B644" s="87"/>
      <c r="C644" s="88"/>
    </row>
    <row r="645" spans="1:3">
      <c r="A645" s="86"/>
      <c r="B645" s="87"/>
      <c r="C645" s="88"/>
    </row>
    <row r="646" spans="1:3">
      <c r="A646" s="86"/>
      <c r="B646" s="87"/>
      <c r="C646" s="88"/>
    </row>
    <row r="647" spans="1:3">
      <c r="A647" s="86"/>
      <c r="B647" s="87"/>
      <c r="C647" s="88"/>
    </row>
    <row r="648" spans="1:3">
      <c r="A648" s="86"/>
      <c r="B648" s="87"/>
      <c r="C648" s="88"/>
    </row>
    <row r="649" spans="1:3">
      <c r="A649" s="86"/>
      <c r="B649" s="87"/>
      <c r="C649" s="88"/>
    </row>
    <row r="650" spans="1:3">
      <c r="A650" s="86"/>
      <c r="B650" s="87"/>
      <c r="C650" s="88"/>
    </row>
    <row r="651" spans="1:3">
      <c r="A651" s="86"/>
      <c r="B651" s="87"/>
      <c r="C651" s="88"/>
    </row>
    <row r="652" spans="1:3">
      <c r="A652" s="86"/>
      <c r="B652" s="87"/>
      <c r="C652" s="88"/>
    </row>
    <row r="653" spans="1:3">
      <c r="A653" s="86"/>
      <c r="B653" s="87"/>
      <c r="C653" s="88"/>
    </row>
    <row r="654" spans="1:3">
      <c r="A654" s="86"/>
      <c r="B654" s="87"/>
      <c r="C654" s="88"/>
    </row>
    <row r="655" spans="1:3">
      <c r="A655" s="86"/>
      <c r="B655" s="87"/>
      <c r="C655" s="88"/>
    </row>
    <row r="656" spans="1:3">
      <c r="A656" s="86"/>
      <c r="B656" s="87"/>
      <c r="C656" s="88"/>
    </row>
    <row r="657" spans="1:3">
      <c r="A657" s="86"/>
      <c r="B657" s="87"/>
      <c r="C657" s="88"/>
    </row>
    <row r="658" spans="1:3">
      <c r="A658" s="89"/>
      <c r="B658" s="90"/>
      <c r="C658" s="91"/>
    </row>
    <row r="661" spans="1:3">
      <c r="A661" s="83"/>
      <c r="B661" s="84"/>
      <c r="C661" s="85"/>
    </row>
    <row r="662" spans="1:3">
      <c r="A662" s="86"/>
      <c r="B662" s="87"/>
      <c r="C662" s="88"/>
    </row>
    <row r="663" spans="1:3">
      <c r="A663" s="86"/>
      <c r="B663" s="87"/>
      <c r="C663" s="88"/>
    </row>
    <row r="664" spans="1:3">
      <c r="A664" s="86"/>
      <c r="B664" s="87"/>
      <c r="C664" s="88"/>
    </row>
    <row r="665" spans="1:3">
      <c r="A665" s="86"/>
      <c r="B665" s="87"/>
      <c r="C665" s="88"/>
    </row>
    <row r="666" spans="1:3">
      <c r="A666" s="86"/>
      <c r="B666" s="87"/>
      <c r="C666" s="88"/>
    </row>
    <row r="667" spans="1:3">
      <c r="A667" s="86"/>
      <c r="B667" s="87"/>
      <c r="C667" s="88"/>
    </row>
    <row r="668" spans="1:3">
      <c r="A668" s="86"/>
      <c r="B668" s="87"/>
      <c r="C668" s="88"/>
    </row>
    <row r="669" spans="1:3">
      <c r="A669" s="86"/>
      <c r="B669" s="87"/>
      <c r="C669" s="88"/>
    </row>
    <row r="670" spans="1:3">
      <c r="A670" s="86"/>
      <c r="B670" s="87"/>
      <c r="C670" s="88"/>
    </row>
    <row r="671" spans="1:3">
      <c r="A671" s="86"/>
      <c r="B671" s="87"/>
      <c r="C671" s="88"/>
    </row>
    <row r="672" spans="1:3">
      <c r="A672" s="86"/>
      <c r="B672" s="87"/>
      <c r="C672" s="88"/>
    </row>
    <row r="673" spans="1:3">
      <c r="A673" s="86"/>
      <c r="B673" s="87"/>
      <c r="C673" s="88"/>
    </row>
    <row r="674" spans="1:3">
      <c r="A674" s="86"/>
      <c r="B674" s="87"/>
      <c r="C674" s="88"/>
    </row>
    <row r="675" spans="1:3">
      <c r="A675" s="86"/>
      <c r="B675" s="87"/>
      <c r="C675" s="88"/>
    </row>
    <row r="676" spans="1:3">
      <c r="A676" s="86"/>
      <c r="B676" s="87"/>
      <c r="C676" s="88"/>
    </row>
    <row r="677" spans="1:3">
      <c r="A677" s="86"/>
      <c r="B677" s="87"/>
      <c r="C677" s="88"/>
    </row>
    <row r="678" spans="1:3">
      <c r="A678" s="89"/>
      <c r="B678" s="90"/>
      <c r="C678" s="9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9285F-BD4F-44E5-9168-E3D72231881A}">
  <sheetPr codeName="Sheet2">
    <tabColor theme="0" tint="-0.249977111117893"/>
  </sheetPr>
  <dimension ref="A1:AF159"/>
  <sheetViews>
    <sheetView showGridLines="0" zoomScaleNormal="100" workbookViewId="0">
      <pane ySplit="3" topLeftCell="A4" activePane="bottomLeft" state="frozen"/>
      <selection activeCell="D6" sqref="D6"/>
      <selection pane="bottomLeft"/>
    </sheetView>
  </sheetViews>
  <sheetFormatPr defaultRowHeight="15"/>
  <cols>
    <col min="1" max="1" width="21.140625" style="46" bestFit="1" customWidth="1"/>
    <col min="2" max="2" width="41.7109375" style="46" bestFit="1" customWidth="1"/>
    <col min="3" max="3" width="21.140625" style="46" bestFit="1" customWidth="1"/>
    <col min="4" max="4" width="21.140625" bestFit="1" customWidth="1"/>
    <col min="5" max="5" width="41.7109375" bestFit="1" customWidth="1"/>
    <col min="6" max="6" width="12.28515625" style="5" bestFit="1" customWidth="1"/>
    <col min="7" max="7" width="22" style="43" bestFit="1" customWidth="1"/>
    <col min="8" max="8" width="29.85546875" style="43" bestFit="1" customWidth="1"/>
    <col min="9" max="9" width="28" style="521" bestFit="1" customWidth="1"/>
    <col min="10" max="10" width="31.42578125" style="521" bestFit="1" customWidth="1"/>
    <col min="11" max="11" width="30.85546875" style="240" bestFit="1" customWidth="1"/>
    <col min="12" max="12" width="31.28515625" style="1105" bestFit="1" customWidth="1"/>
    <col min="13" max="13" width="14" style="1120" bestFit="1" customWidth="1"/>
    <col min="14" max="14" width="25.7109375" style="1113" bestFit="1" customWidth="1"/>
    <col min="15" max="15" width="13.28515625" style="5" bestFit="1" customWidth="1"/>
    <col min="16" max="16" width="10.42578125" style="5" bestFit="1" customWidth="1"/>
    <col min="17" max="17" width="23.42578125" style="1091" bestFit="1" customWidth="1"/>
    <col min="18" max="18" width="15.5703125" style="35" bestFit="1" customWidth="1"/>
    <col min="19" max="19" width="12" style="13" bestFit="1" customWidth="1"/>
    <col min="20" max="20" width="16.42578125" bestFit="1" customWidth="1"/>
    <col min="21" max="21" width="18.85546875" bestFit="1" customWidth="1"/>
    <col min="22" max="22" width="15.42578125" bestFit="1" customWidth="1"/>
    <col min="23" max="23" width="17.5703125" bestFit="1" customWidth="1"/>
    <col min="24" max="24" width="23.5703125" bestFit="1" customWidth="1"/>
    <col min="25" max="25" width="27.140625" bestFit="1" customWidth="1"/>
    <col min="26" max="26" width="31.7109375" bestFit="1" customWidth="1"/>
    <col min="27" max="27" width="33.42578125" bestFit="1" customWidth="1"/>
    <col min="28" max="28" width="42.42578125" bestFit="1" customWidth="1"/>
    <col min="29" max="29" width="41" bestFit="1" customWidth="1"/>
    <col min="30" max="30" width="27.42578125" bestFit="1" customWidth="1"/>
    <col min="31" max="31" width="9.140625" bestFit="1" customWidth="1"/>
    <col min="32" max="32" width="16.42578125" bestFit="1" customWidth="1"/>
  </cols>
  <sheetData>
    <row r="1" spans="1:32">
      <c r="G1" s="521"/>
      <c r="I1" s="56"/>
      <c r="J1" s="56"/>
      <c r="L1" s="240"/>
      <c r="M1" s="14"/>
      <c r="N1" s="5"/>
      <c r="Q1" s="34"/>
    </row>
    <row r="2" spans="1:32">
      <c r="G2" s="521"/>
      <c r="I2" s="56"/>
      <c r="J2" s="56"/>
      <c r="L2" s="240"/>
      <c r="M2" s="14"/>
      <c r="N2" s="5"/>
      <c r="Q2" s="34"/>
    </row>
    <row r="3" spans="1:32">
      <c r="A3" s="82" t="s">
        <v>175</v>
      </c>
      <c r="B3" s="82" t="s">
        <v>176</v>
      </c>
      <c r="C3" s="82" t="s">
        <v>1007</v>
      </c>
      <c r="D3" s="1" t="s">
        <v>10</v>
      </c>
      <c r="E3" s="1" t="s">
        <v>145</v>
      </c>
      <c r="F3" s="14" t="s">
        <v>177</v>
      </c>
      <c r="G3" s="522" t="s">
        <v>953</v>
      </c>
      <c r="H3" s="245" t="s">
        <v>954</v>
      </c>
      <c r="I3" s="80" t="s">
        <v>955</v>
      </c>
      <c r="J3" s="80" t="s">
        <v>956</v>
      </c>
      <c r="K3" s="14" t="s">
        <v>178</v>
      </c>
      <c r="L3" s="14" t="s">
        <v>179</v>
      </c>
      <c r="M3" s="14" t="s">
        <v>180</v>
      </c>
      <c r="N3" s="14" t="s">
        <v>957</v>
      </c>
      <c r="O3" s="14" t="s">
        <v>181</v>
      </c>
      <c r="P3" s="14" t="s">
        <v>182</v>
      </c>
      <c r="Q3" s="237" t="s">
        <v>183</v>
      </c>
      <c r="R3" s="241" t="s">
        <v>184</v>
      </c>
      <c r="S3" s="291" t="s">
        <v>952</v>
      </c>
      <c r="T3" s="14" t="s">
        <v>185</v>
      </c>
      <c r="U3" s="14" t="s">
        <v>186</v>
      </c>
      <c r="V3" s="14" t="s">
        <v>187</v>
      </c>
      <c r="W3" s="14" t="s">
        <v>188</v>
      </c>
      <c r="X3" s="14" t="s">
        <v>189</v>
      </c>
      <c r="Y3" s="14" t="s">
        <v>190</v>
      </c>
      <c r="Z3" s="14" t="s">
        <v>191</v>
      </c>
      <c r="AA3" s="14" t="s">
        <v>192</v>
      </c>
      <c r="AB3" s="14" t="s">
        <v>193</v>
      </c>
      <c r="AC3" s="14" t="s">
        <v>194</v>
      </c>
      <c r="AD3" s="14" t="s">
        <v>195</v>
      </c>
      <c r="AE3" s="14" t="s">
        <v>196</v>
      </c>
      <c r="AF3" s="14" t="s">
        <v>197</v>
      </c>
    </row>
    <row r="4" spans="1:32">
      <c r="A4" s="46" t="str" cm="1">
        <f t="array" ref="A4:A19">_xlfn._xlws.SORT(_xlfn.UNIQUE(_xlfn._xlws.FILTER(D4:D1048576,D4:D1048576&lt;&gt;"")))</f>
        <v>Ammonia</v>
      </c>
      <c r="B4" s="46" t="str" cm="1">
        <f t="array" ref="B4:B57">_xlfn._xlws.SORT(_xlfn.UNIQUE(_xlfn._xlws.FILTER(E4:E1048576,E4:E1048576&lt;&gt;"")))</f>
        <v>CCGT</v>
      </c>
      <c r="C4" s="1070" cm="1">
        <f t="array" ref="C4:C6">_xlfn._xlws.SORT(_xlfn.UNIQUE(_xlfn._xlws.FILTER(O4:O1048576,O4:O1048576&lt;&gt;"")))</f>
        <v>2023</v>
      </c>
      <c r="D4" s="47" t="s">
        <v>14</v>
      </c>
      <c r="E4" s="47" t="s">
        <v>28</v>
      </c>
      <c r="F4" s="261">
        <v>2022</v>
      </c>
      <c r="G4" s="246" cm="1">
        <f t="array" ref="G4:G6">TRANSPOSE('Geothermal - large'!$C$30:$E$30)</f>
        <v>4.4000000000000004</v>
      </c>
      <c r="H4" s="246" cm="1">
        <f t="array" ref="H4:H6">TRANSPOSE('Geothermal - large'!$C$33:$E$33)/1000</f>
        <v>110</v>
      </c>
      <c r="I4" s="523" cm="1">
        <f t="array" ref="I4:I6">TRANSPOSE('Geothermal - large'!$C$34:$E$34)</f>
        <v>0.27</v>
      </c>
      <c r="J4" s="528" t="str" cm="1">
        <f t="array" ref="J4:J6">TRANSPOSE('Geothermal - large'!$C$35:$E$35)</f>
        <v>-</v>
      </c>
      <c r="K4" s="385" t="s">
        <v>198</v>
      </c>
      <c r="L4" s="1105">
        <f>IFERROR(INDEX('CO2 Emission Factors'!B:B,MATCH(K4,'CO2 Emission Factors'!A:A,0)),0)</f>
        <v>0</v>
      </c>
      <c r="M4" s="1114">
        <f>INDEX('Fuel Costs'!$AO$10:$BX$40,MATCH(O4,'Fuel Costs'!$A$10:$A$40,0),MATCH(K4,'Fuel Costs'!$AO$4:$BX$4,0))*((1+'LCOE-S Template'!$C$10)^(F4-INDEX('Fuel Costs'!$AO$2:$BX$2,MATCH(K4,'Fuel Costs'!$AO$4:$BX$4,0))))</f>
        <v>0</v>
      </c>
      <c r="N4" s="1103" cm="1">
        <f t="array" ref="N4:N6">TRANSPOSE('Geothermal - large'!$C$37:$E$37)+TRANSPOSE('Geothermal - large'!$C$38:$E$38)</f>
        <v>0.32</v>
      </c>
      <c r="O4" s="1067" cm="1">
        <f t="array" ref="O4:O6">TRANSPOSE('Geothermal - large'!$C$4:$E$4)</f>
        <v>2023</v>
      </c>
      <c r="P4" s="30" cm="1">
        <f t="array" ref="P4:P6">TRANSPOSE('Geothermal - large'!$C$12:$E$12)</f>
        <v>30</v>
      </c>
      <c r="Q4" s="234" cm="1">
        <f t="array" ref="Q4:Q6">TRANSPOSE('Geothermal - large'!$C$13:$E$13)</f>
        <v>2</v>
      </c>
      <c r="R4" s="232" cm="1">
        <f t="array" ref="R4:R6">TRANSPOSE('Geothermal - large'!$C$17:$E$17)/100*8760</f>
        <v>7008</v>
      </c>
      <c r="S4" s="252" cm="1">
        <f t="array" ref="S4:S6">TRANSPOSE('Geothermal - large'!$C$9:$E$9)/100</f>
        <v>0.15</v>
      </c>
      <c r="T4" s="233"/>
      <c r="U4" s="233"/>
      <c r="V4" s="233"/>
      <c r="W4" s="233"/>
      <c r="X4" s="233"/>
      <c r="Y4" s="233"/>
      <c r="Z4" s="233"/>
      <c r="AA4" s="233"/>
      <c r="AB4" s="233"/>
      <c r="AC4" s="233"/>
      <c r="AD4" s="233"/>
      <c r="AE4" s="37">
        <f>$AF$4</f>
        <v>0.1</v>
      </c>
      <c r="AF4" s="277">
        <v>0.1</v>
      </c>
    </row>
    <row r="5" spans="1:32">
      <c r="A5" s="46" t="str">
        <v>Biogas</v>
      </c>
      <c r="B5" s="46" t="str">
        <v>CCGT (CCS)</v>
      </c>
      <c r="C5" s="1070">
        <v>2030</v>
      </c>
      <c r="D5" s="47" t="s">
        <v>14</v>
      </c>
      <c r="E5" s="47" t="s">
        <v>28</v>
      </c>
      <c r="F5" s="261">
        <v>2022</v>
      </c>
      <c r="G5" s="246">
        <v>4.4000000000000004</v>
      </c>
      <c r="H5" s="246">
        <v>110</v>
      </c>
      <c r="I5" s="523">
        <v>0.27</v>
      </c>
      <c r="J5" s="528" t="str">
        <v>-</v>
      </c>
      <c r="K5" s="385" t="s">
        <v>198</v>
      </c>
      <c r="L5" s="1105">
        <f>IFERROR(INDEX('CO2 Emission Factors'!B:B,MATCH(K5,'CO2 Emission Factors'!A:A,0)),0)</f>
        <v>0</v>
      </c>
      <c r="M5" s="1114">
        <f>INDEX('Fuel Costs'!$AO$10:$BX$40,MATCH(O5,'Fuel Costs'!$A$10:$A$40,0),MATCH(K5,'Fuel Costs'!$AO$4:$BX$4,0))*((1+'LCOE-S Template'!$C$10)^(F5-INDEX('Fuel Costs'!$AO$2:$BX$2,MATCH(K5,'Fuel Costs'!$AO$4:$BX$4,0))))</f>
        <v>0</v>
      </c>
      <c r="N5" s="1103">
        <v>0.3</v>
      </c>
      <c r="O5" s="1067">
        <v>2030</v>
      </c>
      <c r="P5" s="30">
        <v>30</v>
      </c>
      <c r="Q5" s="234">
        <v>2</v>
      </c>
      <c r="R5" s="232">
        <v>7008</v>
      </c>
      <c r="S5" s="252">
        <v>0.16</v>
      </c>
      <c r="T5" s="233"/>
      <c r="U5" s="233"/>
      <c r="V5" s="233"/>
      <c r="W5" s="233"/>
      <c r="X5" s="233"/>
      <c r="Y5" s="233"/>
      <c r="Z5" s="233"/>
      <c r="AA5" s="233"/>
      <c r="AB5" s="233"/>
      <c r="AC5" s="233"/>
      <c r="AD5" s="233"/>
      <c r="AE5" s="233">
        <f t="shared" ref="AE5:AE68" si="0">$AF$4</f>
        <v>0.1</v>
      </c>
    </row>
    <row r="6" spans="1:32">
      <c r="A6" s="46" t="str">
        <v>Biomass</v>
      </c>
      <c r="B6" s="46" t="str">
        <v>Co-firing (100% wood pellets)</v>
      </c>
      <c r="C6" s="1070">
        <v>2050</v>
      </c>
      <c r="D6" s="47" t="s">
        <v>14</v>
      </c>
      <c r="E6" s="47" t="s">
        <v>28</v>
      </c>
      <c r="F6" s="261">
        <v>2022</v>
      </c>
      <c r="G6" s="246">
        <v>3.9600000000000004</v>
      </c>
      <c r="H6" s="246">
        <v>99</v>
      </c>
      <c r="I6" s="523">
        <v>0.24</v>
      </c>
      <c r="J6" s="528" t="str">
        <v>-</v>
      </c>
      <c r="K6" s="385" t="s">
        <v>198</v>
      </c>
      <c r="L6" s="1105">
        <f>IFERROR(INDEX('CO2 Emission Factors'!B:B,MATCH(K6,'CO2 Emission Factors'!A:A,0)),0)</f>
        <v>0</v>
      </c>
      <c r="M6" s="1114">
        <f>INDEX('Fuel Costs'!$AO$10:$BX$40,MATCH(O6,'Fuel Costs'!$A$10:$A$40,0),MATCH(K6,'Fuel Costs'!$AO$4:$BX$4,0))*((1+'LCOE-S Template'!$C$10)^(F6-INDEX('Fuel Costs'!$AO$2:$BX$2,MATCH(K6,'Fuel Costs'!$AO$4:$BX$4,0))))</f>
        <v>0</v>
      </c>
      <c r="N6" s="1103">
        <v>0.3</v>
      </c>
      <c r="O6" s="1067">
        <v>2050</v>
      </c>
      <c r="P6" s="30">
        <v>30</v>
      </c>
      <c r="Q6" s="234">
        <v>2</v>
      </c>
      <c r="R6" s="232">
        <v>7008</v>
      </c>
      <c r="S6" s="252">
        <v>0.17</v>
      </c>
      <c r="T6" s="233"/>
      <c r="U6" s="233"/>
      <c r="V6" s="233"/>
      <c r="W6" s="233"/>
      <c r="X6" s="233"/>
      <c r="Y6" s="233"/>
      <c r="Z6" s="233"/>
      <c r="AA6" s="233"/>
      <c r="AB6" s="233"/>
      <c r="AC6" s="233"/>
      <c r="AD6" s="233"/>
      <c r="AE6" s="233">
        <f t="shared" si="0"/>
        <v>0.1</v>
      </c>
    </row>
    <row r="7" spans="1:32">
      <c r="A7" s="46" t="str">
        <v>Coal</v>
      </c>
      <c r="B7" s="46" t="str">
        <v>Co-firing (20% wood pellets)</v>
      </c>
      <c r="D7" s="47" t="s">
        <v>14</v>
      </c>
      <c r="E7" s="47" t="s">
        <v>199</v>
      </c>
      <c r="F7" s="261">
        <v>2022</v>
      </c>
      <c r="G7" s="246" cm="1">
        <f t="array" ref="G7:G9">TRANSPOSE('Geothermal - small'!$C$30:$E$30)</f>
        <v>5.5</v>
      </c>
      <c r="H7" s="246" cm="1">
        <f t="array" ref="H7:H9">TRANSPOSE('Geothermal - small'!$C$33:$E$33)/1000</f>
        <v>145</v>
      </c>
      <c r="I7" s="523" cm="1">
        <f t="array" ref="I7:I9">TRANSPOSE('Geothermal - small'!$C$34:$E$34)</f>
        <v>0.39</v>
      </c>
      <c r="J7" s="528" t="str" cm="1">
        <f t="array" ref="J7:J9">TRANSPOSE('Geothermal - small'!$C$35:$E$35)</f>
        <v>-</v>
      </c>
      <c r="K7" s="385" t="s">
        <v>198</v>
      </c>
      <c r="L7" s="1105">
        <f>IFERROR(INDEX('CO2 Emission Factors'!B:B,MATCH(K7,'CO2 Emission Factors'!A:A,0)),0)</f>
        <v>0</v>
      </c>
      <c r="M7" s="1114">
        <f>INDEX('Fuel Costs'!$AO$10:$BX$40,MATCH(O7,'Fuel Costs'!$A$10:$A$40,0),MATCH(K7,'Fuel Costs'!$AO$4:$BX$4,0))*((1+'LCOE-S Template'!$C$10)^(F7-INDEX('Fuel Costs'!$AO$2:$BX$2,MATCH(K7,'Fuel Costs'!$AO$4:$BX$4,0))))</f>
        <v>0</v>
      </c>
      <c r="N7" s="1103" cm="1">
        <f t="array" ref="N7:N9">TRANSPOSE('Geothermal - small'!$C$37:$E$37)+TRANSPOSE('Geothermal - small'!$C$38:$E$38)</f>
        <v>0.32</v>
      </c>
      <c r="O7" s="1067" cm="1">
        <f t="array" ref="O7:O9">TRANSPOSE('Geothermal - small'!$C$4:$E$4)</f>
        <v>2023</v>
      </c>
      <c r="P7" s="30" cm="1">
        <f t="array" ref="P7:P9">TRANSPOSE('Geothermal - small'!$C$12:$E$12)</f>
        <v>30</v>
      </c>
      <c r="Q7" s="234" cm="1">
        <f t="array" ref="Q7:Q9">TRANSPOSE('Geothermal - small'!$C$13:$E$13)</f>
        <v>2</v>
      </c>
      <c r="R7" s="232" cm="1">
        <f t="array" ref="R7:R9">TRANSPOSE('Geothermal - small'!$C$17:$E$17)/100*8760</f>
        <v>7008</v>
      </c>
      <c r="S7" s="252" cm="1">
        <f t="array" ref="S7:S9">TRANSPOSE('Geothermal - small'!$C$9:$E$9)/100</f>
        <v>0.1</v>
      </c>
      <c r="T7" s="233"/>
      <c r="U7" s="233"/>
      <c r="V7" s="233"/>
      <c r="W7" s="233"/>
      <c r="X7" s="233"/>
      <c r="Y7" s="233"/>
      <c r="Z7" s="233"/>
      <c r="AA7" s="233"/>
      <c r="AB7" s="233"/>
      <c r="AC7" s="233"/>
      <c r="AD7" s="233"/>
      <c r="AE7" s="233">
        <f t="shared" si="0"/>
        <v>0.1</v>
      </c>
    </row>
    <row r="8" spans="1:32">
      <c r="A8" s="46" t="str">
        <v>Diesel</v>
      </c>
      <c r="B8" s="46" t="str">
        <v>Co-firing CCGT (100% H2)</v>
      </c>
      <c r="D8" s="47" t="s">
        <v>14</v>
      </c>
      <c r="E8" s="47" t="s">
        <v>199</v>
      </c>
      <c r="F8" s="261">
        <v>2022</v>
      </c>
      <c r="G8" s="246">
        <v>5.5</v>
      </c>
      <c r="H8" s="246">
        <v>145</v>
      </c>
      <c r="I8" s="523">
        <v>0.39</v>
      </c>
      <c r="J8" s="528" t="str">
        <v>-</v>
      </c>
      <c r="K8" s="385" t="s">
        <v>198</v>
      </c>
      <c r="L8" s="1105">
        <f>IFERROR(INDEX('CO2 Emission Factors'!B:B,MATCH(K8,'CO2 Emission Factors'!A:A,0)),0)</f>
        <v>0</v>
      </c>
      <c r="M8" s="1114">
        <f>INDEX('Fuel Costs'!$AO$10:$BX$40,MATCH(O8,'Fuel Costs'!$A$10:$A$40,0),MATCH(K8,'Fuel Costs'!$AO$4:$BX$4,0))*((1+'LCOE-S Template'!$C$10)^(F8-INDEX('Fuel Costs'!$AO$2:$BX$2,MATCH(K8,'Fuel Costs'!$AO$4:$BX$4,0))))</f>
        <v>0</v>
      </c>
      <c r="N8" s="1103">
        <v>0.3</v>
      </c>
      <c r="O8" s="1067">
        <v>2030</v>
      </c>
      <c r="P8" s="30">
        <v>30</v>
      </c>
      <c r="Q8" s="234">
        <v>2</v>
      </c>
      <c r="R8" s="232">
        <v>7008</v>
      </c>
      <c r="S8" s="252">
        <v>0.11</v>
      </c>
      <c r="T8" s="233"/>
      <c r="U8" s="233"/>
      <c r="V8" s="233"/>
      <c r="W8" s="233"/>
      <c r="X8" s="233"/>
      <c r="Y8" s="233"/>
      <c r="Z8" s="233"/>
      <c r="AA8" s="233"/>
      <c r="AB8" s="233"/>
      <c r="AC8" s="233"/>
      <c r="AD8" s="233"/>
      <c r="AE8" s="233">
        <f t="shared" si="0"/>
        <v>0.1</v>
      </c>
    </row>
    <row r="9" spans="1:32" ht="15.75" thickBot="1">
      <c r="A9" s="46" t="str">
        <v>Gas</v>
      </c>
      <c r="B9" s="46" t="str">
        <v>Co-firing CCGT (20% H2)</v>
      </c>
      <c r="D9" s="389" t="s">
        <v>14</v>
      </c>
      <c r="E9" s="389" t="s">
        <v>199</v>
      </c>
      <c r="F9" s="406">
        <v>2022</v>
      </c>
      <c r="G9" s="247">
        <v>4.95</v>
      </c>
      <c r="H9" s="247">
        <v>130.5</v>
      </c>
      <c r="I9" s="524">
        <v>0.35100000000000003</v>
      </c>
      <c r="J9" s="1098" t="str">
        <v>-</v>
      </c>
      <c r="K9" s="386" t="s">
        <v>198</v>
      </c>
      <c r="L9" s="1106">
        <f>IFERROR(INDEX('CO2 Emission Factors'!B:B,MATCH(K9,'CO2 Emission Factors'!A:A,0)),0)</f>
        <v>0</v>
      </c>
      <c r="M9" s="1115">
        <f>INDEX('Fuel Costs'!$AO$10:$BX$40,MATCH(O9,'Fuel Costs'!$A$10:$A$40,0),MATCH(K9,'Fuel Costs'!$AO$4:$BX$4,0))*((1+'LCOE-S Template'!$C$10)^(F9-INDEX('Fuel Costs'!$AO$2:$BX$2,MATCH(K9,'Fuel Costs'!$AO$4:$BX$4,0))))</f>
        <v>0</v>
      </c>
      <c r="N9" s="1104">
        <v>0.3</v>
      </c>
      <c r="O9" s="1068">
        <v>2050</v>
      </c>
      <c r="P9" s="50">
        <v>30</v>
      </c>
      <c r="Q9" s="53">
        <v>2</v>
      </c>
      <c r="R9" s="51">
        <v>7008</v>
      </c>
      <c r="S9" s="253">
        <v>0.12</v>
      </c>
      <c r="T9" s="52"/>
      <c r="U9" s="52"/>
      <c r="V9" s="52"/>
      <c r="W9" s="52"/>
      <c r="X9" s="52"/>
      <c r="Y9" s="52"/>
      <c r="Z9" s="52"/>
      <c r="AA9" s="52"/>
      <c r="AB9" s="52"/>
      <c r="AC9" s="52"/>
      <c r="AD9" s="52"/>
      <c r="AE9" s="52">
        <f t="shared" si="0"/>
        <v>0.1</v>
      </c>
    </row>
    <row r="10" spans="1:32">
      <c r="A10" s="46" t="str">
        <v>Geothermal</v>
      </c>
      <c r="B10" s="46" t="str">
        <v>Co-firing PC (100% NH3)</v>
      </c>
      <c r="D10" s="47" t="s">
        <v>20</v>
      </c>
      <c r="E10" s="47" t="s">
        <v>122</v>
      </c>
      <c r="F10" s="261">
        <v>2022</v>
      </c>
      <c r="G10" s="246" cm="1">
        <f t="array" ref="G10:G12">TRANSPOSE('Large hydro power plant'!$C$30:$E$30)</f>
        <v>2.2000000000000002</v>
      </c>
      <c r="H10" s="246" cm="1">
        <f t="array" ref="H10:H12">TRANSPOSE('Large hydro power plant'!$C$33:$E$33)/1000</f>
        <v>43</v>
      </c>
      <c r="I10" s="523" cm="1">
        <f t="array" ref="I10:I12">TRANSPOSE('Large hydro power plant'!$C$34:$E$34)</f>
        <v>0.74</v>
      </c>
      <c r="J10" s="528" t="str" cm="1">
        <f t="array" ref="J10:J12">TRANSPOSE('Large hydro power plant'!$C$35:$E$35)</f>
        <v>-</v>
      </c>
      <c r="K10" s="385" t="s">
        <v>200</v>
      </c>
      <c r="L10" s="1105">
        <f>IFERROR(INDEX('CO2 Emission Factors'!B:B,MATCH(K10,'CO2 Emission Factors'!A:A,0)),0)</f>
        <v>0</v>
      </c>
      <c r="M10" s="1114">
        <f>INDEX('Fuel Costs'!$AO$10:$BX$40,MATCH(O10,'Fuel Costs'!$A$10:$A$40,0),MATCH(K10,'Fuel Costs'!$AO$4:$BX$4,0))*((1+'LCOE-S Template'!$C$10)^(F10-INDEX('Fuel Costs'!$AO$2:$BX$2,MATCH(K10,'Fuel Costs'!$AO$4:$BX$4,0))))</f>
        <v>0</v>
      </c>
      <c r="N10" s="1110"/>
      <c r="O10" s="1067" cm="1">
        <f t="array" ref="O10:O12">TRANSPOSE('Large hydro power plant'!$C$4:$E$4)</f>
        <v>2023</v>
      </c>
      <c r="P10" s="30" cm="1">
        <f t="array" ref="P10:P12">TRANSPOSE('Large hydro power plant'!$C$12:$E$12)</f>
        <v>50</v>
      </c>
      <c r="Q10" s="234" cm="1">
        <f t="array" ref="Q10:Q12">TRANSPOSE('Large hydro power plant'!$C$13:$E$13)</f>
        <v>4</v>
      </c>
      <c r="R10" s="232" cm="1">
        <f t="array" ref="R10:R12">TRANSPOSE('Large hydro power plant'!$C$17:$E$17)/100*8760</f>
        <v>4467.6000000000004</v>
      </c>
      <c r="S10" s="254" cm="1">
        <f t="array" ref="S10:S12">TRANSPOSE('Large hydro power plant'!$C$9:$E$9)/100</f>
        <v>0.95</v>
      </c>
      <c r="T10" s="233"/>
      <c r="U10" s="233"/>
      <c r="V10" s="233"/>
      <c r="W10" s="233"/>
      <c r="X10" s="233"/>
      <c r="Y10" s="233"/>
      <c r="Z10" s="233"/>
      <c r="AA10" s="233"/>
      <c r="AB10" s="233"/>
      <c r="AC10" s="233"/>
      <c r="AD10" s="233"/>
      <c r="AE10" s="233">
        <f t="shared" si="0"/>
        <v>0.1</v>
      </c>
    </row>
    <row r="11" spans="1:32">
      <c r="A11" s="46" t="str">
        <v>Hydro</v>
      </c>
      <c r="B11" s="46" t="str">
        <v>Co-firing PC (20% NH3)</v>
      </c>
      <c r="D11" s="47" t="s">
        <v>20</v>
      </c>
      <c r="E11" s="47" t="s">
        <v>122</v>
      </c>
      <c r="F11" s="261">
        <v>2022</v>
      </c>
      <c r="G11" s="246">
        <v>2.1120000000000001</v>
      </c>
      <c r="H11" s="246">
        <v>41</v>
      </c>
      <c r="I11" s="523">
        <v>0.71</v>
      </c>
      <c r="J11" s="528" t="str">
        <v>-</v>
      </c>
      <c r="K11" s="385" t="s">
        <v>200</v>
      </c>
      <c r="L11" s="1105">
        <f>IFERROR(INDEX('CO2 Emission Factors'!B:B,MATCH(K11,'CO2 Emission Factors'!A:A,0)),0)</f>
        <v>0</v>
      </c>
      <c r="M11" s="1114">
        <f>INDEX('Fuel Costs'!$AO$10:$BX$40,MATCH(O11,'Fuel Costs'!$A$10:$A$40,0),MATCH(K11,'Fuel Costs'!$AO$4:$BX$4,0))*((1+'LCOE-S Template'!$C$10)^(F11-INDEX('Fuel Costs'!$AO$2:$BX$2,MATCH(K11,'Fuel Costs'!$AO$4:$BX$4,0))))</f>
        <v>0</v>
      </c>
      <c r="N11" s="1110"/>
      <c r="O11" s="1067">
        <v>2030</v>
      </c>
      <c r="P11" s="30">
        <v>50</v>
      </c>
      <c r="Q11" s="234">
        <v>4</v>
      </c>
      <c r="R11" s="232">
        <v>4467.6000000000004</v>
      </c>
      <c r="S11" s="254">
        <v>0.95</v>
      </c>
      <c r="T11" s="233"/>
      <c r="U11" s="233"/>
      <c r="V11" s="233"/>
      <c r="W11" s="233"/>
      <c r="X11" s="233"/>
      <c r="Y11" s="233"/>
      <c r="Z11" s="233"/>
      <c r="AA11" s="233"/>
      <c r="AB11" s="233"/>
      <c r="AC11" s="233"/>
      <c r="AD11" s="233"/>
      <c r="AE11" s="233">
        <f t="shared" si="0"/>
        <v>0.1</v>
      </c>
    </row>
    <row r="12" spans="1:32">
      <c r="A12" s="46" t="str">
        <v>Hydrogen</v>
      </c>
      <c r="B12" s="46" t="str">
        <v>Electric Storage (Lithium-ion)</v>
      </c>
      <c r="D12" s="47" t="s">
        <v>20</v>
      </c>
      <c r="E12" s="47" t="s">
        <v>122</v>
      </c>
      <c r="F12" s="261">
        <v>2022</v>
      </c>
      <c r="G12" s="246">
        <v>1.9580000000000002</v>
      </c>
      <c r="H12" s="246">
        <v>38</v>
      </c>
      <c r="I12" s="523">
        <v>0.66</v>
      </c>
      <c r="J12" s="528" t="str">
        <v>-</v>
      </c>
      <c r="K12" s="385" t="s">
        <v>200</v>
      </c>
      <c r="L12" s="1105">
        <f>IFERROR(INDEX('CO2 Emission Factors'!B:B,MATCH(K12,'CO2 Emission Factors'!A:A,0)),0)</f>
        <v>0</v>
      </c>
      <c r="M12" s="1114">
        <f>INDEX('Fuel Costs'!$AO$10:$BX$40,MATCH(O12,'Fuel Costs'!$A$10:$A$40,0),MATCH(K12,'Fuel Costs'!$AO$4:$BX$4,0))*((1+'LCOE-S Template'!$C$10)^(F12-INDEX('Fuel Costs'!$AO$2:$BX$2,MATCH(K12,'Fuel Costs'!$AO$4:$BX$4,0))))</f>
        <v>0</v>
      </c>
      <c r="N12" s="1110"/>
      <c r="O12" s="1067">
        <v>2050</v>
      </c>
      <c r="P12" s="30">
        <v>50</v>
      </c>
      <c r="Q12" s="234">
        <v>4</v>
      </c>
      <c r="R12" s="232">
        <v>4467.6000000000004</v>
      </c>
      <c r="S12" s="254">
        <v>0.95</v>
      </c>
      <c r="T12" s="233"/>
      <c r="U12" s="233"/>
      <c r="V12" s="233"/>
      <c r="W12" s="233"/>
      <c r="X12" s="233"/>
      <c r="Y12" s="233"/>
      <c r="Z12" s="233"/>
      <c r="AA12" s="233"/>
      <c r="AB12" s="233"/>
      <c r="AC12" s="233"/>
      <c r="AD12" s="233"/>
      <c r="AE12" s="233">
        <f t="shared" si="0"/>
        <v>0.1</v>
      </c>
    </row>
    <row r="13" spans="1:32">
      <c r="A13" s="46" t="str">
        <v>Municipal Solid Waste</v>
      </c>
      <c r="B13" s="46" t="str">
        <v>Existing Coal Plant</v>
      </c>
      <c r="D13" s="47" t="s">
        <v>20</v>
      </c>
      <c r="E13" s="47" t="s">
        <v>201</v>
      </c>
      <c r="F13" s="261">
        <v>2022</v>
      </c>
      <c r="G13" s="246" cm="1">
        <f t="array" ref="G13:G15">TRANSPOSE('Medium-small hydro power plant'!$C$30:$E$30)</f>
        <v>2.5</v>
      </c>
      <c r="H13" s="246" cm="1">
        <f t="array" ref="H13:H15">TRANSPOSE('Medium-small hydro power plant'!$C$33:$E$33)/1000</f>
        <v>47.8</v>
      </c>
      <c r="I13" s="523" cm="1">
        <f t="array" ref="I13:I15">TRANSPOSE('Medium-small hydro power plant'!$C$34:$E$34)</f>
        <v>0.56999999999999995</v>
      </c>
      <c r="J13" s="528" t="str" cm="1">
        <f t="array" ref="J13:J15">TRANSPOSE('Medium-small hydro power plant'!$C$35:$E$35)</f>
        <v>-</v>
      </c>
      <c r="K13" s="385" t="s">
        <v>200</v>
      </c>
      <c r="L13" s="1105">
        <f>IFERROR(INDEX('CO2 Emission Factors'!B:B,MATCH(K13,'CO2 Emission Factors'!A:A,0)),0)</f>
        <v>0</v>
      </c>
      <c r="M13" s="1114">
        <f>INDEX('Fuel Costs'!$AO$10:$BX$40,MATCH(O13,'Fuel Costs'!$A$10:$A$40,0),MATCH(K13,'Fuel Costs'!$AO$4:$BX$4,0))*((1+'LCOE-S Template'!$C$10)^(F13-INDEX('Fuel Costs'!$AO$2:$BX$2,MATCH(K13,'Fuel Costs'!$AO$4:$BX$4,0))))</f>
        <v>0</v>
      </c>
      <c r="N13" s="1110"/>
      <c r="O13" s="1067" cm="1">
        <f t="array" ref="O13:O15">TRANSPOSE('Medium-small hydro power plant'!$C$4:$E$4)</f>
        <v>2023</v>
      </c>
      <c r="P13" s="30" cm="1">
        <f t="array" ref="P13:P15">TRANSPOSE('Medium-small hydro power plant'!$C$12:$E$12)</f>
        <v>50</v>
      </c>
      <c r="Q13" s="234" cm="1">
        <f t="array" ref="Q13:Q15">TRANSPOSE('Medium-small hydro power plant'!$C$13:$E$13)</f>
        <v>3</v>
      </c>
      <c r="R13" s="232" cm="1">
        <f t="array" ref="R13:R15">TRANSPOSE('Medium-small hydro power plant'!$C$17:$E$17)/100*8760</f>
        <v>4467.6000000000004</v>
      </c>
      <c r="S13" s="505" cm="1">
        <f t="array" ref="S13:S15">TRANSPOSE('Medium-small hydro power plant'!$C$9:$E$9)/100</f>
        <v>0.95</v>
      </c>
      <c r="T13" s="506"/>
      <c r="U13" s="506"/>
      <c r="V13" s="506"/>
      <c r="W13" s="506"/>
      <c r="X13" s="506"/>
      <c r="Y13" s="506"/>
      <c r="Z13" s="506"/>
      <c r="AA13" s="506"/>
      <c r="AB13" s="506"/>
      <c r="AC13" s="506"/>
      <c r="AD13" s="506"/>
      <c r="AE13" s="506">
        <f t="shared" si="0"/>
        <v>0.1</v>
      </c>
    </row>
    <row r="14" spans="1:32">
      <c r="A14" s="46" t="str">
        <v>Nuclear</v>
      </c>
      <c r="B14" s="46" t="str">
        <v>Existing Coal Plant (Ammonia Co-firing, 100%)</v>
      </c>
      <c r="D14" s="47" t="s">
        <v>20</v>
      </c>
      <c r="E14" s="47" t="s">
        <v>201</v>
      </c>
      <c r="F14" s="261">
        <v>2022</v>
      </c>
      <c r="G14" s="246">
        <v>2.4</v>
      </c>
      <c r="H14" s="246">
        <v>45.8</v>
      </c>
      <c r="I14" s="523">
        <v>0.54719999999999991</v>
      </c>
      <c r="J14" s="528" t="str">
        <v>-</v>
      </c>
      <c r="K14" s="385" t="s">
        <v>200</v>
      </c>
      <c r="L14" s="1105">
        <f>IFERROR(INDEX('CO2 Emission Factors'!B:B,MATCH(K14,'CO2 Emission Factors'!A:A,0)),0)</f>
        <v>0</v>
      </c>
      <c r="M14" s="1114">
        <f>INDEX('Fuel Costs'!$AO$10:$BX$40,MATCH(O14,'Fuel Costs'!$A$10:$A$40,0),MATCH(K14,'Fuel Costs'!$AO$4:$BX$4,0))*((1+'LCOE-S Template'!$C$10)^(F14-INDEX('Fuel Costs'!$AO$2:$BX$2,MATCH(K14,'Fuel Costs'!$AO$4:$BX$4,0))))</f>
        <v>0</v>
      </c>
      <c r="N14" s="1110"/>
      <c r="O14" s="1067">
        <v>2030</v>
      </c>
      <c r="P14" s="30">
        <v>50</v>
      </c>
      <c r="Q14" s="234">
        <v>3</v>
      </c>
      <c r="R14" s="232">
        <v>4467.6000000000004</v>
      </c>
      <c r="S14" s="505">
        <v>0.95</v>
      </c>
      <c r="T14" s="506"/>
      <c r="U14" s="506"/>
      <c r="V14" s="506"/>
      <c r="W14" s="506"/>
      <c r="X14" s="506"/>
      <c r="Y14" s="506"/>
      <c r="Z14" s="506"/>
      <c r="AA14" s="506"/>
      <c r="AB14" s="506"/>
      <c r="AC14" s="506"/>
      <c r="AD14" s="506"/>
      <c r="AE14" s="506">
        <f t="shared" si="0"/>
        <v>0.1</v>
      </c>
    </row>
    <row r="15" spans="1:32">
      <c r="A15" s="46" t="str">
        <v>Solar PV</v>
      </c>
      <c r="B15" s="46" t="str">
        <v>Existing Coal Plant (Ammonia Co-firing, 20%)</v>
      </c>
      <c r="D15" s="47" t="s">
        <v>20</v>
      </c>
      <c r="E15" s="47" t="s">
        <v>201</v>
      </c>
      <c r="F15" s="261">
        <v>2022</v>
      </c>
      <c r="G15" s="246">
        <v>2.2250000000000001</v>
      </c>
      <c r="H15" s="246">
        <v>42.5</v>
      </c>
      <c r="I15" s="523">
        <v>0.51300000000000001</v>
      </c>
      <c r="J15" s="528" t="str">
        <v>-</v>
      </c>
      <c r="K15" s="385" t="s">
        <v>200</v>
      </c>
      <c r="L15" s="1105">
        <f>IFERROR(INDEX('CO2 Emission Factors'!B:B,MATCH(K15,'CO2 Emission Factors'!A:A,0)),0)</f>
        <v>0</v>
      </c>
      <c r="M15" s="1114">
        <f>INDEX('Fuel Costs'!$AO$10:$BX$40,MATCH(O15,'Fuel Costs'!$A$10:$A$40,0),MATCH(K15,'Fuel Costs'!$AO$4:$BX$4,0))*((1+'LCOE-S Template'!$C$10)^(F15-INDEX('Fuel Costs'!$AO$2:$BX$2,MATCH(K15,'Fuel Costs'!$AO$4:$BX$4,0))))</f>
        <v>0</v>
      </c>
      <c r="N15" s="1110"/>
      <c r="O15" s="1067">
        <v>2050</v>
      </c>
      <c r="P15" s="30">
        <v>50</v>
      </c>
      <c r="Q15" s="234">
        <v>3</v>
      </c>
      <c r="R15" s="232">
        <v>4467.6000000000004</v>
      </c>
      <c r="S15" s="505">
        <v>0.95</v>
      </c>
      <c r="T15" s="506"/>
      <c r="U15" s="506"/>
      <c r="V15" s="506"/>
      <c r="W15" s="506"/>
      <c r="X15" s="506"/>
      <c r="Y15" s="506"/>
      <c r="Z15" s="506"/>
      <c r="AA15" s="506"/>
      <c r="AB15" s="506"/>
      <c r="AC15" s="506"/>
      <c r="AD15" s="506"/>
      <c r="AE15" s="506">
        <f t="shared" si="0"/>
        <v>0.1</v>
      </c>
    </row>
    <row r="16" spans="1:32">
      <c r="A16" s="46" t="str">
        <v>Storage</v>
      </c>
      <c r="B16" s="46" t="str">
        <v>Existing Coal Plant (Biomass Co-firing, 100%)</v>
      </c>
      <c r="D16" s="47" t="s">
        <v>20</v>
      </c>
      <c r="E16" s="47" t="s">
        <v>35</v>
      </c>
      <c r="F16" s="261">
        <v>2022</v>
      </c>
      <c r="G16" s="246" cm="1">
        <f t="array" ref="G16:G18">TRANSPOSE('Mini-micro hydro power plant'!$C$30:$E$30)</f>
        <v>2.7</v>
      </c>
      <c r="H16" s="246" cm="1">
        <f t="array" ref="H16:H18">TRANSPOSE('Mini-micro hydro power plant'!$C$33:$E$33)/1000</f>
        <v>60.4</v>
      </c>
      <c r="I16" s="523" cm="1">
        <f t="array" ref="I16:I18">TRANSPOSE('Mini-micro hydro power plant'!$C$34:$E$34)</f>
        <v>0.56999999999999995</v>
      </c>
      <c r="J16" s="528" t="str" cm="1">
        <f t="array" ref="J16:J18">TRANSPOSE('Mini-micro hydro power plant'!$C$35:$E$35)</f>
        <v>-</v>
      </c>
      <c r="K16" s="385" t="s">
        <v>200</v>
      </c>
      <c r="L16" s="1105">
        <f>IFERROR(INDEX('CO2 Emission Factors'!B:B,MATCH(K16,'CO2 Emission Factors'!A:A,0)),0)</f>
        <v>0</v>
      </c>
      <c r="M16" s="1114">
        <f>INDEX('Fuel Costs'!$AO$10:$BX$40,MATCH(O16,'Fuel Costs'!$A$10:$A$40,0),MATCH(K16,'Fuel Costs'!$AO$4:$BX$4,0))*((1+'LCOE-S Template'!$C$10)^(F16-INDEX('Fuel Costs'!$AO$2:$BX$2,MATCH(K16,'Fuel Costs'!$AO$4:$BX$4,0))))</f>
        <v>0</v>
      </c>
      <c r="N16" s="1110"/>
      <c r="O16" s="1067" cm="1">
        <f t="array" ref="O16:O18">TRANSPOSE('Mini-micro hydro power plant'!$C$4:$E$4)</f>
        <v>2023</v>
      </c>
      <c r="P16" s="30" cm="1">
        <f t="array" ref="P16:P18">TRANSPOSE('Mini-micro hydro power plant'!$C$12:$E$12)</f>
        <v>50</v>
      </c>
      <c r="Q16" s="234" cm="1">
        <f t="array" ref="Q16:Q18">TRANSPOSE('Mini-micro hydro power plant'!$C$13:$E$13)</f>
        <v>2</v>
      </c>
      <c r="R16" s="232" cm="1">
        <f t="array" ref="R16:R18">TRANSPOSE('Mini-micro hydro power plant'!$C$17:$E$17)/100*8760</f>
        <v>4467.6000000000004</v>
      </c>
      <c r="S16" s="254" cm="1">
        <f t="array" ref="S16:S18">TRANSPOSE('Mini-micro hydro power plant'!$C$9:$E$9)/100</f>
        <v>0.8</v>
      </c>
      <c r="T16" s="235"/>
      <c r="U16" s="235"/>
      <c r="V16" s="236"/>
      <c r="W16" s="236"/>
      <c r="X16" s="236"/>
      <c r="Y16" s="236"/>
      <c r="Z16" s="236"/>
      <c r="AA16" s="236"/>
      <c r="AB16" s="236"/>
      <c r="AC16" s="236"/>
      <c r="AD16" s="236"/>
      <c r="AE16" s="233">
        <f t="shared" si="0"/>
        <v>0.1</v>
      </c>
    </row>
    <row r="17" spans="1:31">
      <c r="A17" s="46" t="str">
        <v>Tidal</v>
      </c>
      <c r="B17" s="46" t="str">
        <v>Existing Coal Plant (Biomass Co-firing, 20%)</v>
      </c>
      <c r="D17" s="47" t="s">
        <v>20</v>
      </c>
      <c r="E17" s="47" t="s">
        <v>35</v>
      </c>
      <c r="F17" s="261">
        <v>2022</v>
      </c>
      <c r="G17" s="246">
        <v>2.5920000000000001</v>
      </c>
      <c r="H17" s="246">
        <v>58</v>
      </c>
      <c r="I17" s="523">
        <v>0.54719999999999991</v>
      </c>
      <c r="J17" s="528" t="str">
        <v>-</v>
      </c>
      <c r="K17" s="385" t="s">
        <v>200</v>
      </c>
      <c r="L17" s="1105">
        <f>IFERROR(INDEX('CO2 Emission Factors'!B:B,MATCH(K17,'CO2 Emission Factors'!A:A,0)),0)</f>
        <v>0</v>
      </c>
      <c r="M17" s="1114">
        <f>INDEX('Fuel Costs'!$AO$10:$BX$40,MATCH(O17,'Fuel Costs'!$A$10:$A$40,0),MATCH(K17,'Fuel Costs'!$AO$4:$BX$4,0))*((1+'LCOE-S Template'!$C$10)^(F17-INDEX('Fuel Costs'!$AO$2:$BX$2,MATCH(K17,'Fuel Costs'!$AO$4:$BX$4,0))))</f>
        <v>0</v>
      </c>
      <c r="N17" s="1110"/>
      <c r="O17" s="1067">
        <v>2030</v>
      </c>
      <c r="P17" s="234">
        <v>50</v>
      </c>
      <c r="Q17" s="234">
        <v>2</v>
      </c>
      <c r="R17" s="232">
        <v>4467.6000000000004</v>
      </c>
      <c r="S17" s="254">
        <v>0.8</v>
      </c>
      <c r="T17" s="235"/>
      <c r="U17" s="235"/>
      <c r="V17" s="236"/>
      <c r="W17" s="236"/>
      <c r="X17" s="236"/>
      <c r="Y17" s="236"/>
      <c r="Z17" s="236"/>
      <c r="AA17" s="236"/>
      <c r="AB17" s="236"/>
      <c r="AC17" s="236"/>
      <c r="AD17" s="236"/>
      <c r="AE17" s="233">
        <f t="shared" si="0"/>
        <v>0.1</v>
      </c>
    </row>
    <row r="18" spans="1:31" ht="15.75" thickBot="1">
      <c r="A18" s="46" t="str">
        <v>User Specified Fuel</v>
      </c>
      <c r="B18" s="46" t="str">
        <v>Existing Coal Plant (incl. lifetime extension)</v>
      </c>
      <c r="D18" s="389" t="s">
        <v>20</v>
      </c>
      <c r="E18" s="389" t="s">
        <v>35</v>
      </c>
      <c r="F18" s="406">
        <v>2022</v>
      </c>
      <c r="G18" s="247">
        <v>2.403</v>
      </c>
      <c r="H18" s="247">
        <v>54</v>
      </c>
      <c r="I18" s="524">
        <v>0.50729999999999997</v>
      </c>
      <c r="J18" s="1098" t="str">
        <v>-</v>
      </c>
      <c r="K18" s="386" t="s">
        <v>200</v>
      </c>
      <c r="L18" s="1106">
        <f>IFERROR(INDEX('CO2 Emission Factors'!B:B,MATCH(K18,'CO2 Emission Factors'!A:A,0)),0)</f>
        <v>0</v>
      </c>
      <c r="M18" s="1115">
        <f>INDEX('Fuel Costs'!$AO$10:$BX$40,MATCH(O18,'Fuel Costs'!$A$10:$A$40,0),MATCH(K18,'Fuel Costs'!$AO$4:$BX$4,0))*((1+'LCOE-S Template'!$C$10)^(F18-INDEX('Fuel Costs'!$AO$2:$BX$2,MATCH(K18,'Fuel Costs'!$AO$4:$BX$4,0))))</f>
        <v>0</v>
      </c>
      <c r="N18" s="1111"/>
      <c r="O18" s="1068">
        <v>2050</v>
      </c>
      <c r="P18" s="53">
        <v>50</v>
      </c>
      <c r="Q18" s="53">
        <v>2</v>
      </c>
      <c r="R18" s="51">
        <v>4467.6000000000004</v>
      </c>
      <c r="S18" s="255">
        <v>0.8</v>
      </c>
      <c r="T18" s="60"/>
      <c r="U18" s="60"/>
      <c r="V18" s="62"/>
      <c r="W18" s="62"/>
      <c r="X18" s="62"/>
      <c r="Y18" s="62"/>
      <c r="Z18" s="62"/>
      <c r="AA18" s="62"/>
      <c r="AB18" s="62"/>
      <c r="AC18" s="62"/>
      <c r="AD18" s="62"/>
      <c r="AE18" s="52">
        <f t="shared" si="0"/>
        <v>0.1</v>
      </c>
    </row>
    <row r="19" spans="1:31">
      <c r="A19" s="46" t="str">
        <v>Wind Turbines</v>
      </c>
      <c r="B19" s="46" t="str">
        <v>Existing Coal Plant (with CCS)</v>
      </c>
      <c r="D19" s="47" t="s">
        <v>21</v>
      </c>
      <c r="E19" s="47" t="s">
        <v>36</v>
      </c>
      <c r="F19" s="261">
        <v>2022</v>
      </c>
      <c r="G19" s="43" cm="1">
        <f t="array" ref="G19:G21">TRANSPOSE('Ground-mounted PV'!$C$29:$E$29)</f>
        <v>0.96</v>
      </c>
      <c r="H19" s="43" cm="1">
        <f t="array" ref="H19:H21">TRANSPOSE('Ground-mounted PV'!$C$32:$E$32)/1000</f>
        <v>7.5</v>
      </c>
      <c r="I19" s="521" cm="1">
        <f t="array" ref="I19:I21">TRANSPOSE('Ground-mounted PV'!$C$33:$E$33)</f>
        <v>0</v>
      </c>
      <c r="J19" s="521" cm="1">
        <f t="array" ref="J19:J21">TRANSPOSE('Ground-mounted PV'!$C$34:$E$34)</f>
        <v>0</v>
      </c>
      <c r="K19" s="385" t="s">
        <v>203</v>
      </c>
      <c r="L19" s="1105">
        <f>IFERROR(INDEX('CO2 Emission Factors'!B:B,MATCH(K19,'CO2 Emission Factors'!A:A,0)),0)</f>
        <v>0</v>
      </c>
      <c r="M19" s="1080">
        <f>INDEX('Fuel Costs'!$AO$10:$BX$40,MATCH(O19,'Fuel Costs'!$A$10:$A$40,0),MATCH(K19,'Fuel Costs'!$AO$4:$BX$4,0))*((1+'LCOE-S Template'!$C$10)^(F19-INDEX('Fuel Costs'!$AO$2:$BX$2,MATCH(K19,'Fuel Costs'!$AO$4:$BX$4,0))))</f>
        <v>0</v>
      </c>
      <c r="N19" s="1121"/>
      <c r="O19" s="5" cm="1">
        <f t="array" ref="O19:O21">TRANSPOSE('Ground-mounted PV'!$C$4:$E$4)</f>
        <v>2023</v>
      </c>
      <c r="P19" s="5" cm="1">
        <f t="array" ref="P19:P21">TRANSPOSE('Ground-mounted PV'!$C$11:$E$11)</f>
        <v>27</v>
      </c>
      <c r="Q19" s="1091" cm="1">
        <f t="array" ref="Q19:Q21">TRANSPOSE('Ground-mounted PV'!$C$12:$E$12)</f>
        <v>0.5</v>
      </c>
      <c r="R19" s="35" cm="1">
        <f t="array" ref="R19:R21">TRANSPOSE('Ground-mounted PV'!$C$16:$E$16)/100*8760</f>
        <v>1790.9999999999998</v>
      </c>
      <c r="S19" s="36"/>
      <c r="T19" s="33"/>
      <c r="U19" s="33"/>
      <c r="V19" s="33"/>
      <c r="W19" s="33"/>
      <c r="X19" s="33"/>
      <c r="Y19" s="33"/>
      <c r="Z19" s="33"/>
      <c r="AA19" s="33"/>
      <c r="AB19" s="33"/>
      <c r="AC19" s="33"/>
      <c r="AD19" s="33"/>
      <c r="AE19" s="36">
        <f t="shared" si="0"/>
        <v>0.1</v>
      </c>
    </row>
    <row r="20" spans="1:31">
      <c r="B20" s="46" t="str">
        <v>Existing Gas Plant</v>
      </c>
      <c r="D20" s="47" t="s">
        <v>21</v>
      </c>
      <c r="E20" s="47" t="s">
        <v>36</v>
      </c>
      <c r="F20" s="261">
        <v>2022</v>
      </c>
      <c r="G20" s="43">
        <v>0.67199999999999993</v>
      </c>
      <c r="H20" s="43">
        <v>6.8</v>
      </c>
      <c r="I20" s="521">
        <v>0</v>
      </c>
      <c r="J20" s="521">
        <v>0</v>
      </c>
      <c r="K20" s="385" t="s">
        <v>203</v>
      </c>
      <c r="L20" s="1105">
        <f>IFERROR(INDEX('CO2 Emission Factors'!B:B,MATCH(K20,'CO2 Emission Factors'!A:A,0)),0)</f>
        <v>0</v>
      </c>
      <c r="M20" s="1080">
        <f>INDEX('Fuel Costs'!$AO$10:$BX$40,MATCH(O20,'Fuel Costs'!$A$10:$A$40,0),MATCH(K20,'Fuel Costs'!$AO$4:$BX$4,0))*((1+'LCOE-S Template'!$C$10)^(F20-INDEX('Fuel Costs'!$AO$2:$BX$2,MATCH(K20,'Fuel Costs'!$AO$4:$BX$4,0))))</f>
        <v>0</v>
      </c>
      <c r="N20" s="1121"/>
      <c r="O20" s="5">
        <v>2030</v>
      </c>
      <c r="P20" s="5">
        <v>30</v>
      </c>
      <c r="Q20" s="1091">
        <v>0.5</v>
      </c>
      <c r="R20" s="35">
        <v>1840.7499999999998</v>
      </c>
      <c r="S20" s="36"/>
      <c r="T20" s="33"/>
      <c r="U20" s="33"/>
      <c r="V20" s="33"/>
      <c r="W20" s="33"/>
      <c r="X20" s="33"/>
      <c r="Y20" s="33"/>
      <c r="Z20" s="33"/>
      <c r="AA20" s="33"/>
      <c r="AB20" s="33"/>
      <c r="AC20" s="33"/>
      <c r="AD20" s="33"/>
      <c r="AE20" s="36">
        <f t="shared" si="0"/>
        <v>0.1</v>
      </c>
    </row>
    <row r="21" spans="1:31">
      <c r="B21" s="46" t="str">
        <v>Existing Gas Plant (Hydrogen Co-firing, 100%)</v>
      </c>
      <c r="D21" s="47" t="s">
        <v>21</v>
      </c>
      <c r="E21" s="47" t="s">
        <v>36</v>
      </c>
      <c r="F21" s="261">
        <v>2022</v>
      </c>
      <c r="G21" s="43">
        <v>0.48</v>
      </c>
      <c r="H21" s="43">
        <v>6.1</v>
      </c>
      <c r="I21" s="521">
        <v>0</v>
      </c>
      <c r="J21" s="521">
        <v>0</v>
      </c>
      <c r="K21" s="385" t="s">
        <v>203</v>
      </c>
      <c r="L21" s="1105">
        <f>IFERROR(INDEX('CO2 Emission Factors'!B:B,MATCH(K21,'CO2 Emission Factors'!A:A,0)),0)</f>
        <v>0</v>
      </c>
      <c r="M21" s="1080">
        <f>INDEX('Fuel Costs'!$AO$10:$BX$40,MATCH(O21,'Fuel Costs'!$A$10:$A$40,0),MATCH(K21,'Fuel Costs'!$AO$4:$BX$4,0))*((1+'LCOE-S Template'!$C$10)^(F21-INDEX('Fuel Costs'!$AO$2:$BX$2,MATCH(K21,'Fuel Costs'!$AO$4:$BX$4,0))))</f>
        <v>0</v>
      </c>
      <c r="N21" s="1121"/>
      <c r="O21" s="5">
        <v>2050</v>
      </c>
      <c r="P21" s="5">
        <v>35</v>
      </c>
      <c r="Q21" s="1091">
        <v>0.5</v>
      </c>
      <c r="R21" s="35">
        <v>1890.5</v>
      </c>
      <c r="S21" s="36"/>
      <c r="T21" s="33"/>
      <c r="U21" s="33"/>
      <c r="V21" s="33"/>
      <c r="W21" s="33"/>
      <c r="X21" s="33"/>
      <c r="Y21" s="33"/>
      <c r="Z21" s="33"/>
      <c r="AA21" s="33"/>
      <c r="AB21" s="33"/>
      <c r="AC21" s="33"/>
      <c r="AD21" s="33"/>
      <c r="AE21" s="36">
        <f t="shared" si="0"/>
        <v>0.1</v>
      </c>
    </row>
    <row r="22" spans="1:31">
      <c r="B22" s="46" t="str">
        <v>Existing Gas Plant (Hydrogen Co-firing, 20%)</v>
      </c>
      <c r="D22" s="47" t="s">
        <v>21</v>
      </c>
      <c r="E22" s="47" t="s">
        <v>204</v>
      </c>
      <c r="F22" s="261">
        <v>2022</v>
      </c>
      <c r="G22" s="43" cm="1">
        <f t="array" ref="G22:G24">TRANSPOSE('Rooftop PV'!$C$29:$E$29)</f>
        <v>1.2</v>
      </c>
      <c r="H22" s="43" cm="1">
        <f t="array" ref="H22:H24">TRANSPOSE('Rooftop PV'!$C$32:$E$32)/1000</f>
        <v>4.9000000000000004</v>
      </c>
      <c r="I22" s="521" cm="1">
        <f t="array" ref="I22:I24">TRANSPOSE('Rooftop PV'!$C$33:$E$33)</f>
        <v>0</v>
      </c>
      <c r="J22" s="521" cm="1">
        <f t="array" ref="J22:J24">TRANSPOSE('Rooftop PV'!$C$34:$E$34)</f>
        <v>0</v>
      </c>
      <c r="K22" s="385" t="s">
        <v>203</v>
      </c>
      <c r="L22" s="1105">
        <f>IFERROR(INDEX('CO2 Emission Factors'!B:B,MATCH(K22,'CO2 Emission Factors'!A:A,0)),0)</f>
        <v>0</v>
      </c>
      <c r="M22" s="1080">
        <f>INDEX('Fuel Costs'!$AO$10:$BX$40,MATCH(O22,'Fuel Costs'!$A$10:$A$40,0),MATCH(K22,'Fuel Costs'!$AO$4:$BX$4,0))*((1+'LCOE-S Template'!$C$10)^(F22-INDEX('Fuel Costs'!$AO$2:$BX$2,MATCH(K22,'Fuel Costs'!$AO$4:$BX$4,0))))</f>
        <v>0</v>
      </c>
      <c r="N22" s="1121"/>
      <c r="O22" s="5" cm="1">
        <f t="array" ref="O22:O24">TRANSPOSE('Rooftop PV'!$C$4:$E$4)</f>
        <v>2023</v>
      </c>
      <c r="P22" s="5" cm="1">
        <f t="array" ref="P22:P24">TRANSPOSE('Rooftop PV'!$C$11:$E$11)</f>
        <v>27</v>
      </c>
      <c r="Q22" s="1091" cm="1">
        <f t="array" ref="Q22:Q24">TRANSPOSE('Rooftop PV'!$C$12:$E$12)</f>
        <v>0.1</v>
      </c>
      <c r="R22" s="35" cm="1">
        <f t="array" ref="R22:R24">TRANSPOSE('Rooftop PV'!$C$16:$E$16)/100*8760</f>
        <v>1790.9999999999998</v>
      </c>
      <c r="S22" s="36"/>
      <c r="T22" s="33"/>
      <c r="U22" s="33"/>
      <c r="V22" s="33"/>
      <c r="W22" s="33"/>
      <c r="X22" s="33"/>
      <c r="Y22" s="33"/>
      <c r="Z22" s="33"/>
      <c r="AA22" s="33"/>
      <c r="AB22" s="33"/>
      <c r="AC22" s="33"/>
      <c r="AD22" s="33"/>
      <c r="AE22" s="36">
        <f t="shared" si="0"/>
        <v>0.1</v>
      </c>
    </row>
    <row r="23" spans="1:31">
      <c r="B23" s="46" t="str">
        <v>Existing Gas Plant (with CCS)</v>
      </c>
      <c r="D23" s="47" t="s">
        <v>21</v>
      </c>
      <c r="E23" s="47" t="s">
        <v>204</v>
      </c>
      <c r="F23" s="261">
        <v>2022</v>
      </c>
      <c r="G23" s="43">
        <v>0.84</v>
      </c>
      <c r="H23" s="43">
        <v>4.4000000000000004</v>
      </c>
      <c r="I23" s="521">
        <v>0</v>
      </c>
      <c r="J23" s="521">
        <v>0</v>
      </c>
      <c r="K23" s="385" t="s">
        <v>203</v>
      </c>
      <c r="L23" s="1105">
        <f>IFERROR(INDEX('CO2 Emission Factors'!B:B,MATCH(K23,'CO2 Emission Factors'!A:A,0)),0)</f>
        <v>0</v>
      </c>
      <c r="M23" s="1080">
        <f>INDEX('Fuel Costs'!$AO$10:$BX$40,MATCH(O23,'Fuel Costs'!$A$10:$A$40,0),MATCH(K23,'Fuel Costs'!$AO$4:$BX$4,0))*((1+'LCOE-S Template'!$C$10)^(F23-INDEX('Fuel Costs'!$AO$2:$BX$2,MATCH(K23,'Fuel Costs'!$AO$4:$BX$4,0))))</f>
        <v>0</v>
      </c>
      <c r="N23" s="1121"/>
      <c r="O23" s="5">
        <v>2030</v>
      </c>
      <c r="P23" s="5">
        <v>30</v>
      </c>
      <c r="Q23" s="1091">
        <v>0.1</v>
      </c>
      <c r="R23" s="35">
        <v>1840.7499999999998</v>
      </c>
      <c r="S23" s="36"/>
      <c r="T23" s="33"/>
      <c r="U23" s="33"/>
      <c r="V23" s="33"/>
      <c r="W23" s="33"/>
      <c r="X23" s="33"/>
      <c r="Y23" s="33"/>
      <c r="Z23" s="33"/>
      <c r="AA23" s="33"/>
      <c r="AB23" s="33"/>
      <c r="AC23" s="33"/>
      <c r="AD23" s="33"/>
      <c r="AE23" s="36">
        <f t="shared" si="0"/>
        <v>0.1</v>
      </c>
    </row>
    <row r="24" spans="1:31">
      <c r="B24" s="46" t="str">
        <v>Floating</v>
      </c>
      <c r="D24" s="47" t="s">
        <v>21</v>
      </c>
      <c r="E24" s="47" t="s">
        <v>204</v>
      </c>
      <c r="F24" s="261">
        <v>2022</v>
      </c>
      <c r="G24" s="43">
        <v>0.6</v>
      </c>
      <c r="H24" s="43">
        <v>3.9</v>
      </c>
      <c r="I24" s="521">
        <v>0</v>
      </c>
      <c r="J24" s="521">
        <v>0</v>
      </c>
      <c r="K24" s="385" t="s">
        <v>203</v>
      </c>
      <c r="L24" s="1105">
        <f>IFERROR(INDEX('CO2 Emission Factors'!B:B,MATCH(K24,'CO2 Emission Factors'!A:A,0)),0)</f>
        <v>0</v>
      </c>
      <c r="M24" s="1080">
        <f>INDEX('Fuel Costs'!$AO$10:$BX$40,MATCH(O24,'Fuel Costs'!$A$10:$A$40,0),MATCH(K24,'Fuel Costs'!$AO$4:$BX$4,0))*((1+'LCOE-S Template'!$C$10)^(F24-INDEX('Fuel Costs'!$AO$2:$BX$2,MATCH(K24,'Fuel Costs'!$AO$4:$BX$4,0))))</f>
        <v>0</v>
      </c>
      <c r="N24" s="1121"/>
      <c r="O24" s="5">
        <v>2050</v>
      </c>
      <c r="P24" s="5">
        <v>35</v>
      </c>
      <c r="Q24" s="1091">
        <v>0.1</v>
      </c>
      <c r="R24" s="35">
        <v>1890.5</v>
      </c>
      <c r="S24" s="36"/>
      <c r="T24" s="33"/>
      <c r="U24" s="33"/>
      <c r="V24" s="33"/>
      <c r="W24" s="33"/>
      <c r="X24" s="33"/>
      <c r="Y24" s="33"/>
      <c r="Z24" s="33"/>
      <c r="AA24" s="33"/>
      <c r="AB24" s="33"/>
      <c r="AC24" s="33"/>
      <c r="AD24" s="33"/>
      <c r="AE24" s="36">
        <f t="shared" si="0"/>
        <v>0.1</v>
      </c>
    </row>
    <row r="25" spans="1:31">
      <c r="B25" s="46" t="str">
        <v>Floating PV</v>
      </c>
      <c r="D25" s="47" t="s">
        <v>21</v>
      </c>
      <c r="E25" s="47" t="s">
        <v>143</v>
      </c>
      <c r="F25" s="261">
        <v>2022</v>
      </c>
      <c r="G25" s="43" cm="1">
        <f t="array" ref="G25:G27">TRANSPOSE('Industrial PV'!$C$29:$E$29)</f>
        <v>1.08</v>
      </c>
      <c r="H25" s="43" cm="1">
        <f t="array" ref="H25:H27">TRANSPOSE('Industrial PV'!$C$32:$E$32)/1000</f>
        <v>4.7</v>
      </c>
      <c r="I25" s="521" cm="1">
        <f t="array" ref="I25:I27">TRANSPOSE('Industrial PV'!$C$33:$E$33)</f>
        <v>0</v>
      </c>
      <c r="J25" s="521" cm="1">
        <f t="array" ref="J25:J27">TRANSPOSE('Industrial PV'!$C$34:$E$34)</f>
        <v>0</v>
      </c>
      <c r="K25" s="385" t="s">
        <v>203</v>
      </c>
      <c r="L25" s="1105">
        <f>IFERROR(INDEX('CO2 Emission Factors'!B:B,MATCH(K25,'CO2 Emission Factors'!A:A,0)),0)</f>
        <v>0</v>
      </c>
      <c r="M25" s="1080">
        <f>INDEX('Fuel Costs'!$AO$10:$BX$40,MATCH(O25,'Fuel Costs'!$A$10:$A$40,0),MATCH(K25,'Fuel Costs'!$AO$4:$BX$4,0))*((1+'LCOE-S Template'!$C$10)^(F25-INDEX('Fuel Costs'!$AO$2:$BX$2,MATCH(K25,'Fuel Costs'!$AO$4:$BX$4,0))))</f>
        <v>0</v>
      </c>
      <c r="N25" s="1121"/>
      <c r="O25" s="5" cm="1">
        <f t="array" ref="O25:O27">TRANSPOSE('Industrial PV'!$C$4:$E$4)</f>
        <v>2023</v>
      </c>
      <c r="P25" s="5" cm="1">
        <f t="array" ref="P25:P27">TRANSPOSE('Industrial PV'!$C$11:$E$11)</f>
        <v>27</v>
      </c>
      <c r="Q25" s="1091" cm="1">
        <f t="array" ref="Q25:Q27">TRANSPOSE('Industrial PV'!$C$12:$E$12)</f>
        <v>0.5</v>
      </c>
      <c r="R25" s="35" cm="1">
        <f t="array" ref="R25:R27">TRANSPOSE('Industrial PV'!$C$16:$E$16)/100*8760</f>
        <v>1790.9999999999998</v>
      </c>
      <c r="S25" s="36"/>
      <c r="T25" s="33"/>
      <c r="U25" s="33"/>
      <c r="V25" s="33"/>
      <c r="W25" s="33"/>
      <c r="X25" s="33"/>
      <c r="Y25" s="33"/>
      <c r="Z25" s="33"/>
      <c r="AA25" s="33"/>
      <c r="AB25" s="33"/>
      <c r="AC25" s="33"/>
      <c r="AD25" s="33"/>
      <c r="AE25" s="36">
        <f t="shared" si="0"/>
        <v>0.1</v>
      </c>
    </row>
    <row r="26" spans="1:31">
      <c r="B26" s="46" t="str">
        <v>Fuel oil</v>
      </c>
      <c r="D26" s="47" t="s">
        <v>21</v>
      </c>
      <c r="E26" s="47" t="s">
        <v>143</v>
      </c>
      <c r="F26" s="261">
        <v>2022</v>
      </c>
      <c r="G26" s="43">
        <v>0.75600000000000001</v>
      </c>
      <c r="H26" s="43">
        <v>4.2</v>
      </c>
      <c r="I26" s="521">
        <v>0</v>
      </c>
      <c r="J26" s="521">
        <v>0</v>
      </c>
      <c r="K26" s="385" t="s">
        <v>203</v>
      </c>
      <c r="L26" s="1105">
        <f>IFERROR(INDEX('CO2 Emission Factors'!B:B,MATCH(K26,'CO2 Emission Factors'!A:A,0)),0)</f>
        <v>0</v>
      </c>
      <c r="M26" s="1080">
        <f>INDEX('Fuel Costs'!$AO$10:$BX$40,MATCH(O26,'Fuel Costs'!$A$10:$A$40,0),MATCH(K26,'Fuel Costs'!$AO$4:$BX$4,0))*((1+'LCOE-S Template'!$C$10)^(F26-INDEX('Fuel Costs'!$AO$2:$BX$2,MATCH(K26,'Fuel Costs'!$AO$4:$BX$4,0))))</f>
        <v>0</v>
      </c>
      <c r="N26" s="1121"/>
      <c r="O26" s="5">
        <v>2030</v>
      </c>
      <c r="P26" s="5">
        <v>30</v>
      </c>
      <c r="Q26" s="1091">
        <v>0.5</v>
      </c>
      <c r="R26" s="35">
        <v>1840.7499999999998</v>
      </c>
      <c r="S26" s="36"/>
      <c r="T26" s="33"/>
      <c r="U26" s="33"/>
      <c r="V26" s="33"/>
      <c r="W26" s="33"/>
      <c r="X26" s="33"/>
      <c r="Y26" s="33"/>
      <c r="Z26" s="33"/>
      <c r="AA26" s="33"/>
      <c r="AB26" s="33"/>
      <c r="AC26" s="33"/>
      <c r="AD26" s="33"/>
      <c r="AE26" s="36">
        <f t="shared" si="0"/>
        <v>0.1</v>
      </c>
    </row>
    <row r="27" spans="1:31">
      <c r="B27" s="46" t="str">
        <v>Ground mounted</v>
      </c>
      <c r="D27" s="47" t="s">
        <v>21</v>
      </c>
      <c r="E27" s="47" t="s">
        <v>143</v>
      </c>
      <c r="F27" s="261">
        <v>2022</v>
      </c>
      <c r="G27" s="43">
        <v>0.54</v>
      </c>
      <c r="H27" s="43">
        <v>3.7</v>
      </c>
      <c r="I27" s="521">
        <v>0</v>
      </c>
      <c r="J27" s="521">
        <v>0</v>
      </c>
      <c r="K27" s="385" t="s">
        <v>203</v>
      </c>
      <c r="L27" s="1105">
        <f>IFERROR(INDEX('CO2 Emission Factors'!B:B,MATCH(K27,'CO2 Emission Factors'!A:A,0)),0)</f>
        <v>0</v>
      </c>
      <c r="M27" s="1080">
        <f>INDEX('Fuel Costs'!$AO$10:$BX$40,MATCH(O27,'Fuel Costs'!$A$10:$A$40,0),MATCH(K27,'Fuel Costs'!$AO$4:$BX$4,0))*((1+'LCOE-S Template'!$C$10)^(F27-INDEX('Fuel Costs'!$AO$2:$BX$2,MATCH(K27,'Fuel Costs'!$AO$4:$BX$4,0))))</f>
        <v>0</v>
      </c>
      <c r="N27" s="1121"/>
      <c r="O27" s="5">
        <v>2050</v>
      </c>
      <c r="P27" s="5">
        <v>35</v>
      </c>
      <c r="Q27" s="1091">
        <v>0.5</v>
      </c>
      <c r="R27" s="35">
        <v>1890.5</v>
      </c>
      <c r="S27" s="36"/>
      <c r="T27" s="33"/>
      <c r="U27" s="33"/>
      <c r="V27" s="33"/>
      <c r="W27" s="33"/>
      <c r="X27" s="33"/>
      <c r="Y27" s="33"/>
      <c r="Z27" s="33"/>
      <c r="AA27" s="33"/>
      <c r="AB27" s="33"/>
      <c r="AC27" s="33"/>
      <c r="AD27" s="33"/>
      <c r="AE27" s="36">
        <f t="shared" si="0"/>
        <v>0.1</v>
      </c>
    </row>
    <row r="28" spans="1:31">
      <c r="B28" s="46" t="str">
        <v>IGCC</v>
      </c>
      <c r="D28" s="47" t="s">
        <v>21</v>
      </c>
      <c r="E28" s="47" t="s">
        <v>37</v>
      </c>
      <c r="F28" s="261">
        <v>2022</v>
      </c>
      <c r="G28" s="43" cm="1">
        <f t="array" ref="G28:G30">TRANSPOSE('Floating PV'!$C$29:$E$29)</f>
        <v>1.2</v>
      </c>
      <c r="H28" s="43" cm="1">
        <f t="array" ref="H28:H30">TRANSPOSE('Floating PV'!$C$32:$E$32)/1000</f>
        <v>9</v>
      </c>
      <c r="I28" s="521" cm="1">
        <f t="array" ref="I28:I30">TRANSPOSE('Floating PV'!$C$33:$E$33)</f>
        <v>0</v>
      </c>
      <c r="J28" s="521" cm="1">
        <f t="array" ref="J28:J30">TRANSPOSE('Floating PV'!$C$34:$E$34)</f>
        <v>0</v>
      </c>
      <c r="K28" s="385" t="s">
        <v>203</v>
      </c>
      <c r="L28" s="1105">
        <f>IFERROR(INDEX('CO2 Emission Factors'!B:B,MATCH(K28,'CO2 Emission Factors'!A:A,0)),0)</f>
        <v>0</v>
      </c>
      <c r="M28" s="1080">
        <f>INDEX('Fuel Costs'!$AO$10:$BX$40,MATCH(O28,'Fuel Costs'!$A$10:$A$40,0),MATCH(K28,'Fuel Costs'!$AO$4:$BX$4,0))*((1+'LCOE-S Template'!$C$10)^(F28-INDEX('Fuel Costs'!$AO$2:$BX$2,MATCH(K28,'Fuel Costs'!$AO$4:$BX$4,0))))</f>
        <v>0</v>
      </c>
      <c r="N28" s="1121"/>
      <c r="O28" s="5" cm="1">
        <f t="array" ref="O28:O30">TRANSPOSE('Floating PV'!$C$4:$E$4)</f>
        <v>2023</v>
      </c>
      <c r="P28" s="5" cm="1">
        <f t="array" ref="P28:P30">TRANSPOSE('Floating PV'!$C$11:$E$11)</f>
        <v>27</v>
      </c>
      <c r="Q28" s="1091" cm="1">
        <f t="array" ref="Q28:Q30">TRANSPOSE('Floating PV'!$C$12:$E$12)</f>
        <v>0.5</v>
      </c>
      <c r="R28" s="35" cm="1">
        <f t="array" ref="R28:R30">TRANSPOSE('Floating PV'!$C$16:$E$16)/100*8760</f>
        <v>1840.7499999999998</v>
      </c>
      <c r="S28" s="36"/>
      <c r="T28" s="33"/>
      <c r="U28" s="33"/>
      <c r="V28" s="33"/>
      <c r="W28" s="33"/>
      <c r="X28" s="33"/>
      <c r="Y28" s="33"/>
      <c r="Z28" s="33"/>
      <c r="AA28" s="33"/>
      <c r="AB28" s="33"/>
      <c r="AC28" s="33"/>
      <c r="AD28" s="33"/>
      <c r="AE28" s="36">
        <f t="shared" si="0"/>
        <v>0.1</v>
      </c>
    </row>
    <row r="29" spans="1:31">
      <c r="B29" s="46" t="str">
        <v>IGCC (CCS)</v>
      </c>
      <c r="D29" s="47" t="s">
        <v>21</v>
      </c>
      <c r="E29" s="47" t="s">
        <v>37</v>
      </c>
      <c r="F29" s="261">
        <v>2022</v>
      </c>
      <c r="G29" s="43">
        <v>0.73919999999999997</v>
      </c>
      <c r="H29" s="43">
        <v>7.5</v>
      </c>
      <c r="I29" s="521">
        <v>0</v>
      </c>
      <c r="J29" s="521">
        <v>0</v>
      </c>
      <c r="K29" s="385" t="s">
        <v>203</v>
      </c>
      <c r="L29" s="1105">
        <f>IFERROR(INDEX('CO2 Emission Factors'!B:B,MATCH(K29,'CO2 Emission Factors'!A:A,0)),0)</f>
        <v>0</v>
      </c>
      <c r="M29" s="1080">
        <f>INDEX('Fuel Costs'!$AO$10:$BX$40,MATCH(O29,'Fuel Costs'!$A$10:$A$40,0),MATCH(K29,'Fuel Costs'!$AO$4:$BX$4,0))*((1+'LCOE-S Template'!$C$10)^(F29-INDEX('Fuel Costs'!$AO$2:$BX$2,MATCH(K29,'Fuel Costs'!$AO$4:$BX$4,0))))</f>
        <v>0</v>
      </c>
      <c r="N29" s="1121"/>
      <c r="O29" s="5">
        <v>2030</v>
      </c>
      <c r="P29" s="5">
        <v>30</v>
      </c>
      <c r="Q29" s="1091">
        <v>0.5</v>
      </c>
      <c r="R29" s="35">
        <v>1890.5</v>
      </c>
      <c r="S29" s="36"/>
      <c r="T29" s="33"/>
      <c r="U29" s="33"/>
      <c r="V29" s="33"/>
      <c r="W29" s="33"/>
      <c r="X29" s="33"/>
      <c r="Y29" s="33"/>
      <c r="Z29" s="33"/>
      <c r="AA29" s="33"/>
      <c r="AB29" s="33"/>
      <c r="AC29" s="33"/>
      <c r="AD29" s="33"/>
      <c r="AE29" s="36">
        <f t="shared" si="0"/>
        <v>0.1</v>
      </c>
    </row>
    <row r="30" spans="1:31" ht="15.75" thickBot="1">
      <c r="B30" s="46" t="str">
        <v>IGCC (incl. lifetime extension)</v>
      </c>
      <c r="D30" s="389" t="s">
        <v>21</v>
      </c>
      <c r="E30" s="389" t="s">
        <v>37</v>
      </c>
      <c r="F30" s="406">
        <v>2022</v>
      </c>
      <c r="G30" s="247">
        <v>0.48</v>
      </c>
      <c r="H30" s="247">
        <v>6.1</v>
      </c>
      <c r="I30" s="524">
        <v>0</v>
      </c>
      <c r="J30" s="524">
        <v>0</v>
      </c>
      <c r="K30" s="386" t="s">
        <v>203</v>
      </c>
      <c r="L30" s="1106">
        <f>IFERROR(INDEX('CO2 Emission Factors'!B:B,MATCH(K30,'CO2 Emission Factors'!A:A,0)),0)</f>
        <v>0</v>
      </c>
      <c r="M30" s="1115">
        <f>INDEX('Fuel Costs'!$AO$10:$BX$40,MATCH(O30,'Fuel Costs'!$A$10:$A$40,0),MATCH(K30,'Fuel Costs'!$AO$4:$BX$4,0))*((1+'LCOE-S Template'!$C$10)^(F30-INDEX('Fuel Costs'!$AO$2:$BX$2,MATCH(K30,'Fuel Costs'!$AO$4:$BX$4,0))))</f>
        <v>0</v>
      </c>
      <c r="N30" s="1122"/>
      <c r="O30" s="49">
        <v>2050</v>
      </c>
      <c r="P30" s="49">
        <v>35</v>
      </c>
      <c r="Q30" s="53">
        <v>0.5</v>
      </c>
      <c r="R30" s="51">
        <v>1989.9999999999998</v>
      </c>
      <c r="S30" s="52"/>
      <c r="T30" s="244"/>
      <c r="U30" s="244"/>
      <c r="V30" s="244"/>
      <c r="W30" s="244"/>
      <c r="X30" s="244"/>
      <c r="Y30" s="244"/>
      <c r="Z30" s="244"/>
      <c r="AA30" s="244"/>
      <c r="AB30" s="244"/>
      <c r="AC30" s="244"/>
      <c r="AD30" s="244"/>
      <c r="AE30" s="52">
        <f t="shared" si="0"/>
        <v>0.1</v>
      </c>
    </row>
    <row r="31" spans="1:31">
      <c r="B31" s="46" t="str">
        <v>Impoundment</v>
      </c>
      <c r="D31" s="315" t="s">
        <v>22</v>
      </c>
      <c r="E31" s="47" t="s">
        <v>38</v>
      </c>
      <c r="F31" s="261">
        <v>2022</v>
      </c>
      <c r="G31" s="43" cm="1">
        <f t="array" ref="G31:G33">TRANSPOSE('Wind Onshore'!$C$31:$E$31)</f>
        <v>1.65</v>
      </c>
      <c r="H31" s="43" cm="1">
        <f t="array" ref="H31:H33">TRANSPOSE('Wind Onshore'!$C$34:$E$34)/1000</f>
        <v>40</v>
      </c>
      <c r="I31" s="521" cm="1">
        <f t="array" ref="I31:I33">TRANSPOSE('Wind Onshore'!$C$35:$E$35)</f>
        <v>0</v>
      </c>
      <c r="J31" s="521" cm="1">
        <f t="array" ref="J31:J33">TRANSPOSE('Wind Onshore'!$C$36:$E$36)</f>
        <v>0</v>
      </c>
      <c r="K31" s="385" t="s">
        <v>205</v>
      </c>
      <c r="L31" s="1105">
        <f>IFERROR(INDEX('CO2 Emission Factors'!B:B,MATCH(K31,'CO2 Emission Factors'!A:A,0)),0)</f>
        <v>0</v>
      </c>
      <c r="M31" s="1080">
        <f>INDEX('Fuel Costs'!$AO$10:$BX$40,MATCH(O31,'Fuel Costs'!$A$10:$A$40,0),MATCH(K31,'Fuel Costs'!$AO$4:$BX$4,0))*((1+'LCOE-S Template'!$C$10)^(F31-INDEX('Fuel Costs'!$AO$2:$BX$2,MATCH(K31,'Fuel Costs'!$AO$4:$BX$4,0))))</f>
        <v>0</v>
      </c>
      <c r="N31" s="1121"/>
      <c r="O31" s="5" cm="1">
        <f t="array" ref="O31:O33">TRANSPOSE('Wind Onshore'!$C$4:$E$4)</f>
        <v>2023</v>
      </c>
      <c r="P31" s="5" cm="1">
        <f t="array" ref="P31:P33">TRANSPOSE('Wind Onshore'!$C$13:$E$13)</f>
        <v>27</v>
      </c>
      <c r="Q31" s="1091" cm="1">
        <f t="array" ref="Q31:Q33">TRANSPOSE('Wind Onshore'!$C$14:$E$14)</f>
        <v>1.5</v>
      </c>
      <c r="R31" s="35" cm="1">
        <f t="array" ref="R31:R33">TRANSPOSE('Wind Onshore'!$C$18:$E$18)/100*8760</f>
        <v>2384.1215999999999</v>
      </c>
      <c r="S31" s="36"/>
      <c r="T31" s="33"/>
      <c r="U31" s="33"/>
      <c r="V31" s="33"/>
      <c r="W31" s="33"/>
      <c r="X31" s="33"/>
      <c r="Y31" s="33"/>
      <c r="Z31" s="33"/>
      <c r="AA31" s="33"/>
      <c r="AB31" s="33"/>
      <c r="AC31" s="33"/>
      <c r="AD31" s="33"/>
      <c r="AE31" s="36">
        <f t="shared" si="0"/>
        <v>0.1</v>
      </c>
    </row>
    <row r="32" spans="1:31">
      <c r="B32" s="46" t="str">
        <v>Incineration</v>
      </c>
      <c r="D32" s="315" t="s">
        <v>22</v>
      </c>
      <c r="E32" s="47" t="s">
        <v>38</v>
      </c>
      <c r="F32" s="261">
        <v>2022</v>
      </c>
      <c r="G32" s="43">
        <v>1.2</v>
      </c>
      <c r="H32" s="43">
        <v>36</v>
      </c>
      <c r="I32" s="521">
        <v>0</v>
      </c>
      <c r="J32" s="521">
        <v>0</v>
      </c>
      <c r="K32" s="385" t="s">
        <v>205</v>
      </c>
      <c r="L32" s="1105">
        <f>IFERROR(INDEX('CO2 Emission Factors'!B:B,MATCH(K32,'CO2 Emission Factors'!A:A,0)),0)</f>
        <v>0</v>
      </c>
      <c r="M32" s="1080">
        <f>INDEX('Fuel Costs'!$AO$10:$BX$40,MATCH(O32,'Fuel Costs'!$A$10:$A$40,0),MATCH(K32,'Fuel Costs'!$AO$4:$BX$4,0))*((1+'LCOE-S Template'!$C$10)^(F32-INDEX('Fuel Costs'!$AO$2:$BX$2,MATCH(K32,'Fuel Costs'!$AO$4:$BX$4,0))))</f>
        <v>0</v>
      </c>
      <c r="N32" s="1121"/>
      <c r="O32" s="5">
        <v>2030</v>
      </c>
      <c r="P32" s="5">
        <v>30</v>
      </c>
      <c r="Q32" s="1091">
        <v>1.5</v>
      </c>
      <c r="R32" s="35">
        <v>2738.6832738461535</v>
      </c>
      <c r="S32" s="36"/>
      <c r="T32" s="33"/>
      <c r="U32" s="33"/>
      <c r="V32" s="33"/>
      <c r="W32" s="33"/>
      <c r="X32" s="33"/>
      <c r="Y32" s="33"/>
      <c r="Z32" s="33"/>
      <c r="AA32" s="33"/>
      <c r="AB32" s="33"/>
      <c r="AC32" s="33"/>
      <c r="AD32" s="33"/>
      <c r="AE32" s="36">
        <f t="shared" si="0"/>
        <v>0.1</v>
      </c>
    </row>
    <row r="33" spans="2:31">
      <c r="B33" s="46" t="str">
        <v>Industrial</v>
      </c>
      <c r="D33" s="315" t="s">
        <v>22</v>
      </c>
      <c r="E33" s="47" t="s">
        <v>38</v>
      </c>
      <c r="F33" s="261">
        <v>2022</v>
      </c>
      <c r="G33" s="43">
        <v>0.95</v>
      </c>
      <c r="H33" s="43">
        <v>30</v>
      </c>
      <c r="I33" s="521">
        <v>0</v>
      </c>
      <c r="J33" s="521">
        <v>0</v>
      </c>
      <c r="K33" s="385" t="s">
        <v>205</v>
      </c>
      <c r="L33" s="1105">
        <f>IFERROR(INDEX('CO2 Emission Factors'!B:B,MATCH(K33,'CO2 Emission Factors'!A:A,0)),0)</f>
        <v>0</v>
      </c>
      <c r="M33" s="1080">
        <f>INDEX('Fuel Costs'!$AO$10:$BX$40,MATCH(O33,'Fuel Costs'!$A$10:$A$40,0),MATCH(K33,'Fuel Costs'!$AO$4:$BX$4,0))*((1+'LCOE-S Template'!$C$10)^(F33-INDEX('Fuel Costs'!$AO$2:$BX$2,MATCH(K33,'Fuel Costs'!$AO$4:$BX$4,0))))</f>
        <v>0</v>
      </c>
      <c r="N33" s="1121"/>
      <c r="O33" s="5">
        <v>2050</v>
      </c>
      <c r="P33" s="5">
        <v>30</v>
      </c>
      <c r="Q33" s="1091">
        <v>1.5</v>
      </c>
      <c r="R33" s="35">
        <v>3081.018683076923</v>
      </c>
      <c r="S33" s="36"/>
      <c r="T33" s="33"/>
      <c r="U33" s="33"/>
      <c r="V33" s="33"/>
      <c r="W33" s="33"/>
      <c r="X33" s="33"/>
      <c r="Y33" s="33"/>
      <c r="Z33" s="33"/>
      <c r="AA33" s="33"/>
      <c r="AB33" s="33"/>
      <c r="AC33" s="33"/>
      <c r="AD33" s="33"/>
      <c r="AE33" s="36">
        <f t="shared" si="0"/>
        <v>0.1</v>
      </c>
    </row>
    <row r="34" spans="2:31">
      <c r="B34" s="46" t="str">
        <v>Landfill</v>
      </c>
      <c r="D34" s="315" t="s">
        <v>22</v>
      </c>
      <c r="E34" s="47" t="s">
        <v>144</v>
      </c>
      <c r="F34" s="261">
        <v>2022</v>
      </c>
      <c r="G34" s="43" cm="1">
        <f t="array" ref="G34:G36">TRANSPOSE('Small wind onshore'!$C$30:$E$30)</f>
        <v>4.2</v>
      </c>
      <c r="H34" s="43" cm="1">
        <f t="array" ref="H34:H36">TRANSPOSE('Small wind onshore'!$C$33:$E$33)/1000</f>
        <v>83.447999999999993</v>
      </c>
      <c r="I34" s="521" cm="1">
        <f t="array" ref="I34:I36">TRANSPOSE('Small wind onshore'!$C$34:$E$34)</f>
        <v>0</v>
      </c>
      <c r="J34" s="521" cm="1">
        <f t="array" ref="J34:J36">TRANSPOSE('Small wind onshore'!$C$35:$E$35)</f>
        <v>0</v>
      </c>
      <c r="K34" s="385" t="s">
        <v>205</v>
      </c>
      <c r="L34" s="1105">
        <f>IFERROR(INDEX('CO2 Emission Factors'!B:B,MATCH(K34,'CO2 Emission Factors'!A:A,0)),0)</f>
        <v>0</v>
      </c>
      <c r="M34" s="1080">
        <f>INDEX('Fuel Costs'!$AO$10:$BX$40,MATCH(O34,'Fuel Costs'!$A$10:$A$40,0),MATCH(K34,'Fuel Costs'!$AO$4:$BX$4,0))*((1+'LCOE-S Template'!$C$10)^(F34-INDEX('Fuel Costs'!$AO$2:$BX$2,MATCH(K34,'Fuel Costs'!$AO$4:$BX$4,0))))</f>
        <v>0</v>
      </c>
      <c r="N34" s="1121"/>
      <c r="O34" s="5" cm="1">
        <f t="array" ref="O34:O36">TRANSPOSE('Small wind onshore'!$C$4:$E$4)</f>
        <v>2023</v>
      </c>
      <c r="P34" s="5" cm="1">
        <f t="array" ref="P34:P36">TRANSPOSE('Small wind onshore'!$C$12:$E$12)</f>
        <v>27</v>
      </c>
      <c r="Q34" s="1091" cm="1">
        <f t="array" ref="Q34:Q36">TRANSPOSE('Small wind onshore'!$C$13:$E$13)</f>
        <v>1</v>
      </c>
      <c r="R34" s="35" cm="1">
        <f t="array" ref="R34:R36">TRANSPOSE('Small wind onshore'!$C$17:$E$17)/100*8760</f>
        <v>2384.1215999999999</v>
      </c>
      <c r="S34" s="36"/>
      <c r="T34" s="33"/>
      <c r="U34" s="33"/>
      <c r="V34" s="33"/>
      <c r="W34" s="33"/>
      <c r="X34" s="33"/>
      <c r="Y34" s="33"/>
      <c r="Z34" s="33"/>
      <c r="AA34" s="33"/>
      <c r="AB34" s="33"/>
      <c r="AC34" s="33"/>
      <c r="AD34" s="33"/>
      <c r="AE34" s="36">
        <f t="shared" si="0"/>
        <v>0.1</v>
      </c>
    </row>
    <row r="35" spans="2:31">
      <c r="B35" s="46" t="str">
        <v>Large</v>
      </c>
      <c r="D35" s="315" t="s">
        <v>22</v>
      </c>
      <c r="E35" s="47" t="s">
        <v>144</v>
      </c>
      <c r="F35" s="261">
        <v>2022</v>
      </c>
      <c r="G35" s="43">
        <v>3.57</v>
      </c>
      <c r="H35" s="43">
        <v>70.900000000000006</v>
      </c>
      <c r="I35" s="521">
        <v>0</v>
      </c>
      <c r="J35" s="521">
        <v>0</v>
      </c>
      <c r="K35" s="385" t="s">
        <v>205</v>
      </c>
      <c r="L35" s="1105">
        <f>IFERROR(INDEX('CO2 Emission Factors'!B:B,MATCH(K35,'CO2 Emission Factors'!A:A,0)),0)</f>
        <v>0</v>
      </c>
      <c r="M35" s="1080">
        <f>INDEX('Fuel Costs'!$AO$10:$BX$40,MATCH(O35,'Fuel Costs'!$A$10:$A$40,0),MATCH(K35,'Fuel Costs'!$AO$4:$BX$4,0))*((1+'LCOE-S Template'!$C$10)^(F35-INDEX('Fuel Costs'!$AO$2:$BX$2,MATCH(K35,'Fuel Costs'!$AO$4:$BX$4,0))))</f>
        <v>0</v>
      </c>
      <c r="N35" s="1121"/>
      <c r="O35" s="5">
        <v>2030</v>
      </c>
      <c r="P35" s="5">
        <v>30</v>
      </c>
      <c r="Q35" s="1091">
        <v>1</v>
      </c>
      <c r="R35" s="35">
        <v>2738.6832738461535</v>
      </c>
      <c r="S35" s="36"/>
      <c r="T35" s="33"/>
      <c r="U35" s="33"/>
      <c r="V35" s="33"/>
      <c r="W35" s="33"/>
      <c r="X35" s="33"/>
      <c r="Y35" s="33"/>
      <c r="Z35" s="33"/>
      <c r="AA35" s="33"/>
      <c r="AB35" s="33"/>
      <c r="AC35" s="33"/>
      <c r="AD35" s="33"/>
      <c r="AE35" s="36">
        <f t="shared" si="0"/>
        <v>0.1</v>
      </c>
    </row>
    <row r="36" spans="2:31">
      <c r="B36" s="46" t="str">
        <v>Large (Flash or Dry)</v>
      </c>
      <c r="D36" s="315" t="s">
        <v>22</v>
      </c>
      <c r="E36" s="47" t="s">
        <v>144</v>
      </c>
      <c r="F36" s="261">
        <v>2022</v>
      </c>
      <c r="G36" s="43">
        <v>3.024</v>
      </c>
      <c r="H36" s="43">
        <v>60.1</v>
      </c>
      <c r="I36" s="521">
        <v>0</v>
      </c>
      <c r="J36" s="521">
        <v>0</v>
      </c>
      <c r="K36" s="385" t="s">
        <v>205</v>
      </c>
      <c r="L36" s="1105">
        <f>IFERROR(INDEX('CO2 Emission Factors'!B:B,MATCH(K36,'CO2 Emission Factors'!A:A,0)),0)</f>
        <v>0</v>
      </c>
      <c r="M36" s="1080">
        <f>INDEX('Fuel Costs'!$AO$10:$BX$40,MATCH(O36,'Fuel Costs'!$A$10:$A$40,0),MATCH(K36,'Fuel Costs'!$AO$4:$BX$4,0))*((1+'LCOE-S Template'!$C$10)^(F36-INDEX('Fuel Costs'!$AO$2:$BX$2,MATCH(K36,'Fuel Costs'!$AO$4:$BX$4,0))))</f>
        <v>0</v>
      </c>
      <c r="N36" s="1121"/>
      <c r="O36" s="5">
        <v>2050</v>
      </c>
      <c r="P36" s="5">
        <v>30</v>
      </c>
      <c r="Q36" s="1091">
        <v>1</v>
      </c>
      <c r="R36" s="35">
        <v>3081.018683076923</v>
      </c>
      <c r="S36" s="36"/>
      <c r="T36" s="33"/>
      <c r="U36" s="33"/>
      <c r="V36" s="33"/>
      <c r="W36" s="33"/>
      <c r="X36" s="33"/>
      <c r="Y36" s="33"/>
      <c r="Z36" s="33"/>
      <c r="AA36" s="33"/>
      <c r="AB36" s="33"/>
      <c r="AC36" s="33"/>
      <c r="AD36" s="33"/>
      <c r="AE36" s="36">
        <f t="shared" si="0"/>
        <v>0.1</v>
      </c>
    </row>
    <row r="37" spans="2:31">
      <c r="B37" s="46" t="str">
        <v>Medium/Small</v>
      </c>
      <c r="D37" s="315" t="s">
        <v>22</v>
      </c>
      <c r="E37" s="47" t="s">
        <v>39</v>
      </c>
      <c r="F37" s="261">
        <v>2022</v>
      </c>
      <c r="G37" s="43" cm="1">
        <f t="array" ref="G37:G39">TRANSPOSE('Wind Offshore'!$C$31:$E$31)</f>
        <v>4.0999999999999996</v>
      </c>
      <c r="H37" s="43" cm="1">
        <f t="array" ref="H37:H39">TRANSPOSE('Wind Offshore'!$C$34:$E$34)/1000</f>
        <v>118.76788796025376</v>
      </c>
      <c r="I37" s="521" cm="1">
        <f t="array" ref="I37:I39">TRANSPOSE('Wind Offshore'!$C$35:$E$35)</f>
        <v>5.5</v>
      </c>
      <c r="J37" s="521" cm="1">
        <f t="array" ref="J37:J39">TRANSPOSE('Wind Offshore'!$C$36:$E$36)</f>
        <v>0</v>
      </c>
      <c r="K37" s="385" t="s">
        <v>206</v>
      </c>
      <c r="L37" s="1105">
        <f>IFERROR(INDEX('CO2 Emission Factors'!B:B,MATCH(K37,'CO2 Emission Factors'!A:A,0)),0)</f>
        <v>0</v>
      </c>
      <c r="M37" s="1080">
        <f>INDEX('Fuel Costs'!$AO$10:$BX$40,MATCH(O37,'Fuel Costs'!$A$10:$A$40,0),MATCH(K37,'Fuel Costs'!$AO$4:$BX$4,0))*((1+'LCOE-S Template'!$C$10)^(F37-INDEX('Fuel Costs'!$AO$2:$BX$2,MATCH(K37,'Fuel Costs'!$AO$4:$BX$4,0))))</f>
        <v>0</v>
      </c>
      <c r="N37" s="1121"/>
      <c r="O37" s="5" cm="1">
        <f t="array" ref="O37:O39">TRANSPOSE('Wind Offshore'!$C$4:$E$4)</f>
        <v>2023</v>
      </c>
      <c r="P37" s="5" cm="1">
        <f t="array" ref="P37:P39">TRANSPOSE('Wind Offshore'!$C$13:$E$13)</f>
        <v>27</v>
      </c>
      <c r="Q37" s="1091" cm="1">
        <f t="array" ref="Q37:Q39">TRANSPOSE('Wind Offshore'!$C$14:$E$14)</f>
        <v>3</v>
      </c>
      <c r="R37" s="35" cm="1">
        <f t="array" ref="R37:R39">TRANSPOSE('Wind Offshore'!$C$17:$E$17)*8760</f>
        <v>3066</v>
      </c>
      <c r="S37" s="36"/>
      <c r="T37" s="33"/>
      <c r="U37" s="33"/>
      <c r="V37" s="33"/>
      <c r="W37" s="33"/>
      <c r="X37" s="33"/>
      <c r="Y37" s="33"/>
      <c r="Z37" s="33"/>
      <c r="AA37" s="33"/>
      <c r="AB37" s="33"/>
      <c r="AC37" s="33"/>
      <c r="AD37" s="33"/>
      <c r="AE37" s="36">
        <f t="shared" si="0"/>
        <v>0.1</v>
      </c>
    </row>
    <row r="38" spans="2:31">
      <c r="B38" s="46" t="str">
        <v>Micro/Mini</v>
      </c>
      <c r="D38" s="315" t="s">
        <v>22</v>
      </c>
      <c r="E38" s="47" t="s">
        <v>39</v>
      </c>
      <c r="F38" s="261">
        <v>2022</v>
      </c>
      <c r="G38" s="43">
        <v>3.5669999999999997</v>
      </c>
      <c r="H38" s="43">
        <v>99.791047286134429</v>
      </c>
      <c r="I38" s="521">
        <v>4.8</v>
      </c>
      <c r="J38" s="521">
        <v>0</v>
      </c>
      <c r="K38" s="385" t="s">
        <v>206</v>
      </c>
      <c r="L38" s="1105">
        <f>IFERROR(INDEX('CO2 Emission Factors'!B:B,MATCH(K38,'CO2 Emission Factors'!A:A,0)),0)</f>
        <v>0</v>
      </c>
      <c r="M38" s="1080">
        <f>INDEX('Fuel Costs'!$AO$10:$BX$40,MATCH(O38,'Fuel Costs'!$A$10:$A$40,0),MATCH(K38,'Fuel Costs'!$AO$4:$BX$4,0))*((1+'LCOE-S Template'!$C$10)^(F38-INDEX('Fuel Costs'!$AO$2:$BX$2,MATCH(K38,'Fuel Costs'!$AO$4:$BX$4,0))))</f>
        <v>0</v>
      </c>
      <c r="N38" s="1121"/>
      <c r="O38" s="5">
        <v>2030</v>
      </c>
      <c r="P38" s="5">
        <v>30</v>
      </c>
      <c r="Q38" s="1091">
        <v>2.5</v>
      </c>
      <c r="R38" s="35">
        <v>3241.2</v>
      </c>
      <c r="S38" s="36"/>
      <c r="T38" s="33"/>
      <c r="U38" s="33"/>
      <c r="V38" s="33"/>
      <c r="W38" s="33"/>
      <c r="X38" s="33"/>
      <c r="Y38" s="33"/>
      <c r="Z38" s="33"/>
      <c r="AA38" s="33"/>
      <c r="AB38" s="33"/>
      <c r="AC38" s="33"/>
      <c r="AD38" s="33"/>
      <c r="AE38" s="36">
        <f t="shared" si="0"/>
        <v>0.1</v>
      </c>
    </row>
    <row r="39" spans="2:31">
      <c r="B39" s="46" t="str">
        <v>Offshore</v>
      </c>
      <c r="D39" s="315" t="s">
        <v>22</v>
      </c>
      <c r="E39" s="47" t="s">
        <v>39</v>
      </c>
      <c r="F39" s="261">
        <v>2022</v>
      </c>
      <c r="G39" s="246">
        <v>2.8699999999999997</v>
      </c>
      <c r="H39" s="246">
        <v>81.289927589380909</v>
      </c>
      <c r="I39" s="523">
        <v>3.9</v>
      </c>
      <c r="J39" s="523">
        <v>0</v>
      </c>
      <c r="K39" s="385" t="s">
        <v>206</v>
      </c>
      <c r="L39" s="1105">
        <f>IFERROR(INDEX('CO2 Emission Factors'!B:B,MATCH(K39,'CO2 Emission Factors'!A:A,0)),0)</f>
        <v>0</v>
      </c>
      <c r="M39" s="1114">
        <f>INDEX('Fuel Costs'!$AO$10:$BX$40,MATCH(O39,'Fuel Costs'!$A$10:$A$40,0),MATCH(K39,'Fuel Costs'!$AO$4:$BX$4,0))*((1+'LCOE-S Template'!$C$10)^(F39-INDEX('Fuel Costs'!$AO$2:$BX$2,MATCH(K39,'Fuel Costs'!$AO$4:$BX$4,0))))</f>
        <v>0</v>
      </c>
      <c r="N39" s="1121"/>
      <c r="O39" s="5">
        <v>2050</v>
      </c>
      <c r="P39" s="5">
        <v>30</v>
      </c>
      <c r="Q39" s="234">
        <v>2.5</v>
      </c>
      <c r="R39" s="232">
        <v>3591.6</v>
      </c>
      <c r="S39" s="233"/>
      <c r="T39" s="33"/>
      <c r="U39" s="33"/>
      <c r="V39" s="33"/>
      <c r="W39" s="33"/>
      <c r="X39" s="33"/>
      <c r="Y39" s="33"/>
      <c r="Z39" s="33"/>
      <c r="AA39" s="33"/>
      <c r="AB39" s="33"/>
      <c r="AC39" s="33"/>
      <c r="AD39" s="33"/>
      <c r="AE39" s="233">
        <f t="shared" si="0"/>
        <v>0.1</v>
      </c>
    </row>
    <row r="40" spans="2:31">
      <c r="B40" s="46" t="str">
        <v>Onshore</v>
      </c>
      <c r="D40" s="315" t="s">
        <v>22</v>
      </c>
      <c r="E40" s="47" t="s">
        <v>40</v>
      </c>
      <c r="F40" s="261">
        <v>2022</v>
      </c>
      <c r="G40" s="246" cm="1">
        <f t="array" ref="G40:G42">TRANSPOSE('Wind offshore floating'!$C$28:$E$28)</f>
        <v>5.5</v>
      </c>
      <c r="H40" s="246" cm="1">
        <f t="array" ref="H40:H42">TRANSPOSE('Wind offshore floating'!$C$31:$E$31)/1000</f>
        <v>155</v>
      </c>
      <c r="I40" s="528" t="str" cm="1">
        <f t="array" ref="I40:I42">TRANSPOSE('Wind offshore floating'!$C$32:$E$32)</f>
        <v>-</v>
      </c>
      <c r="J40" s="523" cm="1">
        <f t="array" ref="J40:J42">TRANSPOSE('Wind offshore floating'!$C$33:$E$33)</f>
        <v>0</v>
      </c>
      <c r="K40" s="385" t="s">
        <v>206</v>
      </c>
      <c r="L40" s="1105">
        <f>IFERROR(INDEX('CO2 Emission Factors'!B:B,MATCH(K40,'CO2 Emission Factors'!A:A,0)),0)</f>
        <v>0</v>
      </c>
      <c r="M40" s="1114">
        <f>INDEX('Fuel Costs'!$AO$10:$BX$40,MATCH(O40,'Fuel Costs'!$A$10:$A$40,0),MATCH(K40,'Fuel Costs'!$AO$4:$BX$4,0))*((1+'LCOE-S Template'!$C$10)^(F40-INDEX('Fuel Costs'!$AO$2:$BX$2,MATCH(K40,'Fuel Costs'!$AO$4:$BX$4,0))))</f>
        <v>0</v>
      </c>
      <c r="N40" s="1121"/>
      <c r="O40" s="5" cm="1">
        <f t="array" ref="O40:O42">TRANSPOSE('Wind offshore floating'!$C$4:$E$4)</f>
        <v>2023</v>
      </c>
      <c r="P40" s="5" cm="1">
        <f t="array" ref="P40:P42">TRANSPOSE('Wind offshore floating'!$C$12:$E$12)</f>
        <v>20</v>
      </c>
      <c r="Q40" s="234" cm="1">
        <f t="array" ref="Q40:Q42">TRANSPOSE('Wind offshore floating'!$C$13:$E$13)</f>
        <v>3</v>
      </c>
      <c r="R40" s="232" cm="1">
        <f t="array" ref="R40:R42">TRANSPOSE('Wind offshore floating'!$C$17:$E$17)*8760</f>
        <v>2945.4623999999999</v>
      </c>
      <c r="S40" s="233"/>
      <c r="T40" s="33"/>
      <c r="U40" s="33"/>
      <c r="V40" s="33"/>
      <c r="W40" s="33"/>
      <c r="X40" s="33"/>
      <c r="Y40" s="33"/>
      <c r="Z40" s="33"/>
      <c r="AA40" s="33"/>
      <c r="AB40" s="33"/>
      <c r="AC40" s="33"/>
      <c r="AD40" s="33"/>
      <c r="AE40" s="233">
        <f t="shared" si="0"/>
        <v>0.1</v>
      </c>
    </row>
    <row r="41" spans="2:31">
      <c r="B41" s="46" t="str">
        <v>PWR</v>
      </c>
      <c r="D41" s="315" t="s">
        <v>22</v>
      </c>
      <c r="E41" s="47" t="s">
        <v>40</v>
      </c>
      <c r="F41" s="261">
        <v>2022</v>
      </c>
      <c r="G41" s="246">
        <v>4</v>
      </c>
      <c r="H41" s="246">
        <v>125</v>
      </c>
      <c r="I41" s="528" t="str">
        <v>-</v>
      </c>
      <c r="J41" s="523">
        <v>0</v>
      </c>
      <c r="K41" s="385" t="s">
        <v>206</v>
      </c>
      <c r="L41" s="1105">
        <f>IFERROR(INDEX('CO2 Emission Factors'!B:B,MATCH(K41,'CO2 Emission Factors'!A:A,0)),0)</f>
        <v>0</v>
      </c>
      <c r="M41" s="1114">
        <f>INDEX('Fuel Costs'!$AO$10:$BX$40,MATCH(O41,'Fuel Costs'!$A$10:$A$40,0),MATCH(K41,'Fuel Costs'!$AO$4:$BX$4,0))*((1+'LCOE-S Template'!$C$10)^(F41-INDEX('Fuel Costs'!$AO$2:$BX$2,MATCH(K41,'Fuel Costs'!$AO$4:$BX$4,0))))</f>
        <v>0</v>
      </c>
      <c r="N41" s="1121"/>
      <c r="O41" s="5">
        <v>2030</v>
      </c>
      <c r="P41" s="5">
        <v>25</v>
      </c>
      <c r="Q41" s="234">
        <v>2.5</v>
      </c>
      <c r="R41" s="232">
        <v>3175.6752000000001</v>
      </c>
      <c r="S41" s="233"/>
      <c r="T41" s="33"/>
      <c r="U41" s="33"/>
      <c r="V41" s="33"/>
      <c r="W41" s="33"/>
      <c r="X41" s="33"/>
      <c r="Y41" s="33"/>
      <c r="Z41" s="33"/>
      <c r="AA41" s="33"/>
      <c r="AB41" s="33"/>
      <c r="AC41" s="33"/>
      <c r="AD41" s="33"/>
      <c r="AE41" s="233">
        <f t="shared" si="0"/>
        <v>0.1</v>
      </c>
    </row>
    <row r="42" spans="2:31" ht="15.75" thickBot="1">
      <c r="B42" s="46" t="str">
        <v>Rooftop</v>
      </c>
      <c r="D42" s="391" t="s">
        <v>22</v>
      </c>
      <c r="E42" s="389" t="s">
        <v>40</v>
      </c>
      <c r="F42" s="406">
        <v>2022</v>
      </c>
      <c r="G42" s="247">
        <v>3</v>
      </c>
      <c r="H42" s="247">
        <v>65</v>
      </c>
      <c r="I42" s="1098" t="str">
        <v>-</v>
      </c>
      <c r="J42" s="524">
        <v>0</v>
      </c>
      <c r="K42" s="386" t="s">
        <v>206</v>
      </c>
      <c r="L42" s="1106">
        <f>IFERROR(INDEX('CO2 Emission Factors'!B:B,MATCH(K42,'CO2 Emission Factors'!A:A,0)),0)</f>
        <v>0</v>
      </c>
      <c r="M42" s="1115">
        <f>INDEX('Fuel Costs'!$AO$10:$BX$40,MATCH(O42,'Fuel Costs'!$A$10:$A$40,0),MATCH(K42,'Fuel Costs'!$AO$4:$BX$4,0))*((1+'LCOE-S Template'!$C$10)^(F42-INDEX('Fuel Costs'!$AO$2:$BX$2,MATCH(K42,'Fuel Costs'!$AO$4:$BX$4,0))))</f>
        <v>0</v>
      </c>
      <c r="N42" s="1122"/>
      <c r="O42" s="49">
        <v>2050</v>
      </c>
      <c r="P42" s="49">
        <v>30</v>
      </c>
      <c r="Q42" s="53">
        <v>2.5</v>
      </c>
      <c r="R42" s="51">
        <v>3342.8159999999998</v>
      </c>
      <c r="S42" s="52"/>
      <c r="T42" s="244"/>
      <c r="U42" s="244"/>
      <c r="V42" s="244"/>
      <c r="W42" s="244"/>
      <c r="X42" s="244"/>
      <c r="Y42" s="244"/>
      <c r="Z42" s="244"/>
      <c r="AA42" s="244"/>
      <c r="AB42" s="244"/>
      <c r="AC42" s="244"/>
      <c r="AD42" s="244"/>
      <c r="AE42" s="52">
        <f t="shared" si="0"/>
        <v>0.1</v>
      </c>
    </row>
    <row r="43" spans="2:31">
      <c r="B43" s="46" t="str">
        <v>SCGT</v>
      </c>
      <c r="D43" s="47" t="s">
        <v>18</v>
      </c>
      <c r="E43" s="47" t="s">
        <v>207</v>
      </c>
      <c r="F43" s="261">
        <v>2022</v>
      </c>
      <c r="G43" s="43" cm="1">
        <f t="array" ref="G43:G45">TRANSPOSE('Tidal Impoundment'!$C$30:$E$30)</f>
        <v>5.8</v>
      </c>
      <c r="H43" s="43" cm="1">
        <f t="array" ref="H43:H45">TRANSPOSE('Tidal Impoundment'!$C$33:$E$33)/1000</f>
        <v>75.048000000000002</v>
      </c>
      <c r="I43" s="521" cm="1">
        <f t="array" ref="I43:I45">TRANSPOSE('Tidal Impoundment'!$C$34:$E$34)</f>
        <v>0</v>
      </c>
      <c r="J43" s="521" cm="1">
        <f t="array" ref="J43:J45">TRANSPOSE('Tidal Impoundment'!$C$35:$E$35)</f>
        <v>0</v>
      </c>
      <c r="K43" s="385" t="s">
        <v>208</v>
      </c>
      <c r="L43" s="1105">
        <f>IFERROR(INDEX('CO2 Emission Factors'!B:B,MATCH(K43,'CO2 Emission Factors'!A:A,0)),0)</f>
        <v>0</v>
      </c>
      <c r="M43" s="1080">
        <f>INDEX('Fuel Costs'!$AO$10:$BX$40,MATCH(O43,'Fuel Costs'!$A$10:$A$40,0),MATCH(K43,'Fuel Costs'!$AO$4:$BX$4,0))*((1+'LCOE-S Template'!$C$10)^(F43-INDEX('Fuel Costs'!$AO$2:$BX$2,MATCH(K43,'Fuel Costs'!$AO$4:$BX$4,0))))</f>
        <v>0</v>
      </c>
      <c r="N43" s="1121"/>
      <c r="O43" s="5" cm="1">
        <f t="array" ref="O43:O45">TRANSPOSE('Tidal Impoundment'!$C$4:$E$4)</f>
        <v>2023</v>
      </c>
      <c r="P43" s="5" cm="1">
        <f t="array" ref="P43:P45">TRANSPOSE('Tidal Impoundment'!$C$12:$E$12)</f>
        <v>40</v>
      </c>
      <c r="Q43" s="1091" cm="1">
        <f t="array" ref="Q43:Q45">TRANSPOSE('Tidal Impoundment'!$C$13:$E$13)</f>
        <v>5</v>
      </c>
      <c r="R43" s="35" cm="1">
        <f t="array" ref="R43:R45">TRANSPOSE('Tidal Impoundment'!$C$16:$E$16)/100*8760</f>
        <v>3066</v>
      </c>
      <c r="S43" s="41" cm="1">
        <f t="array" ref="S43:S45">TRANSPOSE('Tidal Impoundment'!$C$9:$E$9)/100</f>
        <v>0.9</v>
      </c>
      <c r="T43" s="33"/>
      <c r="U43" s="33"/>
      <c r="V43" s="33"/>
      <c r="W43" s="33"/>
      <c r="X43" s="33"/>
      <c r="Y43" s="33"/>
      <c r="Z43" s="33"/>
      <c r="AA43" s="33"/>
      <c r="AB43" s="33"/>
      <c r="AC43" s="33"/>
      <c r="AD43" s="33"/>
      <c r="AE43" s="36">
        <f t="shared" si="0"/>
        <v>0.1</v>
      </c>
    </row>
    <row r="44" spans="2:31">
      <c r="B44" s="46" t="str">
        <v>Small</v>
      </c>
      <c r="D44" s="47" t="s">
        <v>18</v>
      </c>
      <c r="E44" s="47" t="s">
        <v>207</v>
      </c>
      <c r="F44" s="261">
        <v>2022</v>
      </c>
      <c r="G44" s="43">
        <v>5.4</v>
      </c>
      <c r="H44" s="43">
        <v>66.25</v>
      </c>
      <c r="I44" s="521">
        <v>0</v>
      </c>
      <c r="J44" s="521">
        <v>0</v>
      </c>
      <c r="K44" s="385" t="s">
        <v>208</v>
      </c>
      <c r="L44" s="1105">
        <f>IFERROR(INDEX('CO2 Emission Factors'!B:B,MATCH(K44,'CO2 Emission Factors'!A:A,0)),0)</f>
        <v>0</v>
      </c>
      <c r="M44" s="1080">
        <f>INDEX('Fuel Costs'!$AO$10:$BX$40,MATCH(O44,'Fuel Costs'!$A$10:$A$40,0),MATCH(K44,'Fuel Costs'!$AO$4:$BX$4,0))*((1+'LCOE-S Template'!$C$10)^(F44-INDEX('Fuel Costs'!$AO$2:$BX$2,MATCH(K44,'Fuel Costs'!$AO$4:$BX$4,0))))</f>
        <v>0</v>
      </c>
      <c r="N44" s="1121"/>
      <c r="O44" s="5">
        <v>2030</v>
      </c>
      <c r="P44" s="5">
        <v>40</v>
      </c>
      <c r="Q44" s="1091">
        <v>5</v>
      </c>
      <c r="R44" s="35">
        <v>3066</v>
      </c>
      <c r="S44" s="41">
        <v>0.9</v>
      </c>
      <c r="T44" s="33"/>
      <c r="U44" s="33"/>
      <c r="V44" s="33"/>
      <c r="W44" s="33"/>
      <c r="X44" s="33"/>
      <c r="Y44" s="33"/>
      <c r="Z44" s="33"/>
      <c r="AA44" s="33"/>
      <c r="AB44" s="33"/>
      <c r="AC44" s="33"/>
      <c r="AD44" s="33"/>
      <c r="AE44" s="36">
        <f t="shared" si="0"/>
        <v>0.1</v>
      </c>
    </row>
    <row r="45" spans="2:31">
      <c r="B45" s="46" t="str">
        <v>Small (Binary or Condensing)</v>
      </c>
      <c r="D45" s="47" t="s">
        <v>18</v>
      </c>
      <c r="E45" s="47" t="s">
        <v>207</v>
      </c>
      <c r="F45" s="261">
        <v>2022</v>
      </c>
      <c r="G45" s="43">
        <v>5.4</v>
      </c>
      <c r="H45" s="43">
        <v>37.841999999999999</v>
      </c>
      <c r="I45" s="521">
        <v>0</v>
      </c>
      <c r="J45" s="521">
        <v>0</v>
      </c>
      <c r="K45" s="385" t="s">
        <v>208</v>
      </c>
      <c r="L45" s="1105">
        <f>IFERROR(INDEX('CO2 Emission Factors'!B:B,MATCH(K45,'CO2 Emission Factors'!A:A,0)),0)</f>
        <v>0</v>
      </c>
      <c r="M45" s="1080">
        <f>INDEX('Fuel Costs'!$AO$10:$BX$40,MATCH(O45,'Fuel Costs'!$A$10:$A$40,0),MATCH(K45,'Fuel Costs'!$AO$4:$BX$4,0))*((1+'LCOE-S Template'!$C$10)^(F45-INDEX('Fuel Costs'!$AO$2:$BX$2,MATCH(K45,'Fuel Costs'!$AO$4:$BX$4,0))))</f>
        <v>0</v>
      </c>
      <c r="N45" s="1121"/>
      <c r="O45" s="5">
        <v>2050</v>
      </c>
      <c r="P45" s="5">
        <v>50</v>
      </c>
      <c r="Q45" s="1091">
        <v>4</v>
      </c>
      <c r="R45" s="35">
        <v>3504</v>
      </c>
      <c r="S45" s="41">
        <v>0.9</v>
      </c>
      <c r="T45" s="33"/>
      <c r="U45" s="33"/>
      <c r="V45" s="33"/>
      <c r="W45" s="33"/>
      <c r="X45" s="33"/>
      <c r="Y45" s="33"/>
      <c r="Z45" s="33"/>
      <c r="AA45" s="33"/>
      <c r="AB45" s="33"/>
      <c r="AC45" s="33"/>
      <c r="AD45" s="33"/>
      <c r="AE45" s="36">
        <f t="shared" si="0"/>
        <v>0.1</v>
      </c>
    </row>
    <row r="46" spans="2:31">
      <c r="B46" s="46" t="str">
        <v>Small (Palm oil or Rice husk)</v>
      </c>
      <c r="D46" s="47" t="s">
        <v>18</v>
      </c>
      <c r="E46" s="47" t="s">
        <v>32</v>
      </c>
      <c r="F46" s="261">
        <v>2022</v>
      </c>
      <c r="G46" s="248" cm="1">
        <f t="array" ref="G46:G48">TRANSPOSE('Tidal Stream'!$C$30:$E$30)</f>
        <v>5.6</v>
      </c>
      <c r="H46" s="248" cm="1">
        <f t="array" ref="H46:H48">TRANSPOSE('Tidal Stream'!$C$33:$E$33)/1000</f>
        <v>299.98</v>
      </c>
      <c r="I46" s="525" cm="1">
        <f t="array" ref="I46:I48">TRANSPOSE('Tidal Stream'!$C$34:$E$34)</f>
        <v>12</v>
      </c>
      <c r="J46" s="525" cm="1">
        <f t="array" ref="J46:J48">TRANSPOSE('Tidal Stream'!$C$35:$E$35)</f>
        <v>0</v>
      </c>
      <c r="K46" s="385" t="s">
        <v>208</v>
      </c>
      <c r="L46" s="1105">
        <f>IFERROR(INDEX('CO2 Emission Factors'!B:B,MATCH(K46,'CO2 Emission Factors'!A:A,0)),0)</f>
        <v>0</v>
      </c>
      <c r="M46" s="1080">
        <f>INDEX('Fuel Costs'!$AO$10:$BX$40,MATCH(O46,'Fuel Costs'!$A$10:$A$40,0),MATCH(K46,'Fuel Costs'!$AO$4:$BX$4,0))*((1+'LCOE-S Template'!$C$10)^(F46-INDEX('Fuel Costs'!$AO$2:$BX$2,MATCH(K46,'Fuel Costs'!$AO$4:$BX$4,0))))</f>
        <v>0</v>
      </c>
      <c r="N46" s="1121"/>
      <c r="O46" s="5" cm="1">
        <f t="array" ref="O46:O48">TRANSPOSE('Tidal Stream'!$C$4:$E$4)</f>
        <v>2023</v>
      </c>
      <c r="P46" s="5" cm="1">
        <f t="array" ref="P46:P48">TRANSPOSE('Tidal Stream'!$C$12:$E$12)</f>
        <v>25</v>
      </c>
      <c r="Q46" s="1092" cm="1">
        <f t="array" ref="Q46:Q48">TRANSPOSE('Tidal Stream'!$C$13:$E$13)</f>
        <v>3</v>
      </c>
      <c r="R46" s="249" cm="1">
        <f t="array" ref="R46:R48">TRANSPOSE('Tidal Stream'!$C$17:$E$17)/100*8760</f>
        <v>2890.8</v>
      </c>
      <c r="S46" s="256" cm="1">
        <f t="array" ref="S46:S48">TRANSPOSE('Tidal Stream'!$C$9:$E$9)/100</f>
        <v>0.9</v>
      </c>
      <c r="T46" s="33"/>
      <c r="U46" s="33"/>
      <c r="V46" s="33"/>
      <c r="W46" s="33"/>
      <c r="X46" s="33"/>
      <c r="Y46" s="33"/>
      <c r="Z46" s="33"/>
      <c r="AA46" s="33"/>
      <c r="AB46" s="33"/>
      <c r="AC46" s="33"/>
      <c r="AD46" s="33"/>
      <c r="AE46" s="36">
        <f t="shared" si="0"/>
        <v>0.1</v>
      </c>
    </row>
    <row r="47" spans="2:31">
      <c r="B47" s="46" t="str">
        <v>Small onshore</v>
      </c>
      <c r="D47" s="47" t="s">
        <v>18</v>
      </c>
      <c r="E47" s="47" t="s">
        <v>32</v>
      </c>
      <c r="F47" s="261">
        <v>2022</v>
      </c>
      <c r="G47" s="43">
        <v>4.9000000000000004</v>
      </c>
      <c r="H47" s="43">
        <v>243.8</v>
      </c>
      <c r="I47" s="521">
        <v>9</v>
      </c>
      <c r="J47" s="521">
        <v>0</v>
      </c>
      <c r="K47" s="385" t="s">
        <v>208</v>
      </c>
      <c r="L47" s="1105">
        <f>IFERROR(INDEX('CO2 Emission Factors'!B:B,MATCH(K47,'CO2 Emission Factors'!A:A,0)),0)</f>
        <v>0</v>
      </c>
      <c r="M47" s="1080">
        <f>INDEX('Fuel Costs'!$AO$10:$BX$40,MATCH(O47,'Fuel Costs'!$A$10:$A$40,0),MATCH(K47,'Fuel Costs'!$AO$4:$BX$4,0))*((1+'LCOE-S Template'!$C$10)^(F47-INDEX('Fuel Costs'!$AO$2:$BX$2,MATCH(K47,'Fuel Costs'!$AO$4:$BX$4,0))))</f>
        <v>0</v>
      </c>
      <c r="N47" s="1121"/>
      <c r="O47" s="5">
        <v>2030</v>
      </c>
      <c r="P47" s="5">
        <v>25</v>
      </c>
      <c r="Q47" s="1091">
        <v>2</v>
      </c>
      <c r="R47" s="35">
        <v>3066</v>
      </c>
      <c r="S47" s="41">
        <v>0.92</v>
      </c>
      <c r="T47" s="33"/>
      <c r="U47" s="33"/>
      <c r="V47" s="33"/>
      <c r="W47" s="33"/>
      <c r="X47" s="33"/>
      <c r="Y47" s="33"/>
      <c r="Z47" s="33"/>
      <c r="AA47" s="33"/>
      <c r="AB47" s="33"/>
      <c r="AC47" s="33"/>
      <c r="AD47" s="33"/>
      <c r="AE47" s="36">
        <f t="shared" si="0"/>
        <v>0.1</v>
      </c>
    </row>
    <row r="48" spans="2:31" ht="15.75" thickBot="1">
      <c r="B48" s="46" t="str">
        <v>SMR (Land based, water cooled)</v>
      </c>
      <c r="D48" s="389" t="s">
        <v>18</v>
      </c>
      <c r="E48" s="389" t="s">
        <v>32</v>
      </c>
      <c r="F48" s="406">
        <v>2022</v>
      </c>
      <c r="G48" s="247">
        <v>3.6</v>
      </c>
      <c r="H48" s="247">
        <v>120.84</v>
      </c>
      <c r="I48" s="524">
        <v>8</v>
      </c>
      <c r="J48" s="524">
        <v>0</v>
      </c>
      <c r="K48" s="386" t="s">
        <v>208</v>
      </c>
      <c r="L48" s="1106">
        <f>IFERROR(INDEX('CO2 Emission Factors'!B:B,MATCH(K48,'CO2 Emission Factors'!A:A,0)),0)</f>
        <v>0</v>
      </c>
      <c r="M48" s="1115">
        <f>INDEX('Fuel Costs'!$AO$10:$BX$40,MATCH(O48,'Fuel Costs'!$A$10:$A$40,0),MATCH(K48,'Fuel Costs'!$AO$4:$BX$4,0))*((1+'LCOE-S Template'!$C$10)^(F48-INDEX('Fuel Costs'!$AO$2:$BX$2,MATCH(K48,'Fuel Costs'!$AO$4:$BX$4,0))))</f>
        <v>0</v>
      </c>
      <c r="N48" s="1122"/>
      <c r="O48" s="49">
        <v>2050</v>
      </c>
      <c r="P48" s="49">
        <v>30</v>
      </c>
      <c r="Q48" s="53">
        <v>2</v>
      </c>
      <c r="R48" s="51">
        <v>3241.2</v>
      </c>
      <c r="S48" s="251">
        <v>0.95</v>
      </c>
      <c r="T48" s="244"/>
      <c r="U48" s="244"/>
      <c r="V48" s="244"/>
      <c r="W48" s="244"/>
      <c r="X48" s="244"/>
      <c r="Y48" s="244"/>
      <c r="Z48" s="244"/>
      <c r="AA48" s="244"/>
      <c r="AB48" s="244"/>
      <c r="AC48" s="244"/>
      <c r="AD48" s="244"/>
      <c r="AE48" s="52">
        <f t="shared" si="0"/>
        <v>0.1</v>
      </c>
    </row>
    <row r="49" spans="2:31">
      <c r="B49" s="46" t="str">
        <v>Stream</v>
      </c>
      <c r="D49" s="47" t="s">
        <v>11</v>
      </c>
      <c r="E49" s="47" t="s">
        <v>209</v>
      </c>
      <c r="F49" s="261">
        <v>2022</v>
      </c>
      <c r="G49" s="43" cm="1">
        <f t="array" ref="G49:G51">TRANSPOSE('Coal Subcritical'!$C$30:$E$30)</f>
        <v>1.88</v>
      </c>
      <c r="H49" s="43" cm="1">
        <f t="array" ref="H49:H51">TRANSPOSE('Coal Subcritical'!$C$33:$E$33)/1000</f>
        <v>51.6</v>
      </c>
      <c r="I49" s="521" cm="1">
        <f t="array" ref="I49:I51">TRANSPOSE('Coal Subcritical'!$C$34:$E$34)</f>
        <v>1.5</v>
      </c>
      <c r="J49" s="521" cm="1">
        <f t="array" ref="J49:J51">TRANSPOSE('Coal Subcritical'!$C$35:$E$35)</f>
        <v>125.4</v>
      </c>
      <c r="K49" s="385" t="s">
        <v>210</v>
      </c>
      <c r="L49" s="1105">
        <f>IFERROR(INDEX('CO2 Emission Factors'!B:B,MATCH(K49,'CO2 Emission Factors'!A:A,0)),0)</f>
        <v>106.4</v>
      </c>
      <c r="M49" s="1080">
        <f>INDEX('Fuel Costs'!$AO$10:$BX$40,MATCH(O49,'Fuel Costs'!$A$10:$A$40,0),MATCH(K49,'Fuel Costs'!$AO$4:$BX$4,0))*((1+'LCOE-S Template'!$C$10)^(F49-INDEX('Fuel Costs'!$AO$2:$BX$2,MATCH(K49,'Fuel Costs'!$AO$4:$BX$4,0))))</f>
        <v>3.7177777777777781</v>
      </c>
      <c r="N49" s="1121"/>
      <c r="O49" s="5" cm="1">
        <f t="array" ref="O49:O51">TRANSPOSE('Coal Subcritical'!$C$4:$E$4)</f>
        <v>2023</v>
      </c>
      <c r="P49" s="5" cm="1">
        <f t="array" ref="P49:P51">TRANSPOSE('Coal Subcritical'!$C$12:$E$12)</f>
        <v>30</v>
      </c>
      <c r="Q49" s="1091" cm="1">
        <f t="array" ref="Q49:Q51">TRANSPOSE('Coal Subcritical'!$C$13:$E$13)</f>
        <v>3</v>
      </c>
      <c r="R49" s="81"/>
      <c r="S49" s="41" cm="1">
        <f t="array" ref="S49:S51">TRANSPOSE('Coal Subcritical'!$C$9:$E$9)/100</f>
        <v>0.34</v>
      </c>
      <c r="T49" s="33"/>
      <c r="U49" s="33"/>
      <c r="V49" s="33"/>
      <c r="W49" s="33"/>
      <c r="X49" s="33"/>
      <c r="Y49" s="33"/>
      <c r="Z49" s="33"/>
      <c r="AA49" s="33"/>
      <c r="AB49" s="33"/>
      <c r="AC49" s="33"/>
      <c r="AD49" s="33"/>
      <c r="AE49" s="36">
        <f t="shared" si="0"/>
        <v>0.1</v>
      </c>
    </row>
    <row r="50" spans="2:31">
      <c r="B50" s="46" t="str">
        <v>Subcritical</v>
      </c>
      <c r="D50" s="47" t="s">
        <v>11</v>
      </c>
      <c r="E50" s="47" t="s">
        <v>209</v>
      </c>
      <c r="F50" s="261">
        <v>2022</v>
      </c>
      <c r="G50" s="43">
        <v>1.82</v>
      </c>
      <c r="H50" s="43">
        <v>50</v>
      </c>
      <c r="I50" s="521">
        <v>1.45</v>
      </c>
      <c r="J50" s="521">
        <v>125.4</v>
      </c>
      <c r="K50" s="385" t="s">
        <v>210</v>
      </c>
      <c r="L50" s="1105">
        <f>IFERROR(INDEX('CO2 Emission Factors'!B:B,MATCH(K50,'CO2 Emission Factors'!A:A,0)),0)</f>
        <v>106.4</v>
      </c>
      <c r="M50" s="1080">
        <f>INDEX('Fuel Costs'!$AO$10:$BX$40,MATCH(O50,'Fuel Costs'!$A$10:$A$40,0),MATCH(K50,'Fuel Costs'!$AO$4:$BX$4,0))*((1+'LCOE-S Template'!$C$10)^(F50-INDEX('Fuel Costs'!$AO$2:$BX$2,MATCH(K50,'Fuel Costs'!$AO$4:$BX$4,0))))</f>
        <v>3.7177777777777781</v>
      </c>
      <c r="N50" s="1121"/>
      <c r="O50" s="5">
        <v>2030</v>
      </c>
      <c r="P50" s="5">
        <v>30</v>
      </c>
      <c r="Q50" s="1091">
        <v>3</v>
      </c>
      <c r="R50" s="81"/>
      <c r="S50" s="41">
        <v>0.35</v>
      </c>
      <c r="T50" s="33"/>
      <c r="U50" s="33"/>
      <c r="V50" s="33"/>
      <c r="W50" s="33"/>
      <c r="X50" s="33"/>
      <c r="Y50" s="33"/>
      <c r="Z50" s="33"/>
      <c r="AA50" s="33"/>
      <c r="AB50" s="33"/>
      <c r="AC50" s="33"/>
      <c r="AD50" s="33"/>
      <c r="AE50" s="36">
        <f t="shared" si="0"/>
        <v>0.1</v>
      </c>
    </row>
    <row r="51" spans="2:31">
      <c r="B51" s="46" t="str">
        <v>Subcritical (incl. lifetime extension)</v>
      </c>
      <c r="D51" s="47" t="s">
        <v>11</v>
      </c>
      <c r="E51" s="47" t="s">
        <v>209</v>
      </c>
      <c r="F51" s="261">
        <v>2022</v>
      </c>
      <c r="G51" s="43">
        <v>1.76</v>
      </c>
      <c r="H51" s="43">
        <v>48.55</v>
      </c>
      <c r="I51" s="521">
        <v>1.4</v>
      </c>
      <c r="J51" s="521">
        <v>125.4</v>
      </c>
      <c r="K51" s="385" t="s">
        <v>210</v>
      </c>
      <c r="L51" s="1105">
        <f>IFERROR(INDEX('CO2 Emission Factors'!B:B,MATCH(K51,'CO2 Emission Factors'!A:A,0)),0)</f>
        <v>106.4</v>
      </c>
      <c r="M51" s="1080">
        <f>INDEX('Fuel Costs'!$AO$10:$BX$40,MATCH(O51,'Fuel Costs'!$A$10:$A$40,0),MATCH(K51,'Fuel Costs'!$AO$4:$BX$4,0))*((1+'LCOE-S Template'!$C$10)^(F51-INDEX('Fuel Costs'!$AO$2:$BX$2,MATCH(K51,'Fuel Costs'!$AO$4:$BX$4,0))))</f>
        <v>3.7177777777777781</v>
      </c>
      <c r="N51" s="1121"/>
      <c r="O51" s="5">
        <v>2050</v>
      </c>
      <c r="P51" s="5">
        <v>30</v>
      </c>
      <c r="Q51" s="1091">
        <v>3</v>
      </c>
      <c r="R51" s="81"/>
      <c r="S51" s="41">
        <v>0.36</v>
      </c>
      <c r="T51" s="33"/>
      <c r="U51" s="33"/>
      <c r="V51" s="33"/>
      <c r="W51" s="33"/>
      <c r="X51" s="33"/>
      <c r="Y51" s="33"/>
      <c r="Z51" s="33"/>
      <c r="AA51" s="33"/>
      <c r="AB51" s="33"/>
      <c r="AC51" s="33"/>
      <c r="AD51" s="33"/>
      <c r="AE51" s="36">
        <f t="shared" si="0"/>
        <v>0.1</v>
      </c>
    </row>
    <row r="52" spans="2:31">
      <c r="B52" s="46" t="str">
        <v>Supercritical</v>
      </c>
      <c r="D52" s="47" t="s">
        <v>11</v>
      </c>
      <c r="E52" s="47" t="s">
        <v>24</v>
      </c>
      <c r="F52" s="261">
        <v>2022</v>
      </c>
      <c r="G52" s="43" cm="1">
        <f t="array" ref="G52:G54">TRANSPOSE('Coal Supercritical'!$C$30:$E$30)</f>
        <v>1.6</v>
      </c>
      <c r="H52" s="43" cm="1">
        <f t="array" ref="H52:H54">TRANSPOSE('Coal Supercritical'!$C$33:$E$33)/1000</f>
        <v>47</v>
      </c>
      <c r="I52" s="526" cm="1">
        <f t="array" ref="I52:I54">TRANSPOSE('Coal Supercritical'!$C$34:$E$34)</f>
        <v>1.4</v>
      </c>
      <c r="J52" s="521" cm="1">
        <f t="array" ref="J52:J54">TRANSPOSE('Coal Supercritical'!$C$35:$E$35)</f>
        <v>57</v>
      </c>
      <c r="K52" s="385" t="s">
        <v>210</v>
      </c>
      <c r="L52" s="1105">
        <f>IFERROR(INDEX('CO2 Emission Factors'!B:B,MATCH(K52,'CO2 Emission Factors'!A:A,0)),0)</f>
        <v>106.4</v>
      </c>
      <c r="M52" s="1080">
        <f>INDEX('Fuel Costs'!$AO$10:$BX$40,MATCH(O52,'Fuel Costs'!$A$10:$A$40,0),MATCH(K52,'Fuel Costs'!$AO$4:$BX$4,0))*((1+'LCOE-S Template'!$C$10)^(F52-INDEX('Fuel Costs'!$AO$2:$BX$2,MATCH(K52,'Fuel Costs'!$AO$4:$BX$4,0))))</f>
        <v>3.7177777777777781</v>
      </c>
      <c r="N52" s="1121"/>
      <c r="O52" s="5" cm="1">
        <f t="array" ref="O52:O54">TRANSPOSE('Coal Supercritical'!$C$4:$E$4)</f>
        <v>2023</v>
      </c>
      <c r="P52" s="5" cm="1">
        <f t="array" ref="P52:P54">TRANSPOSE('Coal Supercritical'!$C$12:$E$12)</f>
        <v>30</v>
      </c>
      <c r="Q52" s="1091" cm="1">
        <f t="array" ref="Q52:Q54">TRANSPOSE('Coal Supercritical'!$C$13:$E$13)</f>
        <v>4</v>
      </c>
      <c r="R52" s="81"/>
      <c r="S52" s="41" cm="1">
        <f t="array" ref="S52:S54">TRANSPOSE('Coal Supercritical'!$C$9:$E$9)/100</f>
        <v>0.37</v>
      </c>
      <c r="T52" s="33"/>
      <c r="U52" s="33"/>
      <c r="V52" s="33"/>
      <c r="W52" s="33"/>
      <c r="X52" s="33"/>
      <c r="Y52" s="33"/>
      <c r="Z52" s="33"/>
      <c r="AA52" s="33"/>
      <c r="AB52" s="33"/>
      <c r="AC52" s="33"/>
      <c r="AD52" s="33"/>
      <c r="AE52" s="36">
        <f t="shared" si="0"/>
        <v>0.1</v>
      </c>
    </row>
    <row r="53" spans="2:31">
      <c r="B53" s="46" t="str">
        <v>Supercritical (CCS)</v>
      </c>
      <c r="D53" s="47" t="s">
        <v>11</v>
      </c>
      <c r="E53" s="47" t="s">
        <v>24</v>
      </c>
      <c r="F53" s="261">
        <v>2022</v>
      </c>
      <c r="G53" s="43">
        <v>1.55</v>
      </c>
      <c r="H53" s="43">
        <v>45.6</v>
      </c>
      <c r="I53" s="526">
        <v>1.35</v>
      </c>
      <c r="J53" s="521">
        <v>57</v>
      </c>
      <c r="K53" s="385" t="s">
        <v>210</v>
      </c>
      <c r="L53" s="1105">
        <f>IFERROR(INDEX('CO2 Emission Factors'!B:B,MATCH(K53,'CO2 Emission Factors'!A:A,0)),0)</f>
        <v>106.4</v>
      </c>
      <c r="M53" s="1080">
        <f>INDEX('Fuel Costs'!$AO$10:$BX$40,MATCH(O53,'Fuel Costs'!$A$10:$A$40,0),MATCH(K53,'Fuel Costs'!$AO$4:$BX$4,0))*((1+'LCOE-S Template'!$C$10)^(F53-INDEX('Fuel Costs'!$AO$2:$BX$2,MATCH(K53,'Fuel Costs'!$AO$4:$BX$4,0))))</f>
        <v>3.7177777777777781</v>
      </c>
      <c r="N53" s="1121"/>
      <c r="O53" s="5">
        <v>2030</v>
      </c>
      <c r="P53" s="5">
        <v>30</v>
      </c>
      <c r="Q53" s="1091">
        <v>3</v>
      </c>
      <c r="R53" s="81"/>
      <c r="S53" s="13">
        <v>0.38</v>
      </c>
      <c r="T53" s="33"/>
      <c r="U53" s="33"/>
      <c r="V53" s="33"/>
      <c r="W53" s="33"/>
      <c r="X53" s="33"/>
      <c r="Y53" s="33"/>
      <c r="Z53" s="33"/>
      <c r="AA53" s="33"/>
      <c r="AB53" s="33"/>
      <c r="AC53" s="33"/>
      <c r="AD53" s="33"/>
      <c r="AE53" s="36">
        <f t="shared" si="0"/>
        <v>0.1</v>
      </c>
    </row>
    <row r="54" spans="2:31">
      <c r="B54" s="46" t="str">
        <v>Supercritical (incl. lifetime extension)</v>
      </c>
      <c r="D54" s="47" t="s">
        <v>11</v>
      </c>
      <c r="E54" s="47" t="s">
        <v>24</v>
      </c>
      <c r="F54" s="261">
        <v>2022</v>
      </c>
      <c r="G54" s="43">
        <v>1.5</v>
      </c>
      <c r="H54" s="43">
        <v>44.1</v>
      </c>
      <c r="I54" s="526">
        <v>1.3</v>
      </c>
      <c r="J54" s="521">
        <v>57</v>
      </c>
      <c r="K54" s="385" t="s">
        <v>210</v>
      </c>
      <c r="L54" s="1105">
        <f>IFERROR(INDEX('CO2 Emission Factors'!B:B,MATCH(K54,'CO2 Emission Factors'!A:A,0)),0)</f>
        <v>106.4</v>
      </c>
      <c r="M54" s="1080">
        <f>INDEX('Fuel Costs'!$AO$10:$BX$40,MATCH(O54,'Fuel Costs'!$A$10:$A$40,0),MATCH(K54,'Fuel Costs'!$AO$4:$BX$4,0))*((1+'LCOE-S Template'!$C$10)^(F54-INDEX('Fuel Costs'!$AO$2:$BX$2,MATCH(K54,'Fuel Costs'!$AO$4:$BX$4,0))))</f>
        <v>3.7177777777777781</v>
      </c>
      <c r="N54" s="1121"/>
      <c r="O54" s="5">
        <v>2050</v>
      </c>
      <c r="P54" s="5">
        <v>30</v>
      </c>
      <c r="Q54" s="1091">
        <v>3</v>
      </c>
      <c r="R54" s="81"/>
      <c r="S54" s="13">
        <v>0.39</v>
      </c>
      <c r="T54" s="33"/>
      <c r="U54" s="33"/>
      <c r="V54" s="33"/>
      <c r="W54" s="33"/>
      <c r="X54" s="33"/>
      <c r="Y54" s="33"/>
      <c r="Z54" s="33"/>
      <c r="AA54" s="33"/>
      <c r="AB54" s="33"/>
      <c r="AC54" s="33"/>
      <c r="AD54" s="33"/>
      <c r="AE54" s="36">
        <f t="shared" si="0"/>
        <v>0.1</v>
      </c>
    </row>
    <row r="55" spans="2:31">
      <c r="B55" s="46" t="str">
        <v>Ultra supercritical</v>
      </c>
      <c r="D55" s="47" t="s">
        <v>11</v>
      </c>
      <c r="E55" s="47" t="s">
        <v>211</v>
      </c>
      <c r="F55" s="261">
        <v>2022</v>
      </c>
      <c r="G55" s="43" cm="1">
        <f t="array" ref="G55:G57">TRANSPOSE('Coal Ultra supercritical'!$C$30:$E$30)</f>
        <v>1.73</v>
      </c>
      <c r="H55" s="43" cm="1">
        <f t="array" ref="H55:H57">TRANSPOSE('Coal Ultra supercritical'!$C$33:$E$33)/1000</f>
        <v>64.5</v>
      </c>
      <c r="I55" s="526" cm="1">
        <f t="array" ref="I55:I57">TRANSPOSE('Coal Ultra supercritical'!$C$34:$E$34)</f>
        <v>1.25</v>
      </c>
      <c r="J55" s="521" cm="1">
        <f t="array" ref="J55:J57">TRANSPOSE('Coal Ultra supercritical'!$C$35:$E$35)</f>
        <v>57</v>
      </c>
      <c r="K55" s="385" t="s">
        <v>210</v>
      </c>
      <c r="L55" s="1105">
        <f>IFERROR(INDEX('CO2 Emission Factors'!B:B,MATCH(K55,'CO2 Emission Factors'!A:A,0)),0)</f>
        <v>106.4</v>
      </c>
      <c r="M55" s="1080">
        <f>INDEX('Fuel Costs'!$AO$10:$BX$40,MATCH(O55,'Fuel Costs'!$A$10:$A$40,0),MATCH(K55,'Fuel Costs'!$AO$4:$BX$4,0))*((1+'LCOE-S Template'!$C$10)^(F55-INDEX('Fuel Costs'!$AO$2:$BX$2,MATCH(K55,'Fuel Costs'!$AO$4:$BX$4,0))))</f>
        <v>3.7177777777777781</v>
      </c>
      <c r="N55" s="1121"/>
      <c r="O55" s="5" cm="1">
        <f t="array" ref="O55:O57">TRANSPOSE('Coal Ultra supercritical'!$C$4:$E$4)</f>
        <v>2023</v>
      </c>
      <c r="P55" s="5" cm="1">
        <f t="array" ref="P55:P57">TRANSPOSE('Coal Ultra supercritical'!$C$12:$E$12)</f>
        <v>30</v>
      </c>
      <c r="Q55" s="1091" cm="1">
        <f t="array" ref="Q55:Q57">TRANSPOSE('Coal Ultra supercritical'!$C$13:$E$13)</f>
        <v>4.3</v>
      </c>
      <c r="R55" s="81"/>
      <c r="S55" s="41" cm="1">
        <f t="array" ref="S55:S57">TRANSPOSE('Coal Ultra supercritical'!$C$9:$E$9)/100</f>
        <v>0.42</v>
      </c>
      <c r="T55" s="33"/>
      <c r="U55" s="33"/>
      <c r="V55" s="33"/>
      <c r="W55" s="33"/>
      <c r="X55" s="33"/>
      <c r="Y55" s="33"/>
      <c r="Z55" s="33"/>
      <c r="AA55" s="33"/>
      <c r="AB55" s="33"/>
      <c r="AC55" s="33"/>
      <c r="AD55" s="33"/>
      <c r="AE55" s="36">
        <f t="shared" si="0"/>
        <v>0.1</v>
      </c>
    </row>
    <row r="56" spans="2:31">
      <c r="B56" s="46" t="str">
        <v>Ultra supercritical (incl. lifetime extension)</v>
      </c>
      <c r="D56" s="47" t="s">
        <v>11</v>
      </c>
      <c r="E56" s="47" t="s">
        <v>211</v>
      </c>
      <c r="F56" s="261">
        <v>2022</v>
      </c>
      <c r="G56" s="43">
        <v>1.68</v>
      </c>
      <c r="H56" s="43">
        <v>62.5</v>
      </c>
      <c r="I56" s="526">
        <v>1.2</v>
      </c>
      <c r="J56" s="521">
        <v>57</v>
      </c>
      <c r="K56" s="385" t="s">
        <v>210</v>
      </c>
      <c r="L56" s="1105">
        <f>IFERROR(INDEX('CO2 Emission Factors'!B:B,MATCH(K56,'CO2 Emission Factors'!A:A,0)),0)</f>
        <v>106.4</v>
      </c>
      <c r="M56" s="1080">
        <f>INDEX('Fuel Costs'!$AO$10:$BX$40,MATCH(O56,'Fuel Costs'!$A$10:$A$40,0),MATCH(K56,'Fuel Costs'!$AO$4:$BX$4,0))*((1+'LCOE-S Template'!$C$10)^(F56-INDEX('Fuel Costs'!$AO$2:$BX$2,MATCH(K56,'Fuel Costs'!$AO$4:$BX$4,0))))</f>
        <v>3.7177777777777781</v>
      </c>
      <c r="N56" s="1121"/>
      <c r="O56" s="5">
        <v>2030</v>
      </c>
      <c r="P56" s="5">
        <v>30</v>
      </c>
      <c r="Q56" s="1091">
        <v>3</v>
      </c>
      <c r="R56" s="81"/>
      <c r="S56" s="13">
        <v>0.43</v>
      </c>
      <c r="T56" s="33"/>
      <c r="U56" s="33"/>
      <c r="V56" s="33"/>
      <c r="W56" s="33"/>
      <c r="X56" s="33"/>
      <c r="Y56" s="33"/>
      <c r="Z56" s="33"/>
      <c r="AA56" s="33"/>
      <c r="AB56" s="33"/>
      <c r="AC56" s="33"/>
      <c r="AD56" s="33"/>
      <c r="AE56" s="36">
        <f t="shared" si="0"/>
        <v>0.1</v>
      </c>
    </row>
    <row r="57" spans="2:31">
      <c r="B57" s="46" t="str">
        <v>User Specified Technology</v>
      </c>
      <c r="D57" s="47" t="s">
        <v>11</v>
      </c>
      <c r="E57" s="47" t="s">
        <v>211</v>
      </c>
      <c r="F57" s="261">
        <v>2022</v>
      </c>
      <c r="G57" s="43">
        <v>1.63</v>
      </c>
      <c r="H57" s="43">
        <v>60.6</v>
      </c>
      <c r="I57" s="526">
        <v>1.1499999999999999</v>
      </c>
      <c r="J57" s="521">
        <v>57</v>
      </c>
      <c r="K57" s="385" t="s">
        <v>210</v>
      </c>
      <c r="L57" s="1105">
        <f>IFERROR(INDEX('CO2 Emission Factors'!B:B,MATCH(K57,'CO2 Emission Factors'!A:A,0)),0)</f>
        <v>106.4</v>
      </c>
      <c r="M57" s="1080">
        <f>INDEX('Fuel Costs'!$AO$10:$BX$40,MATCH(O57,'Fuel Costs'!$A$10:$A$40,0),MATCH(K57,'Fuel Costs'!$AO$4:$BX$4,0))*((1+'LCOE-S Template'!$C$10)^(F57-INDEX('Fuel Costs'!$AO$2:$BX$2,MATCH(K57,'Fuel Costs'!$AO$4:$BX$4,0))))</f>
        <v>3.7177777777777781</v>
      </c>
      <c r="N57" s="1121"/>
      <c r="O57" s="5">
        <v>2050</v>
      </c>
      <c r="P57" s="5">
        <v>30</v>
      </c>
      <c r="Q57" s="1091">
        <v>3</v>
      </c>
      <c r="R57" s="81"/>
      <c r="S57" s="13">
        <v>0.44</v>
      </c>
      <c r="T57" s="33"/>
      <c r="U57" s="33"/>
      <c r="V57" s="33"/>
      <c r="W57" s="33"/>
      <c r="X57" s="33"/>
      <c r="Y57" s="33"/>
      <c r="Z57" s="33"/>
      <c r="AA57" s="33"/>
      <c r="AB57" s="33"/>
      <c r="AC57" s="33"/>
      <c r="AD57" s="33"/>
      <c r="AE57" s="36">
        <f t="shared" si="0"/>
        <v>0.1</v>
      </c>
    </row>
    <row r="58" spans="2:31">
      <c r="D58" s="47" t="s">
        <v>11</v>
      </c>
      <c r="E58" s="47" t="s">
        <v>25</v>
      </c>
      <c r="F58" s="261">
        <v>2022</v>
      </c>
      <c r="G58" s="43" cm="1">
        <f t="array" ref="G58:G60">TRANSPOSE('IGCC (COAL)'!$C$30:$E$30)</f>
        <v>2.73</v>
      </c>
      <c r="H58" s="43" cm="1">
        <f t="array" ref="H58:H60">TRANSPOSE('IGCC (COAL)'!$C$33:$E$33)/1000</f>
        <v>68.400000000000006</v>
      </c>
      <c r="I58" s="526" cm="1">
        <f t="array" ref="I58:I60">TRANSPOSE('IGCC (COAL)'!$C$34:$E$34)</f>
        <v>13.7</v>
      </c>
      <c r="J58" s="521" cm="1">
        <f t="array" ref="J58:J60">TRANSPOSE('IGCC (COAL)'!$C$35:$E$35)</f>
        <v>114</v>
      </c>
      <c r="K58" s="385" t="s">
        <v>212</v>
      </c>
      <c r="L58" s="1105">
        <f>IFERROR(INDEX('CO2 Emission Factors'!B:B,MATCH(K58,'CO2 Emission Factors'!A:A,0)),0)</f>
        <v>56.8</v>
      </c>
      <c r="M58" s="1080">
        <f>INDEX('Fuel Costs'!$AO$10:$BX$40,MATCH(O58,'Fuel Costs'!$A$10:$A$40,0),MATCH(K58,'Fuel Costs'!$AO$4:$BX$4,0))*((1+'LCOE-S Template'!$C$10)^(F58-INDEX('Fuel Costs'!$AO$2:$BX$2,MATCH(K58,'Fuel Costs'!$AO$4:$BX$4,0))))</f>
        <v>3.7177777777777781</v>
      </c>
      <c r="N58" s="1121"/>
      <c r="O58" s="5" cm="1">
        <f t="array" ref="O58:O60">TRANSPOSE('IGCC (COAL)'!$C$4:$E$4)</f>
        <v>2023</v>
      </c>
      <c r="P58" s="5" cm="1">
        <f t="array" ref="P58:P60">TRANSPOSE('IGCC (COAL)'!$C$13:$E$13)</f>
        <v>30</v>
      </c>
      <c r="Q58" s="1091" cm="1">
        <f t="array" ref="Q58:Q60">TRANSPOSE('IGCC (COAL)'!$C$14:$E$14)</f>
        <v>4</v>
      </c>
      <c r="R58" s="81"/>
      <c r="S58" s="41" cm="1">
        <f t="array" ref="S58:S60">TRANSPOSE('IGCC (COAL)'!$C$9:$E$9)/100</f>
        <v>0.4</v>
      </c>
      <c r="T58" s="33"/>
      <c r="U58" s="33"/>
      <c r="V58" s="33"/>
      <c r="W58" s="33"/>
      <c r="X58" s="33"/>
      <c r="Y58" s="33"/>
      <c r="Z58" s="33"/>
      <c r="AA58" s="33"/>
      <c r="AB58" s="33"/>
      <c r="AC58" s="33"/>
      <c r="AD58" s="33"/>
      <c r="AE58" s="36">
        <f t="shared" si="0"/>
        <v>0.1</v>
      </c>
    </row>
    <row r="59" spans="2:31">
      <c r="D59" s="47" t="s">
        <v>11</v>
      </c>
      <c r="E59" s="47" t="s">
        <v>25</v>
      </c>
      <c r="F59" s="261">
        <v>2022</v>
      </c>
      <c r="G59" s="43">
        <v>2.5100000000000002</v>
      </c>
      <c r="H59" s="43">
        <v>66.3</v>
      </c>
      <c r="I59" s="526">
        <v>13.3</v>
      </c>
      <c r="J59" s="521">
        <v>114</v>
      </c>
      <c r="K59" s="385" t="s">
        <v>212</v>
      </c>
      <c r="L59" s="1105">
        <f>IFERROR(INDEX('CO2 Emission Factors'!B:B,MATCH(K59,'CO2 Emission Factors'!A:A,0)),0)</f>
        <v>56.8</v>
      </c>
      <c r="M59" s="1080">
        <f>INDEX('Fuel Costs'!$AO$10:$BX$40,MATCH(O59,'Fuel Costs'!$A$10:$A$40,0),MATCH(K59,'Fuel Costs'!$AO$4:$BX$4,0))*((1+'LCOE-S Template'!$C$10)^(F59-INDEX('Fuel Costs'!$AO$2:$BX$2,MATCH(K59,'Fuel Costs'!$AO$4:$BX$4,0))))</f>
        <v>3.7177777777777781</v>
      </c>
      <c r="N59" s="1121"/>
      <c r="O59" s="5">
        <v>2030</v>
      </c>
      <c r="P59" s="5">
        <v>30</v>
      </c>
      <c r="Q59" s="1091">
        <v>4</v>
      </c>
      <c r="R59" s="81"/>
      <c r="S59" s="13">
        <v>0.41</v>
      </c>
      <c r="T59" s="33"/>
      <c r="U59" s="33"/>
      <c r="V59" s="33"/>
      <c r="W59" s="33"/>
      <c r="X59" s="33"/>
      <c r="Y59" s="33"/>
      <c r="Z59" s="33"/>
      <c r="AA59" s="33"/>
      <c r="AB59" s="33"/>
      <c r="AC59" s="33"/>
      <c r="AD59" s="33"/>
      <c r="AE59" s="36">
        <f t="shared" si="0"/>
        <v>0.1</v>
      </c>
    </row>
    <row r="60" spans="2:31" ht="15.75" thickBot="1">
      <c r="D60" s="389" t="s">
        <v>11</v>
      </c>
      <c r="E60" s="389" t="s">
        <v>25</v>
      </c>
      <c r="F60" s="406">
        <v>2022</v>
      </c>
      <c r="G60" s="247">
        <v>2.3199999999999998</v>
      </c>
      <c r="H60" s="247">
        <v>64.3</v>
      </c>
      <c r="I60" s="527">
        <v>12.9</v>
      </c>
      <c r="J60" s="524">
        <v>114</v>
      </c>
      <c r="K60" s="386" t="s">
        <v>212</v>
      </c>
      <c r="L60" s="1106">
        <f>IFERROR(INDEX('CO2 Emission Factors'!B:B,MATCH(K60,'CO2 Emission Factors'!A:A,0)),0)</f>
        <v>56.8</v>
      </c>
      <c r="M60" s="1115">
        <f>INDEX('Fuel Costs'!$AO$10:$BX$40,MATCH(O60,'Fuel Costs'!$A$10:$A$40,0),MATCH(K60,'Fuel Costs'!$AO$4:$BX$4,0))*((1+'LCOE-S Template'!$C$10)^(F60-INDEX('Fuel Costs'!$AO$2:$BX$2,MATCH(K60,'Fuel Costs'!$AO$4:$BX$4,0))))</f>
        <v>3.7177777777777781</v>
      </c>
      <c r="N60" s="1122"/>
      <c r="O60" s="49">
        <v>2050</v>
      </c>
      <c r="P60" s="49">
        <v>30</v>
      </c>
      <c r="Q60" s="53">
        <v>4</v>
      </c>
      <c r="R60" s="243"/>
      <c r="S60" s="239">
        <v>0.43</v>
      </c>
      <c r="T60" s="244"/>
      <c r="U60" s="244"/>
      <c r="V60" s="244"/>
      <c r="W60" s="244"/>
      <c r="X60" s="244"/>
      <c r="Y60" s="244"/>
      <c r="Z60" s="244"/>
      <c r="AA60" s="244"/>
      <c r="AB60" s="244"/>
      <c r="AC60" s="244"/>
      <c r="AD60" s="244"/>
      <c r="AE60" s="52">
        <f t="shared" si="0"/>
        <v>0.1</v>
      </c>
    </row>
    <row r="61" spans="2:31">
      <c r="D61" s="47" t="s">
        <v>12</v>
      </c>
      <c r="E61" s="47" t="s">
        <v>26</v>
      </c>
      <c r="F61" s="261">
        <v>2022</v>
      </c>
      <c r="G61" s="43" cm="1">
        <f t="array" ref="G61:G63">TRANSPOSE('CCGT (GAS)'!$C$30:$E$30)</f>
        <v>1.08</v>
      </c>
      <c r="H61" s="43" cm="1">
        <f t="array" ref="H61:H63">TRANSPOSE('CCGT (GAS)'!$C$33:$E$33)/1000</f>
        <v>26.8</v>
      </c>
      <c r="I61" s="526" cm="1">
        <f t="array" ref="I61:I63">TRANSPOSE('CCGT (GAS)'!$C$34:$E$34)</f>
        <v>2.6</v>
      </c>
      <c r="J61" s="521" cm="1">
        <f t="array" ref="J61:J63">TRANSPOSE('CCGT (GAS)'!$C$35:$E$35)</f>
        <v>90</v>
      </c>
      <c r="K61" s="385" t="s">
        <v>213</v>
      </c>
      <c r="L61" s="1105">
        <f>IFERROR(INDEX('CO2 Emission Factors'!B:B,MATCH(K61,'CO2 Emission Factors'!A:A,0)),0)</f>
        <v>56.8</v>
      </c>
      <c r="M61" s="1080">
        <f>INDEX('Fuel Costs'!$AO$10:$BX$40,MATCH(O61,'Fuel Costs'!$A$10:$A$40,0),MATCH(K61,'Fuel Costs'!$AO$4:$BX$4,0))*((1+'LCOE-S Template'!$C$10)^(F61-INDEX('Fuel Costs'!$AO$2:$BX$2,MATCH(K61,'Fuel Costs'!$AO$4:$BX$4,0))))</f>
        <v>10.890499999999999</v>
      </c>
      <c r="N61" s="1121"/>
      <c r="O61" s="5" cm="1">
        <f t="array" ref="O61:O63">TRANSPOSE('CCGT (GAS)'!$C$4:$E$4)</f>
        <v>2023</v>
      </c>
      <c r="P61" s="5" cm="1">
        <f t="array" ref="P61:P63">TRANSPOSE('CCGT (GAS)'!$C$12:$E$12)</f>
        <v>25</v>
      </c>
      <c r="Q61" s="1091" cm="1">
        <f t="array" ref="Q61:Q63">TRANSPOSE('CCGT (GAS)'!$C$13:$E$13)</f>
        <v>2.5</v>
      </c>
      <c r="R61" s="81"/>
      <c r="S61" s="13" cm="1">
        <f t="array" ref="S61:S63">TRANSPOSE('CCGT (GAS)'!$C$9:$E$9)/100</f>
        <v>0.56000000000000005</v>
      </c>
      <c r="T61" s="33"/>
      <c r="U61" s="33"/>
      <c r="V61" s="33"/>
      <c r="W61" s="33"/>
      <c r="X61" s="33"/>
      <c r="Y61" s="33"/>
      <c r="Z61" s="33"/>
      <c r="AA61" s="33"/>
      <c r="AB61" s="33"/>
      <c r="AC61" s="33"/>
      <c r="AD61" s="33"/>
      <c r="AE61" s="36">
        <f t="shared" si="0"/>
        <v>0.1</v>
      </c>
    </row>
    <row r="62" spans="2:31">
      <c r="D62" s="47" t="s">
        <v>12</v>
      </c>
      <c r="E62" s="47" t="s">
        <v>26</v>
      </c>
      <c r="F62" s="261">
        <v>2022</v>
      </c>
      <c r="G62" s="43">
        <v>1.026</v>
      </c>
      <c r="H62" s="43">
        <v>26</v>
      </c>
      <c r="I62" s="526">
        <v>2.5</v>
      </c>
      <c r="J62" s="521">
        <v>90</v>
      </c>
      <c r="K62" s="385" t="s">
        <v>213</v>
      </c>
      <c r="L62" s="1105">
        <f>IFERROR(INDEX('CO2 Emission Factors'!B:B,MATCH(K62,'CO2 Emission Factors'!A:A,0)),0)</f>
        <v>56.8</v>
      </c>
      <c r="M62" s="1080">
        <f>INDEX('Fuel Costs'!$AO$10:$BX$40,MATCH(O62,'Fuel Costs'!$A$10:$A$40,0),MATCH(K62,'Fuel Costs'!$AO$4:$BX$4,0))*((1+'LCOE-S Template'!$C$10)^(F62-INDEX('Fuel Costs'!$AO$2:$BX$2,MATCH(K62,'Fuel Costs'!$AO$4:$BX$4,0))))</f>
        <v>10.890499999999999</v>
      </c>
      <c r="N62" s="1121"/>
      <c r="O62" s="5">
        <v>2030</v>
      </c>
      <c r="P62" s="5">
        <v>25</v>
      </c>
      <c r="Q62" s="1091">
        <v>2.5</v>
      </c>
      <c r="R62" s="81"/>
      <c r="S62" s="13">
        <v>0.59</v>
      </c>
      <c r="T62" s="33"/>
      <c r="U62" s="33"/>
      <c r="V62" s="33"/>
      <c r="W62" s="33"/>
      <c r="X62" s="33"/>
      <c r="Y62" s="33"/>
      <c r="Z62" s="33"/>
      <c r="AA62" s="33"/>
      <c r="AB62" s="33"/>
      <c r="AC62" s="33"/>
      <c r="AD62" s="33"/>
      <c r="AE62" s="36">
        <f t="shared" si="0"/>
        <v>0.1</v>
      </c>
    </row>
    <row r="63" spans="2:31">
      <c r="D63" s="47" t="s">
        <v>12</v>
      </c>
      <c r="E63" s="47" t="s">
        <v>26</v>
      </c>
      <c r="F63" s="261">
        <v>2022</v>
      </c>
      <c r="G63" s="43">
        <v>0.95040000000000002</v>
      </c>
      <c r="H63" s="43">
        <v>25.2</v>
      </c>
      <c r="I63" s="526">
        <v>2.4</v>
      </c>
      <c r="J63" s="521">
        <v>90</v>
      </c>
      <c r="K63" s="385" t="s">
        <v>213</v>
      </c>
      <c r="L63" s="1105">
        <f>IFERROR(INDEX('CO2 Emission Factors'!B:B,MATCH(K63,'CO2 Emission Factors'!A:A,0)),0)</f>
        <v>56.8</v>
      </c>
      <c r="M63" s="1080">
        <f>INDEX('Fuel Costs'!$AO$10:$BX$40,MATCH(O63,'Fuel Costs'!$A$10:$A$40,0),MATCH(K63,'Fuel Costs'!$AO$4:$BX$4,0))*((1+'LCOE-S Template'!$C$10)^(F63-INDEX('Fuel Costs'!$AO$2:$BX$2,MATCH(K63,'Fuel Costs'!$AO$4:$BX$4,0))))</f>
        <v>10.890499999999999</v>
      </c>
      <c r="N63" s="1121"/>
      <c r="O63" s="5">
        <v>2050</v>
      </c>
      <c r="P63" s="5">
        <v>25</v>
      </c>
      <c r="Q63" s="1091">
        <v>2.5</v>
      </c>
      <c r="R63" s="81"/>
      <c r="S63" s="13">
        <v>0.6</v>
      </c>
      <c r="T63" s="33"/>
      <c r="U63" s="33"/>
      <c r="V63" s="33"/>
      <c r="W63" s="33"/>
      <c r="X63" s="33"/>
      <c r="Y63" s="33"/>
      <c r="Z63" s="33"/>
      <c r="AA63" s="33"/>
      <c r="AB63" s="33"/>
      <c r="AC63" s="33"/>
      <c r="AD63" s="33"/>
      <c r="AE63" s="36">
        <f t="shared" si="0"/>
        <v>0.1</v>
      </c>
    </row>
    <row r="64" spans="2:31">
      <c r="D64" s="47" t="s">
        <v>12</v>
      </c>
      <c r="E64" s="47" t="s">
        <v>214</v>
      </c>
      <c r="F64" s="261">
        <v>2022</v>
      </c>
      <c r="G64" s="43" cm="1">
        <f t="array" ref="G64:G66">TRANSPOSE('SCGT (GAS)'!$C$30:$E$30)</f>
        <v>1.1200000000000001</v>
      </c>
      <c r="H64" s="43" cm="1">
        <f t="array" ref="H64:H66">TRANSPOSE('SCGT (GAS)'!$C$33:$E$33)/1000</f>
        <v>26.5</v>
      </c>
      <c r="I64" s="526" cm="1">
        <f t="array" ref="I64:I66">TRANSPOSE('SCGT (GAS)'!$C$34:$E$34)</f>
        <v>3.6</v>
      </c>
      <c r="J64" s="521" cm="1">
        <f t="array" ref="J64:J66">TRANSPOSE('SCGT (GAS)'!$C$35:$E$35)</f>
        <v>25</v>
      </c>
      <c r="K64" s="385" t="s">
        <v>213</v>
      </c>
      <c r="L64" s="1105">
        <f>IFERROR(INDEX('CO2 Emission Factors'!B:B,MATCH(K64,'CO2 Emission Factors'!A:A,0)),0)</f>
        <v>56.8</v>
      </c>
      <c r="M64" s="1080">
        <f>INDEX('Fuel Costs'!$AO$10:$BX$40,MATCH(O64,'Fuel Costs'!$A$10:$A$40,0),MATCH(K64,'Fuel Costs'!$AO$4:$BX$4,0))*((1+'LCOE-S Template'!$C$10)^(F64-INDEX('Fuel Costs'!$AO$2:$BX$2,MATCH(K64,'Fuel Costs'!$AO$4:$BX$4,0))))</f>
        <v>10.890499999999999</v>
      </c>
      <c r="N64" s="1121"/>
      <c r="O64" s="5" cm="1">
        <f t="array" ref="O64:O66">TRANSPOSE('SCGT (GAS)'!$C$4:$E$4)</f>
        <v>2023</v>
      </c>
      <c r="P64" s="5" cm="1">
        <f t="array" ref="P64:P66">TRANSPOSE('SCGT (GAS)'!$C$12:$E$12)</f>
        <v>25</v>
      </c>
      <c r="Q64" s="1091" cm="1">
        <f t="array" ref="Q64:Q66">TRANSPOSE('SCGT (GAS)'!$C$13:$E$13)</f>
        <v>1.5</v>
      </c>
      <c r="R64" s="81"/>
      <c r="S64" s="13" cm="1">
        <f t="array" ref="S64:S66">TRANSPOSE('SCGT (GAS)'!$C$9:$E$9)/100</f>
        <v>0.33</v>
      </c>
      <c r="T64" s="33"/>
      <c r="U64" s="33"/>
      <c r="V64" s="33"/>
      <c r="W64" s="33"/>
      <c r="X64" s="33"/>
      <c r="Y64" s="33"/>
      <c r="Z64" s="33"/>
      <c r="AA64" s="33"/>
      <c r="AB64" s="33"/>
      <c r="AC64" s="33"/>
      <c r="AD64" s="33"/>
      <c r="AE64" s="36">
        <f t="shared" si="0"/>
        <v>0.1</v>
      </c>
    </row>
    <row r="65" spans="4:31">
      <c r="D65" s="47" t="s">
        <v>12</v>
      </c>
      <c r="E65" s="47" t="s">
        <v>214</v>
      </c>
      <c r="F65" s="261">
        <v>2022</v>
      </c>
      <c r="G65" s="43">
        <v>1.0640000000000001</v>
      </c>
      <c r="H65" s="43">
        <v>25.7</v>
      </c>
      <c r="I65" s="526">
        <v>3.5</v>
      </c>
      <c r="J65" s="521">
        <v>25</v>
      </c>
      <c r="K65" s="385" t="s">
        <v>213</v>
      </c>
      <c r="L65" s="1105">
        <f>IFERROR(INDEX('CO2 Emission Factors'!B:B,MATCH(K65,'CO2 Emission Factors'!A:A,0)),0)</f>
        <v>56.8</v>
      </c>
      <c r="M65" s="1080">
        <f>INDEX('Fuel Costs'!$AO$10:$BX$40,MATCH(O65,'Fuel Costs'!$A$10:$A$40,0),MATCH(K65,'Fuel Costs'!$AO$4:$BX$4,0))*((1+'LCOE-S Template'!$C$10)^(F65-INDEX('Fuel Costs'!$AO$2:$BX$2,MATCH(K65,'Fuel Costs'!$AO$4:$BX$4,0))))</f>
        <v>10.890499999999999</v>
      </c>
      <c r="N65" s="1121"/>
      <c r="O65" s="5">
        <v>2030</v>
      </c>
      <c r="P65" s="5">
        <v>25</v>
      </c>
      <c r="Q65" s="1091">
        <v>1.5</v>
      </c>
      <c r="R65" s="81"/>
      <c r="S65" s="13">
        <v>0.35</v>
      </c>
      <c r="T65" s="33"/>
      <c r="U65" s="33"/>
      <c r="V65" s="33"/>
      <c r="W65" s="33"/>
      <c r="X65" s="33"/>
      <c r="Y65" s="33"/>
      <c r="Z65" s="33"/>
      <c r="AA65" s="33"/>
      <c r="AB65" s="33"/>
      <c r="AC65" s="33"/>
      <c r="AD65" s="33"/>
      <c r="AE65" s="36">
        <f t="shared" si="0"/>
        <v>0.1</v>
      </c>
    </row>
    <row r="66" spans="4:31" ht="15.75" thickBot="1">
      <c r="D66" s="389" t="s">
        <v>12</v>
      </c>
      <c r="E66" s="389" t="s">
        <v>214</v>
      </c>
      <c r="F66" s="406">
        <v>2022</v>
      </c>
      <c r="G66" s="247">
        <v>0.98560000000000014</v>
      </c>
      <c r="H66" s="247">
        <v>24.9</v>
      </c>
      <c r="I66" s="527">
        <v>3.4</v>
      </c>
      <c r="J66" s="524">
        <v>25</v>
      </c>
      <c r="K66" s="386" t="s">
        <v>213</v>
      </c>
      <c r="L66" s="1107">
        <f>IFERROR(INDEX('CO2 Emission Factors'!B:B,MATCH(K66,'CO2 Emission Factors'!A:A,0)),0)</f>
        <v>56.8</v>
      </c>
      <c r="M66" s="1115">
        <f>INDEX('Fuel Costs'!$AO$10:$BX$40,MATCH(O66,'Fuel Costs'!$A$10:$A$40,0),MATCH(K66,'Fuel Costs'!$AO$4:$BX$4,0))*((1+'LCOE-S Template'!$C$10)^(F66-INDEX('Fuel Costs'!$AO$2:$BX$2,MATCH(K66,'Fuel Costs'!$AO$4:$BX$4,0))))</f>
        <v>10.890499999999999</v>
      </c>
      <c r="N66" s="1122"/>
      <c r="O66" s="49">
        <v>2050</v>
      </c>
      <c r="P66" s="49">
        <v>25</v>
      </c>
      <c r="Q66" s="53">
        <v>1.5</v>
      </c>
      <c r="R66" s="243"/>
      <c r="S66" s="239">
        <v>0.39</v>
      </c>
      <c r="T66" s="244"/>
      <c r="U66" s="244"/>
      <c r="V66" s="244"/>
      <c r="W66" s="244"/>
      <c r="X66" s="244"/>
      <c r="Y66" s="244"/>
      <c r="Z66" s="244"/>
      <c r="AA66" s="244"/>
      <c r="AB66" s="244"/>
      <c r="AC66" s="244"/>
      <c r="AD66" s="244"/>
      <c r="AE66" s="52">
        <f t="shared" si="0"/>
        <v>0.1</v>
      </c>
    </row>
    <row r="67" spans="4:31">
      <c r="D67" s="47" t="s">
        <v>11</v>
      </c>
      <c r="E67" s="47" t="s">
        <v>111</v>
      </c>
      <c r="F67" s="261">
        <v>2022</v>
      </c>
      <c r="G67" s="43" cm="1">
        <f t="array" ref="G67:G69">TRANSPOSE('CCS - Supercritical coal'!$C$31:$E$31)</f>
        <v>3.8400000000000003</v>
      </c>
      <c r="H67" s="43" cm="1">
        <f t="array" ref="H67:H69">TRANSPOSE('CCS - Supercritical coal'!$C$34:$E$34)/1000</f>
        <v>97</v>
      </c>
      <c r="I67" s="526" cm="1">
        <f t="array" ref="I67:I69">TRANSPOSE('CCS - Supercritical coal'!$C$35:$E$35)</f>
        <v>4.5</v>
      </c>
      <c r="J67" s="521" cm="1">
        <f t="array" ref="J67:J69">TRANSPOSE('Coal Supercritical'!$C$35:$E$35)</f>
        <v>57</v>
      </c>
      <c r="K67" s="385" t="s">
        <v>215</v>
      </c>
      <c r="L67" s="1128" cm="1">
        <f t="array" ref="L67:L69">(1-TRANSPOSE('CCS - Supercritical coal'!$C$14:$E$14))*($L$55:$L$57)</f>
        <v>10.639999999999999</v>
      </c>
      <c r="M67" s="1080">
        <f>INDEX('Fuel Costs'!$AO$10:$BX$40,MATCH(O67,'Fuel Costs'!$A$10:$A$40,0),MATCH(K67,'Fuel Costs'!$AO$4:$BX$4,0))*((1+'LCOE-S Template'!$C$10)^(F67-INDEX('Fuel Costs'!$AO$2:$BX$2,MATCH(K67,'Fuel Costs'!$AO$4:$BX$4,0))))</f>
        <v>3.7177777777777781</v>
      </c>
      <c r="N67" s="1121"/>
      <c r="O67" s="5" cm="1">
        <f t="array" ref="O67:O69">TRANSPOSE('Coal Supercritical'!$C$4:$E$4)</f>
        <v>2023</v>
      </c>
      <c r="P67" s="5" cm="1">
        <f t="array" ref="P67:P69">TRANSPOSE('Coal Supercritical'!$C$12:$E$12)</f>
        <v>30</v>
      </c>
      <c r="Q67" s="1091" cm="1">
        <f t="array" ref="Q67:Q69">TRANSPOSE('Coal Supercritical'!$C$13:$E$13)</f>
        <v>4</v>
      </c>
      <c r="R67" s="81"/>
      <c r="S67" s="13" cm="1">
        <f t="array" ref="S67:S69">TRANSPOSE('CCS - Supercritical coal'!$C$9:$E$9)/100</f>
        <v>0.28000000000000003</v>
      </c>
      <c r="T67" s="33"/>
      <c r="U67" s="33"/>
      <c r="V67" s="33"/>
      <c r="W67" s="33"/>
      <c r="X67" s="33"/>
      <c r="Y67" s="33"/>
      <c r="Z67" s="33"/>
      <c r="AA67" s="33"/>
      <c r="AB67" s="33"/>
      <c r="AC67" s="33"/>
      <c r="AD67" s="33"/>
      <c r="AE67" s="36">
        <f t="shared" si="0"/>
        <v>0.1</v>
      </c>
    </row>
    <row r="68" spans="4:31">
      <c r="D68" s="47" t="s">
        <v>11</v>
      </c>
      <c r="E68" s="47" t="s">
        <v>111</v>
      </c>
      <c r="F68" s="261">
        <v>2022</v>
      </c>
      <c r="G68" s="43">
        <v>3.46</v>
      </c>
      <c r="H68" s="43">
        <v>90.2</v>
      </c>
      <c r="I68" s="526">
        <v>4.2</v>
      </c>
      <c r="J68" s="521">
        <v>57</v>
      </c>
      <c r="K68" s="385" t="s">
        <v>215</v>
      </c>
      <c r="L68" s="1128">
        <v>10.639999999999999</v>
      </c>
      <c r="M68" s="1080">
        <f>INDEX('Fuel Costs'!$AO$10:$BX$40,MATCH(O68,'Fuel Costs'!$A$10:$A$40,0),MATCH(K68,'Fuel Costs'!$AO$4:$BX$4,0))*((1+'LCOE-S Template'!$C$10)^(F68-INDEX('Fuel Costs'!$AO$2:$BX$2,MATCH(K68,'Fuel Costs'!$AO$4:$BX$4,0))))</f>
        <v>3.7177777777777781</v>
      </c>
      <c r="N68" s="1121"/>
      <c r="O68" s="5">
        <v>2030</v>
      </c>
      <c r="P68" s="5">
        <v>30</v>
      </c>
      <c r="Q68" s="1091">
        <v>3</v>
      </c>
      <c r="R68" s="81"/>
      <c r="S68" s="13">
        <v>0.28999999999999998</v>
      </c>
      <c r="T68" s="33"/>
      <c r="U68" s="33"/>
      <c r="V68" s="33"/>
      <c r="W68" s="33"/>
      <c r="X68" s="33"/>
      <c r="Y68" s="33"/>
      <c r="Z68" s="33"/>
      <c r="AA68" s="33"/>
      <c r="AB68" s="33"/>
      <c r="AC68" s="33"/>
      <c r="AD68" s="33"/>
      <c r="AE68" s="36">
        <f t="shared" si="0"/>
        <v>0.1</v>
      </c>
    </row>
    <row r="69" spans="4:31" ht="15.75" thickBot="1">
      <c r="D69" s="389" t="s">
        <v>11</v>
      </c>
      <c r="E69" s="389" t="s">
        <v>111</v>
      </c>
      <c r="F69" s="406">
        <v>2022</v>
      </c>
      <c r="G69" s="247">
        <v>2.77</v>
      </c>
      <c r="H69" s="247">
        <v>72.8</v>
      </c>
      <c r="I69" s="527">
        <v>3.7</v>
      </c>
      <c r="J69" s="524">
        <v>57</v>
      </c>
      <c r="K69" s="386" t="s">
        <v>215</v>
      </c>
      <c r="L69" s="1129">
        <v>10.639999999999999</v>
      </c>
      <c r="M69" s="1115">
        <f>INDEX('Fuel Costs'!$AO$10:$BX$40,MATCH(O69,'Fuel Costs'!$A$10:$A$40,0),MATCH(K69,'Fuel Costs'!$AO$4:$BX$4,0))*((1+'LCOE-S Template'!$C$10)^(F69-INDEX('Fuel Costs'!$AO$2:$BX$2,MATCH(K69,'Fuel Costs'!$AO$4:$BX$4,0))))</f>
        <v>3.7177777777777781</v>
      </c>
      <c r="N69" s="1122"/>
      <c r="O69" s="49">
        <v>2050</v>
      </c>
      <c r="P69" s="49">
        <v>30</v>
      </c>
      <c r="Q69" s="53">
        <v>3</v>
      </c>
      <c r="R69" s="243"/>
      <c r="S69" s="239">
        <v>0.3</v>
      </c>
      <c r="T69" s="244"/>
      <c r="U69" s="244"/>
      <c r="V69" s="244"/>
      <c r="W69" s="244"/>
      <c r="X69" s="244"/>
      <c r="Y69" s="244"/>
      <c r="Z69" s="244"/>
      <c r="AA69" s="244"/>
      <c r="AB69" s="244"/>
      <c r="AC69" s="244"/>
      <c r="AD69" s="244"/>
      <c r="AE69" s="52">
        <f t="shared" ref="AE69:AE75" si="1">$AF$4</f>
        <v>0.1</v>
      </c>
    </row>
    <row r="70" spans="4:31">
      <c r="D70" s="47" t="s">
        <v>12</v>
      </c>
      <c r="E70" s="47" t="s">
        <v>117</v>
      </c>
      <c r="F70" s="261">
        <v>2022</v>
      </c>
      <c r="G70" s="43" cm="1">
        <f t="array" ref="G70:G72">TRANSPOSE('CCS - CCGT (GAS)'!$C$31:$E$31)</f>
        <v>2.39</v>
      </c>
      <c r="H70" s="43" cm="1">
        <f t="array" ref="H70:H72">TRANSPOSE('CCS - CCGT (GAS)'!$C$34:$E$34)/1000</f>
        <v>59</v>
      </c>
      <c r="I70" s="521" cm="1">
        <f t="array" ref="I70:I72">TRANSPOSE('CCS - CCGT (GAS)'!$C$35:$E$35)</f>
        <v>4.96</v>
      </c>
      <c r="J70" s="521" cm="1">
        <f t="array" ref="J70:J72">TRANSPOSE('CCGT (GAS)'!$C$35:$E$35)</f>
        <v>90</v>
      </c>
      <c r="K70" s="385" t="s">
        <v>216</v>
      </c>
      <c r="L70" s="1130" cm="1">
        <f t="array" ref="L70:L72">(1-TRANSPOSE('CCS - CCGT (GAS)'!$C$14:$E$14))*($L$64:$L$66)</f>
        <v>5.6799999999999988</v>
      </c>
      <c r="M70" s="1080">
        <f>INDEX('Fuel Costs'!$AO$10:$BX$40,MATCH(O70,'Fuel Costs'!$A$10:$A$40,0),MATCH(K70,'Fuel Costs'!$AO$4:$BX$4,0))*((1+'LCOE-S Template'!$C$10)^(F70-INDEX('Fuel Costs'!$AO$2:$BX$2,MATCH(K70,'Fuel Costs'!$AO$4:$BX$4,0))))</f>
        <v>10.890499999999999</v>
      </c>
      <c r="N70" s="1121"/>
      <c r="O70" s="5" cm="1">
        <f t="array" ref="O70:O72">TRANSPOSE('CCGT (GAS)'!$C$4:$E$4)</f>
        <v>2023</v>
      </c>
      <c r="P70" s="5" cm="1">
        <f t="array" ref="P70:P72">TRANSPOSE('CCGT (GAS)'!$C$12:$E$12)</f>
        <v>25</v>
      </c>
      <c r="Q70" s="1091" cm="1">
        <f t="array" ref="Q70:Q72">TRANSPOSE('CCGT (GAS)'!$C$13:$E$13)</f>
        <v>2.5</v>
      </c>
      <c r="R70" s="81"/>
      <c r="S70" s="13" cm="1">
        <f t="array" ref="S70:S72">TRANSPOSE('CCS - CCGT (GAS)'!$C$9:$E$9)/100</f>
        <v>0.47</v>
      </c>
      <c r="T70" s="33"/>
      <c r="U70" s="33"/>
      <c r="V70" s="33"/>
      <c r="W70" s="33"/>
      <c r="X70" s="33"/>
      <c r="Y70" s="33"/>
      <c r="Z70" s="33"/>
      <c r="AA70" s="33"/>
      <c r="AB70" s="33"/>
      <c r="AC70" s="33"/>
      <c r="AD70" s="33"/>
      <c r="AE70" s="36">
        <f t="shared" si="1"/>
        <v>0.1</v>
      </c>
    </row>
    <row r="71" spans="4:31">
      <c r="D71" s="47" t="s">
        <v>12</v>
      </c>
      <c r="E71" s="47" t="s">
        <v>117</v>
      </c>
      <c r="F71" s="261">
        <v>2022</v>
      </c>
      <c r="G71" s="43">
        <v>2.15</v>
      </c>
      <c r="H71" s="43">
        <v>50.2</v>
      </c>
      <c r="I71" s="521">
        <v>4.3600000000000003</v>
      </c>
      <c r="J71" s="521">
        <v>90</v>
      </c>
      <c r="K71" s="385" t="s">
        <v>216</v>
      </c>
      <c r="L71" s="1130">
        <v>5.6799999999999988</v>
      </c>
      <c r="M71" s="1080">
        <f>INDEX('Fuel Costs'!$AO$10:$BX$40,MATCH(O71,'Fuel Costs'!$A$10:$A$40,0),MATCH(K71,'Fuel Costs'!$AO$4:$BX$4,0))*((1+'LCOE-S Template'!$C$10)^(F71-INDEX('Fuel Costs'!$AO$2:$BX$2,MATCH(K71,'Fuel Costs'!$AO$4:$BX$4,0))))</f>
        <v>10.890499999999999</v>
      </c>
      <c r="N71" s="1121"/>
      <c r="O71" s="5">
        <v>2030</v>
      </c>
      <c r="P71" s="5">
        <v>25</v>
      </c>
      <c r="Q71" s="1091">
        <v>2.5</v>
      </c>
      <c r="R71" s="81"/>
      <c r="S71" s="13">
        <v>0.5</v>
      </c>
      <c r="T71" s="33"/>
      <c r="U71" s="33"/>
      <c r="V71" s="33"/>
      <c r="W71" s="33"/>
      <c r="X71" s="33"/>
      <c r="Y71" s="33"/>
      <c r="Z71" s="33"/>
      <c r="AA71" s="33"/>
      <c r="AB71" s="33"/>
      <c r="AC71" s="33"/>
      <c r="AD71" s="33"/>
      <c r="AE71" s="36">
        <f t="shared" si="1"/>
        <v>0.1</v>
      </c>
    </row>
    <row r="72" spans="4:31" ht="15.75" thickBot="1">
      <c r="D72" s="389" t="s">
        <v>12</v>
      </c>
      <c r="E72" s="389" t="s">
        <v>117</v>
      </c>
      <c r="F72" s="406">
        <v>2022</v>
      </c>
      <c r="G72" s="247">
        <v>1.72</v>
      </c>
      <c r="H72" s="247">
        <v>37.799999999999997</v>
      </c>
      <c r="I72" s="524">
        <v>3.62</v>
      </c>
      <c r="J72" s="524">
        <v>90</v>
      </c>
      <c r="K72" s="386" t="s">
        <v>216</v>
      </c>
      <c r="L72" s="1131">
        <v>5.6799999999999988</v>
      </c>
      <c r="M72" s="1115">
        <f>INDEX('Fuel Costs'!$AO$10:$BX$40,MATCH(O72,'Fuel Costs'!$A$10:$A$40,0),MATCH(K72,'Fuel Costs'!$AO$4:$BX$4,0))*((1+'LCOE-S Template'!$C$10)^(F72-INDEX('Fuel Costs'!$AO$2:$BX$2,MATCH(K72,'Fuel Costs'!$AO$4:$BX$4,0))))</f>
        <v>10.890499999999999</v>
      </c>
      <c r="N72" s="1122"/>
      <c r="O72" s="49">
        <v>2050</v>
      </c>
      <c r="P72" s="49">
        <v>25</v>
      </c>
      <c r="Q72" s="53">
        <v>2.5</v>
      </c>
      <c r="R72" s="243"/>
      <c r="S72" s="239">
        <v>0.51</v>
      </c>
      <c r="T72" s="244"/>
      <c r="U72" s="244"/>
      <c r="V72" s="244"/>
      <c r="W72" s="244"/>
      <c r="X72" s="244"/>
      <c r="Y72" s="244"/>
      <c r="Z72" s="244"/>
      <c r="AA72" s="244"/>
      <c r="AB72" s="244"/>
      <c r="AC72" s="244"/>
      <c r="AD72" s="244"/>
      <c r="AE72" s="52">
        <f t="shared" si="1"/>
        <v>0.1</v>
      </c>
    </row>
    <row r="73" spans="4:31">
      <c r="D73" s="47" t="s">
        <v>11</v>
      </c>
      <c r="E73" s="47" t="s">
        <v>109</v>
      </c>
      <c r="F73" s="261">
        <v>2022</v>
      </c>
      <c r="G73" s="503" cm="1">
        <f t="array" ref="G73:G75">VALUE(TRANSPOSE('CCS - IGCC (COAL)'!$C$31:$E$31))</f>
        <v>4.7699999999999996</v>
      </c>
      <c r="H73" s="503" cm="1">
        <f t="array" ref="H73:H75">VALUE(TRANSPOSE('CCS - IGCC (COAL)'!$C$34:$E$34)/1000)</f>
        <v>123</v>
      </c>
      <c r="I73" s="526" cm="1">
        <f t="array" ref="I73:I75">VALUE(TRANSPOSE('CCS - IGCC (COAL)'!$C$35:$E$35))</f>
        <v>22</v>
      </c>
      <c r="J73" s="521" cm="1">
        <f t="array" ref="J73:J75">TRANSPOSE('IGCC (COAL)'!$C$35:$E$35)</f>
        <v>114</v>
      </c>
      <c r="K73" s="385" t="s">
        <v>217</v>
      </c>
      <c r="L73" s="1130" cm="1">
        <f t="array" ref="L73:L75">(1-TRANSPOSE('CCS - IGCC (COAL)'!$C$15:$E$15))*($L$58:$L$60)</f>
        <v>5.6799999999999988</v>
      </c>
      <c r="M73" s="1080">
        <f>INDEX('Fuel Costs'!$AO$10:$BX$40,MATCH(O73,'Fuel Costs'!$A$10:$A$40,0),MATCH(K73,'Fuel Costs'!$AO$4:$BX$4,0))*((1+'LCOE-S Template'!$C$10)^(F73-INDEX('Fuel Costs'!$AO$2:$BX$2,MATCH(K73,'Fuel Costs'!$AO$4:$BX$4,0))))</f>
        <v>3.7177777777777781</v>
      </c>
      <c r="N73" s="1121"/>
      <c r="O73" s="5" cm="1">
        <f t="array" ref="O73:O75">TRANSPOSE('IGCC (COAL)'!$C$4:$E$4)</f>
        <v>2023</v>
      </c>
      <c r="P73" s="5" cm="1">
        <f t="array" ref="P73:P75">TRANSPOSE('IGCC (COAL)'!$C$13:$E$13)</f>
        <v>30</v>
      </c>
      <c r="Q73" s="1091" cm="1">
        <f t="array" ref="Q73:Q75">TRANSPOSE('IGCC (COAL)'!$C$14:$E$14)</f>
        <v>4</v>
      </c>
      <c r="R73" s="81"/>
      <c r="S73" s="13" cm="1">
        <f t="array" ref="S73:S75">TRANSPOSE('CCS - IGCC (COAL)'!$C$9:$E$9)/100</f>
        <v>0.31</v>
      </c>
      <c r="T73" s="33"/>
      <c r="U73" s="33"/>
      <c r="V73" s="33"/>
      <c r="W73" s="33"/>
      <c r="X73" s="33"/>
      <c r="Y73" s="33"/>
      <c r="Z73" s="33"/>
      <c r="AA73" s="33"/>
      <c r="AB73" s="33"/>
      <c r="AC73" s="33"/>
      <c r="AD73" s="33"/>
      <c r="AE73" s="36">
        <f t="shared" si="1"/>
        <v>0.1</v>
      </c>
    </row>
    <row r="74" spans="4:31">
      <c r="D74" s="47" t="s">
        <v>11</v>
      </c>
      <c r="E74" s="47" t="s">
        <v>109</v>
      </c>
      <c r="F74" s="261">
        <v>2022</v>
      </c>
      <c r="G74" s="503">
        <v>4.29</v>
      </c>
      <c r="H74" s="503">
        <v>121.8</v>
      </c>
      <c r="I74" s="526">
        <v>21.78</v>
      </c>
      <c r="J74" s="521">
        <v>114</v>
      </c>
      <c r="K74" s="385" t="s">
        <v>217</v>
      </c>
      <c r="L74" s="1130">
        <v>5.6799999999999988</v>
      </c>
      <c r="M74" s="1080">
        <f>INDEX('Fuel Costs'!$AO$10:$BX$40,MATCH(O74,'Fuel Costs'!$A$10:$A$40,0),MATCH(K74,'Fuel Costs'!$AO$4:$BX$4,0))*((1+'LCOE-S Template'!$C$10)^(F74-INDEX('Fuel Costs'!$AO$2:$BX$2,MATCH(K74,'Fuel Costs'!$AO$4:$BX$4,0))))</f>
        <v>3.7177777777777781</v>
      </c>
      <c r="N74" s="1121"/>
      <c r="O74" s="5">
        <v>2030</v>
      </c>
      <c r="P74" s="5">
        <v>30</v>
      </c>
      <c r="Q74" s="1091">
        <v>4</v>
      </c>
      <c r="R74" s="81"/>
      <c r="S74" s="13">
        <v>0.32</v>
      </c>
      <c r="T74" s="33"/>
      <c r="U74" s="33"/>
      <c r="V74" s="33"/>
      <c r="W74" s="33"/>
      <c r="X74" s="33"/>
      <c r="Y74" s="33"/>
      <c r="Z74" s="33"/>
      <c r="AA74" s="33"/>
      <c r="AB74" s="33"/>
      <c r="AC74" s="33"/>
      <c r="AD74" s="33"/>
      <c r="AE74" s="36">
        <f t="shared" si="1"/>
        <v>0.1</v>
      </c>
    </row>
    <row r="75" spans="4:31" ht="15.75" thickBot="1">
      <c r="D75" s="389" t="s">
        <v>11</v>
      </c>
      <c r="E75" s="389" t="s">
        <v>109</v>
      </c>
      <c r="F75" s="406">
        <v>2022</v>
      </c>
      <c r="G75" s="504">
        <v>3.43</v>
      </c>
      <c r="H75" s="504">
        <v>116.9</v>
      </c>
      <c r="I75" s="527">
        <v>21.12</v>
      </c>
      <c r="J75" s="524">
        <v>114</v>
      </c>
      <c r="K75" s="386" t="s">
        <v>217</v>
      </c>
      <c r="L75" s="1131">
        <v>5.6799999999999988</v>
      </c>
      <c r="M75" s="1115">
        <f>INDEX('Fuel Costs'!$AO$10:$BX$40,MATCH(O75,'Fuel Costs'!$A$10:$A$40,0),MATCH(K75,'Fuel Costs'!$AO$4:$BX$4,0))*((1+'LCOE-S Template'!$C$10)^(F75-INDEX('Fuel Costs'!$AO$2:$BX$2,MATCH(K75,'Fuel Costs'!$AO$4:$BX$4,0))))</f>
        <v>3.7177777777777781</v>
      </c>
      <c r="N75" s="1122"/>
      <c r="O75" s="49">
        <v>2050</v>
      </c>
      <c r="P75" s="49">
        <v>30</v>
      </c>
      <c r="Q75" s="53">
        <v>4</v>
      </c>
      <c r="R75" s="243"/>
      <c r="S75" s="239">
        <v>0.34</v>
      </c>
      <c r="T75" s="244"/>
      <c r="U75" s="244"/>
      <c r="V75" s="244"/>
      <c r="W75" s="244"/>
      <c r="X75" s="244"/>
      <c r="Y75" s="244"/>
      <c r="Z75" s="244"/>
      <c r="AA75" s="244"/>
      <c r="AB75" s="244"/>
      <c r="AC75" s="244"/>
      <c r="AD75" s="244"/>
      <c r="AE75" s="52">
        <f t="shared" si="1"/>
        <v>0.1</v>
      </c>
    </row>
    <row r="76" spans="4:31">
      <c r="D76" s="47" t="s">
        <v>15</v>
      </c>
      <c r="E76" s="47" t="s">
        <v>29</v>
      </c>
      <c r="F76" s="261">
        <v>2022</v>
      </c>
      <c r="G76" s="246" cm="1">
        <f t="array" ref="G76:G78">TRANSPOSE('Biomass power plant (small)'!$C$30:$E$30)</f>
        <v>2.2799999999999998</v>
      </c>
      <c r="H76" s="246" cm="1">
        <f t="array" ref="H76:H78">TRANSPOSE('Biomass power plant (small)'!$C$33:$E$33)/1000</f>
        <v>54</v>
      </c>
      <c r="I76" s="523" cm="1">
        <f t="array" ref="I76:I78">TRANSPOSE('Biomass power plant (small)'!$C$34:$E$34)</f>
        <v>3.4</v>
      </c>
      <c r="J76" s="523" cm="1">
        <f t="array" ref="J76:J78">TRANSPOSE('Biomass power plant (small)'!$C$35:$E$35)</f>
        <v>0</v>
      </c>
      <c r="K76" s="385" t="s">
        <v>218</v>
      </c>
      <c r="L76" s="1105">
        <f>IFERROR(INDEX('CO2 Emission Factors'!B:B,MATCH(K76,'CO2 Emission Factors'!A:A,0)),0)</f>
        <v>0</v>
      </c>
      <c r="M76" s="1080">
        <f>INDEX('Fuel Costs'!$AO$10:$BX$40,MATCH(O76,'Fuel Costs'!$A$10:$A$40,0),MATCH(K76,'Fuel Costs'!$AO$4:$BX$4,0))*((1+'LCOE-S Template'!$C$10)^(F76-INDEX('Fuel Costs'!$AO$2:$BX$2,MATCH(K76,'Fuel Costs'!$AO$4:$BX$4,0))))</f>
        <v>4.666666666666667</v>
      </c>
      <c r="N76" s="1121"/>
      <c r="O76" s="5" cm="1">
        <f t="array" ref="O76:O78">TRANSPOSE('Biomass power plant (small)'!$C$4:$E$4)</f>
        <v>2023</v>
      </c>
      <c r="P76" s="5" cm="1">
        <f t="array" ref="P76:P78">TRANSPOSE('Biomass power plant (small)'!$C$12:$E$12)</f>
        <v>25</v>
      </c>
      <c r="Q76" s="234" cm="1">
        <f t="array" ref="Q76:Q78">TRANSPOSE('Biomass power plant (small)'!$C$13:$E$13)</f>
        <v>2</v>
      </c>
      <c r="R76" s="242"/>
      <c r="S76" s="250" cm="1">
        <f t="array" ref="S76:S78">TRANSPOSE('Biomass power plant (small)'!$C$9:$E$9)/100</f>
        <v>0.31</v>
      </c>
      <c r="T76" s="33"/>
      <c r="U76" s="33"/>
      <c r="V76" s="33"/>
      <c r="W76" s="33"/>
      <c r="X76" s="33"/>
      <c r="Y76" s="33"/>
      <c r="Z76" s="33"/>
      <c r="AA76" s="33"/>
      <c r="AB76" s="33"/>
      <c r="AC76" s="33"/>
      <c r="AD76" s="33"/>
      <c r="AE76" s="233">
        <v>0.1</v>
      </c>
    </row>
    <row r="77" spans="4:31">
      <c r="D77" s="47" t="s">
        <v>15</v>
      </c>
      <c r="E77" s="47" t="s">
        <v>29</v>
      </c>
      <c r="F77" s="261">
        <v>2022</v>
      </c>
      <c r="G77" s="246">
        <v>2.0747999999999998</v>
      </c>
      <c r="H77" s="246">
        <v>49.7</v>
      </c>
      <c r="I77" s="523">
        <v>3.1280000000000001</v>
      </c>
      <c r="J77" s="523">
        <v>0</v>
      </c>
      <c r="K77" s="385" t="s">
        <v>218</v>
      </c>
      <c r="L77" s="1105">
        <f>IFERROR(INDEX('CO2 Emission Factors'!B:B,MATCH(K77,'CO2 Emission Factors'!A:A,0)),0)</f>
        <v>0</v>
      </c>
      <c r="M77" s="1080">
        <f>INDEX('Fuel Costs'!$AO$10:$BX$40,MATCH(O77,'Fuel Costs'!$A$10:$A$40,0),MATCH(K77,'Fuel Costs'!$AO$4:$BX$4,0))*((1+'LCOE-S Template'!$C$10)^(F77-INDEX('Fuel Costs'!$AO$2:$BX$2,MATCH(K77,'Fuel Costs'!$AO$4:$BX$4,0))))</f>
        <v>4.666666666666667</v>
      </c>
      <c r="N77" s="1121"/>
      <c r="O77" s="5">
        <v>2030</v>
      </c>
      <c r="P77" s="5">
        <v>25</v>
      </c>
      <c r="Q77" s="234">
        <v>2</v>
      </c>
      <c r="R77" s="242"/>
      <c r="S77" s="238">
        <v>0.31</v>
      </c>
      <c r="T77" s="33"/>
      <c r="U77" s="33"/>
      <c r="V77" s="33"/>
      <c r="W77" s="33"/>
      <c r="X77" s="33"/>
      <c r="Y77" s="33"/>
      <c r="Z77" s="33"/>
      <c r="AA77" s="33"/>
      <c r="AB77" s="33"/>
      <c r="AC77" s="33"/>
      <c r="AD77" s="33"/>
      <c r="AE77" s="233">
        <v>0.1</v>
      </c>
    </row>
    <row r="78" spans="4:31" ht="15.75" thickBot="1">
      <c r="D78" s="389" t="s">
        <v>15</v>
      </c>
      <c r="E78" s="389" t="s">
        <v>29</v>
      </c>
      <c r="F78" s="406">
        <v>2022</v>
      </c>
      <c r="G78" s="247">
        <v>1.8239999999999998</v>
      </c>
      <c r="H78" s="247">
        <v>43.2</v>
      </c>
      <c r="I78" s="524">
        <v>2.72</v>
      </c>
      <c r="J78" s="524">
        <v>0</v>
      </c>
      <c r="K78" s="386" t="s">
        <v>218</v>
      </c>
      <c r="L78" s="1106">
        <f>IFERROR(INDEX('CO2 Emission Factors'!B:B,MATCH(K78,'CO2 Emission Factors'!A:A,0)),0)</f>
        <v>0</v>
      </c>
      <c r="M78" s="1115">
        <f>INDEX('Fuel Costs'!$AO$10:$BX$40,MATCH(O78,'Fuel Costs'!$A$10:$A$40,0),MATCH(K78,'Fuel Costs'!$AO$4:$BX$4,0))*((1+'LCOE-S Template'!$C$10)^(F78-INDEX('Fuel Costs'!$AO$2:$BX$2,MATCH(K78,'Fuel Costs'!$AO$4:$BX$4,0))))</f>
        <v>4.666666666666667</v>
      </c>
      <c r="N78" s="1122"/>
      <c r="O78" s="49">
        <v>2050</v>
      </c>
      <c r="P78" s="49">
        <v>25</v>
      </c>
      <c r="Q78" s="53">
        <v>2</v>
      </c>
      <c r="R78" s="243"/>
      <c r="S78" s="239">
        <v>0.31</v>
      </c>
      <c r="T78" s="244"/>
      <c r="U78" s="244"/>
      <c r="V78" s="244"/>
      <c r="W78" s="244"/>
      <c r="X78" s="244"/>
      <c r="Y78" s="244"/>
      <c r="Z78" s="244"/>
      <c r="AA78" s="244"/>
      <c r="AB78" s="244"/>
      <c r="AC78" s="244"/>
      <c r="AD78" s="244"/>
      <c r="AE78" s="52">
        <v>0.1</v>
      </c>
    </row>
    <row r="79" spans="4:31">
      <c r="D79" s="47" t="s">
        <v>16</v>
      </c>
      <c r="E79" s="47" t="s">
        <v>30</v>
      </c>
      <c r="F79" s="261">
        <v>2022</v>
      </c>
      <c r="G79" s="246" cm="1">
        <f t="array" ref="G79:G81">TRANSPOSE('Biogas power plant (small)'!$C$30:$E$30)</f>
        <v>2.4500000000000002</v>
      </c>
      <c r="H79" s="246" cm="1">
        <f t="array" ref="H79:H81">TRANSPOSE('Biogas power plant (small)'!$C$33:$E$33)/1000</f>
        <v>110.58</v>
      </c>
      <c r="I79" s="523" cm="1">
        <f t="array" ref="I79:I81">TRANSPOSE('Biogas power plant (small)'!$C$34:$E$34)</f>
        <v>0.13</v>
      </c>
      <c r="J79" s="523" cm="1">
        <f t="array" ref="J79:J81">TRANSPOSE('Biogas power plant (small)'!$C$35:$E$35)</f>
        <v>0</v>
      </c>
      <c r="K79" s="385" t="s">
        <v>219</v>
      </c>
      <c r="L79" s="1105">
        <f>IFERROR(INDEX('CO2 Emission Factors'!B:B,MATCH(K79,'CO2 Emission Factors'!A:A,0)),0)</f>
        <v>0</v>
      </c>
      <c r="M79" s="1080">
        <f>INDEX('Fuel Costs'!$AO$10:$BX$40,MATCH(O79,'Fuel Costs'!$A$10:$A$40,0),MATCH(K79,'Fuel Costs'!$AO$4:$BX$4,0))*((1+'LCOE-S Template'!$C$10)^(F79-INDEX('Fuel Costs'!$AO$2:$BX$2,MATCH(K79,'Fuel Costs'!$AO$4:$BX$4,0))))</f>
        <v>3.5681818181818183</v>
      </c>
      <c r="N79" s="1121"/>
      <c r="O79" s="5" cm="1">
        <f t="array" ref="O79:O81">TRANSPOSE('Biogas power plant (small)'!$C$4:$E$4)</f>
        <v>2023</v>
      </c>
      <c r="P79" s="5" cm="1">
        <f t="array" ref="P79:P81">TRANSPOSE('Biogas power plant (small)'!$C$12:$E$12)</f>
        <v>25</v>
      </c>
      <c r="Q79" s="234" cm="1">
        <f t="array" ref="Q79:Q81">TRANSPOSE('Biogas power plant (small)'!$C$13:$E$13)</f>
        <v>1.5</v>
      </c>
      <c r="R79" s="242"/>
      <c r="S79" s="250" cm="1">
        <f t="array" ref="S79:S81">TRANSPOSE('Biogas power plant (small)'!$C$9:$E$9)/100</f>
        <v>0.34</v>
      </c>
      <c r="T79" s="33"/>
      <c r="U79" s="33"/>
      <c r="V79" s="33"/>
      <c r="W79" s="33"/>
      <c r="X79" s="33"/>
      <c r="Y79" s="33"/>
      <c r="Z79" s="33"/>
      <c r="AA79" s="33"/>
      <c r="AB79" s="33"/>
      <c r="AC79" s="33"/>
      <c r="AD79" s="33"/>
      <c r="AE79" s="233">
        <v>0.1</v>
      </c>
    </row>
    <row r="80" spans="4:31">
      <c r="D80" s="47" t="s">
        <v>16</v>
      </c>
      <c r="E80" s="47" t="s">
        <v>30</v>
      </c>
      <c r="F80" s="261">
        <v>2022</v>
      </c>
      <c r="G80" s="246">
        <v>2.0825</v>
      </c>
      <c r="H80" s="246">
        <v>101.7</v>
      </c>
      <c r="I80" s="523">
        <v>0.11960000000000001</v>
      </c>
      <c r="J80" s="523">
        <v>0</v>
      </c>
      <c r="K80" s="385" t="s">
        <v>219</v>
      </c>
      <c r="L80" s="1105">
        <f>IFERROR(INDEX('CO2 Emission Factors'!B:B,MATCH(K80,'CO2 Emission Factors'!A:A,0)),0)</f>
        <v>0</v>
      </c>
      <c r="M80" s="1080">
        <f>INDEX('Fuel Costs'!$AO$10:$BX$40,MATCH(O80,'Fuel Costs'!$A$10:$A$40,0),MATCH(K80,'Fuel Costs'!$AO$4:$BX$4,0))*((1+'LCOE-S Template'!$C$10)^(F80-INDEX('Fuel Costs'!$AO$2:$BX$2,MATCH(K80,'Fuel Costs'!$AO$4:$BX$4,0))))</f>
        <v>3.5681818181818183</v>
      </c>
      <c r="N80" s="1121"/>
      <c r="O80" s="5">
        <v>2030</v>
      </c>
      <c r="P80" s="5">
        <v>25</v>
      </c>
      <c r="Q80" s="234">
        <v>1.5</v>
      </c>
      <c r="R80" s="242"/>
      <c r="S80" s="238">
        <v>0.34</v>
      </c>
      <c r="T80" s="33"/>
      <c r="U80" s="33"/>
      <c r="V80" s="33"/>
      <c r="W80" s="33"/>
      <c r="X80" s="33"/>
      <c r="Y80" s="33"/>
      <c r="Z80" s="33"/>
      <c r="AA80" s="33"/>
      <c r="AB80" s="33"/>
      <c r="AC80" s="33"/>
      <c r="AD80" s="33"/>
      <c r="AE80" s="233">
        <v>0.1</v>
      </c>
    </row>
    <row r="81" spans="1:31" ht="15.75" thickBot="1">
      <c r="D81" s="389" t="s">
        <v>16</v>
      </c>
      <c r="E81" s="389" t="s">
        <v>30</v>
      </c>
      <c r="F81" s="406">
        <v>2022</v>
      </c>
      <c r="G81" s="247">
        <v>1.8375000000000001</v>
      </c>
      <c r="H81" s="247">
        <v>88.5</v>
      </c>
      <c r="I81" s="524">
        <v>0.10400000000000001</v>
      </c>
      <c r="J81" s="524">
        <v>0</v>
      </c>
      <c r="K81" s="386" t="s">
        <v>219</v>
      </c>
      <c r="L81" s="1106">
        <f>IFERROR(INDEX('CO2 Emission Factors'!B:B,MATCH(K81,'CO2 Emission Factors'!A:A,0)),0)</f>
        <v>0</v>
      </c>
      <c r="M81" s="1115">
        <f>INDEX('Fuel Costs'!$AO$10:$BX$40,MATCH(O81,'Fuel Costs'!$A$10:$A$40,0),MATCH(K81,'Fuel Costs'!$AO$4:$BX$4,0))*((1+'LCOE-S Template'!$C$10)^(F81-INDEX('Fuel Costs'!$AO$2:$BX$2,MATCH(K81,'Fuel Costs'!$AO$4:$BX$4,0))))</f>
        <v>3.5681818181818183</v>
      </c>
      <c r="N81" s="1122"/>
      <c r="O81" s="49">
        <v>2050</v>
      </c>
      <c r="P81" s="49">
        <v>25</v>
      </c>
      <c r="Q81" s="53">
        <v>1.5</v>
      </c>
      <c r="R81" s="243"/>
      <c r="S81" s="239">
        <v>0.34</v>
      </c>
      <c r="T81" s="244"/>
      <c r="U81" s="244"/>
      <c r="V81" s="244"/>
      <c r="W81" s="244"/>
      <c r="X81" s="244"/>
      <c r="Y81" s="244"/>
      <c r="Z81" s="244"/>
      <c r="AA81" s="244"/>
      <c r="AB81" s="244"/>
      <c r="AC81" s="244"/>
      <c r="AD81" s="244"/>
      <c r="AE81" s="52">
        <v>0.1</v>
      </c>
    </row>
    <row r="82" spans="1:31">
      <c r="D82" s="47" t="s">
        <v>17</v>
      </c>
      <c r="E82" s="47" t="s">
        <v>31</v>
      </c>
      <c r="F82" s="261">
        <v>2022</v>
      </c>
      <c r="G82" s="246" cm="1">
        <f t="array" ref="G82:G84">TRANSPOSE('MSW incineration'!$C$30:$E$30)</f>
        <v>7.3</v>
      </c>
      <c r="H82" s="246" cm="1">
        <f t="array" ref="H82:H84">TRANSPOSE('MSW incineration'!$C$33:$E$33)/1000</f>
        <v>277.81799999999998</v>
      </c>
      <c r="I82" s="523" cm="1">
        <f t="array" ref="I82:I84">TRANSPOSE('MSW incineration'!$C$34:$E$34)</f>
        <v>27.5</v>
      </c>
      <c r="J82" s="523" cm="1">
        <f t="array" ref="J82:J84">TRANSPOSE('MSW incineration'!$C$35:$E$35)</f>
        <v>0</v>
      </c>
      <c r="K82" s="385" t="s">
        <v>220</v>
      </c>
      <c r="L82" s="1105">
        <f>IFERROR(INDEX('CO2 Emission Factors'!B:B,MATCH(K82,'CO2 Emission Factors'!A:A,0)),0)</f>
        <v>37</v>
      </c>
      <c r="M82" s="1080">
        <f>INDEX('Fuel Costs'!$AO$10:$BX$40,MATCH(O82,'Fuel Costs'!$A$10:$A$40,0),MATCH(K82,'Fuel Costs'!$AO$4:$BX$4,0))*((1+'LCOE-S Template'!$C$10)^(F82-INDEX('Fuel Costs'!$AO$2:$BX$2,MATCH(K82,'Fuel Costs'!$AO$4:$BX$4,0))))</f>
        <v>-2.7635193673339691</v>
      </c>
      <c r="N82" s="1121"/>
      <c r="O82" s="5" cm="1">
        <f t="array" ref="O82:O84">TRANSPOSE('MSW incineration'!$C$4:$E$4)</f>
        <v>2023</v>
      </c>
      <c r="P82" s="5" cm="1">
        <f t="array" ref="P82:P84">TRANSPOSE('MSW incineration'!$C$12:$E$12)</f>
        <v>25</v>
      </c>
      <c r="Q82" s="234" cm="1">
        <f t="array" ref="Q82:Q84">TRANSPOSE('MSW incineration'!$C$13:$E$13)</f>
        <v>2.5</v>
      </c>
      <c r="R82" s="242"/>
      <c r="S82" s="250" cm="1">
        <f t="array" ref="S82:S84">TRANSPOSE('MSW incineration'!$C$9:$E$9)</f>
        <v>0.27549999999999997</v>
      </c>
      <c r="T82" s="33"/>
      <c r="U82" s="33"/>
      <c r="V82" s="33"/>
      <c r="W82" s="33"/>
      <c r="X82" s="33"/>
      <c r="Y82" s="33"/>
      <c r="Z82" s="33"/>
      <c r="AA82" s="33"/>
      <c r="AB82" s="33"/>
      <c r="AC82" s="33"/>
      <c r="AD82" s="33"/>
      <c r="AE82" s="233">
        <v>0.1</v>
      </c>
    </row>
    <row r="83" spans="1:31">
      <c r="D83" s="47" t="s">
        <v>17</v>
      </c>
      <c r="E83" s="47" t="s">
        <v>31</v>
      </c>
      <c r="F83" s="261">
        <v>2022</v>
      </c>
      <c r="G83" s="246">
        <v>6.7495799999999999</v>
      </c>
      <c r="H83" s="246">
        <v>238.28800000000001</v>
      </c>
      <c r="I83" s="523">
        <v>24.8</v>
      </c>
      <c r="J83" s="523">
        <v>0</v>
      </c>
      <c r="K83" s="385" t="s">
        <v>220</v>
      </c>
      <c r="L83" s="1105">
        <f>IFERROR(INDEX('CO2 Emission Factors'!B:B,MATCH(K83,'CO2 Emission Factors'!A:A,0)),0)</f>
        <v>37</v>
      </c>
      <c r="M83" s="1080">
        <f>INDEX('Fuel Costs'!$AO$10:$BX$40,MATCH(O83,'Fuel Costs'!$A$10:$A$40,0),MATCH(K83,'Fuel Costs'!$AO$4:$BX$4,0))*((1+'LCOE-S Template'!$C$10)^(F83-INDEX('Fuel Costs'!$AO$2:$BX$2,MATCH(K83,'Fuel Costs'!$AO$4:$BX$4,0))))</f>
        <v>-2.7635193673339691</v>
      </c>
      <c r="N83" s="1121"/>
      <c r="O83" s="5">
        <v>2030</v>
      </c>
      <c r="P83" s="5">
        <v>25</v>
      </c>
      <c r="Q83" s="234">
        <v>2.5</v>
      </c>
      <c r="R83" s="242"/>
      <c r="S83" s="238">
        <v>0.28499999999999998</v>
      </c>
      <c r="T83" s="33"/>
      <c r="U83" s="33"/>
      <c r="V83" s="33"/>
      <c r="W83" s="33"/>
      <c r="X83" s="33"/>
      <c r="Y83" s="33"/>
      <c r="Z83" s="33"/>
      <c r="AA83" s="33"/>
      <c r="AB83" s="33"/>
      <c r="AC83" s="33"/>
      <c r="AD83" s="33"/>
      <c r="AE83" s="233">
        <v>0.1</v>
      </c>
    </row>
    <row r="84" spans="1:31">
      <c r="D84" s="47" t="s">
        <v>17</v>
      </c>
      <c r="E84" s="47" t="s">
        <v>31</v>
      </c>
      <c r="F84" s="261">
        <v>2022</v>
      </c>
      <c r="G84" s="246">
        <v>6.0443999999999996</v>
      </c>
      <c r="H84" s="246">
        <v>205.11</v>
      </c>
      <c r="I84" s="523">
        <v>23.9</v>
      </c>
      <c r="J84" s="523">
        <v>0</v>
      </c>
      <c r="K84" s="385" t="s">
        <v>220</v>
      </c>
      <c r="L84" s="1105">
        <f>IFERROR(INDEX('CO2 Emission Factors'!B:B,MATCH(K84,'CO2 Emission Factors'!A:A,0)),0)</f>
        <v>37</v>
      </c>
      <c r="M84" s="1080">
        <f>INDEX('Fuel Costs'!$AO$10:$BX$40,MATCH(O84,'Fuel Costs'!$A$10:$A$40,0),MATCH(K84,'Fuel Costs'!$AO$4:$BX$4,0))*((1+'LCOE-S Template'!$C$10)^(F84-INDEX('Fuel Costs'!$AO$2:$BX$2,MATCH(K84,'Fuel Costs'!$AO$4:$BX$4,0))))</f>
        <v>-2.7635193673339691</v>
      </c>
      <c r="N84" s="1121"/>
      <c r="O84" s="5">
        <v>2050</v>
      </c>
      <c r="P84" s="5">
        <v>25</v>
      </c>
      <c r="Q84" s="234">
        <v>2.5</v>
      </c>
      <c r="R84" s="242"/>
      <c r="S84" s="238">
        <v>0.29449999999999998</v>
      </c>
      <c r="T84" s="33"/>
      <c r="U84" s="33"/>
      <c r="V84" s="33"/>
      <c r="W84" s="33"/>
      <c r="X84" s="33"/>
      <c r="Y84" s="33"/>
      <c r="Z84" s="33"/>
      <c r="AA84" s="33"/>
      <c r="AB84" s="33"/>
      <c r="AC84" s="33"/>
      <c r="AD84" s="33"/>
      <c r="AE84" s="233">
        <v>0.1</v>
      </c>
    </row>
    <row r="85" spans="1:31">
      <c r="D85" s="47" t="s">
        <v>17</v>
      </c>
      <c r="E85" s="47" t="s">
        <v>221</v>
      </c>
      <c r="F85" s="261">
        <v>2022</v>
      </c>
      <c r="G85" s="246" cm="1">
        <f t="array" ref="G85:G87">TRANSPOSE(Landfill!$C$30:$E$30)</f>
        <v>2.9</v>
      </c>
      <c r="H85" s="246" cm="1">
        <f t="array" ref="H85:H87">TRANSPOSE(Landfill!$C$33:$E$33)/1000</f>
        <v>142.5</v>
      </c>
      <c r="I85" s="523" cm="1">
        <f t="array" ref="I85:I87">TRANSPOSE(Landfill!$C$34:$E$34)</f>
        <v>15.4</v>
      </c>
      <c r="J85" s="523" cm="1">
        <f t="array" ref="J85:J87">TRANSPOSE(Landfill!$C$35:$E$35)</f>
        <v>0</v>
      </c>
      <c r="K85" s="385" t="s">
        <v>220</v>
      </c>
      <c r="L85" s="1105">
        <f>IFERROR(INDEX('CO2 Emission Factors'!B:B,MATCH(K85,'CO2 Emission Factors'!A:A,0)),0)</f>
        <v>37</v>
      </c>
      <c r="M85" s="1080">
        <f>INDEX('Fuel Costs'!$AO$10:$BX$40,MATCH(O85,'Fuel Costs'!$A$10:$A$40,0),MATCH(K85,'Fuel Costs'!$AO$4:$BX$4,0))*((1+'LCOE-S Template'!$C$10)^(F85-INDEX('Fuel Costs'!$AO$2:$BX$2,MATCH(K85,'Fuel Costs'!$AO$4:$BX$4,0))))</f>
        <v>-2.7635193673339691</v>
      </c>
      <c r="N85" s="1121"/>
      <c r="O85" s="5" cm="1">
        <f t="array" ref="O85:O87">TRANSPOSE(Landfill!$C$4:$E$4)</f>
        <v>2023</v>
      </c>
      <c r="P85" s="5" cm="1">
        <f t="array" ref="P85:P87">TRANSPOSE(Landfill!$C$12:$E$12)</f>
        <v>25</v>
      </c>
      <c r="Q85" s="234" cm="1">
        <f t="array" ref="Q85:Q87">TRANSPOSE(Landfill!$C$13:$E$13)</f>
        <v>1.5</v>
      </c>
      <c r="R85" s="242"/>
      <c r="S85" s="250" cm="1">
        <f t="array" ref="S85:S87">TRANSPOSE(Landfill!$C$9:$E$9)/100</f>
        <v>0.34</v>
      </c>
      <c r="T85" s="33"/>
      <c r="U85" s="33"/>
      <c r="V85" s="33"/>
      <c r="W85" s="33"/>
      <c r="X85" s="33"/>
      <c r="Y85" s="33"/>
      <c r="Z85" s="33"/>
      <c r="AA85" s="33"/>
      <c r="AB85" s="33"/>
      <c r="AC85" s="33"/>
      <c r="AD85" s="33"/>
      <c r="AE85" s="233">
        <v>0.1</v>
      </c>
    </row>
    <row r="86" spans="1:31">
      <c r="D86" s="47" t="s">
        <v>17</v>
      </c>
      <c r="E86" s="47" t="s">
        <v>221</v>
      </c>
      <c r="F86" s="261">
        <v>2022</v>
      </c>
      <c r="G86" s="246">
        <v>2.9</v>
      </c>
      <c r="H86" s="246">
        <v>142.5</v>
      </c>
      <c r="I86" s="523">
        <v>15.4</v>
      </c>
      <c r="J86" s="523">
        <v>0</v>
      </c>
      <c r="K86" s="385" t="s">
        <v>220</v>
      </c>
      <c r="L86" s="1105">
        <f>IFERROR(INDEX('CO2 Emission Factors'!B:B,MATCH(K86,'CO2 Emission Factors'!A:A,0)),0)</f>
        <v>37</v>
      </c>
      <c r="M86" s="1080">
        <f>INDEX('Fuel Costs'!$AO$10:$BX$40,MATCH(O86,'Fuel Costs'!$A$10:$A$40,0),MATCH(K86,'Fuel Costs'!$AO$4:$BX$4,0))*((1+'LCOE-S Template'!$C$10)^(F86-INDEX('Fuel Costs'!$AO$2:$BX$2,MATCH(K86,'Fuel Costs'!$AO$4:$BX$4,0))))</f>
        <v>-2.7635193673339691</v>
      </c>
      <c r="N86" s="1121"/>
      <c r="O86" s="5">
        <v>2030</v>
      </c>
      <c r="P86" s="5">
        <v>25</v>
      </c>
      <c r="Q86" s="234">
        <v>1.5</v>
      </c>
      <c r="R86" s="242"/>
      <c r="S86" s="238">
        <v>0.34</v>
      </c>
      <c r="T86" s="33"/>
      <c r="U86" s="33"/>
      <c r="V86" s="33"/>
      <c r="W86" s="33"/>
      <c r="X86" s="33"/>
      <c r="Y86" s="33"/>
      <c r="Z86" s="33"/>
      <c r="AA86" s="33"/>
      <c r="AB86" s="33"/>
      <c r="AC86" s="33"/>
      <c r="AD86" s="33"/>
      <c r="AE86" s="233">
        <v>0.1</v>
      </c>
    </row>
    <row r="87" spans="1:31" ht="15.75" thickBot="1">
      <c r="D87" s="389" t="s">
        <v>17</v>
      </c>
      <c r="E87" s="389" t="s">
        <v>221</v>
      </c>
      <c r="F87" s="406">
        <v>2022</v>
      </c>
      <c r="G87" s="247">
        <v>2.9</v>
      </c>
      <c r="H87" s="247">
        <v>142.5</v>
      </c>
      <c r="I87" s="524">
        <v>15.4</v>
      </c>
      <c r="J87" s="524">
        <v>0</v>
      </c>
      <c r="K87" s="386" t="s">
        <v>220</v>
      </c>
      <c r="L87" s="1106">
        <f>IFERROR(INDEX('CO2 Emission Factors'!B:B,MATCH(K87,'CO2 Emission Factors'!A:A,0)),0)</f>
        <v>37</v>
      </c>
      <c r="M87" s="1115">
        <f>INDEX('Fuel Costs'!$AO$10:$BX$40,MATCH(O87,'Fuel Costs'!$A$10:$A$40,0),MATCH(K87,'Fuel Costs'!$AO$4:$BX$4,0))*((1+'LCOE-S Template'!$C$10)^(F87-INDEX('Fuel Costs'!$AO$2:$BX$2,MATCH(K87,'Fuel Costs'!$AO$4:$BX$4,0))))</f>
        <v>-2.7635193673339691</v>
      </c>
      <c r="N87" s="1122"/>
      <c r="O87" s="49">
        <v>2050</v>
      </c>
      <c r="P87" s="49">
        <v>25</v>
      </c>
      <c r="Q87" s="53">
        <v>1.5</v>
      </c>
      <c r="R87" s="243"/>
      <c r="S87" s="239">
        <v>0.34</v>
      </c>
      <c r="T87" s="244"/>
      <c r="U87" s="244"/>
      <c r="V87" s="244"/>
      <c r="W87" s="244"/>
      <c r="X87" s="244"/>
      <c r="Y87" s="244"/>
      <c r="Z87" s="244"/>
      <c r="AA87" s="244"/>
      <c r="AB87" s="244"/>
      <c r="AC87" s="244"/>
      <c r="AD87" s="244"/>
      <c r="AE87" s="52">
        <v>0.1</v>
      </c>
    </row>
    <row r="88" spans="1:31">
      <c r="D88" s="47" t="s">
        <v>13</v>
      </c>
      <c r="E88" s="47" t="s">
        <v>27</v>
      </c>
      <c r="F88" s="261">
        <v>2022</v>
      </c>
      <c r="G88" s="43" cm="1">
        <f t="array" ref="G88:G90">TRANSPOSE('Diesel power plant'!$C$31:$E$31)</f>
        <v>0.91200000000000003</v>
      </c>
      <c r="H88" s="43" cm="1">
        <f t="array" ref="H88:H90">TRANSPOSE('Diesel power plant'!$C$34:$E$34)/1000</f>
        <v>9.1199999999999992</v>
      </c>
      <c r="I88" s="521" cm="1">
        <f t="array" ref="I88:I90">TRANSPOSE('Diesel power plant'!$C$35:$E$35)</f>
        <v>7.2960000000000003</v>
      </c>
      <c r="J88" s="521" t="str" cm="1">
        <f t="array" ref="J88:J90">TRANSPOSE('Diesel power plant'!$C$36:$E$36)</f>
        <v>-</v>
      </c>
      <c r="K88" s="385" t="s">
        <v>222</v>
      </c>
      <c r="L88" s="1105">
        <f>IFERROR(INDEX('CO2 Emission Factors'!B:B,MATCH(K88,'CO2 Emission Factors'!A:A,0)),0)</f>
        <v>78</v>
      </c>
      <c r="M88" s="1080">
        <f>INDEX('Fuel Costs'!$AO$10:$BX$40,MATCH(O88,'Fuel Costs'!$A$10:$A$40,0),MATCH(K88,'Fuel Costs'!$AO$4:$BX$4,0))*((1+'LCOE-S Template'!$C$10)^(F88-INDEX('Fuel Costs'!$AO$2:$BX$2,MATCH(K88,'Fuel Costs'!$AO$4:$BX$4,0))))</f>
        <v>13.474706417287043</v>
      </c>
      <c r="N88" s="1121"/>
      <c r="O88" s="5" cm="1">
        <f t="array" ref="O88:O90">TRANSPOSE('Diesel power plant'!$C$4:$E$4)</f>
        <v>2023</v>
      </c>
      <c r="P88" s="5" cm="1">
        <f t="array" ref="P88:P90">TRANSPOSE('Diesel power plant'!$C$12:$E$12)</f>
        <v>25</v>
      </c>
      <c r="Q88" s="1091" cm="1">
        <f t="array" ref="Q88:Q90">TRANSPOSE('Diesel power plant'!$C$13:$E$13)</f>
        <v>1</v>
      </c>
      <c r="R88" s="81"/>
      <c r="S88" s="13" cm="1">
        <f t="array" ref="S88:S90">TRANSPOSE('Diesel power plant'!$C$9:$E$9)/100</f>
        <v>0.45</v>
      </c>
      <c r="T88" s="33"/>
      <c r="U88" s="33"/>
      <c r="V88" s="33"/>
      <c r="W88" s="33"/>
      <c r="X88" s="33"/>
      <c r="Y88" s="33"/>
      <c r="Z88" s="33"/>
      <c r="AA88" s="33"/>
      <c r="AB88" s="33"/>
      <c r="AC88" s="33"/>
      <c r="AD88" s="33"/>
      <c r="AE88" s="36">
        <v>0.1</v>
      </c>
    </row>
    <row r="89" spans="1:31">
      <c r="D89" s="47" t="s">
        <v>13</v>
      </c>
      <c r="E89" s="47" t="s">
        <v>27</v>
      </c>
      <c r="F89" s="261">
        <v>2022</v>
      </c>
      <c r="G89" s="43">
        <v>0.91200000000000003</v>
      </c>
      <c r="H89" s="43">
        <v>9.1199999999999992</v>
      </c>
      <c r="I89" s="521">
        <v>6.84</v>
      </c>
      <c r="J89" s="521" t="str">
        <v>-</v>
      </c>
      <c r="K89" s="385" t="s">
        <v>222</v>
      </c>
      <c r="L89" s="1105">
        <f>IFERROR(INDEX('CO2 Emission Factors'!B:B,MATCH(K89,'CO2 Emission Factors'!A:A,0)),0)</f>
        <v>78</v>
      </c>
      <c r="M89" s="1080">
        <f>INDEX('Fuel Costs'!$AO$10:$BX$40,MATCH(O89,'Fuel Costs'!$A$10:$A$40,0),MATCH(K89,'Fuel Costs'!$AO$4:$BX$4,0))*((1+'LCOE-S Template'!$C$10)^(F89-INDEX('Fuel Costs'!$AO$2:$BX$2,MATCH(K89,'Fuel Costs'!$AO$4:$BX$4,0))))</f>
        <v>15.690889326563717</v>
      </c>
      <c r="N89" s="1121"/>
      <c r="O89" s="5">
        <v>2030</v>
      </c>
      <c r="P89" s="5">
        <v>25</v>
      </c>
      <c r="Q89" s="1091">
        <v>1</v>
      </c>
      <c r="R89" s="81"/>
      <c r="S89" s="13">
        <v>0.46</v>
      </c>
      <c r="T89" s="33"/>
      <c r="U89" s="33"/>
      <c r="V89" s="33"/>
      <c r="W89" s="33"/>
      <c r="X89" s="33"/>
      <c r="Y89" s="33"/>
      <c r="Z89" s="33"/>
      <c r="AA89" s="33"/>
      <c r="AB89" s="33"/>
      <c r="AC89" s="33"/>
      <c r="AD89" s="33"/>
      <c r="AE89" s="36">
        <v>0.1</v>
      </c>
    </row>
    <row r="90" spans="1:31" ht="15.75" thickBot="1">
      <c r="D90" s="389" t="s">
        <v>13</v>
      </c>
      <c r="E90" s="389" t="s">
        <v>27</v>
      </c>
      <c r="F90" s="406">
        <v>2022</v>
      </c>
      <c r="G90" s="247">
        <v>0.88919999999999999</v>
      </c>
      <c r="H90" s="247">
        <v>8.8469999999999995</v>
      </c>
      <c r="I90" s="524">
        <v>6.6120000000000001</v>
      </c>
      <c r="J90" s="524" t="str">
        <v>-</v>
      </c>
      <c r="K90" s="386" t="s">
        <v>222</v>
      </c>
      <c r="L90" s="1106">
        <f>IFERROR(INDEX('CO2 Emission Factors'!B:B,MATCH(K90,'CO2 Emission Factors'!A:A,0)),0)</f>
        <v>78</v>
      </c>
      <c r="M90" s="1115">
        <f>INDEX('Fuel Costs'!$AO$10:$BX$40,MATCH(O90,'Fuel Costs'!$A$10:$A$40,0),MATCH(K90,'Fuel Costs'!$AO$4:$BX$4,0))*((1+'LCOE-S Template'!$C$10)^(F90-INDEX('Fuel Costs'!$AO$2:$BX$2,MATCH(K90,'Fuel Costs'!$AO$4:$BX$4,0))))</f>
        <v>15.189112232808471</v>
      </c>
      <c r="N90" s="1122"/>
      <c r="O90" s="49">
        <v>2050</v>
      </c>
      <c r="P90" s="49">
        <v>25</v>
      </c>
      <c r="Q90" s="53">
        <v>1</v>
      </c>
      <c r="R90" s="243"/>
      <c r="S90" s="239">
        <v>0.47</v>
      </c>
      <c r="T90" s="244"/>
      <c r="U90" s="244"/>
      <c r="V90" s="244"/>
      <c r="W90" s="244"/>
      <c r="X90" s="244"/>
      <c r="Y90" s="244"/>
      <c r="Z90" s="244"/>
      <c r="AA90" s="244"/>
      <c r="AB90" s="244"/>
      <c r="AC90" s="244"/>
      <c r="AD90" s="244"/>
      <c r="AE90" s="52">
        <v>0.1</v>
      </c>
    </row>
    <row r="91" spans="1:31">
      <c r="D91" s="47" t="s">
        <v>120</v>
      </c>
      <c r="E91" s="47" t="s">
        <v>121</v>
      </c>
      <c r="F91" s="261">
        <v>2022</v>
      </c>
      <c r="G91" s="43" cm="1">
        <f t="array" ref="G91:G93">TRANSPOSE('Utility-scale Lithium-ion'!$C$21:$E$21)</f>
        <v>0.47126680672268906</v>
      </c>
      <c r="H91" s="1057" cm="1">
        <f t="array" ref="H91:H93">TRANSPOSE('Utility-scale Lithium-ion'!$C$25:$E$25)/1000</f>
        <v>15</v>
      </c>
      <c r="I91" s="521" cm="1">
        <f t="array" ref="I91:I93">TRANSPOSE('Utility-scale Lithium-ion'!$C$26:$E$26)</f>
        <v>2</v>
      </c>
      <c r="J91" s="1100"/>
      <c r="K91" s="387" t="s">
        <v>202</v>
      </c>
      <c r="L91" s="1105">
        <f>IFERROR(INDEX('CO2 Emission Factors'!B:B,MATCH(K91,'CO2 Emission Factors'!A:A,0)),0)</f>
        <v>0</v>
      </c>
      <c r="M91" s="1116">
        <f>INDEX('Fuel Costs'!$AO$10:$BX$40,MATCH(O91,'Fuel Costs'!$A$10:$A$40,0),MATCH(K91,'Fuel Costs'!$AO$4:$BX$4,0))*((1+'LCOE-S Template'!$C$10)^(F91-INDEX('Fuel Costs'!$AO$2:$BX$2,MATCH(K91,'Fuel Costs'!$AO$4:$BX$4,0))))</f>
        <v>26.415035291132401</v>
      </c>
      <c r="N91" s="1121"/>
      <c r="O91" s="5" cm="1">
        <f t="array" ref="O91:O93">TRANSPOSE('Utility-scale Lithium-ion'!$C$4:$E$4)</f>
        <v>2023</v>
      </c>
      <c r="P91" s="5" cm="1">
        <f t="array" ref="P91:P93">TRANSPOSE('Utility-scale Lithium-ion'!$C$14:$E$14)</f>
        <v>15</v>
      </c>
      <c r="Q91" s="1091" cm="1">
        <f t="array" ref="Q91:Q93">TRANSPOSE('Utility-scale Lithium-ion'!$C$15:$E$15)</f>
        <v>0.2</v>
      </c>
      <c r="R91" s="81"/>
      <c r="S91" s="13" cm="1">
        <f t="array" ref="S91:S93">TRANSPOSE('Utility-scale Lithium-ion'!$C$8:$E$8)/100</f>
        <v>0.9</v>
      </c>
      <c r="T91" s="13">
        <f>SQRT(S91)</f>
        <v>0.94868329805051377</v>
      </c>
      <c r="U91" s="13">
        <f>SQRT(S91)</f>
        <v>0.94868329805051377</v>
      </c>
      <c r="V91" cm="1">
        <f t="array" ref="V91:V93">TRANSPOSE('Utility-scale Lithium-ion'!$C$7:$E$7)</f>
        <v>4</v>
      </c>
      <c r="W91" cm="1">
        <f t="array" ref="W91:W93">TRANSPOSE('Utility-scale Lithium-ion'!$C$7:$E$7)</f>
        <v>4</v>
      </c>
      <c r="X91" cm="1">
        <f t="array" ref="X91:X93">TRANSPOSE('Utility-scale Lithium-ion'!$C$13:$E$13)</f>
        <v>7500</v>
      </c>
      <c r="Y91" cm="1">
        <f t="array" ref="Y91:Y93">TRANSPOSE('Utility-scale Lithium-ion'!$C$6:$E$6)</f>
        <v>4</v>
      </c>
      <c r="Z91" s="18">
        <f>Y91/(V91)</f>
        <v>1</v>
      </c>
      <c r="AA91" s="18">
        <f>Y91/W91</f>
        <v>1</v>
      </c>
      <c r="AB91" s="18" cm="1">
        <f t="array" ref="AB91:AB93">TRANSPOSE('Utility-scale Lithium-ion'!$C$22:$E$22)</f>
        <v>0.34699999999999998</v>
      </c>
      <c r="AC91" s="18" cm="1">
        <f t="array" ref="AC91:AC93">TRANSPOSE('Utility-scale Lithium-ion'!$C$23:$E$23)</f>
        <v>0.32900000000000001</v>
      </c>
      <c r="AD91" s="18" cm="1">
        <f t="array" ref="AD91:AD93">TRANSPOSE('Utility-scale Lithium-ion'!$C$24:$E$24)</f>
        <v>4.2016806722689079E-2</v>
      </c>
      <c r="AE91" s="36">
        <v>0.1</v>
      </c>
    </row>
    <row r="92" spans="1:31">
      <c r="A92" s="507"/>
      <c r="D92" s="47" t="s">
        <v>120</v>
      </c>
      <c r="E92" s="47" t="s">
        <v>121</v>
      </c>
      <c r="F92" s="261">
        <v>2022</v>
      </c>
      <c r="G92" s="43">
        <v>0.32792318301366347</v>
      </c>
      <c r="H92" s="1057">
        <v>10.5</v>
      </c>
      <c r="I92" s="521">
        <v>1.8</v>
      </c>
      <c r="J92" s="1100"/>
      <c r="K92" s="387" t="s">
        <v>202</v>
      </c>
      <c r="L92" s="1105">
        <f>IFERROR(INDEX('CO2 Emission Factors'!B:B,MATCH(K92,'CO2 Emission Factors'!A:A,0)),0)</f>
        <v>0</v>
      </c>
      <c r="M92" s="1116">
        <f>INDEX('Fuel Costs'!$AO$10:$BX$40,MATCH(O92,'Fuel Costs'!$A$10:$A$40,0),MATCH(K92,'Fuel Costs'!$AO$4:$BX$4,0))*((1+'LCOE-S Template'!$C$10)^(F92-INDEX('Fuel Costs'!$AO$2:$BX$2,MATCH(K92,'Fuel Costs'!$AO$4:$BX$4,0))))</f>
        <v>24.082724665816095</v>
      </c>
      <c r="N92" s="1121"/>
      <c r="O92" s="5">
        <v>2030</v>
      </c>
      <c r="P92" s="5">
        <v>20</v>
      </c>
      <c r="Q92" s="1091">
        <v>0.2</v>
      </c>
      <c r="R92" s="81"/>
      <c r="S92" s="13">
        <v>0.92</v>
      </c>
      <c r="T92" s="13">
        <f t="shared" ref="T92:T93" si="2">SQRT(S92)</f>
        <v>0.95916630466254393</v>
      </c>
      <c r="U92" s="13">
        <f t="shared" ref="U92:U93" si="3">SQRT(S92)</f>
        <v>0.95916630466254393</v>
      </c>
      <c r="V92">
        <v>4</v>
      </c>
      <c r="W92">
        <v>4</v>
      </c>
      <c r="X92">
        <v>10000</v>
      </c>
      <c r="Y92">
        <v>4</v>
      </c>
      <c r="Z92" s="18">
        <f t="shared" ref="Z92:Z93" si="4">Y92/(V92)</f>
        <v>1</v>
      </c>
      <c r="AA92" s="18">
        <f t="shared" ref="AA92:AA93" si="5">Y92/W92</f>
        <v>1</v>
      </c>
      <c r="AB92" s="18">
        <v>0.22700000000000001</v>
      </c>
      <c r="AC92" s="18">
        <v>0.29399999999999998</v>
      </c>
      <c r="AD92" s="18">
        <v>2.7423183013663484E-2</v>
      </c>
      <c r="AE92" s="36">
        <v>0.1</v>
      </c>
    </row>
    <row r="93" spans="1:31" ht="15.75" thickBot="1">
      <c r="A93" s="507"/>
      <c r="D93" s="389" t="s">
        <v>120</v>
      </c>
      <c r="E93" s="389" t="s">
        <v>121</v>
      </c>
      <c r="F93" s="406">
        <v>2022</v>
      </c>
      <c r="G93" s="247">
        <v>0.22908101866700878</v>
      </c>
      <c r="H93" s="1058">
        <v>7.35</v>
      </c>
      <c r="I93" s="524">
        <v>1.6</v>
      </c>
      <c r="J93" s="1101"/>
      <c r="K93" s="388" t="s">
        <v>202</v>
      </c>
      <c r="L93" s="1106">
        <f>IFERROR(INDEX('CO2 Emission Factors'!B:B,MATCH(K93,'CO2 Emission Factors'!A:A,0)),0)</f>
        <v>0</v>
      </c>
      <c r="M93" s="1117">
        <f>INDEX('Fuel Costs'!$AO$10:$BX$40,MATCH(O93,'Fuel Costs'!$A$10:$A$40,0),MATCH(K93,'Fuel Costs'!$AO$4:$BX$4,0))*((1+'LCOE-S Template'!$C$10)^(F93-INDEX('Fuel Costs'!$AO$2:$BX$2,MATCH(K93,'Fuel Costs'!$AO$4:$BX$4,0))))</f>
        <v>23.616677889852713</v>
      </c>
      <c r="N93" s="1122"/>
      <c r="O93" s="49">
        <v>2050</v>
      </c>
      <c r="P93" s="49">
        <v>25</v>
      </c>
      <c r="Q93" s="53">
        <v>0.2</v>
      </c>
      <c r="R93" s="243"/>
      <c r="S93" s="239">
        <v>0.92</v>
      </c>
      <c r="T93" s="239">
        <f t="shared" si="2"/>
        <v>0.95916630466254393</v>
      </c>
      <c r="U93" s="239">
        <f t="shared" si="3"/>
        <v>0.95916630466254393</v>
      </c>
      <c r="V93" s="48">
        <v>4</v>
      </c>
      <c r="W93" s="48">
        <v>4</v>
      </c>
      <c r="X93" s="48">
        <v>15000</v>
      </c>
      <c r="Y93" s="48">
        <v>4</v>
      </c>
      <c r="Z93" s="292">
        <f t="shared" si="4"/>
        <v>1</v>
      </c>
      <c r="AA93" s="292">
        <f t="shared" si="5"/>
        <v>1</v>
      </c>
      <c r="AB93" s="292">
        <v>0.14599999999999999</v>
      </c>
      <c r="AC93" s="292">
        <v>0.25</v>
      </c>
      <c r="AD93" s="292">
        <v>2.0581018667008795E-2</v>
      </c>
      <c r="AE93" s="52">
        <v>0.1</v>
      </c>
    </row>
    <row r="94" spans="1:31">
      <c r="A94" s="507"/>
      <c r="D94" s="47" t="s">
        <v>19</v>
      </c>
      <c r="E94" s="47" t="s">
        <v>33</v>
      </c>
      <c r="F94" s="261">
        <v>2022</v>
      </c>
      <c r="G94" s="407" cm="1">
        <f t="array" ref="G94:G96">TRANSPOSE('Nuclear PWR'!$C$30:$E$30)</f>
        <v>9</v>
      </c>
      <c r="H94" s="407" cm="1">
        <f t="array" ref="H94:H96">TRANSPOSE('Nuclear PWR'!$C$33:$E$33)/1000</f>
        <v>127</v>
      </c>
      <c r="I94" s="528" cm="1">
        <f t="array" ref="I94:I96">TRANSPOSE('Nuclear PWR'!$C$34:$E$34)</f>
        <v>2.4</v>
      </c>
      <c r="J94" s="523" t="str" cm="1">
        <f t="array" ref="J94:J96">TRANSPOSE('Nuclear PWR'!$C$35:$E$35)</f>
        <v>-</v>
      </c>
      <c r="K94" s="385" t="s">
        <v>223</v>
      </c>
      <c r="L94" s="1105">
        <f>IFERROR(INDEX('CO2 Emission Factors'!B:B,MATCH(K94,'CO2 Emission Factors'!A:A,0)),0)</f>
        <v>0</v>
      </c>
      <c r="M94" s="1080">
        <f>INDEX('Fuel Costs'!$AO$10:$BX$40,MATCH(O94,'Fuel Costs'!$A$10:$A$40,0),MATCH(K94,'Fuel Costs'!$AO$4:$BX$4,0))*((1+'LCOE-S Template'!$C$10)^(F94-INDEX('Fuel Costs'!$AO$2:$BX$2,MATCH(K94,'Fuel Costs'!$AO$4:$BX$4,0))))</f>
        <v>1.0833342000000008</v>
      </c>
      <c r="N94" s="1121"/>
      <c r="O94" s="5" cm="1">
        <f t="array" ref="O94:O96">TRANSPOSE('Nuclear PWR'!$C$4:$E$4)</f>
        <v>2023</v>
      </c>
      <c r="P94" s="5" cm="1">
        <f t="array" ref="P94:P96">TRANSPOSE('Nuclear PWR'!$C$12:$E$12)</f>
        <v>60</v>
      </c>
      <c r="Q94" s="234" cm="1">
        <f t="array" ref="Q94:Q96">TRANSPOSE('Nuclear PWR'!$C$13:$E$13)</f>
        <v>7.4</v>
      </c>
      <c r="R94" s="242" cm="1">
        <f t="array" ref="R94:R96">TRANSPOSE('Nuclear PWR'!$C$17:$E$17)/100*8760</f>
        <v>0</v>
      </c>
      <c r="S94" s="250" cm="1">
        <f t="array" ref="S94:S96">TRANSPOSE('Nuclear PWR'!$C$9:$E$9)/100</f>
        <v>0.33640000000000003</v>
      </c>
      <c r="T94" s="33"/>
      <c r="U94" s="33"/>
      <c r="V94" s="33"/>
      <c r="W94" s="33"/>
      <c r="X94" s="33"/>
      <c r="Y94" s="33"/>
      <c r="Z94" s="33"/>
      <c r="AA94" s="33"/>
      <c r="AB94" s="33"/>
      <c r="AC94" s="33"/>
      <c r="AD94" s="33"/>
      <c r="AE94" s="233">
        <v>0.1</v>
      </c>
    </row>
    <row r="95" spans="1:31">
      <c r="D95" s="47" t="s">
        <v>19</v>
      </c>
      <c r="E95" s="47" t="s">
        <v>33</v>
      </c>
      <c r="F95" s="261">
        <v>2022</v>
      </c>
      <c r="G95" s="407">
        <v>7.9</v>
      </c>
      <c r="H95" s="407">
        <v>120</v>
      </c>
      <c r="I95" s="528">
        <v>2.2999999999999998</v>
      </c>
      <c r="J95" s="523" t="str">
        <v>-</v>
      </c>
      <c r="K95" s="385" t="s">
        <v>223</v>
      </c>
      <c r="L95" s="1105">
        <f>IFERROR(INDEX('CO2 Emission Factors'!B:B,MATCH(K95,'CO2 Emission Factors'!A:A,0)),0)</f>
        <v>0</v>
      </c>
      <c r="M95" s="1080">
        <f>INDEX('Fuel Costs'!$AO$10:$BX$40,MATCH(O95,'Fuel Costs'!$A$10:$A$40,0),MATCH(K95,'Fuel Costs'!$AO$4:$BX$4,0))*((1+'LCOE-S Template'!$C$10)^(F95-INDEX('Fuel Costs'!$AO$2:$BX$2,MATCH(K95,'Fuel Costs'!$AO$4:$BX$4,0))))</f>
        <v>1.0833342000000008</v>
      </c>
      <c r="N95" s="1121"/>
      <c r="O95" s="5">
        <v>2030</v>
      </c>
      <c r="P95" s="5">
        <v>60</v>
      </c>
      <c r="Q95" s="234">
        <v>7.4</v>
      </c>
      <c r="R95" s="242">
        <v>0</v>
      </c>
      <c r="S95" s="238">
        <v>0.36</v>
      </c>
      <c r="T95" s="33"/>
      <c r="U95" s="33"/>
      <c r="V95" s="33"/>
      <c r="W95" s="33"/>
      <c r="X95" s="33"/>
      <c r="Y95" s="33"/>
      <c r="Z95" s="33"/>
      <c r="AA95" s="33"/>
      <c r="AB95" s="33"/>
      <c r="AC95" s="33"/>
      <c r="AD95" s="33"/>
      <c r="AE95" s="233">
        <v>0.1</v>
      </c>
    </row>
    <row r="96" spans="1:31">
      <c r="D96" s="47" t="s">
        <v>19</v>
      </c>
      <c r="E96" s="47" t="s">
        <v>33</v>
      </c>
      <c r="F96" s="261">
        <v>2022</v>
      </c>
      <c r="G96" s="407">
        <v>6.8</v>
      </c>
      <c r="H96" s="407">
        <v>113</v>
      </c>
      <c r="I96" s="528">
        <v>2.2000000000000002</v>
      </c>
      <c r="J96" s="523" t="str">
        <v>-</v>
      </c>
      <c r="K96" s="385" t="s">
        <v>223</v>
      </c>
      <c r="L96" s="1105">
        <f>IFERROR(INDEX('CO2 Emission Factors'!B:B,MATCH(K96,'CO2 Emission Factors'!A:A,0)),0)</f>
        <v>0</v>
      </c>
      <c r="M96" s="1080">
        <f>INDEX('Fuel Costs'!$AO$10:$BX$40,MATCH(O96,'Fuel Costs'!$A$10:$A$40,0),MATCH(K96,'Fuel Costs'!$AO$4:$BX$4,0))*((1+'LCOE-S Template'!$C$10)^(F96-INDEX('Fuel Costs'!$AO$2:$BX$2,MATCH(K96,'Fuel Costs'!$AO$4:$BX$4,0))))</f>
        <v>1.0833342000000008</v>
      </c>
      <c r="N96" s="1121"/>
      <c r="O96" s="5">
        <v>2050</v>
      </c>
      <c r="P96" s="5">
        <v>60</v>
      </c>
      <c r="Q96" s="234">
        <v>7.4</v>
      </c>
      <c r="R96" s="242">
        <v>0</v>
      </c>
      <c r="S96" s="238">
        <v>0.4</v>
      </c>
      <c r="T96" s="33"/>
      <c r="U96" s="33"/>
      <c r="V96" s="33"/>
      <c r="W96" s="33"/>
      <c r="X96" s="33"/>
      <c r="Y96" s="33"/>
      <c r="Z96" s="33"/>
      <c r="AA96" s="33"/>
      <c r="AB96" s="33"/>
      <c r="AC96" s="33"/>
      <c r="AD96" s="33"/>
      <c r="AE96" s="233">
        <v>0.1</v>
      </c>
    </row>
    <row r="97" spans="4:31">
      <c r="D97" s="47" t="s">
        <v>19</v>
      </c>
      <c r="E97" s="47" t="s">
        <v>34</v>
      </c>
      <c r="F97" s="261">
        <v>2022</v>
      </c>
      <c r="G97" s="407" cm="1">
        <f t="array" ref="G97:G98">TRANSPOSE('Nuclear SMR'!$D$30:$E$30)</f>
        <v>9.6</v>
      </c>
      <c r="H97" s="407" cm="1">
        <f t="array" ref="H97:H98">TRANSPOSE('Nuclear SMR'!$D$33:$E$33)/1000</f>
        <v>110</v>
      </c>
      <c r="I97" s="528" cm="1">
        <f t="array" ref="I97:I98">TRANSPOSE('Nuclear SMR'!$D$34:$E$34)</f>
        <v>2.2000000000000002</v>
      </c>
      <c r="J97" s="523" cm="1">
        <f t="array" ref="J97:J98">TRANSPOSE('Nuclear SMR'!$D$35:$E$35)</f>
        <v>0</v>
      </c>
      <c r="K97" s="385" t="s">
        <v>223</v>
      </c>
      <c r="L97" s="1105">
        <f>IFERROR(INDEX('CO2 Emission Factors'!B:B,MATCH(K97,'CO2 Emission Factors'!A:A,0)),0)</f>
        <v>0</v>
      </c>
      <c r="M97" s="1080">
        <f>INDEX('Fuel Costs'!$AO$10:$BX$40,MATCH(O97,'Fuel Costs'!$A$10:$A$40,0),MATCH(K97,'Fuel Costs'!$AO$4:$BX$4,0))*((1+'LCOE-S Template'!$C$10)^(F97-INDEX('Fuel Costs'!$AO$2:$BX$2,MATCH(K97,'Fuel Costs'!$AO$4:$BX$4,0))))</f>
        <v>1.0833342000000008</v>
      </c>
      <c r="N97" s="1121"/>
      <c r="O97" s="5" cm="1">
        <f t="array" ref="O97:O98">TRANSPOSE('Nuclear SMR'!$D$4:$E$4)</f>
        <v>2030</v>
      </c>
      <c r="P97" s="5" cm="1">
        <f t="array" ref="P97:P98">TRANSPOSE('Nuclear SMR'!$D$12:$E$12)</f>
        <v>40</v>
      </c>
      <c r="Q97" s="234" cm="1">
        <f t="array" ref="Q97:Q98">TRANSPOSE('Nuclear SMR'!$D$13:$E$13)</f>
        <v>8</v>
      </c>
      <c r="R97" s="242" cm="1">
        <f t="array" ref="R97:R98">TRANSPOSE('Nuclear SMR'!$D$17:$E$17)/100*8760</f>
        <v>0</v>
      </c>
      <c r="S97" s="250" cm="1">
        <f t="array" ref="S97:S98">TRANSPOSE('Nuclear SMR'!$D$9:$E$9)</f>
        <v>0.27</v>
      </c>
      <c r="T97" s="33"/>
      <c r="U97" s="33"/>
      <c r="V97" s="33"/>
      <c r="W97" s="33"/>
      <c r="X97" s="33"/>
      <c r="Y97" s="33"/>
      <c r="Z97" s="33"/>
      <c r="AA97" s="33"/>
      <c r="AB97" s="33"/>
      <c r="AC97" s="33"/>
      <c r="AD97" s="33"/>
      <c r="AE97" s="233">
        <v>0.1</v>
      </c>
    </row>
    <row r="98" spans="4:31" ht="15.75" thickBot="1">
      <c r="D98" s="389" t="s">
        <v>19</v>
      </c>
      <c r="E98" s="389" t="s">
        <v>34</v>
      </c>
      <c r="F98" s="406">
        <v>2022</v>
      </c>
      <c r="G98" s="247">
        <v>7.3</v>
      </c>
      <c r="H98" s="247">
        <v>102</v>
      </c>
      <c r="I98" s="524">
        <v>2.1</v>
      </c>
      <c r="J98" s="524">
        <v>0</v>
      </c>
      <c r="K98" s="386" t="s">
        <v>223</v>
      </c>
      <c r="L98" s="1106">
        <f>IFERROR(INDEX('CO2 Emission Factors'!B:B,MATCH(K98,'CO2 Emission Factors'!A:A,0)),0)</f>
        <v>0</v>
      </c>
      <c r="M98" s="1115">
        <f>INDEX('Fuel Costs'!$AO$10:$BX$40,MATCH(O98,'Fuel Costs'!$A$10:$A$40,0),MATCH(K98,'Fuel Costs'!$AO$4:$BX$4,0))*((1+'LCOE-S Template'!$C$10)^(F98-INDEX('Fuel Costs'!$AO$2:$BX$2,MATCH(K98,'Fuel Costs'!$AO$4:$BX$4,0))))</f>
        <v>1.0833342000000008</v>
      </c>
      <c r="N98" s="1122"/>
      <c r="O98" s="49">
        <v>2050</v>
      </c>
      <c r="P98" s="49">
        <v>50</v>
      </c>
      <c r="Q98" s="53">
        <v>4</v>
      </c>
      <c r="R98" s="243">
        <v>0</v>
      </c>
      <c r="S98" s="239">
        <v>0.3</v>
      </c>
      <c r="T98" s="244"/>
      <c r="U98" s="244"/>
      <c r="V98" s="244"/>
      <c r="W98" s="244"/>
      <c r="X98" s="244"/>
      <c r="Y98" s="244"/>
      <c r="Z98" s="244"/>
      <c r="AA98" s="244"/>
      <c r="AB98" s="244"/>
      <c r="AC98" s="244"/>
      <c r="AD98" s="244"/>
      <c r="AE98" s="52">
        <v>0.1</v>
      </c>
    </row>
    <row r="99" spans="4:31">
      <c r="D99" s="47" t="s">
        <v>108</v>
      </c>
      <c r="E99" s="315" t="s">
        <v>118</v>
      </c>
      <c r="F99" s="261">
        <v>2022</v>
      </c>
      <c r="G99" s="43" cm="1">
        <f t="array" ref="G99:G101">TRANSPOSE('CCGT (GAS)'!$C$30:$E$30)+TRANSPOSE('Hydrogen co-firing CCGT'!$C$25:$E$25)</f>
        <v>1.1700000000000002</v>
      </c>
      <c r="H99" s="43" cm="1">
        <f t="array" ref="H99:H101">TRANSPOSE('CCGT (GAS)'!$C$33:$E$33)/1000*(1+TRANSPOSE('Hydrogen co-firing CCGT'!$C$28:$E$28))</f>
        <v>27.604000000000003</v>
      </c>
      <c r="I99" s="521" cm="1">
        <f t="array" ref="I99:I101">TRANSPOSE('CCGT (GAS)'!$C$34:$E$34)*(1+TRANSPOSE('Hydrogen co-firing CCGT'!$C$29:$E$29))</f>
        <v>2.6780000000000004</v>
      </c>
      <c r="J99" s="521" cm="1">
        <f t="array" ref="J99:J101">TRANSPOSE('CCGT (GAS)'!$C$35:$E$35)</f>
        <v>90</v>
      </c>
      <c r="K99" s="387" t="s">
        <v>224</v>
      </c>
      <c r="L99" s="1130">
        <f>80%*L64</f>
        <v>45.44</v>
      </c>
      <c r="M99" s="1116">
        <f>INDEX('Fuel Costs'!$AO$10:$BX$40,MATCH(O99,'Fuel Costs'!$A$10:$A$40,0),MATCH(K99,'Fuel Costs'!$AO$4:$BX$4,0))*((1+'LCOE-S Template'!$C$10)^(F99-INDEX('Fuel Costs'!$AO$2:$BX$2,MATCH(K99,'Fuel Costs'!$AO$4:$BX$4,0))))</f>
        <v>14.512400000000001</v>
      </c>
      <c r="N99" s="1123"/>
      <c r="O99" s="1061" cm="1">
        <f t="array" ref="O99:O101">TRANSPOSE('Hydrogen co-firing CCGT'!$C$4:$E$4)</f>
        <v>2023</v>
      </c>
      <c r="P99" s="1060" cm="1">
        <f t="array" ref="P99:P101">TRANSPOSE('CCGT (GAS)'!$C$12:$E$12)+TRANSPOSE('Hydrogen co-firing CCGT'!$C$12:$E$12)</f>
        <v>25</v>
      </c>
      <c r="Q99" s="1093" cm="1">
        <f t="array" ref="Q99:Q101">TRANSPOSE('CCGT (GAS)'!$C$13:$E$13)+TRANSPOSE('Hydrogen co-firing CCGT'!$C$13:$E$13)</f>
        <v>2.5</v>
      </c>
      <c r="R99" s="81"/>
      <c r="S99" s="13" cm="1">
        <f t="array" ref="S99:S101">TRANSPOSE('CCGT (GAS)'!$C$9:$E$9)/100+TRANSPOSE('Hydrogen co-firing CCGT'!$C$9:$E$9)/100</f>
        <v>0.56000000000000005</v>
      </c>
      <c r="T99" s="33"/>
      <c r="U99" s="33"/>
      <c r="V99" s="33"/>
      <c r="W99" s="33"/>
      <c r="X99" s="33"/>
      <c r="Y99" s="33"/>
      <c r="Z99" s="33"/>
      <c r="AA99" s="33"/>
      <c r="AB99" s="33"/>
      <c r="AC99" s="33"/>
      <c r="AD99" s="33"/>
      <c r="AE99" s="36">
        <v>0.1</v>
      </c>
    </row>
    <row r="100" spans="4:31">
      <c r="D100" s="47" t="s">
        <v>108</v>
      </c>
      <c r="E100" s="315" t="s">
        <v>118</v>
      </c>
      <c r="F100" s="261">
        <v>2022</v>
      </c>
      <c r="G100" s="43">
        <v>1.1160000000000001</v>
      </c>
      <c r="H100" s="43">
        <v>26.78</v>
      </c>
      <c r="I100" s="521">
        <v>2.5750000000000002</v>
      </c>
      <c r="J100" s="521">
        <v>90</v>
      </c>
      <c r="K100" s="387" t="s">
        <v>224</v>
      </c>
      <c r="L100" s="1130">
        <f t="shared" ref="L100:L101" si="6">80%*L65</f>
        <v>45.44</v>
      </c>
      <c r="M100" s="1116">
        <f>INDEX('Fuel Costs'!$AO$10:$BX$40,MATCH(O100,'Fuel Costs'!$A$10:$A$40,0),MATCH(K100,'Fuel Costs'!$AO$4:$BX$4,0))*((1+'LCOE-S Template'!$C$10)^(F100-INDEX('Fuel Costs'!$AO$2:$BX$2,MATCH(K100,'Fuel Costs'!$AO$4:$BX$4,0))))</f>
        <v>14.512400000000001</v>
      </c>
      <c r="N100" s="1123"/>
      <c r="O100" s="1061">
        <v>2030</v>
      </c>
      <c r="P100" s="1061">
        <v>25</v>
      </c>
      <c r="Q100" s="1093">
        <v>2.5</v>
      </c>
      <c r="R100" s="81"/>
      <c r="S100" s="13">
        <v>0.59</v>
      </c>
      <c r="T100" s="33"/>
      <c r="U100" s="33"/>
      <c r="V100" s="33"/>
      <c r="W100" s="33"/>
      <c r="X100" s="33"/>
      <c r="Y100" s="33"/>
      <c r="Z100" s="33"/>
      <c r="AA100" s="33"/>
      <c r="AB100" s="33"/>
      <c r="AC100" s="33"/>
      <c r="AD100" s="33"/>
      <c r="AE100" s="36">
        <v>0.1</v>
      </c>
    </row>
    <row r="101" spans="4:31">
      <c r="D101" s="47" t="s">
        <v>108</v>
      </c>
      <c r="E101" s="315" t="s">
        <v>118</v>
      </c>
      <c r="F101" s="261">
        <v>2022</v>
      </c>
      <c r="G101" s="43">
        <v>1.0304</v>
      </c>
      <c r="H101" s="43">
        <v>25.956</v>
      </c>
      <c r="I101" s="521">
        <v>2.472</v>
      </c>
      <c r="J101" s="521">
        <v>90</v>
      </c>
      <c r="K101" s="387" t="s">
        <v>224</v>
      </c>
      <c r="L101" s="1130">
        <f t="shared" si="6"/>
        <v>45.44</v>
      </c>
      <c r="M101" s="1116">
        <f>INDEX('Fuel Costs'!$AO$10:$BX$40,MATCH(O101,'Fuel Costs'!$A$10:$A$40,0),MATCH(K101,'Fuel Costs'!$AO$4:$BX$4,0))*((1+'LCOE-S Template'!$C$10)^(F101-INDEX('Fuel Costs'!$AO$2:$BX$2,MATCH(K101,'Fuel Costs'!$AO$4:$BX$4,0))))</f>
        <v>14.512400000000001</v>
      </c>
      <c r="N101" s="1123"/>
      <c r="O101" s="1061">
        <v>2050</v>
      </c>
      <c r="P101" s="1061">
        <v>25</v>
      </c>
      <c r="Q101" s="1093">
        <v>2.5</v>
      </c>
      <c r="R101" s="81"/>
      <c r="S101" s="13">
        <v>0.6</v>
      </c>
      <c r="T101" s="33"/>
      <c r="U101" s="33"/>
      <c r="V101" s="33"/>
      <c r="W101" s="33"/>
      <c r="X101" s="33"/>
      <c r="Y101" s="33"/>
      <c r="Z101" s="33"/>
      <c r="AA101" s="33"/>
      <c r="AB101" s="33"/>
      <c r="AC101" s="33"/>
      <c r="AD101" s="33"/>
      <c r="AE101" s="36">
        <v>0.1</v>
      </c>
    </row>
    <row r="102" spans="4:31">
      <c r="D102" s="47" t="s">
        <v>108</v>
      </c>
      <c r="E102" s="315" t="s">
        <v>119</v>
      </c>
      <c r="F102" s="261">
        <v>2022</v>
      </c>
      <c r="G102" s="43" cm="1">
        <f t="array" ref="G102:G103">TRANSPOSE('CCGT (GAS)'!$D$30:$E$30)+TRANSPOSE('Hydrogen co-firing CCGT'!$P$25:$Q$25)</f>
        <v>1.3360000000000001</v>
      </c>
      <c r="H102" s="43" cm="1">
        <f t="array" ref="H102:H103">TRANSPOSE('CCGT (GAS)'!$D$33:$E$33)/1000*(1+TRANSPOSE('Hydrogen co-firing CCGT'!$P$28:$Q$28))</f>
        <v>27.3</v>
      </c>
      <c r="I102" s="521" cm="1">
        <f t="array" ref="I102:I103">TRANSPOSE('CCGT (GAS)'!$D$34:$E$34)*(1+TRANSPOSE('Hydrogen co-firing CCGT'!$P$29:$Q$29))</f>
        <v>2.625</v>
      </c>
      <c r="J102" s="521" cm="1">
        <f t="array" ref="J102:J103">TRANSPOSE('CCGT (GAS)'!$D$35:$E$35)</f>
        <v>90</v>
      </c>
      <c r="K102" s="387" t="s">
        <v>108</v>
      </c>
      <c r="L102" s="1108">
        <f>IFERROR(INDEX('CO2 Emission Factors'!B:B,MATCH(K102,'CO2 Emission Factors'!A:A,0)),0)</f>
        <v>0</v>
      </c>
      <c r="M102" s="1116">
        <f>INDEX('Fuel Costs'!$AO$10:$BX$40,MATCH(O102,'Fuel Costs'!$A$10:$A$40,0),MATCH(K102,'Fuel Costs'!$AO$4:$BX$4,0))*((1+'LCOE-S Template'!$C$10)^(F102-INDEX('Fuel Costs'!$AO$2:$BX$2,MATCH(K102,'Fuel Costs'!$AO$4:$BX$4,0))))</f>
        <v>29</v>
      </c>
      <c r="N102" s="1123"/>
      <c r="O102" s="1061" cm="1">
        <f t="array" ref="O102:O103">TRANSPOSE('Hydrogen co-firing CCGT'!$P$4:$Q$4)</f>
        <v>2030</v>
      </c>
      <c r="P102" s="1060" cm="1">
        <f t="array" ref="P102:P103">TRANSPOSE('CCGT (GAS)'!$D$12:$E$12)+TRANSPOSE('Hydrogen co-firing CCGT'!$P$12:$Q$12)</f>
        <v>25</v>
      </c>
      <c r="Q102" s="1093" cm="1">
        <f t="array" ref="Q102:Q103">TRANSPOSE('CCGT (GAS)'!$D$13:$E$13)+TRANSPOSE('Hydrogen co-firing CCGT'!$P$13:$Q$13)</f>
        <v>2.5</v>
      </c>
      <c r="R102" s="81"/>
      <c r="S102" s="13" cm="1">
        <f t="array" ref="S102:S103">TRANSPOSE('CCGT (GAS)'!$D$9:$E$9)/100+TRANSPOSE('Hydrogen co-firing CCGT'!$P$9:$Q$9)/100</f>
        <v>0.59</v>
      </c>
      <c r="T102" s="33"/>
      <c r="U102" s="33"/>
      <c r="V102" s="33"/>
      <c r="W102" s="33"/>
      <c r="X102" s="33"/>
      <c r="Y102" s="33"/>
      <c r="Z102" s="33"/>
      <c r="AA102" s="33"/>
      <c r="AB102" s="33"/>
      <c r="AC102" s="33"/>
      <c r="AD102" s="33"/>
      <c r="AE102" s="36">
        <v>0.1</v>
      </c>
    </row>
    <row r="103" spans="4:31" ht="15.75" thickBot="1">
      <c r="D103" s="389" t="s">
        <v>108</v>
      </c>
      <c r="E103" s="391" t="s">
        <v>119</v>
      </c>
      <c r="F103" s="406">
        <v>2022</v>
      </c>
      <c r="G103" s="247">
        <v>1.2403999999999999</v>
      </c>
      <c r="H103" s="247">
        <v>26.46</v>
      </c>
      <c r="I103" s="524">
        <v>2.52</v>
      </c>
      <c r="J103" s="524">
        <v>90</v>
      </c>
      <c r="K103" s="388" t="s">
        <v>108</v>
      </c>
      <c r="L103" s="1107">
        <f>IFERROR(INDEX('CO2 Emission Factors'!B:B,MATCH(K103,'CO2 Emission Factors'!A:A,0)),0)</f>
        <v>0</v>
      </c>
      <c r="M103" s="1117">
        <f>INDEX('Fuel Costs'!$AO$10:$BX$40,MATCH(O103,'Fuel Costs'!$A$10:$A$40,0),MATCH(K103,'Fuel Costs'!$AO$4:$BX$4,0))*((1+'LCOE-S Template'!$C$10)^(F103-INDEX('Fuel Costs'!$AO$2:$BX$2,MATCH(K103,'Fuel Costs'!$AO$4:$BX$4,0))))</f>
        <v>29</v>
      </c>
      <c r="N103" s="1124"/>
      <c r="O103" s="1063">
        <v>2050</v>
      </c>
      <c r="P103" s="1063">
        <v>25</v>
      </c>
      <c r="Q103" s="1094">
        <v>2.5</v>
      </c>
      <c r="R103" s="243"/>
      <c r="S103" s="239">
        <v>0.6</v>
      </c>
      <c r="T103" s="244"/>
      <c r="U103" s="244"/>
      <c r="V103" s="244"/>
      <c r="W103" s="244"/>
      <c r="X103" s="244"/>
      <c r="Y103" s="244"/>
      <c r="Z103" s="244"/>
      <c r="AA103" s="244"/>
      <c r="AB103" s="244"/>
      <c r="AC103" s="244"/>
      <c r="AD103" s="244"/>
      <c r="AE103" s="52">
        <v>0.1</v>
      </c>
    </row>
    <row r="104" spans="4:31">
      <c r="D104" s="47" t="s">
        <v>107</v>
      </c>
      <c r="E104" s="315" t="s">
        <v>113</v>
      </c>
      <c r="F104" s="261">
        <v>2022</v>
      </c>
      <c r="G104" s="43" cm="1">
        <f t="array" ref="G104:G106">TRANSPOSE('Coal Supercritical'!$C$30:$E$30)+TRANSPOSE('Ammonia co-firing (Coal) '!$C$24:$E$24)</f>
        <v>1.75</v>
      </c>
      <c r="H104" s="43" cm="1">
        <f t="array" ref="H104:H106">TRANSPOSE('Coal Supercritical'!$C$33:$E$33)/1000*(1+TRANSPOSE('Ammonia co-firing (Coal) '!$C$27:$E$27))</f>
        <v>49.35</v>
      </c>
      <c r="I104" s="521" cm="1">
        <f t="array" ref="I104:I106">TRANSPOSE('Coal Supercritical'!$C$34:$E$34)*(1+TRANSPOSE('Ammonia co-firing (Coal) '!$C$28:$E$28))</f>
        <v>1.47</v>
      </c>
      <c r="J104" s="521" cm="1">
        <f t="array" ref="J104:J106">TRANSPOSE('Coal Supercritical'!$C$35:$E$35)</f>
        <v>57</v>
      </c>
      <c r="K104" s="387" t="s">
        <v>225</v>
      </c>
      <c r="L104" s="1130">
        <f>80%*L55</f>
        <v>85.12</v>
      </c>
      <c r="M104" s="1116">
        <f>INDEX('Fuel Costs'!$AO$10:$BX$40,MATCH(O104,'Fuel Costs'!$A$10:$A$40,0),MATCH(K104,'Fuel Costs'!$AO$4:$BX$4,0))*((1+'LCOE-S Template'!$C$10)^(F104-INDEX('Fuel Costs'!$AO$2:$BX$2,MATCH(K104,'Fuel Costs'!$AO$4:$BX$4,0))))</f>
        <v>7.7742222222222228</v>
      </c>
      <c r="N104" s="1123"/>
      <c r="O104" s="1061" cm="1">
        <f t="array" ref="O104:O106">TRANSPOSE('Ammonia co-firing (Coal) '!$C$4:$E$4)</f>
        <v>2023</v>
      </c>
      <c r="P104" s="1061" cm="1">
        <f t="array" ref="P104:P106">TRANSPOSE('Coal Supercritical'!$C$12:$E$12)+TRANSPOSE('Ammonia co-firing (Coal) '!$C$11:$E$11)</f>
        <v>30</v>
      </c>
      <c r="Q104" s="1093" cm="1">
        <f t="array" ref="Q104:Q106">TRANSPOSE('Coal Supercritical'!$C$13:$E$13)+TRANSPOSE('Ammonia co-firing (Coal) '!$C$12:$E$12)</f>
        <v>4</v>
      </c>
      <c r="R104" s="81"/>
      <c r="S104" s="41" cm="1">
        <f t="array" ref="S104:S106">TRANSPOSE('Coal Supercritical'!$C$9:$E$9)/100+TRANSPOSE('Ammonia co-firing (Coal) '!$C$8:$E$8)/100</f>
        <v>0.36</v>
      </c>
      <c r="T104" s="33"/>
      <c r="U104" s="33"/>
      <c r="V104" s="33"/>
      <c r="W104" s="33"/>
      <c r="X104" s="33"/>
      <c r="Y104" s="33"/>
      <c r="Z104" s="33"/>
      <c r="AA104" s="33"/>
      <c r="AB104" s="33"/>
      <c r="AC104" s="33"/>
      <c r="AD104" s="33"/>
      <c r="AE104" s="36">
        <v>0.1</v>
      </c>
    </row>
    <row r="105" spans="4:31">
      <c r="D105" s="47" t="s">
        <v>107</v>
      </c>
      <c r="E105" s="315" t="s">
        <v>113</v>
      </c>
      <c r="F105" s="261">
        <v>2022</v>
      </c>
      <c r="G105" s="43">
        <v>1.7</v>
      </c>
      <c r="H105" s="43">
        <v>47.88</v>
      </c>
      <c r="I105" s="521">
        <v>1.4175000000000002</v>
      </c>
      <c r="J105" s="521">
        <v>57</v>
      </c>
      <c r="K105" s="387" t="s">
        <v>225</v>
      </c>
      <c r="L105" s="1130">
        <f t="shared" ref="L105:L106" si="7">80%*L56</f>
        <v>85.12</v>
      </c>
      <c r="M105" s="1116">
        <f>INDEX('Fuel Costs'!$AO$10:$BX$40,MATCH(O105,'Fuel Costs'!$A$10:$A$40,0),MATCH(K105,'Fuel Costs'!$AO$4:$BX$4,0))*((1+'LCOE-S Template'!$C$10)^(F105-INDEX('Fuel Costs'!$AO$2:$BX$2,MATCH(K105,'Fuel Costs'!$AO$4:$BX$4,0))))</f>
        <v>7.7742222222222228</v>
      </c>
      <c r="N105" s="1123"/>
      <c r="O105" s="1061">
        <v>2030</v>
      </c>
      <c r="P105" s="1061">
        <v>30</v>
      </c>
      <c r="Q105" s="1093">
        <v>3</v>
      </c>
      <c r="R105" s="81"/>
      <c r="S105" s="13">
        <v>0.37</v>
      </c>
      <c r="T105" s="33"/>
      <c r="U105" s="33"/>
      <c r="V105" s="33"/>
      <c r="W105" s="33"/>
      <c r="X105" s="33"/>
      <c r="Y105" s="33"/>
      <c r="Z105" s="33"/>
      <c r="AA105" s="33"/>
      <c r="AB105" s="33"/>
      <c r="AC105" s="33"/>
      <c r="AD105" s="33"/>
      <c r="AE105" s="36">
        <v>0.1</v>
      </c>
    </row>
    <row r="106" spans="4:31">
      <c r="D106" s="47" t="s">
        <v>107</v>
      </c>
      <c r="E106" s="315" t="s">
        <v>113</v>
      </c>
      <c r="F106" s="261">
        <v>2022</v>
      </c>
      <c r="G106" s="43">
        <v>1.6400000000000001</v>
      </c>
      <c r="H106" s="43">
        <v>46.305000000000007</v>
      </c>
      <c r="I106" s="521">
        <v>1.3650000000000002</v>
      </c>
      <c r="J106" s="521">
        <v>57</v>
      </c>
      <c r="K106" s="387" t="s">
        <v>225</v>
      </c>
      <c r="L106" s="1130">
        <f t="shared" si="7"/>
        <v>85.12</v>
      </c>
      <c r="M106" s="1116">
        <f>INDEX('Fuel Costs'!$AO$10:$BX$40,MATCH(O106,'Fuel Costs'!$A$10:$A$40,0),MATCH(K106,'Fuel Costs'!$AO$4:$BX$4,0))*((1+'LCOE-S Template'!$C$10)^(F106-INDEX('Fuel Costs'!$AO$2:$BX$2,MATCH(K106,'Fuel Costs'!$AO$4:$BX$4,0))))</f>
        <v>7.7742222222222228</v>
      </c>
      <c r="N106" s="1123"/>
      <c r="O106" s="1061">
        <v>2050</v>
      </c>
      <c r="P106" s="1061">
        <v>30</v>
      </c>
      <c r="Q106" s="1093">
        <v>3</v>
      </c>
      <c r="R106" s="81"/>
      <c r="S106" s="13">
        <v>0.38</v>
      </c>
      <c r="T106" s="33"/>
      <c r="U106" s="33"/>
      <c r="V106" s="33"/>
      <c r="W106" s="33"/>
      <c r="X106" s="33"/>
      <c r="Y106" s="33"/>
      <c r="Z106" s="33"/>
      <c r="AA106" s="33"/>
      <c r="AB106" s="33"/>
      <c r="AC106" s="33"/>
      <c r="AD106" s="33"/>
      <c r="AE106" s="36">
        <v>0.1</v>
      </c>
    </row>
    <row r="107" spans="4:31">
      <c r="D107" s="47" t="s">
        <v>107</v>
      </c>
      <c r="E107" s="315" t="s">
        <v>114</v>
      </c>
      <c r="F107" s="261">
        <v>2022</v>
      </c>
      <c r="G107" s="246" cm="1">
        <f t="array" ref="G107:G108">TRANSPOSE('Coal Supercritical'!$D$30:$E$30)+TRANSPOSE('Ammonia co-firing (Coal) '!$P$24:$Q$24)</f>
        <v>1.8900000000000001</v>
      </c>
      <c r="H107" s="246" cm="1">
        <f t="array" ref="H107:H108">TRANSPOSE('Coal Supercritical'!$D$33:$E$33)/1000*(1+TRANSPOSE('Ammonia co-firing (Coal) '!$P$27:$Q$27))</f>
        <v>50.160000000000004</v>
      </c>
      <c r="I107" s="523" cm="1">
        <f t="array" ref="I107:I108">TRANSPOSE('Coal Supercritical'!$D$34:$E$34)*(1+TRANSPOSE('Ammonia co-firing (Coal) '!$P$28:$Q$28))</f>
        <v>1.4850000000000003</v>
      </c>
      <c r="J107" s="523" cm="1">
        <f t="array" ref="J107:J108">TRANSPOSE('Coal Supercritical'!$D$35:$E$35)</f>
        <v>57</v>
      </c>
      <c r="K107" s="387" t="s">
        <v>107</v>
      </c>
      <c r="L107" s="1108">
        <f>IFERROR(INDEX('CO2 Emission Factors'!B:B,MATCH(K107,'CO2 Emission Factors'!A:A,0)),0)</f>
        <v>0</v>
      </c>
      <c r="M107" s="1116">
        <f>INDEX('Fuel Costs'!$AO$10:$BX$40,MATCH(O107,'Fuel Costs'!$A$10:$A$40,0),MATCH(K107,'Fuel Costs'!$AO$4:$BX$4,0))*((1+'LCOE-S Template'!$C$10)^(F107-INDEX('Fuel Costs'!$AO$2:$BX$2,MATCH(K107,'Fuel Costs'!$AO$4:$BX$4,0))))</f>
        <v>24</v>
      </c>
      <c r="N107" s="1123"/>
      <c r="O107" s="1061" cm="1">
        <f t="array" ref="O107:O108">TRANSPOSE('Ammonia co-firing (Coal) '!$P$4:$Q$4)</f>
        <v>2030</v>
      </c>
      <c r="P107" s="1061" cm="1">
        <f t="array" ref="P107:P108">TRANSPOSE('Coal Supercritical'!$D$12:$E$12)+TRANSPOSE('Ammonia co-firing (Coal) '!$P$11:$Q$11)</f>
        <v>30</v>
      </c>
      <c r="Q107" s="1095" cm="1">
        <f t="array" ref="Q107:Q108">TRANSPOSE('Coal Supercritical'!$D$13:$E$13)+TRANSPOSE('Ammonia co-firing (Coal) '!$P$12:$Q$12)</f>
        <v>3</v>
      </c>
      <c r="R107" s="242"/>
      <c r="S107" s="250" cm="1">
        <f t="array" ref="S107:S108">TRANSPOSE('Coal Supercritical'!$D$9:$E$9)/100+TRANSPOSE('Ammonia co-firing (Coal) '!$P$8:$Q$8)/100</f>
        <v>0.36</v>
      </c>
      <c r="T107" s="33"/>
      <c r="U107" s="33"/>
      <c r="V107" s="33"/>
      <c r="W107" s="33"/>
      <c r="X107" s="33"/>
      <c r="Y107" s="33"/>
      <c r="Z107" s="33"/>
      <c r="AA107" s="33"/>
      <c r="AB107" s="33"/>
      <c r="AC107" s="33"/>
      <c r="AD107" s="33"/>
      <c r="AE107" s="233">
        <v>0.1</v>
      </c>
    </row>
    <row r="108" spans="4:31" ht="15.75" thickBot="1">
      <c r="D108" s="389" t="s">
        <v>107</v>
      </c>
      <c r="E108" s="391" t="s">
        <v>114</v>
      </c>
      <c r="F108" s="406">
        <v>2022</v>
      </c>
      <c r="G108" s="247">
        <v>1.83</v>
      </c>
      <c r="H108" s="247">
        <v>48.510000000000005</v>
      </c>
      <c r="I108" s="524">
        <v>1.4300000000000002</v>
      </c>
      <c r="J108" s="524">
        <v>57</v>
      </c>
      <c r="K108" s="388" t="s">
        <v>107</v>
      </c>
      <c r="L108" s="1107">
        <f>IFERROR(INDEX('CO2 Emission Factors'!B:B,MATCH(K108,'CO2 Emission Factors'!A:A,0)),0)</f>
        <v>0</v>
      </c>
      <c r="M108" s="1117">
        <f>INDEX('Fuel Costs'!$AO$10:$BX$40,MATCH(O108,'Fuel Costs'!$A$10:$A$40,0),MATCH(K108,'Fuel Costs'!$AO$4:$BX$4,0))*((1+'LCOE-S Template'!$C$10)^(F108-INDEX('Fuel Costs'!$AO$2:$BX$2,MATCH(K108,'Fuel Costs'!$AO$4:$BX$4,0))))</f>
        <v>24</v>
      </c>
      <c r="N108" s="1124"/>
      <c r="O108" s="1063">
        <v>2050</v>
      </c>
      <c r="P108" s="1063">
        <v>30</v>
      </c>
      <c r="Q108" s="1094">
        <v>3</v>
      </c>
      <c r="R108" s="243"/>
      <c r="S108" s="239">
        <v>0.37</v>
      </c>
      <c r="T108" s="244"/>
      <c r="U108" s="244"/>
      <c r="V108" s="244"/>
      <c r="W108" s="244"/>
      <c r="X108" s="244"/>
      <c r="Y108" s="244"/>
      <c r="Z108" s="244"/>
      <c r="AA108" s="244"/>
      <c r="AB108" s="244"/>
      <c r="AC108" s="244"/>
      <c r="AD108" s="244"/>
      <c r="AE108" s="52">
        <v>0.1</v>
      </c>
    </row>
    <row r="109" spans="4:31">
      <c r="D109" s="47" t="s">
        <v>15</v>
      </c>
      <c r="E109" s="315" t="s">
        <v>115</v>
      </c>
      <c r="F109" s="261">
        <v>2022</v>
      </c>
      <c r="G109" s="43" cm="1">
        <f t="array" ref="G109:G111">TRANSPOSE('Coal Supercritical'!$C$30:$E$30)+TRANSPOSE('Biomass co-firing (Coal)'!$C$24:$E$24)</f>
        <v>1.76</v>
      </c>
      <c r="H109" s="43" cm="1">
        <f t="array" ref="H109:H111">TRANSPOSE('Coal Supercritical'!$C$33:$E$33)/1000*(1+TRANSPOSE('Biomass co-firing (Coal)'!$C$27:$E$27))</f>
        <v>48.410000000000004</v>
      </c>
      <c r="I109" s="521" cm="1">
        <f t="array" ref="I109:I111">TRANSPOSE('Coal Supercritical'!$C$34:$E$34)*(1+TRANSPOSE('Biomass co-firing (Coal)'!$C$28:$E$28))</f>
        <v>1.4419999999999999</v>
      </c>
      <c r="J109" s="521" cm="1">
        <f t="array" ref="J109:J111">TRANSPOSE('Coal Supercritical'!$C$35:$E$35)</f>
        <v>57</v>
      </c>
      <c r="K109" s="387" t="s">
        <v>226</v>
      </c>
      <c r="L109" s="1130">
        <f>80%*L55</f>
        <v>85.12</v>
      </c>
      <c r="M109" s="1116">
        <f>INDEX('Fuel Costs'!$AO$10:$BX$40,MATCH(O109,'Fuel Costs'!$A$10:$A$40,0),MATCH(K109,'Fuel Costs'!$AO$4:$BX$4,0))*((1+'LCOE-S Template'!$C$10)^(F109-INDEX('Fuel Costs'!$AO$2:$BX$2,MATCH(K109,'Fuel Costs'!$AO$4:$BX$4,0))))</f>
        <v>4.1862222222222227</v>
      </c>
      <c r="N109" s="1123"/>
      <c r="O109" s="1061" cm="1">
        <f t="array" ref="O109:O111">TRANSPOSE('Biomass co-firing (Coal)'!$C$4:$E$4)</f>
        <v>2023</v>
      </c>
      <c r="P109" s="1061" cm="1">
        <f t="array" ref="P109:P111">TRANSPOSE('Coal Supercritical'!$C$12:$E$12)+TRANSPOSE('Biomass co-firing (Coal)'!$C$11:$E$11)</f>
        <v>30</v>
      </c>
      <c r="Q109" s="1093" cm="1">
        <f t="array" ref="Q109:Q111">TRANSPOSE('Coal Supercritical'!$C$13:$E$13)+TRANSPOSE('Biomass co-firing (Coal)'!$C$12:$E$12)</f>
        <v>4</v>
      </c>
      <c r="R109" s="81"/>
      <c r="S109" s="41" cm="1">
        <f t="array" ref="S109:S111">TRANSPOSE('Coal Supercritical'!$C$9:$E$9)/100++TRANSPOSE('Biomass co-firing (Coal)'!$C$8:$E$8)/100</f>
        <v>0.36</v>
      </c>
      <c r="T109" s="33"/>
      <c r="U109" s="33"/>
      <c r="V109" s="33"/>
      <c r="W109" s="33"/>
      <c r="X109" s="33"/>
      <c r="Y109" s="33"/>
      <c r="Z109" s="33"/>
      <c r="AA109" s="33"/>
      <c r="AB109" s="33"/>
      <c r="AC109" s="33"/>
      <c r="AD109" s="33"/>
      <c r="AE109" s="36">
        <v>0.1</v>
      </c>
    </row>
    <row r="110" spans="4:31">
      <c r="D110" s="47" t="s">
        <v>15</v>
      </c>
      <c r="E110" s="315" t="s">
        <v>115</v>
      </c>
      <c r="F110" s="261">
        <v>2022</v>
      </c>
      <c r="G110" s="43">
        <v>1.71</v>
      </c>
      <c r="H110" s="43">
        <v>46.968000000000004</v>
      </c>
      <c r="I110" s="521">
        <v>1.3905000000000001</v>
      </c>
      <c r="J110" s="521">
        <v>57</v>
      </c>
      <c r="K110" s="387" t="s">
        <v>226</v>
      </c>
      <c r="L110" s="1130">
        <f t="shared" ref="L110:L111" si="8">80%*L56</f>
        <v>85.12</v>
      </c>
      <c r="M110" s="1116">
        <f>INDEX('Fuel Costs'!$AO$10:$BX$40,MATCH(O110,'Fuel Costs'!$A$10:$A$40,0),MATCH(K110,'Fuel Costs'!$AO$4:$BX$4,0))*((1+'LCOE-S Template'!$C$10)^(F110-INDEX('Fuel Costs'!$AO$2:$BX$2,MATCH(K110,'Fuel Costs'!$AO$4:$BX$4,0))))</f>
        <v>4.1862222222222227</v>
      </c>
      <c r="N110" s="1123"/>
      <c r="O110" s="1061">
        <v>2030</v>
      </c>
      <c r="P110" s="1061">
        <v>30</v>
      </c>
      <c r="Q110" s="1093">
        <v>3</v>
      </c>
      <c r="R110" s="81"/>
      <c r="S110" s="13">
        <v>0.37</v>
      </c>
      <c r="T110" s="33"/>
      <c r="U110" s="33"/>
      <c r="V110" s="33"/>
      <c r="W110" s="33"/>
      <c r="X110" s="33"/>
      <c r="Y110" s="33"/>
      <c r="Z110" s="33"/>
      <c r="AA110" s="33"/>
      <c r="AB110" s="33"/>
      <c r="AC110" s="33"/>
      <c r="AD110" s="33"/>
      <c r="AE110" s="36">
        <v>0.1</v>
      </c>
    </row>
    <row r="111" spans="4:31">
      <c r="D111" s="47" t="s">
        <v>15</v>
      </c>
      <c r="E111" s="315" t="s">
        <v>115</v>
      </c>
      <c r="F111" s="261">
        <v>2022</v>
      </c>
      <c r="G111" s="43">
        <v>1.65</v>
      </c>
      <c r="H111" s="43">
        <v>45.423000000000002</v>
      </c>
      <c r="I111" s="521">
        <v>1.3390000000000002</v>
      </c>
      <c r="J111" s="521">
        <v>57</v>
      </c>
      <c r="K111" s="387" t="s">
        <v>226</v>
      </c>
      <c r="L111" s="1130">
        <f t="shared" si="8"/>
        <v>85.12</v>
      </c>
      <c r="M111" s="1116">
        <f>INDEX('Fuel Costs'!$AO$10:$BX$40,MATCH(O111,'Fuel Costs'!$A$10:$A$40,0),MATCH(K111,'Fuel Costs'!$AO$4:$BX$4,0))*((1+'LCOE-S Template'!$C$10)^(F111-INDEX('Fuel Costs'!$AO$2:$BX$2,MATCH(K111,'Fuel Costs'!$AO$4:$BX$4,0))))</f>
        <v>4.1862222222222227</v>
      </c>
      <c r="N111" s="1123"/>
      <c r="O111" s="1061">
        <v>2050</v>
      </c>
      <c r="P111" s="1061">
        <v>30</v>
      </c>
      <c r="Q111" s="1093">
        <v>3</v>
      </c>
      <c r="R111" s="81"/>
      <c r="S111" s="13">
        <v>0.38</v>
      </c>
      <c r="T111" s="33"/>
      <c r="U111" s="33"/>
      <c r="V111" s="33"/>
      <c r="W111" s="33"/>
      <c r="X111" s="33"/>
      <c r="Y111" s="33"/>
      <c r="Z111" s="33"/>
      <c r="AA111" s="33"/>
      <c r="AB111" s="33"/>
      <c r="AC111" s="33"/>
      <c r="AD111" s="33"/>
      <c r="AE111" s="36">
        <v>0.1</v>
      </c>
    </row>
    <row r="112" spans="4:31">
      <c r="D112" s="47" t="s">
        <v>15</v>
      </c>
      <c r="E112" s="315" t="s">
        <v>116</v>
      </c>
      <c r="F112" s="261">
        <v>2022</v>
      </c>
      <c r="G112" s="246" cm="1">
        <f t="array" ref="G112:G113">TRANSPOSE('Coal Supercritical'!$D$30:$E$30)+TRANSPOSE('Biomass co-firing (Coal)'!$P$24:$Q$24)</f>
        <v>1.9100000000000001</v>
      </c>
      <c r="H112" s="246" cm="1">
        <f t="array" ref="H112:H113">TRANSPOSE('Coal Supercritical'!$D$33:$E$33)/1000*(1+TRANSPOSE('Biomass co-firing (Coal)'!$P$27:$Q$27))</f>
        <v>47.88</v>
      </c>
      <c r="I112" s="523" cm="1">
        <f t="array" ref="I112:I113">TRANSPOSE('Coal Supercritical'!$D$34:$E$34)*(1+TRANSPOSE('Biomass co-firing (Coal)'!$P$28:$Q$28))</f>
        <v>1.4175000000000002</v>
      </c>
      <c r="J112" s="523" cm="1">
        <f t="array" ref="J112:J113">TRANSPOSE('Coal Supercritical'!$D$35:$E$35)</f>
        <v>57</v>
      </c>
      <c r="K112" s="387" t="s">
        <v>227</v>
      </c>
      <c r="L112" s="1108">
        <f>IFERROR(INDEX('CO2 Emission Factors'!B:B,MATCH(K112,'CO2 Emission Factors'!A:A,0)),0)</f>
        <v>0</v>
      </c>
      <c r="M112" s="1116">
        <f>INDEX('Fuel Costs'!$AO$10:$BX$40,MATCH(O112,'Fuel Costs'!$A$10:$A$40,0),MATCH(K112,'Fuel Costs'!$AO$4:$BX$4,0))*((1+'LCOE-S Template'!$C$10)^(F112-INDEX('Fuel Costs'!$AO$2:$BX$2,MATCH(K112,'Fuel Costs'!$AO$4:$BX$4,0))))</f>
        <v>6.06</v>
      </c>
      <c r="N112" s="1123"/>
      <c r="O112" s="1061" cm="1">
        <f t="array" ref="O112:O113">TRANSPOSE('Biomass co-firing (Coal)'!$P$4:$Q$4)</f>
        <v>2030</v>
      </c>
      <c r="P112" s="1061" cm="1">
        <f t="array" ref="P112:P113">TRANSPOSE('Coal Supercritical'!$D$12:$E$12)+TRANSPOSE('Biomass co-firing (Coal)'!$P$11:$Q$11)</f>
        <v>30</v>
      </c>
      <c r="Q112" s="1095" cm="1">
        <f t="array" ref="Q112:Q113">TRANSPOSE('Coal Supercritical'!$D$13:$E$13)+TRANSPOSE('Biomass co-firing (Coal)'!$P$12:$Q$12)</f>
        <v>3</v>
      </c>
      <c r="R112" s="242"/>
      <c r="S112" s="250" cm="1">
        <f t="array" ref="S112:S113">TRANSPOSE('Coal Supercritical'!$D$9:$E$9)/100+TRANSPOSE('Biomass co-firing (Coal)'!$P$8:$Q$8)/100</f>
        <v>0.36</v>
      </c>
      <c r="T112" s="33"/>
      <c r="U112" s="33"/>
      <c r="V112" s="33"/>
      <c r="W112" s="33"/>
      <c r="X112" s="33"/>
      <c r="Y112" s="33"/>
      <c r="Z112" s="33"/>
      <c r="AA112" s="33"/>
      <c r="AB112" s="33"/>
      <c r="AC112" s="33"/>
      <c r="AD112" s="33"/>
      <c r="AE112" s="233">
        <v>0.1</v>
      </c>
    </row>
    <row r="113" spans="4:31" ht="15.75" thickBot="1">
      <c r="D113" s="389" t="s">
        <v>15</v>
      </c>
      <c r="E113" s="391" t="s">
        <v>116</v>
      </c>
      <c r="F113" s="406">
        <v>2022</v>
      </c>
      <c r="G113" s="247">
        <v>1.8599999999999999</v>
      </c>
      <c r="H113" s="247">
        <v>46.305000000000007</v>
      </c>
      <c r="I113" s="524">
        <v>1.3650000000000002</v>
      </c>
      <c r="J113" s="524">
        <v>57</v>
      </c>
      <c r="K113" s="388" t="s">
        <v>227</v>
      </c>
      <c r="L113" s="1107">
        <f>IFERROR(INDEX('CO2 Emission Factors'!B:B,MATCH(K113,'CO2 Emission Factors'!A:A,0)),0)</f>
        <v>0</v>
      </c>
      <c r="M113" s="1117">
        <f>INDEX('Fuel Costs'!$AO$10:$BX$40,MATCH(O113,'Fuel Costs'!$A$10:$A$40,0),MATCH(K113,'Fuel Costs'!$AO$4:$BX$4,0))*((1+'LCOE-S Template'!$C$10)^(F113-INDEX('Fuel Costs'!$AO$2:$BX$2,MATCH(K113,'Fuel Costs'!$AO$4:$BX$4,0))))</f>
        <v>6.06</v>
      </c>
      <c r="N113" s="1124"/>
      <c r="O113" s="1063">
        <v>2050</v>
      </c>
      <c r="P113" s="1063">
        <v>30</v>
      </c>
      <c r="Q113" s="1094">
        <v>3</v>
      </c>
      <c r="R113" s="243"/>
      <c r="S113" s="239">
        <v>0.37</v>
      </c>
      <c r="T113" s="244"/>
      <c r="U113" s="244"/>
      <c r="V113" s="244"/>
      <c r="W113" s="244"/>
      <c r="X113" s="244"/>
      <c r="Y113" s="244"/>
      <c r="Z113" s="244"/>
      <c r="AA113" s="244"/>
      <c r="AB113" s="244"/>
      <c r="AC113" s="244"/>
      <c r="AD113" s="244"/>
      <c r="AE113" s="52">
        <v>0.1</v>
      </c>
    </row>
    <row r="114" spans="4:31">
      <c r="D114" s="47" t="s">
        <v>11</v>
      </c>
      <c r="E114" s="47" t="s">
        <v>228</v>
      </c>
      <c r="F114" s="261">
        <v>2022</v>
      </c>
      <c r="G114" s="43" cm="1">
        <f t="array" ref="G114:G116">TRANSPOSE('Coal Subcritical'!$C$30:$E$30)+TRANSPOSE('Coal lifetime extension'!$C$24:$E$24)</f>
        <v>2.16</v>
      </c>
      <c r="H114" s="43" cm="1">
        <f t="array" ref="H114:H116">TRANSPOSE('Coal Subcritical'!$C$33:$E$33)/1000*(1+TRANSPOSE('Coal lifetime extension'!$C$27:$E$27))</f>
        <v>53.148000000000003</v>
      </c>
      <c r="I114" s="521" cm="1">
        <f t="array" ref="I114:I116">TRANSPOSE('Coal Subcritical'!$C$34:$E$34)*(1+TRANSPOSE('Coal lifetime extension'!$C$28:$E$28))</f>
        <v>1.5</v>
      </c>
      <c r="J114" s="521" cm="1">
        <f t="array" ref="J114:J116">TRANSPOSE('Coal Subcritical'!$C$35:$E$35)</f>
        <v>125.4</v>
      </c>
      <c r="K114" s="385" t="s">
        <v>210</v>
      </c>
      <c r="L114" s="1108">
        <f>IFERROR(INDEX('CO2 Emission Factors'!B:B,MATCH(K114,'CO2 Emission Factors'!A:A,0)),0)</f>
        <v>106.4</v>
      </c>
      <c r="M114" s="1116">
        <f>INDEX('Fuel Costs'!$AO$10:$BX$40,MATCH(O114,'Fuel Costs'!$A$10:$A$40,0),MATCH(K114,'Fuel Costs'!$AO$4:$BX$4,0))*((1+'LCOE-S Template'!$C$10)^(F114-INDEX('Fuel Costs'!$AO$2:$BX$2,MATCH(K114,'Fuel Costs'!$AO$4:$BX$4,0))))</f>
        <v>3.7177777777777781</v>
      </c>
      <c r="N114" s="1123"/>
      <c r="O114" s="1061" cm="1">
        <f t="array" ref="O114:O116">TRANSPOSE('Coal lifetime extension'!$C$4:$E$4)</f>
        <v>2023</v>
      </c>
      <c r="P114" s="1060" cm="1">
        <f t="array" ref="P114:P116">TRANSPOSE('Coal Subcritical'!$C$12:$E$12)+TRANSPOSE('Coal lifetime extension'!$C$11:$E$11)</f>
        <v>50</v>
      </c>
      <c r="Q114" s="1093" cm="1">
        <f t="array" ref="Q114:Q116">TRANSPOSE('Coal Subcritical'!$C$13:$E$13)</f>
        <v>3</v>
      </c>
      <c r="R114" s="81"/>
      <c r="S114" s="41" cm="1">
        <f t="array" ref="S114:S116">TRANSPOSE('Coal Subcritical'!$C$9:$E$9)/100+TRANSPOSE('Coal lifetime extension'!$C$8:$E$8)/100</f>
        <v>0.33</v>
      </c>
      <c r="T114" s="33"/>
      <c r="U114" s="33"/>
      <c r="V114" s="33"/>
      <c r="W114" s="33"/>
      <c r="X114" s="33"/>
      <c r="Y114" s="33"/>
      <c r="Z114" s="33"/>
      <c r="AA114" s="33"/>
      <c r="AB114" s="33"/>
      <c r="AC114" s="33"/>
      <c r="AD114" s="33"/>
      <c r="AE114" s="36">
        <v>0.1</v>
      </c>
    </row>
    <row r="115" spans="4:31">
      <c r="D115" s="47" t="s">
        <v>11</v>
      </c>
      <c r="E115" s="47" t="s">
        <v>228</v>
      </c>
      <c r="F115" s="261">
        <v>2022</v>
      </c>
      <c r="G115" s="43">
        <v>2.1</v>
      </c>
      <c r="H115" s="43">
        <v>51.5</v>
      </c>
      <c r="I115" s="521">
        <v>1.45</v>
      </c>
      <c r="J115" s="521">
        <v>125.4</v>
      </c>
      <c r="K115" s="385" t="s">
        <v>210</v>
      </c>
      <c r="L115" s="1108">
        <f>IFERROR(INDEX('CO2 Emission Factors'!B:B,MATCH(K115,'CO2 Emission Factors'!A:A,0)),0)</f>
        <v>106.4</v>
      </c>
      <c r="M115" s="1116">
        <f>INDEX('Fuel Costs'!$AO$10:$BX$40,MATCH(O115,'Fuel Costs'!$A$10:$A$40,0),MATCH(K115,'Fuel Costs'!$AO$4:$BX$4,0))*((1+'LCOE-S Template'!$C$10)^(F115-INDEX('Fuel Costs'!$AO$2:$BX$2,MATCH(K115,'Fuel Costs'!$AO$4:$BX$4,0))))</f>
        <v>3.7177777777777781</v>
      </c>
      <c r="N115" s="1123"/>
      <c r="O115" s="1061">
        <v>2030</v>
      </c>
      <c r="P115" s="1061">
        <v>50</v>
      </c>
      <c r="Q115" s="1093">
        <v>3</v>
      </c>
      <c r="R115" s="81"/>
      <c r="S115" s="41">
        <v>0.33999999999999997</v>
      </c>
      <c r="T115" s="33"/>
      <c r="U115" s="33"/>
      <c r="V115" s="33"/>
      <c r="W115" s="33"/>
      <c r="X115" s="33"/>
      <c r="Y115" s="33"/>
      <c r="Z115" s="33"/>
      <c r="AA115" s="33"/>
      <c r="AB115" s="33"/>
      <c r="AC115" s="33"/>
      <c r="AD115" s="33"/>
      <c r="AE115" s="36">
        <v>0.1</v>
      </c>
    </row>
    <row r="116" spans="4:31">
      <c r="D116" s="47" t="s">
        <v>11</v>
      </c>
      <c r="E116" s="47" t="s">
        <v>228</v>
      </c>
      <c r="F116" s="261">
        <v>2022</v>
      </c>
      <c r="G116" s="43">
        <v>2.04</v>
      </c>
      <c r="H116" s="43">
        <v>50.006499999999996</v>
      </c>
      <c r="I116" s="521">
        <v>1.4</v>
      </c>
      <c r="J116" s="521">
        <v>125.4</v>
      </c>
      <c r="K116" s="385" t="s">
        <v>210</v>
      </c>
      <c r="L116" s="1108">
        <f>IFERROR(INDEX('CO2 Emission Factors'!B:B,MATCH(K116,'CO2 Emission Factors'!A:A,0)),0)</f>
        <v>106.4</v>
      </c>
      <c r="M116" s="1116">
        <f>INDEX('Fuel Costs'!$AO$10:$BX$40,MATCH(O116,'Fuel Costs'!$A$10:$A$40,0),MATCH(K116,'Fuel Costs'!$AO$4:$BX$4,0))*((1+'LCOE-S Template'!$C$10)^(F116-INDEX('Fuel Costs'!$AO$2:$BX$2,MATCH(K116,'Fuel Costs'!$AO$4:$BX$4,0))))</f>
        <v>3.7177777777777781</v>
      </c>
      <c r="N116" s="1123"/>
      <c r="O116" s="1061">
        <v>2050</v>
      </c>
      <c r="P116" s="1061">
        <v>50</v>
      </c>
      <c r="Q116" s="1093">
        <v>3</v>
      </c>
      <c r="R116" s="81"/>
      <c r="S116" s="41">
        <v>0.35</v>
      </c>
      <c r="T116" s="33"/>
      <c r="U116" s="33"/>
      <c r="V116" s="33"/>
      <c r="W116" s="33"/>
      <c r="X116" s="33"/>
      <c r="Y116" s="33"/>
      <c r="Z116" s="33"/>
      <c r="AA116" s="33"/>
      <c r="AB116" s="33"/>
      <c r="AC116" s="33"/>
      <c r="AD116" s="33"/>
      <c r="AE116" s="36">
        <v>0.1</v>
      </c>
    </row>
    <row r="117" spans="4:31">
      <c r="D117" s="47" t="s">
        <v>11</v>
      </c>
      <c r="E117" s="47" t="s">
        <v>112</v>
      </c>
      <c r="F117" s="261">
        <v>2022</v>
      </c>
      <c r="G117" s="43" cm="1">
        <f t="array" ref="G117:G119">TRANSPOSE('Coal Supercritical'!$C$30:$E$30)+TRANSPOSE('Coal lifetime extension'!$C$24:$E$24)</f>
        <v>1.8800000000000001</v>
      </c>
      <c r="H117" s="43" cm="1">
        <f t="array" ref="H117:H119">TRANSPOSE('Coal Supercritical'!$C$33:$E$33)/1000*(1+TRANSPOSE('Coal lifetime extension'!$C$27:$E$27))</f>
        <v>48.410000000000004</v>
      </c>
      <c r="I117" s="521" cm="1">
        <f t="array" ref="I117:I119">TRANSPOSE('Coal Supercritical'!$C$34:$E$34)*(1+TRANSPOSE('Coal lifetime extension'!$C$28:$E$28))</f>
        <v>1.4</v>
      </c>
      <c r="J117" s="521" cm="1">
        <f t="array" ref="J117:J119">TRANSPOSE('Coal Supercritical'!$C$35:$E$35)</f>
        <v>57</v>
      </c>
      <c r="K117" s="385" t="s">
        <v>210</v>
      </c>
      <c r="L117" s="1108">
        <f>IFERROR(INDEX('CO2 Emission Factors'!B:B,MATCH(K117,'CO2 Emission Factors'!A:A,0)),0)</f>
        <v>106.4</v>
      </c>
      <c r="M117" s="1116">
        <f>INDEX('Fuel Costs'!$AO$10:$BX$40,MATCH(O117,'Fuel Costs'!$A$10:$A$40,0),MATCH(K117,'Fuel Costs'!$AO$4:$BX$4,0))*((1+'LCOE-S Template'!$C$10)^(F117-INDEX('Fuel Costs'!$AO$2:$BX$2,MATCH(K117,'Fuel Costs'!$AO$4:$BX$4,0))))</f>
        <v>3.7177777777777781</v>
      </c>
      <c r="N117" s="1123"/>
      <c r="O117" s="1061" cm="1">
        <f t="array" ref="O117:O119">TRANSPOSE('Coal lifetime extension'!$C$4:$E$4)</f>
        <v>2023</v>
      </c>
      <c r="P117" s="1064" cm="1">
        <f t="array" ref="P117:P119">TRANSPOSE('Coal Supercritical'!$C$12:$E$12)+TRANSPOSE('Coal lifetime extension'!$C$11:$E$11)</f>
        <v>50</v>
      </c>
      <c r="Q117" s="1093" cm="1">
        <f t="array" ref="Q117:Q119">TRANSPOSE('Coal Supercritical'!$C$13:$E$13)</f>
        <v>4</v>
      </c>
      <c r="R117" s="81"/>
      <c r="S117" s="41" cm="1">
        <f t="array" ref="S117:S119">TRANSPOSE('Coal Supercritical'!$C$9:$E$9)/100+TRANSPOSE('Coal lifetime extension'!$C$8:$E$8)/100</f>
        <v>0.36</v>
      </c>
      <c r="T117" s="33"/>
      <c r="U117" s="33"/>
      <c r="V117" s="33"/>
      <c r="W117" s="33"/>
      <c r="X117" s="33"/>
      <c r="Y117" s="33"/>
      <c r="Z117" s="33"/>
      <c r="AA117" s="33"/>
      <c r="AB117" s="33"/>
      <c r="AC117" s="33"/>
      <c r="AD117" s="33"/>
      <c r="AE117" s="36">
        <v>0.1</v>
      </c>
    </row>
    <row r="118" spans="4:31">
      <c r="D118" s="47" t="s">
        <v>11</v>
      </c>
      <c r="E118" s="47" t="s">
        <v>112</v>
      </c>
      <c r="F118" s="261">
        <v>2022</v>
      </c>
      <c r="G118" s="43">
        <v>1.83</v>
      </c>
      <c r="H118" s="43">
        <v>46.968000000000004</v>
      </c>
      <c r="I118" s="521">
        <v>1.35</v>
      </c>
      <c r="J118" s="521">
        <v>57</v>
      </c>
      <c r="K118" s="385" t="s">
        <v>210</v>
      </c>
      <c r="L118" s="1108">
        <f>IFERROR(INDEX('CO2 Emission Factors'!B:B,MATCH(K118,'CO2 Emission Factors'!A:A,0)),0)</f>
        <v>106.4</v>
      </c>
      <c r="M118" s="1116">
        <f>INDEX('Fuel Costs'!$AO$10:$BX$40,MATCH(O118,'Fuel Costs'!$A$10:$A$40,0),MATCH(K118,'Fuel Costs'!$AO$4:$BX$4,0))*((1+'LCOE-S Template'!$C$10)^(F118-INDEX('Fuel Costs'!$AO$2:$BX$2,MATCH(K118,'Fuel Costs'!$AO$4:$BX$4,0))))</f>
        <v>3.7177777777777781</v>
      </c>
      <c r="N118" s="1123"/>
      <c r="O118" s="1061">
        <v>2030</v>
      </c>
      <c r="P118" s="1061">
        <v>50</v>
      </c>
      <c r="Q118" s="1093">
        <v>3</v>
      </c>
      <c r="R118" s="81"/>
      <c r="S118" s="13">
        <v>0.37</v>
      </c>
      <c r="T118" s="33"/>
      <c r="U118" s="33"/>
      <c r="V118" s="33"/>
      <c r="W118" s="33"/>
      <c r="X118" s="33"/>
      <c r="Y118" s="33"/>
      <c r="Z118" s="33"/>
      <c r="AA118" s="33"/>
      <c r="AB118" s="33"/>
      <c r="AC118" s="33"/>
      <c r="AD118" s="33"/>
      <c r="AE118" s="36">
        <v>0.1</v>
      </c>
    </row>
    <row r="119" spans="4:31">
      <c r="D119" s="47" t="s">
        <v>11</v>
      </c>
      <c r="E119" s="47" t="s">
        <v>112</v>
      </c>
      <c r="F119" s="261">
        <v>2022</v>
      </c>
      <c r="G119" s="43">
        <v>1.78</v>
      </c>
      <c r="H119" s="43">
        <v>45.423000000000002</v>
      </c>
      <c r="I119" s="521">
        <v>1.3</v>
      </c>
      <c r="J119" s="521">
        <v>57</v>
      </c>
      <c r="K119" s="385" t="s">
        <v>210</v>
      </c>
      <c r="L119" s="1108">
        <f>IFERROR(INDEX('CO2 Emission Factors'!B:B,MATCH(K119,'CO2 Emission Factors'!A:A,0)),0)</f>
        <v>106.4</v>
      </c>
      <c r="M119" s="1116">
        <f>INDEX('Fuel Costs'!$AO$10:$BX$40,MATCH(O119,'Fuel Costs'!$A$10:$A$40,0),MATCH(K119,'Fuel Costs'!$AO$4:$BX$4,0))*((1+'LCOE-S Template'!$C$10)^(F119-INDEX('Fuel Costs'!$AO$2:$BX$2,MATCH(K119,'Fuel Costs'!$AO$4:$BX$4,0))))</f>
        <v>3.7177777777777781</v>
      </c>
      <c r="N119" s="1123"/>
      <c r="O119" s="1061">
        <v>2050</v>
      </c>
      <c r="P119" s="1061">
        <v>50</v>
      </c>
      <c r="Q119" s="1093">
        <v>3</v>
      </c>
      <c r="R119" s="81"/>
      <c r="S119" s="13">
        <v>0.38</v>
      </c>
      <c r="T119" s="33"/>
      <c r="U119" s="33"/>
      <c r="V119" s="33"/>
      <c r="W119" s="33"/>
      <c r="X119" s="33"/>
      <c r="Y119" s="33"/>
      <c r="Z119" s="33"/>
      <c r="AA119" s="33"/>
      <c r="AB119" s="33"/>
      <c r="AC119" s="33"/>
      <c r="AD119" s="33"/>
      <c r="AE119" s="36">
        <v>0.1</v>
      </c>
    </row>
    <row r="120" spans="4:31">
      <c r="D120" s="47" t="s">
        <v>11</v>
      </c>
      <c r="E120" s="47" t="s">
        <v>229</v>
      </c>
      <c r="F120" s="261">
        <v>2022</v>
      </c>
      <c r="G120" s="43" cm="1">
        <f t="array" ref="G120:G122">TRANSPOSE('Coal Ultra supercritical'!$C$30:$E$30)+TRANSPOSE('Coal lifetime extension'!$C$24:$E$24)</f>
        <v>2.0099999999999998</v>
      </c>
      <c r="H120" s="43" cm="1">
        <f t="array" ref="H120:H122">TRANSPOSE('Coal Ultra supercritical'!$C$33:$E$33)/1000*(1+TRANSPOSE('Coal lifetime extension'!$C$27:$E$27))</f>
        <v>66.435000000000002</v>
      </c>
      <c r="I120" s="521" cm="1">
        <f t="array" ref="I120:I122">TRANSPOSE('Coal Ultra supercritical'!$C$34:$E$34)*(1+TRANSPOSE('Coal lifetime extension'!$C$28:$E$28))</f>
        <v>1.25</v>
      </c>
      <c r="J120" s="521" cm="1">
        <f t="array" ref="J120:J122">TRANSPOSE('Coal Ultra supercritical'!$C$35:$E$35)</f>
        <v>57</v>
      </c>
      <c r="K120" s="385" t="s">
        <v>210</v>
      </c>
      <c r="L120" s="1108">
        <f>IFERROR(INDEX('CO2 Emission Factors'!B:B,MATCH(K120,'CO2 Emission Factors'!A:A,0)),0)</f>
        <v>106.4</v>
      </c>
      <c r="M120" s="1116">
        <f>INDEX('Fuel Costs'!$AO$10:$BX$40,MATCH(O120,'Fuel Costs'!$A$10:$A$40,0),MATCH(K120,'Fuel Costs'!$AO$4:$BX$4,0))*((1+'LCOE-S Template'!$C$10)^(F120-INDEX('Fuel Costs'!$AO$2:$BX$2,MATCH(K120,'Fuel Costs'!$AO$4:$BX$4,0))))</f>
        <v>3.7177777777777781</v>
      </c>
      <c r="N120" s="1123"/>
      <c r="O120" s="1061" cm="1">
        <f t="array" ref="O120:O122">TRANSPOSE('Coal lifetime extension'!$C$4:$E$4)</f>
        <v>2023</v>
      </c>
      <c r="P120" s="1064" cm="1">
        <f t="array" ref="P120:P122">TRANSPOSE('Coal Ultra supercritical'!$C$12:$E$12)+TRANSPOSE('Coal lifetime extension'!$C$11:$E$11)</f>
        <v>50</v>
      </c>
      <c r="Q120" s="1093" cm="1">
        <f t="array" ref="Q120:Q122">TRANSPOSE('Coal Ultra supercritical'!$C$13:$E$13)</f>
        <v>4.3</v>
      </c>
      <c r="R120" s="81"/>
      <c r="S120" s="41" cm="1">
        <f t="array" ref="S120:S122">TRANSPOSE('Coal Ultra supercritical'!$C$9:$E$9)/100+TRANSPOSE('Coal lifetime extension'!$C$8:$E$8)/100</f>
        <v>0.41</v>
      </c>
      <c r="T120" s="33"/>
      <c r="U120" s="33"/>
      <c r="V120" s="33"/>
      <c r="W120" s="33"/>
      <c r="X120" s="33"/>
      <c r="Y120" s="33"/>
      <c r="Z120" s="33"/>
      <c r="AA120" s="33"/>
      <c r="AB120" s="33"/>
      <c r="AC120" s="33"/>
      <c r="AD120" s="33"/>
      <c r="AE120" s="36">
        <v>0.1</v>
      </c>
    </row>
    <row r="121" spans="4:31">
      <c r="D121" s="47" t="s">
        <v>11</v>
      </c>
      <c r="E121" s="47" t="s">
        <v>229</v>
      </c>
      <c r="F121" s="261">
        <v>2022</v>
      </c>
      <c r="G121" s="43">
        <v>1.96</v>
      </c>
      <c r="H121" s="43">
        <v>64.375</v>
      </c>
      <c r="I121" s="521">
        <v>1.2</v>
      </c>
      <c r="J121" s="521">
        <v>57</v>
      </c>
      <c r="K121" s="385" t="s">
        <v>210</v>
      </c>
      <c r="L121" s="1108">
        <f>IFERROR(INDEX('CO2 Emission Factors'!B:B,MATCH(K121,'CO2 Emission Factors'!A:A,0)),0)</f>
        <v>106.4</v>
      </c>
      <c r="M121" s="1116">
        <f>INDEX('Fuel Costs'!$AO$10:$BX$40,MATCH(O121,'Fuel Costs'!$A$10:$A$40,0),MATCH(K121,'Fuel Costs'!$AO$4:$BX$4,0))*((1+'LCOE-S Template'!$C$10)^(F121-INDEX('Fuel Costs'!$AO$2:$BX$2,MATCH(K121,'Fuel Costs'!$AO$4:$BX$4,0))))</f>
        <v>3.7177777777777781</v>
      </c>
      <c r="N121" s="1123"/>
      <c r="O121" s="1061">
        <v>2030</v>
      </c>
      <c r="P121" s="1061">
        <v>50</v>
      </c>
      <c r="Q121" s="1093">
        <v>3</v>
      </c>
      <c r="R121" s="81"/>
      <c r="S121" s="13">
        <v>0.42</v>
      </c>
      <c r="T121" s="33"/>
      <c r="U121" s="33"/>
      <c r="V121" s="33"/>
      <c r="W121" s="33"/>
      <c r="X121" s="33"/>
      <c r="Y121" s="33"/>
      <c r="Z121" s="33"/>
      <c r="AA121" s="33"/>
      <c r="AB121" s="33"/>
      <c r="AC121" s="33"/>
      <c r="AD121" s="33"/>
      <c r="AE121" s="36">
        <v>0.1</v>
      </c>
    </row>
    <row r="122" spans="4:31">
      <c r="D122" s="47" t="s">
        <v>11</v>
      </c>
      <c r="E122" s="47" t="s">
        <v>229</v>
      </c>
      <c r="F122" s="261">
        <v>2022</v>
      </c>
      <c r="G122" s="43">
        <v>1.91</v>
      </c>
      <c r="H122" s="43">
        <v>62.418000000000006</v>
      </c>
      <c r="I122" s="521">
        <v>1.1499999999999999</v>
      </c>
      <c r="J122" s="521">
        <v>57</v>
      </c>
      <c r="K122" s="385" t="s">
        <v>210</v>
      </c>
      <c r="L122" s="1108">
        <f>IFERROR(INDEX('CO2 Emission Factors'!B:B,MATCH(K122,'CO2 Emission Factors'!A:A,0)),0)</f>
        <v>106.4</v>
      </c>
      <c r="M122" s="1116">
        <f>INDEX('Fuel Costs'!$AO$10:$BX$40,MATCH(O122,'Fuel Costs'!$A$10:$A$40,0),MATCH(K122,'Fuel Costs'!$AO$4:$BX$4,0))*((1+'LCOE-S Template'!$C$10)^(F122-INDEX('Fuel Costs'!$AO$2:$BX$2,MATCH(K122,'Fuel Costs'!$AO$4:$BX$4,0))))</f>
        <v>3.7177777777777781</v>
      </c>
      <c r="N122" s="1123"/>
      <c r="O122" s="1061">
        <v>2050</v>
      </c>
      <c r="P122" s="1061">
        <v>50</v>
      </c>
      <c r="Q122" s="1093">
        <v>3</v>
      </c>
      <c r="R122" s="81"/>
      <c r="S122" s="13">
        <v>0.43</v>
      </c>
      <c r="T122" s="33"/>
      <c r="U122" s="33"/>
      <c r="V122" s="33"/>
      <c r="W122" s="33"/>
      <c r="X122" s="33"/>
      <c r="Y122" s="33"/>
      <c r="Z122" s="33"/>
      <c r="AA122" s="33"/>
      <c r="AB122" s="33"/>
      <c r="AC122" s="33"/>
      <c r="AD122" s="33"/>
      <c r="AE122" s="36">
        <v>0.1</v>
      </c>
    </row>
    <row r="123" spans="4:31">
      <c r="D123" s="47" t="s">
        <v>11</v>
      </c>
      <c r="E123" s="47" t="s">
        <v>110</v>
      </c>
      <c r="F123" s="261">
        <v>2022</v>
      </c>
      <c r="G123" s="43" cm="1">
        <f t="array" ref="G123:G125">TRANSPOSE('IGCC (COAL)'!$C$30:$E$30)+TRANSPOSE('Coal lifetime extension'!$C$24:$E$24)</f>
        <v>3.01</v>
      </c>
      <c r="H123" s="43" cm="1">
        <f t="array" ref="H123:H125">TRANSPOSE('IGCC (COAL)'!$C$33:$E$33)/1000*(1+TRANSPOSE('Coal lifetime extension'!$C$27:$E$27))</f>
        <v>70.452000000000012</v>
      </c>
      <c r="I123" s="521" cm="1">
        <f t="array" ref="I123:I125">TRANSPOSE('IGCC (COAL)'!$C$34:$E$34)*(1+TRANSPOSE('Coal lifetime extension'!$C$28:$E$28))</f>
        <v>13.7</v>
      </c>
      <c r="J123" s="521" cm="1">
        <f t="array" ref="J123:J125">TRANSPOSE('IGCC (COAL)'!$C$35:$E$35)</f>
        <v>114</v>
      </c>
      <c r="K123" s="385" t="s">
        <v>210</v>
      </c>
      <c r="L123" s="1108">
        <f>IFERROR(INDEX('CO2 Emission Factors'!B:B,MATCH(K123,'CO2 Emission Factors'!A:A,0)),0)</f>
        <v>106.4</v>
      </c>
      <c r="M123" s="1116">
        <f>INDEX('Fuel Costs'!$AO$10:$BX$40,MATCH(O123,'Fuel Costs'!$A$10:$A$40,0),MATCH(K123,'Fuel Costs'!$AO$4:$BX$4,0))*((1+'LCOE-S Template'!$C$10)^(F123-INDEX('Fuel Costs'!$AO$2:$BX$2,MATCH(K123,'Fuel Costs'!$AO$4:$BX$4,0))))</f>
        <v>3.7177777777777781</v>
      </c>
      <c r="N123" s="1123"/>
      <c r="O123" s="1061" cm="1">
        <f t="array" ref="O123:O125">TRANSPOSE('Coal lifetime extension'!$C$4:$E$4)</f>
        <v>2023</v>
      </c>
      <c r="P123" s="1069" cm="1">
        <f t="array" ref="P123:P125">TRANSPOSE('IGCC (COAL)'!$C$12:$E$12)+TRANSPOSE('Coal lifetime extension'!$C$11:$E$11)</f>
        <v>26.6</v>
      </c>
      <c r="Q123" s="1093" cm="1">
        <f t="array" ref="Q123:Q125">TRANSPOSE('IGCC (COAL)'!$C$13:$E$13)</f>
        <v>30</v>
      </c>
      <c r="R123" s="81"/>
      <c r="S123" s="41" cm="1">
        <f t="array" ref="S123:S125">TRANSPOSE('IGCC (COAL)'!$C$9:$E$9)/100+TRANSPOSE('Coal lifetime extension'!$C$8:$E$8)/100</f>
        <v>0.39</v>
      </c>
      <c r="T123" s="33"/>
      <c r="U123" s="33"/>
      <c r="V123" s="33"/>
      <c r="W123" s="33"/>
      <c r="X123" s="33"/>
      <c r="Y123" s="33"/>
      <c r="Z123" s="33"/>
      <c r="AA123" s="33"/>
      <c r="AB123" s="33"/>
      <c r="AC123" s="33"/>
      <c r="AD123" s="33"/>
      <c r="AE123" s="36">
        <v>0.1</v>
      </c>
    </row>
    <row r="124" spans="4:31">
      <c r="D124" s="47" t="s">
        <v>11</v>
      </c>
      <c r="E124" s="47" t="s">
        <v>110</v>
      </c>
      <c r="F124" s="261">
        <v>2022</v>
      </c>
      <c r="G124" s="43">
        <v>2.79</v>
      </c>
      <c r="H124" s="43">
        <v>68.289000000000001</v>
      </c>
      <c r="I124" s="521">
        <v>13.3</v>
      </c>
      <c r="J124" s="521">
        <v>114</v>
      </c>
      <c r="K124" s="385" t="s">
        <v>210</v>
      </c>
      <c r="L124" s="1108">
        <f>IFERROR(INDEX('CO2 Emission Factors'!B:B,MATCH(K124,'CO2 Emission Factors'!A:A,0)),0)</f>
        <v>106.4</v>
      </c>
      <c r="M124" s="1116">
        <f>INDEX('Fuel Costs'!$AO$10:$BX$40,MATCH(O124,'Fuel Costs'!$A$10:$A$40,0),MATCH(K124,'Fuel Costs'!$AO$4:$BX$4,0))*((1+'LCOE-S Template'!$C$10)^(F124-INDEX('Fuel Costs'!$AO$2:$BX$2,MATCH(K124,'Fuel Costs'!$AO$4:$BX$4,0))))</f>
        <v>3.7177777777777781</v>
      </c>
      <c r="N124" s="1123"/>
      <c r="O124" s="1061">
        <v>2030</v>
      </c>
      <c r="P124" s="1061">
        <v>27</v>
      </c>
      <c r="Q124" s="1093">
        <v>30</v>
      </c>
      <c r="R124" s="81"/>
      <c r="S124" s="13">
        <v>0.39999999999999997</v>
      </c>
      <c r="T124" s="33"/>
      <c r="U124" s="33"/>
      <c r="V124" s="33"/>
      <c r="W124" s="33"/>
      <c r="X124" s="33"/>
      <c r="Y124" s="33"/>
      <c r="Z124" s="33"/>
      <c r="AA124" s="33"/>
      <c r="AB124" s="33"/>
      <c r="AC124" s="33"/>
      <c r="AD124" s="33"/>
      <c r="AE124" s="36">
        <v>0.1</v>
      </c>
    </row>
    <row r="125" spans="4:31" ht="15.75" thickBot="1">
      <c r="D125" s="389" t="s">
        <v>11</v>
      </c>
      <c r="E125" s="389" t="s">
        <v>110</v>
      </c>
      <c r="F125" s="406">
        <v>2022</v>
      </c>
      <c r="G125" s="247">
        <v>2.5999999999999996</v>
      </c>
      <c r="H125" s="247">
        <v>66.228999999999999</v>
      </c>
      <c r="I125" s="524">
        <v>12.9</v>
      </c>
      <c r="J125" s="524">
        <v>114</v>
      </c>
      <c r="K125" s="386" t="s">
        <v>210</v>
      </c>
      <c r="L125" s="1107">
        <f>IFERROR(INDEX('CO2 Emission Factors'!B:B,MATCH(K125,'CO2 Emission Factors'!A:A,0)),0)</f>
        <v>106.4</v>
      </c>
      <c r="M125" s="1117">
        <f>INDEX('Fuel Costs'!$AO$10:$BX$40,MATCH(O125,'Fuel Costs'!$A$10:$A$40,0),MATCH(K125,'Fuel Costs'!$AO$4:$BX$4,0))*((1+'LCOE-S Template'!$C$10)^(F125-INDEX('Fuel Costs'!$AO$2:$BX$2,MATCH(K125,'Fuel Costs'!$AO$4:$BX$4,0))))</f>
        <v>3.7177777777777781</v>
      </c>
      <c r="N125" s="1124"/>
      <c r="O125" s="1063">
        <v>2050</v>
      </c>
      <c r="P125" s="1063">
        <v>27</v>
      </c>
      <c r="Q125" s="1094">
        <v>30</v>
      </c>
      <c r="R125" s="243"/>
      <c r="S125" s="239">
        <v>0.42</v>
      </c>
      <c r="T125" s="244"/>
      <c r="U125" s="244"/>
      <c r="V125" s="244"/>
      <c r="W125" s="244"/>
      <c r="X125" s="244"/>
      <c r="Y125" s="244"/>
      <c r="Z125" s="244"/>
      <c r="AA125" s="244"/>
      <c r="AB125" s="244"/>
      <c r="AC125" s="244"/>
      <c r="AD125" s="244"/>
      <c r="AE125" s="52">
        <v>0.1</v>
      </c>
    </row>
    <row r="126" spans="4:31">
      <c r="D126" s="315" t="s">
        <v>11</v>
      </c>
      <c r="E126" s="47" t="s">
        <v>140</v>
      </c>
      <c r="F126" s="261">
        <v>2019</v>
      </c>
      <c r="G126" s="260">
        <v>0</v>
      </c>
      <c r="H126" s="260">
        <v>49.440487804878039</v>
      </c>
      <c r="I126" s="529">
        <v>0.11936585365853668</v>
      </c>
      <c r="J126" s="529">
        <v>27.36</v>
      </c>
      <c r="K126" s="385" t="s">
        <v>210</v>
      </c>
      <c r="L126" s="1108">
        <f>IFERROR(INDEX('CO2 Emission Factors'!B:B,MATCH(K126,'CO2 Emission Factors'!A:A,0)),0)</f>
        <v>106.4</v>
      </c>
      <c r="M126" s="1118">
        <f>INDEX('Fuel Costs'!$AO$10:$BX$40,MATCH(O126,'Fuel Costs'!$A$10:$A$40,0),MATCH(K126,'Fuel Costs'!$AO$4:$BX$4,0))*((1+'LCOE-S Template'!$C$10)^(F126-INDEX('Fuel Costs'!$AO$2:$BX$2,MATCH(K126,'Fuel Costs'!$AO$4:$BX$4,0))))</f>
        <v>3.5033450348826793</v>
      </c>
      <c r="N126" s="1112"/>
      <c r="O126" s="1059">
        <f>O52</f>
        <v>2023</v>
      </c>
      <c r="P126" s="1087">
        <f>P52</f>
        <v>30</v>
      </c>
      <c r="Q126" s="1087">
        <f>Q52</f>
        <v>4</v>
      </c>
      <c r="R126" s="81"/>
      <c r="S126" s="262">
        <v>0.33219512195122053</v>
      </c>
      <c r="T126" s="33"/>
      <c r="U126" s="33"/>
      <c r="V126" s="33"/>
      <c r="W126" s="33"/>
      <c r="X126" s="33"/>
      <c r="Y126" s="33"/>
      <c r="Z126" s="33"/>
      <c r="AA126" s="33"/>
      <c r="AB126" s="33"/>
      <c r="AC126" s="33"/>
      <c r="AD126" s="33"/>
      <c r="AE126" s="36">
        <v>0.1</v>
      </c>
    </row>
    <row r="127" spans="4:31">
      <c r="D127" s="315" t="s">
        <v>12</v>
      </c>
      <c r="E127" s="47" t="s">
        <v>141</v>
      </c>
      <c r="F127" s="261">
        <v>2019</v>
      </c>
      <c r="G127" s="260">
        <v>0</v>
      </c>
      <c r="H127" s="260">
        <v>30.512959183673516</v>
      </c>
      <c r="I127" s="529">
        <v>2.7604761904761972</v>
      </c>
      <c r="J127" s="529">
        <v>57</v>
      </c>
      <c r="K127" s="385" t="s">
        <v>213</v>
      </c>
      <c r="L127" s="1108">
        <f>IFERROR(INDEX('CO2 Emission Factors'!B:B,MATCH(K127,'CO2 Emission Factors'!A:A,0)),0)</f>
        <v>56.8</v>
      </c>
      <c r="M127" s="1118">
        <f>INDEX('Fuel Costs'!$AO$10:$BX$40,MATCH(O127,'Fuel Costs'!$A$10:$A$40,0),MATCH(K127,'Fuel Costs'!$AO$4:$BX$4,0))*((1+'LCOE-S Template'!$C$10)^(F127-INDEX('Fuel Costs'!$AO$2:$BX$2,MATCH(K127,'Fuel Costs'!$AO$4:$BX$4,0))))</f>
        <v>10.262361384384588</v>
      </c>
      <c r="N127" s="1112"/>
      <c r="O127" s="1059">
        <f>O64</f>
        <v>2023</v>
      </c>
      <c r="P127" s="1087">
        <f>P64</f>
        <v>25</v>
      </c>
      <c r="Q127" s="1087">
        <f>Q64</f>
        <v>1.5</v>
      </c>
      <c r="R127" s="81"/>
      <c r="S127" s="262">
        <v>0.38965306122448984</v>
      </c>
      <c r="T127" s="33"/>
      <c r="U127" s="33"/>
      <c r="V127" s="33"/>
      <c r="W127" s="33"/>
      <c r="X127" s="33"/>
      <c r="Y127" s="33"/>
      <c r="Z127" s="33"/>
      <c r="AA127" s="33"/>
      <c r="AB127" s="33"/>
      <c r="AC127" s="33"/>
      <c r="AD127" s="33"/>
      <c r="AE127" s="36">
        <v>0.1</v>
      </c>
    </row>
    <row r="128" spans="4:31">
      <c r="D128" s="315" t="s">
        <v>11</v>
      </c>
      <c r="E128" s="47" t="s">
        <v>147</v>
      </c>
      <c r="F128" s="261">
        <v>2019</v>
      </c>
      <c r="G128" s="246">
        <f>(G118-G53)/((1+2%)^(2022-$F128))</f>
        <v>0.2638502536731725</v>
      </c>
      <c r="H128" s="246">
        <f>(H118/H53)*H126</f>
        <v>50.923702439024382</v>
      </c>
      <c r="I128" s="523">
        <f>(I118/I53)*I126</f>
        <v>0.11936585365853668</v>
      </c>
      <c r="J128" s="523">
        <f>(J118/J53)*J126</f>
        <v>27.36</v>
      </c>
      <c r="K128" s="385" t="s">
        <v>210</v>
      </c>
      <c r="L128" s="1108">
        <f>IFERROR(INDEX('CO2 Emission Factors'!B:B,MATCH(K128,'CO2 Emission Factors'!A:A,0)),0)</f>
        <v>106.4</v>
      </c>
      <c r="M128" s="1118">
        <f>INDEX('Fuel Costs'!$AO$10:$BX$40,MATCH(O128,'Fuel Costs'!$A$10:$A$40,0),MATCH(K128,'Fuel Costs'!$AO$4:$BX$4,0))*((1+'LCOE-S Template'!$C$10)^(F128-INDEX('Fuel Costs'!$AO$2:$BX$2,MATCH(K128,'Fuel Costs'!$AO$4:$BX$4,0))))</f>
        <v>3.5033450348826793</v>
      </c>
      <c r="N128" s="1125"/>
      <c r="O128" s="1059">
        <f>O118</f>
        <v>2030</v>
      </c>
      <c r="P128" s="1090">
        <f>(P118-P53)</f>
        <v>20</v>
      </c>
      <c r="Q128" s="1090">
        <f>(Q118-Q53)</f>
        <v>0</v>
      </c>
      <c r="R128" s="242"/>
      <c r="S128" s="250">
        <f>S126+(S118-S53)</f>
        <v>0.32219512195122052</v>
      </c>
      <c r="T128" s="33"/>
      <c r="U128" s="33"/>
      <c r="V128" s="33"/>
      <c r="W128" s="33"/>
      <c r="X128" s="33"/>
      <c r="Y128" s="33"/>
      <c r="Z128" s="33"/>
      <c r="AA128" s="33"/>
      <c r="AB128" s="33"/>
      <c r="AC128" s="33"/>
      <c r="AD128" s="33"/>
      <c r="AE128" s="36">
        <v>0.1</v>
      </c>
    </row>
    <row r="129" spans="4:31">
      <c r="D129" s="315" t="s">
        <v>107</v>
      </c>
      <c r="E129" s="47" t="s">
        <v>148</v>
      </c>
      <c r="F129" s="261">
        <v>2019</v>
      </c>
      <c r="G129" s="503">
        <f>(G105-G53)/((1+2%)^(2022-$F129))+G128</f>
        <v>0.4051986038552291</v>
      </c>
      <c r="H129" s="43">
        <f>(H105/H53)*H126</f>
        <v>51.912512195121941</v>
      </c>
      <c r="I129" s="521">
        <f>(I105/I53)*I126</f>
        <v>0.1253341463414635</v>
      </c>
      <c r="J129" s="521">
        <f>(J105/J53)*J126</f>
        <v>27.36</v>
      </c>
      <c r="K129" s="387" t="s">
        <v>225</v>
      </c>
      <c r="L129" s="1108">
        <f>IFERROR(INDEX('CO2 Emission Factors'!B:B,MATCH(K129,'CO2 Emission Factors'!A:A,0)),0)</f>
        <v>0</v>
      </c>
      <c r="M129" s="1118">
        <f>INDEX('Fuel Costs'!$AO$10:$BX$40,MATCH(O129,'Fuel Costs'!$A$10:$A$40,0),MATCH(K129,'Fuel Costs'!$AO$4:$BX$4,0))*((1+'LCOE-S Template'!$C$10)^(F129-INDEX('Fuel Costs'!$AO$2:$BX$2,MATCH(K129,'Fuel Costs'!$AO$4:$BX$4,0))))</f>
        <v>7.325823233731958</v>
      </c>
      <c r="N129" s="1126"/>
      <c r="O129" s="1059">
        <f>O105</f>
        <v>2030</v>
      </c>
      <c r="P129" s="1087">
        <f>(P105-P53)+P128</f>
        <v>20</v>
      </c>
      <c r="Q129" s="1087">
        <f>(Q105-Q53)/((1+2%)^(2022-$F129))</f>
        <v>0</v>
      </c>
      <c r="R129" s="81"/>
      <c r="S129" s="41">
        <f>S126+(S105-S53)</f>
        <v>0.32219512195122052</v>
      </c>
      <c r="T129" s="33"/>
      <c r="U129" s="33"/>
      <c r="V129" s="33"/>
      <c r="W129" s="33"/>
      <c r="X129" s="33"/>
      <c r="Y129" s="33"/>
      <c r="Z129" s="33"/>
      <c r="AA129" s="33"/>
      <c r="AB129" s="33"/>
      <c r="AC129" s="33"/>
      <c r="AD129" s="33"/>
      <c r="AE129" s="36">
        <v>0.1</v>
      </c>
    </row>
    <row r="130" spans="4:31">
      <c r="D130" s="315" t="s">
        <v>107</v>
      </c>
      <c r="E130" s="47" t="s">
        <v>150</v>
      </c>
      <c r="F130" s="261">
        <v>2019</v>
      </c>
      <c r="G130" s="503">
        <f>(G107-G53)/((1+2%)^(2022-$F130))+G128</f>
        <v>0.58423984741916768</v>
      </c>
      <c r="H130" s="43">
        <f>(H107/H53)*H126</f>
        <v>54.384536585365851</v>
      </c>
      <c r="I130" s="521">
        <f>(I107/I53)*I126</f>
        <v>0.13130243902439034</v>
      </c>
      <c r="J130" s="521">
        <f>(J107/J53)*J126</f>
        <v>27.36</v>
      </c>
      <c r="K130" s="385" t="s">
        <v>107</v>
      </c>
      <c r="L130" s="1108">
        <f>IFERROR(INDEX('CO2 Emission Factors'!B:B,MATCH(K130,'CO2 Emission Factors'!A:A,0)),0)</f>
        <v>0</v>
      </c>
      <c r="M130" s="1118">
        <f>INDEX('Fuel Costs'!$AO$10:$BX$40,MATCH(O130,'Fuel Costs'!$A$10:$A$40,0),MATCH(K130,'Fuel Costs'!$AO$4:$BX$4,0))*((1+'LCOE-S Template'!$C$10)^(F130-INDEX('Fuel Costs'!$AO$2:$BX$2,MATCH(K130,'Fuel Costs'!$AO$4:$BX$4,0))))</f>
        <v>22.615736029129071</v>
      </c>
      <c r="N130" s="1126"/>
      <c r="O130" s="1059">
        <f>O107</f>
        <v>2030</v>
      </c>
      <c r="P130" s="1087">
        <f>(P107-P53)+P128</f>
        <v>20</v>
      </c>
      <c r="Q130" s="1087">
        <f>(Q107-Q53)</f>
        <v>0</v>
      </c>
      <c r="R130" s="81"/>
      <c r="S130" s="41">
        <f>S126+(S107-S53)</f>
        <v>0.31219512195122051</v>
      </c>
      <c r="T130" s="33"/>
      <c r="U130" s="33"/>
      <c r="V130" s="33"/>
      <c r="W130" s="33"/>
      <c r="X130" s="33"/>
      <c r="Y130" s="33"/>
      <c r="Z130" s="33"/>
      <c r="AA130" s="33"/>
      <c r="AB130" s="33"/>
      <c r="AC130" s="33"/>
      <c r="AD130" s="33"/>
      <c r="AE130" s="36">
        <v>0.1</v>
      </c>
    </row>
    <row r="131" spans="4:31">
      <c r="D131" s="315" t="s">
        <v>15</v>
      </c>
      <c r="E131" s="47" t="s">
        <v>149</v>
      </c>
      <c r="F131" s="261">
        <v>2019</v>
      </c>
      <c r="G131" s="1099">
        <f>(G110-G53)/((1+2%)^(2022-$F131))+G128</f>
        <v>0.41462182720069951</v>
      </c>
      <c r="H131" s="246">
        <f>(H110/H53)*H126</f>
        <v>50.923702439024382</v>
      </c>
      <c r="I131" s="523">
        <f>(I110/I53)*I126</f>
        <v>0.12294682926829278</v>
      </c>
      <c r="J131" s="523">
        <f>(J110/J53)*J126</f>
        <v>27.36</v>
      </c>
      <c r="K131" s="385" t="s">
        <v>226</v>
      </c>
      <c r="L131" s="1108">
        <f>IFERROR(INDEX('CO2 Emission Factors'!B:B,MATCH(K131,'CO2 Emission Factors'!A:A,0)),0)</f>
        <v>0</v>
      </c>
      <c r="M131" s="1118">
        <f>INDEX('Fuel Costs'!$AO$10:$BX$40,MATCH(O131,'Fuel Costs'!$A$10:$A$40,0),MATCH(K131,'Fuel Costs'!$AO$4:$BX$4,0))*((1+'LCOE-S Template'!$C$10)^(F131-INDEX('Fuel Costs'!$AO$2:$BX$2,MATCH(K131,'Fuel Costs'!$AO$4:$BX$4,0))))</f>
        <v>3.9447706973771619</v>
      </c>
      <c r="N131" s="1125"/>
      <c r="O131" s="1059">
        <f>O110</f>
        <v>2030</v>
      </c>
      <c r="P131" s="1090">
        <f>(P110-P53)+P128</f>
        <v>20</v>
      </c>
      <c r="Q131" s="1090">
        <f>(Q110-Q53)/((1+2%)^(2022-$F131))</f>
        <v>0</v>
      </c>
      <c r="R131" s="242"/>
      <c r="S131" s="250">
        <f>S126+(S110-S53)</f>
        <v>0.32219512195122052</v>
      </c>
      <c r="T131" s="33"/>
      <c r="U131" s="33"/>
      <c r="V131" s="33"/>
      <c r="W131" s="33"/>
      <c r="X131" s="33"/>
      <c r="Y131" s="33"/>
      <c r="Z131" s="33"/>
      <c r="AA131" s="33"/>
      <c r="AB131" s="33"/>
      <c r="AC131" s="33"/>
      <c r="AD131" s="33"/>
      <c r="AE131" s="36">
        <v>0.1</v>
      </c>
    </row>
    <row r="132" spans="4:31">
      <c r="D132" s="315" t="s">
        <v>15</v>
      </c>
      <c r="E132" s="47" t="s">
        <v>151</v>
      </c>
      <c r="F132" s="261">
        <v>2019</v>
      </c>
      <c r="G132" s="503">
        <f>(G112-G53)/((1+2%)^(2022-$F132))+G128</f>
        <v>0.60308629411010861</v>
      </c>
      <c r="H132" s="43">
        <f>(H112/H53)*H126</f>
        <v>51.912512195121941</v>
      </c>
      <c r="I132" s="521">
        <f>(I112/I53)*I126</f>
        <v>0.1253341463414635</v>
      </c>
      <c r="J132" s="521">
        <f>(J112/J53)*J126</f>
        <v>27.36</v>
      </c>
      <c r="K132" s="385" t="s">
        <v>227</v>
      </c>
      <c r="L132" s="1108">
        <f>IFERROR(INDEX('CO2 Emission Factors'!B:B,MATCH(K132,'CO2 Emission Factors'!A:A,0)),0)</f>
        <v>0</v>
      </c>
      <c r="M132" s="1118">
        <f>INDEX('Fuel Costs'!$AO$10:$BX$40,MATCH(O132,'Fuel Costs'!$A$10:$A$40,0),MATCH(K132,'Fuel Costs'!$AO$4:$BX$4,0))*((1+'LCOE-S Template'!$C$10)^(F132-INDEX('Fuel Costs'!$AO$2:$BX$2,MATCH(K132,'Fuel Costs'!$AO$4:$BX$4,0))))</f>
        <v>5.7104733473550899</v>
      </c>
      <c r="N132" s="1126"/>
      <c r="O132" s="1059">
        <f>O112</f>
        <v>2030</v>
      </c>
      <c r="P132" s="1087">
        <f>(P112-P53)+P128</f>
        <v>20</v>
      </c>
      <c r="Q132" s="1087">
        <f>(Q112-Q53)</f>
        <v>0</v>
      </c>
      <c r="R132" s="81"/>
      <c r="S132" s="41">
        <f>S126+(S112-S53)</f>
        <v>0.31219512195122051</v>
      </c>
      <c r="T132" s="33"/>
      <c r="U132" s="33"/>
      <c r="V132" s="33"/>
      <c r="W132" s="33"/>
      <c r="X132" s="33"/>
      <c r="Y132" s="33"/>
      <c r="Z132" s="33"/>
      <c r="AA132" s="33"/>
      <c r="AB132" s="33"/>
      <c r="AC132" s="33"/>
      <c r="AD132" s="33"/>
      <c r="AE132" s="36">
        <v>0.1</v>
      </c>
    </row>
    <row r="133" spans="4:31">
      <c r="D133" s="315" t="s">
        <v>108</v>
      </c>
      <c r="E133" s="47" t="s">
        <v>152</v>
      </c>
      <c r="F133" s="261">
        <v>2019</v>
      </c>
      <c r="G133" s="503">
        <f>(G100-G62)/((1+2%)^(2022-$F133))</f>
        <v>8.4809010109234084E-2</v>
      </c>
      <c r="H133" s="43">
        <f>(H100/H62)*H127</f>
        <v>31.428347959183721</v>
      </c>
      <c r="I133" s="521">
        <f>(I100/I62)*I127</f>
        <v>2.8432904761904831</v>
      </c>
      <c r="J133" s="521">
        <f>(J100/J62)*J127</f>
        <v>57</v>
      </c>
      <c r="K133" s="385" t="s">
        <v>224</v>
      </c>
      <c r="L133" s="1108">
        <f>IFERROR(INDEX('CO2 Emission Factors'!B:B,MATCH(K133,'CO2 Emission Factors'!A:A,0)),0)</f>
        <v>0</v>
      </c>
      <c r="M133" s="1118">
        <f>INDEX('Fuel Costs'!$AO$10:$BX$40,MATCH(O133,'Fuel Costs'!$A$10:$A$40,0),MATCH(K133,'Fuel Costs'!$AO$4:$BX$4,0))*((1+'LCOE-S Template'!$C$10)^(F133-INDEX('Fuel Costs'!$AO$2:$BX$2,MATCH(K133,'Fuel Costs'!$AO$4:$BX$4,0))))</f>
        <v>13.675358647880531</v>
      </c>
      <c r="N133" s="1126"/>
      <c r="O133" s="1059">
        <f>O100</f>
        <v>2030</v>
      </c>
      <c r="P133" s="1087">
        <f>(P100-P62)+20</f>
        <v>20</v>
      </c>
      <c r="Q133" s="1087">
        <f>(Q100-Q62)</f>
        <v>0</v>
      </c>
      <c r="R133" s="81"/>
      <c r="S133" s="41">
        <f>S127+(S100-S62)</f>
        <v>0.38965306122448984</v>
      </c>
      <c r="T133" s="33"/>
      <c r="U133" s="33"/>
      <c r="V133" s="33"/>
      <c r="W133" s="33"/>
      <c r="X133" s="33"/>
      <c r="Y133" s="33"/>
      <c r="Z133" s="33"/>
      <c r="AA133" s="33"/>
      <c r="AB133" s="33"/>
      <c r="AC133" s="33"/>
      <c r="AD133" s="33"/>
      <c r="AE133" s="36">
        <v>0.1</v>
      </c>
    </row>
    <row r="134" spans="4:31">
      <c r="D134" s="315" t="s">
        <v>108</v>
      </c>
      <c r="E134" s="47" t="s">
        <v>153</v>
      </c>
      <c r="F134" s="261">
        <v>2019</v>
      </c>
      <c r="G134" s="1099">
        <f>(G102-G62)/((1+2%)^(2022-$F134))</f>
        <v>0.29211992370958384</v>
      </c>
      <c r="H134" s="246">
        <f>(H102/H62)*H127</f>
        <v>32.038607142857195</v>
      </c>
      <c r="I134" s="523">
        <f>(I102/I62)*I127</f>
        <v>2.898500000000007</v>
      </c>
      <c r="J134" s="523">
        <f>(J102/J62)*J127</f>
        <v>57</v>
      </c>
      <c r="K134" s="385" t="s">
        <v>108</v>
      </c>
      <c r="L134" s="1108">
        <f>IFERROR(INDEX('CO2 Emission Factors'!B:B,MATCH(K134,'CO2 Emission Factors'!A:A,0)),0)</f>
        <v>0</v>
      </c>
      <c r="M134" s="1118">
        <f>INDEX('Fuel Costs'!$AO$10:$BX$40,MATCH(O134,'Fuel Costs'!$A$10:$A$40,0),MATCH(K134,'Fuel Costs'!$AO$4:$BX$4,0))*((1+'LCOE-S Template'!$C$10)^(F134-INDEX('Fuel Costs'!$AO$2:$BX$2,MATCH(K134,'Fuel Costs'!$AO$4:$BX$4,0))))</f>
        <v>27.327347701864294</v>
      </c>
      <c r="N134" s="1125"/>
      <c r="O134" s="1059">
        <f>O102</f>
        <v>2030</v>
      </c>
      <c r="P134" s="1090">
        <f>(P102-P62)+20</f>
        <v>20</v>
      </c>
      <c r="Q134" s="1090">
        <f>(Q102-Q62)</f>
        <v>0</v>
      </c>
      <c r="R134" s="242"/>
      <c r="S134" s="250">
        <f>S127+(S102-S62)</f>
        <v>0.38965306122448984</v>
      </c>
      <c r="T134" s="33"/>
      <c r="U134" s="33"/>
      <c r="V134" s="33"/>
      <c r="W134" s="33"/>
      <c r="X134" s="33"/>
      <c r="Y134" s="33"/>
      <c r="Z134" s="33"/>
      <c r="AA134" s="33"/>
      <c r="AB134" s="33"/>
      <c r="AC134" s="33"/>
      <c r="AD134" s="33"/>
      <c r="AE134" s="36">
        <v>0.1</v>
      </c>
    </row>
    <row r="135" spans="4:31">
      <c r="D135" s="315" t="s">
        <v>11</v>
      </c>
      <c r="E135" s="47" t="s">
        <v>154</v>
      </c>
      <c r="F135" s="261">
        <v>2019</v>
      </c>
      <c r="G135" s="503">
        <f>(G67-G52)/((1+2%)^(2022-$F135))+G128</f>
        <v>2.3746522830585524</v>
      </c>
      <c r="H135" s="43">
        <f>(H67-H52)/((1+2%)^(2022-$F135))+H128</f>
        <v>98.039819166376617</v>
      </c>
      <c r="I135" s="521">
        <f>(I67-I52)/((1+2%)^(2022-$F135))+I128</f>
        <v>3.0405650907543746</v>
      </c>
      <c r="J135" s="521">
        <f>(J67-J52)/((1+2%)^(2022-$F135))+J128</f>
        <v>27.36</v>
      </c>
      <c r="K135" s="385" t="s">
        <v>215</v>
      </c>
      <c r="L135" s="1130">
        <f>L67</f>
        <v>10.639999999999999</v>
      </c>
      <c r="M135" s="1118">
        <f>INDEX('Fuel Costs'!$AO$10:$BX$40,MATCH(O135,'Fuel Costs'!$A$10:$A$40,0),MATCH(K135,'Fuel Costs'!$AO$4:$BX$4,0))*((1+'LCOE-S Template'!$C$10)^(F135-INDEX('Fuel Costs'!$AO$2:$BX$2,MATCH(K135,'Fuel Costs'!$AO$4:$BX$4,0))))</f>
        <v>3.5033450348826793</v>
      </c>
      <c r="N135" s="1125"/>
      <c r="O135" s="1059">
        <f>O67</f>
        <v>2023</v>
      </c>
      <c r="P135" s="1087">
        <f>(P67-P52)+P128</f>
        <v>20</v>
      </c>
      <c r="Q135" s="1087">
        <f>(Q67-Q52)</f>
        <v>0</v>
      </c>
      <c r="R135" s="81"/>
      <c r="S135" s="41">
        <f>(S67-S52)+S128</f>
        <v>0.23219512195122055</v>
      </c>
      <c r="T135" s="33"/>
      <c r="U135" s="33"/>
      <c r="V135" s="33"/>
      <c r="W135" s="33"/>
      <c r="X135" s="33"/>
      <c r="Y135" s="33"/>
      <c r="Z135" s="33"/>
      <c r="AA135" s="33"/>
      <c r="AB135" s="33"/>
      <c r="AC135" s="33"/>
      <c r="AD135" s="33"/>
      <c r="AE135" s="36">
        <v>0.1</v>
      </c>
    </row>
    <row r="136" spans="4:31">
      <c r="D136" s="315" t="s">
        <v>11</v>
      </c>
      <c r="E136" s="47" t="s">
        <v>154</v>
      </c>
      <c r="F136" s="261">
        <v>2019</v>
      </c>
      <c r="G136" s="503">
        <f>(G68-G53)/((1+2%)^(2022-$F136))+G128</f>
        <v>2.0636859126580274</v>
      </c>
      <c r="H136" s="43">
        <f>(H68-H53)/((1+2%)^(2022-$F136))+H128</f>
        <v>92.951278559822569</v>
      </c>
      <c r="I136" s="521">
        <f>(I68-I53)/((1+2%)^(2022-$F136))+I128</f>
        <v>2.8049845071176134</v>
      </c>
      <c r="J136" s="521">
        <f>(J68-J53)/((1+2%)^(2022-$F136))+J128</f>
        <v>27.36</v>
      </c>
      <c r="K136" s="385" t="s">
        <v>215</v>
      </c>
      <c r="L136" s="1130">
        <f t="shared" ref="L136:L140" si="9">L68</f>
        <v>10.639999999999999</v>
      </c>
      <c r="M136" s="1118">
        <f>INDEX('Fuel Costs'!$AO$10:$BX$40,MATCH(O136,'Fuel Costs'!$A$10:$A$40,0),MATCH(K136,'Fuel Costs'!$AO$4:$BX$4,0))*((1+'LCOE-S Template'!$C$10)^(F136-INDEX('Fuel Costs'!$AO$2:$BX$2,MATCH(K136,'Fuel Costs'!$AO$4:$BX$4,0))))</f>
        <v>3.5033450348826793</v>
      </c>
      <c r="N136" s="1125"/>
      <c r="O136" s="1059">
        <f>O68</f>
        <v>2030</v>
      </c>
      <c r="P136" s="1087">
        <f>(P68-P53)+P128</f>
        <v>20</v>
      </c>
      <c r="Q136" s="1087">
        <f>(Q68-Q53)</f>
        <v>0</v>
      </c>
      <c r="R136" s="81"/>
      <c r="S136" s="41">
        <f>(S68-S53)+S128</f>
        <v>0.2321951219512205</v>
      </c>
      <c r="T136" s="33"/>
      <c r="U136" s="33"/>
      <c r="V136" s="33"/>
      <c r="W136" s="33"/>
      <c r="X136" s="33"/>
      <c r="Y136" s="33"/>
      <c r="Z136" s="33"/>
      <c r="AA136" s="33"/>
      <c r="AB136" s="33"/>
      <c r="AC136" s="33"/>
      <c r="AD136" s="33"/>
      <c r="AE136" s="36">
        <v>0.1</v>
      </c>
    </row>
    <row r="137" spans="4:31">
      <c r="D137" s="315" t="s">
        <v>11</v>
      </c>
      <c r="E137" s="47" t="s">
        <v>154</v>
      </c>
      <c r="F137" s="261">
        <v>2019</v>
      </c>
      <c r="G137" s="503">
        <f>(G69-G54)/((1+2%)^(2022-$F137))+G128</f>
        <v>1.4605996185479193</v>
      </c>
      <c r="H137" s="43">
        <f>(H69-H54)/((1+2%)^(2022-$F137))+H128</f>
        <v>77.968353440524552</v>
      </c>
      <c r="I137" s="521">
        <f>(I69-I54)/((1+2%)^(2022-$F137))+I128</f>
        <v>2.3809394565714439</v>
      </c>
      <c r="J137" s="521">
        <f>(J69-J54)/((1+2%)^(2022-$F137))+J128</f>
        <v>27.36</v>
      </c>
      <c r="K137" s="385" t="s">
        <v>215</v>
      </c>
      <c r="L137" s="1130">
        <f t="shared" si="9"/>
        <v>10.639999999999999</v>
      </c>
      <c r="M137" s="1118">
        <f>INDEX('Fuel Costs'!$AO$10:$BX$40,MATCH(O137,'Fuel Costs'!$A$10:$A$40,0),MATCH(K137,'Fuel Costs'!$AO$4:$BX$4,0))*((1+'LCOE-S Template'!$C$10)^(F137-INDEX('Fuel Costs'!$AO$2:$BX$2,MATCH(K137,'Fuel Costs'!$AO$4:$BX$4,0))))</f>
        <v>3.5033450348826793</v>
      </c>
      <c r="N137" s="1123"/>
      <c r="O137" s="1059">
        <f t="shared" ref="O137:O140" si="10">O69</f>
        <v>2050</v>
      </c>
      <c r="P137" s="1087">
        <f>(P69-P54)+P128</f>
        <v>20</v>
      </c>
      <c r="Q137" s="1087">
        <f>(Q69-Q54)</f>
        <v>0</v>
      </c>
      <c r="R137" s="242"/>
      <c r="S137" s="41">
        <f>(S69-S54)+S128</f>
        <v>0.2321951219512205</v>
      </c>
      <c r="T137" s="33"/>
      <c r="U137" s="33"/>
      <c r="V137" s="33"/>
      <c r="W137" s="33"/>
      <c r="X137" s="33"/>
      <c r="Y137" s="33"/>
      <c r="Z137" s="33"/>
      <c r="AA137" s="33"/>
      <c r="AB137" s="33"/>
      <c r="AC137" s="33"/>
      <c r="AD137" s="33"/>
      <c r="AE137" s="36">
        <v>0.1</v>
      </c>
    </row>
    <row r="138" spans="4:31">
      <c r="D138" s="315" t="s">
        <v>12</v>
      </c>
      <c r="E138" s="47" t="s">
        <v>155</v>
      </c>
      <c r="F138" s="261">
        <v>2019</v>
      </c>
      <c r="G138" s="503">
        <f>(G70-G61)/((1+2%)^(2022-$F138))</f>
        <v>1.2344422582566283</v>
      </c>
      <c r="H138" s="43">
        <f>(H70-H61)/((1+2%)^(2022-$F138))+H127</f>
        <v>60.855738356088352</v>
      </c>
      <c r="I138" s="521">
        <f>(I70-I61)/((1+2%)^(2022-$F138))+I127</f>
        <v>4.9843569000072225</v>
      </c>
      <c r="J138" s="521">
        <f>(J70-J61)/((1+2%)^(2022-$F138))+J127</f>
        <v>57</v>
      </c>
      <c r="K138" s="385" t="s">
        <v>216</v>
      </c>
      <c r="L138" s="1130">
        <f t="shared" si="9"/>
        <v>5.6799999999999988</v>
      </c>
      <c r="M138" s="1118">
        <f>INDEX('Fuel Costs'!$AO$10:$BX$40,MATCH(O138,'Fuel Costs'!$A$10:$A$40,0),MATCH(K138,'Fuel Costs'!$AO$4:$BX$4,0))*((1+'LCOE-S Template'!$C$10)^(F138-INDEX('Fuel Costs'!$AO$2:$BX$2,MATCH(K138,'Fuel Costs'!$AO$4:$BX$4,0))))</f>
        <v>10.262361384384588</v>
      </c>
      <c r="N138" s="1123"/>
      <c r="O138" s="1059">
        <f t="shared" si="10"/>
        <v>2023</v>
      </c>
      <c r="P138" s="1087">
        <f>(P70-P61)+20</f>
        <v>20</v>
      </c>
      <c r="Q138" s="1087">
        <f>(Q70-Q61)</f>
        <v>0</v>
      </c>
      <c r="R138" s="81"/>
      <c r="S138" s="36">
        <f>(S70-S61)+S127</f>
        <v>0.29965306122448976</v>
      </c>
      <c r="T138" s="33"/>
      <c r="U138" s="33"/>
      <c r="V138" s="33"/>
      <c r="W138" s="33"/>
      <c r="X138" s="33"/>
      <c r="Y138" s="33"/>
      <c r="Z138" s="33"/>
      <c r="AA138" s="33"/>
      <c r="AB138" s="33"/>
      <c r="AC138" s="33"/>
      <c r="AD138" s="33"/>
      <c r="AE138" s="36">
        <v>0.1</v>
      </c>
    </row>
    <row r="139" spans="4:31">
      <c r="D139" s="315" t="s">
        <v>12</v>
      </c>
      <c r="E139" s="47" t="s">
        <v>155</v>
      </c>
      <c r="F139" s="261">
        <v>2019</v>
      </c>
      <c r="G139" s="503">
        <f>(G71-G62)/((1+2%)^(2022-$F139))</f>
        <v>1.059170304030878</v>
      </c>
      <c r="H139" s="43">
        <f>(H71-H62)/((1+2%)^(2022-$F139))+H127</f>
        <v>53.317159679711992</v>
      </c>
      <c r="I139" s="521">
        <f>(I71-I62)/((1+2%)^(2022-$F139))+I127</f>
        <v>4.5131957327337009</v>
      </c>
      <c r="J139" s="521">
        <f>(J71-J62)/((1+2%)^(2022-$F139))+J127</f>
        <v>57</v>
      </c>
      <c r="K139" s="385" t="s">
        <v>216</v>
      </c>
      <c r="L139" s="1130">
        <f t="shared" si="9"/>
        <v>5.6799999999999988</v>
      </c>
      <c r="M139" s="1118">
        <f>INDEX('Fuel Costs'!$AO$10:$BX$40,MATCH(O139,'Fuel Costs'!$A$10:$A$40,0),MATCH(K139,'Fuel Costs'!$AO$4:$BX$4,0))*((1+'LCOE-S Template'!$C$10)^(F139-INDEX('Fuel Costs'!$AO$2:$BX$2,MATCH(K139,'Fuel Costs'!$AO$4:$BX$4,0))))</f>
        <v>10.262361384384588</v>
      </c>
      <c r="N139" s="1123"/>
      <c r="O139" s="1059">
        <f t="shared" si="10"/>
        <v>2030</v>
      </c>
      <c r="P139" s="1087">
        <f>(P71-P62)+20</f>
        <v>20</v>
      </c>
      <c r="Q139" s="1087">
        <f>(Q71-Q62)</f>
        <v>0</v>
      </c>
      <c r="R139" s="81"/>
      <c r="S139" s="36">
        <f>(S71-S62)+S127</f>
        <v>0.29965306122448987</v>
      </c>
      <c r="T139" s="33"/>
      <c r="U139" s="33"/>
      <c r="V139" s="33"/>
      <c r="W139" s="33"/>
      <c r="X139" s="33"/>
      <c r="Y139" s="33"/>
      <c r="Z139" s="33"/>
      <c r="AA139" s="33"/>
      <c r="AB139" s="33"/>
      <c r="AC139" s="33"/>
      <c r="AD139" s="33"/>
      <c r="AE139" s="36">
        <v>0.1</v>
      </c>
    </row>
    <row r="140" spans="4:31" ht="15.75" thickBot="1">
      <c r="D140" s="391" t="s">
        <v>12</v>
      </c>
      <c r="E140" s="389" t="s">
        <v>155</v>
      </c>
      <c r="F140" s="406">
        <v>2019</v>
      </c>
      <c r="G140" s="504">
        <f>(G72-G63)/((1+2%)^(2022-$F140))</f>
        <v>0.72521126866740548</v>
      </c>
      <c r="H140" s="247">
        <f>(H72-H63)/((1+2%)^(2022-$F140))+H127</f>
        <v>42.386220598966275</v>
      </c>
      <c r="I140" s="524">
        <f>(I72-I63)/((1+2%)^(2022-$F140))+I127</f>
        <v>3.9101094386235919</v>
      </c>
      <c r="J140" s="524">
        <f>(J72-J63)/((1+2%)^(2022-$F140))+J127</f>
        <v>57</v>
      </c>
      <c r="K140" s="386" t="s">
        <v>216</v>
      </c>
      <c r="L140" s="1131">
        <f t="shared" si="9"/>
        <v>5.6799999999999988</v>
      </c>
      <c r="M140" s="1117">
        <f>INDEX('Fuel Costs'!$AO$10:$BX$40,MATCH(O140,'Fuel Costs'!$A$10:$A$40,0),MATCH(K140,'Fuel Costs'!$AO$4:$BX$4,0))*((1+'LCOE-S Template'!$C$10)^(F140-INDEX('Fuel Costs'!$AO$2:$BX$2,MATCH(K140,'Fuel Costs'!$AO$4:$BX$4,0))))</f>
        <v>10.262361384384588</v>
      </c>
      <c r="N140" s="1124"/>
      <c r="O140" s="1062">
        <f t="shared" si="10"/>
        <v>2050</v>
      </c>
      <c r="P140" s="1088">
        <f>(P72-P63)+20</f>
        <v>20</v>
      </c>
      <c r="Q140" s="1088">
        <f>(Q72-Q63)</f>
        <v>0</v>
      </c>
      <c r="R140" s="243"/>
      <c r="S140" s="52">
        <f>(S72-S63)+S127</f>
        <v>0.29965306122448987</v>
      </c>
      <c r="T140" s="244"/>
      <c r="U140" s="244"/>
      <c r="V140" s="244"/>
      <c r="W140" s="244"/>
      <c r="X140" s="244"/>
      <c r="Y140" s="244"/>
      <c r="Z140" s="244"/>
      <c r="AA140" s="244"/>
      <c r="AB140" s="244"/>
      <c r="AC140" s="244"/>
      <c r="AD140" s="244"/>
      <c r="AE140" s="52">
        <v>0.1</v>
      </c>
    </row>
    <row r="141" spans="4:31">
      <c r="D141" s="392" t="s">
        <v>230</v>
      </c>
      <c r="E141" s="392" t="s">
        <v>231</v>
      </c>
      <c r="F141" s="261"/>
      <c r="G141" s="260"/>
      <c r="H141" s="260"/>
      <c r="I141" s="529"/>
      <c r="J141" s="529"/>
      <c r="K141" s="385"/>
      <c r="L141" s="1109"/>
      <c r="M141" s="1119"/>
      <c r="N141" s="1127"/>
      <c r="O141" s="261">
        <v>2023</v>
      </c>
      <c r="P141" s="1089"/>
      <c r="Q141" s="1096"/>
      <c r="R141" s="263"/>
      <c r="S141" s="262"/>
      <c r="T141" s="47"/>
      <c r="U141" s="47"/>
      <c r="V141" s="47"/>
      <c r="W141" s="47"/>
      <c r="X141" s="47"/>
      <c r="Y141" s="47"/>
      <c r="Z141" s="47"/>
      <c r="AA141" s="47"/>
      <c r="AB141" s="47"/>
      <c r="AC141" s="47"/>
      <c r="AD141" s="47"/>
      <c r="AE141" s="277"/>
    </row>
    <row r="142" spans="4:31">
      <c r="D142" s="392" t="s">
        <v>230</v>
      </c>
      <c r="E142" s="392" t="s">
        <v>231</v>
      </c>
      <c r="F142" s="261"/>
      <c r="G142" s="260"/>
      <c r="H142" s="260"/>
      <c r="I142" s="529"/>
      <c r="J142" s="529"/>
      <c r="K142" s="385"/>
      <c r="L142" s="1109"/>
      <c r="M142" s="1119"/>
      <c r="N142" s="1127"/>
      <c r="O142" s="261">
        <v>2030</v>
      </c>
      <c r="P142" s="1089"/>
      <c r="Q142" s="1096"/>
      <c r="R142" s="263"/>
      <c r="S142" s="262"/>
      <c r="T142" s="47"/>
      <c r="U142" s="47"/>
      <c r="V142" s="47"/>
      <c r="W142" s="47"/>
      <c r="X142" s="47"/>
      <c r="Y142" s="47"/>
      <c r="Z142" s="47"/>
      <c r="AA142" s="47"/>
      <c r="AB142" s="47"/>
      <c r="AC142" s="47"/>
      <c r="AD142" s="47"/>
      <c r="AE142" s="277"/>
    </row>
    <row r="143" spans="4:31">
      <c r="D143" s="392" t="s">
        <v>230</v>
      </c>
      <c r="E143" s="392" t="s">
        <v>231</v>
      </c>
      <c r="F143" s="261"/>
      <c r="G143" s="774"/>
      <c r="H143" s="774"/>
      <c r="I143" s="773"/>
      <c r="J143" s="773"/>
      <c r="K143" s="385"/>
      <c r="L143" s="1109"/>
      <c r="M143" s="1109"/>
      <c r="N143" s="1127"/>
      <c r="O143" s="261">
        <v>2050</v>
      </c>
      <c r="P143" s="1089"/>
      <c r="Q143" s="1097"/>
      <c r="R143" s="775"/>
      <c r="S143" s="776"/>
      <c r="T143" s="47"/>
      <c r="U143" s="47"/>
      <c r="V143" s="47"/>
      <c r="W143" s="47"/>
      <c r="X143" s="47"/>
      <c r="Y143" s="47"/>
      <c r="Z143" s="47"/>
      <c r="AA143" s="47"/>
      <c r="AB143" s="47"/>
      <c r="AC143" s="47"/>
      <c r="AD143" s="47"/>
      <c r="AE143" s="277"/>
    </row>
    <row r="144" spans="4:31">
      <c r="G144" s="246"/>
      <c r="H144" s="246"/>
      <c r="I144" s="523"/>
      <c r="J144" s="523"/>
      <c r="Q144" s="234"/>
      <c r="R144" s="232"/>
      <c r="S144" s="238"/>
    </row>
    <row r="146" spans="9:19">
      <c r="S146" s="41"/>
    </row>
    <row r="147" spans="9:19">
      <c r="S147" s="41"/>
    </row>
    <row r="149" spans="9:19">
      <c r="I149" s="1102"/>
      <c r="S149" s="41"/>
    </row>
    <row r="150" spans="9:19">
      <c r="I150" s="1102"/>
      <c r="S150" s="41"/>
    </row>
    <row r="155" spans="9:19">
      <c r="S155" s="56"/>
    </row>
    <row r="156" spans="9:19">
      <c r="S156" s="56"/>
    </row>
    <row r="157" spans="9:19">
      <c r="S157" s="521"/>
    </row>
    <row r="158" spans="9:19">
      <c r="I158" s="1102"/>
      <c r="S158" s="41"/>
    </row>
    <row r="159" spans="9:19">
      <c r="I159" s="1102"/>
      <c r="S159" s="41"/>
    </row>
  </sheetData>
  <dataValidations count="1">
    <dataValidation type="list" allowBlank="1" showInputMessage="1" showErrorMessage="1" sqref="H18 S18" xr:uid="{95102BC3-0A4B-4E73-9248-BFD244CA9999}">
      <formula1>OFFSET($A$4,,,COUNTIF($A$4:$A$18,"?*"))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A15C417-8329-4290-B514-14ABF012EE50}">
          <x14:formula1>
            <xm:f>'Fuel Costs'!AP$4:BX$4</xm:f>
          </x14:formula1>
          <xm:sqref>K4:K1048576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1BF79-4C32-4043-8A4A-102381CC62DB}">
  <sheetPr codeName="Sheet55">
    <tabColor theme="1"/>
  </sheetPr>
  <dimension ref="A1"/>
  <sheetViews>
    <sheetView showGridLines="0" workbookViewId="0">
      <selection activeCell="I11" sqref="I11"/>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B960-898E-466C-BC11-B668F50B2B47}">
  <sheetPr codeName="Sheet56">
    <tabColor theme="0"/>
  </sheetPr>
  <dimension ref="A2:AD113"/>
  <sheetViews>
    <sheetView showGridLines="0" topLeftCell="A79" zoomScale="90" zoomScaleNormal="90" workbookViewId="0">
      <selection activeCell="J6" sqref="J6"/>
    </sheetView>
  </sheetViews>
  <sheetFormatPr defaultRowHeight="15"/>
  <cols>
    <col min="2" max="2" width="68.85546875" customWidth="1"/>
    <col min="3" max="3" width="14.85546875" customWidth="1"/>
    <col min="4" max="5" width="12.5703125" bestFit="1" customWidth="1"/>
    <col min="6" max="6" width="12.5703125" style="19" bestFit="1" customWidth="1"/>
    <col min="7" max="7" width="21.85546875" style="19" bestFit="1" customWidth="1"/>
    <col min="8" max="8" width="46.5703125" style="19" bestFit="1" customWidth="1"/>
    <col min="9" max="9" width="32.7109375" style="19" bestFit="1" customWidth="1"/>
    <col min="10" max="10" width="23.140625" style="19" bestFit="1" customWidth="1"/>
    <col min="11" max="11" width="12.5703125" style="19" bestFit="1" customWidth="1"/>
    <col min="12" max="12" width="19.7109375" style="19" bestFit="1" customWidth="1"/>
    <col min="13" max="13" width="14.140625" style="19" bestFit="1" customWidth="1"/>
    <col min="14" max="16" width="17" style="19" bestFit="1" customWidth="1"/>
    <col min="17" max="18" width="19.7109375" style="19" bestFit="1" customWidth="1"/>
    <col min="19" max="19" width="33.7109375" style="19" bestFit="1" customWidth="1"/>
    <col min="20" max="20" width="26" style="19" bestFit="1" customWidth="1"/>
    <col min="21" max="26" width="8.7109375" style="19"/>
    <col min="27" max="27" width="8.7109375" style="39"/>
    <col min="30" max="30" width="24.85546875" bestFit="1" customWidth="1"/>
  </cols>
  <sheetData>
    <row r="2" spans="1:26">
      <c r="B2" s="1" t="s">
        <v>0</v>
      </c>
      <c r="C2" s="1" t="s">
        <v>1</v>
      </c>
      <c r="H2" s="508"/>
      <c r="I2" s="508"/>
      <c r="J2" s="508"/>
    </row>
    <row r="3" spans="1:26">
      <c r="B3" s="33"/>
      <c r="C3" s="15" t="s">
        <v>2</v>
      </c>
      <c r="H3" s="508"/>
      <c r="I3" s="508"/>
      <c r="J3" s="508"/>
    </row>
    <row r="4" spans="1:26">
      <c r="B4" s="38"/>
      <c r="C4" s="15" t="s">
        <v>3</v>
      </c>
    </row>
    <row r="5" spans="1:26">
      <c r="B5" s="10"/>
      <c r="C5" s="15" t="s">
        <v>4</v>
      </c>
      <c r="G5" s="19" t="s">
        <v>5</v>
      </c>
    </row>
    <row r="6" spans="1:26">
      <c r="B6" s="40"/>
      <c r="C6" s="15" t="s">
        <v>6</v>
      </c>
    </row>
    <row r="7" spans="1:26">
      <c r="C7" s="63" t="s">
        <v>964</v>
      </c>
    </row>
    <row r="8" spans="1:26" ht="15.75" thickBot="1"/>
    <row r="9" spans="1:26">
      <c r="B9" s="397" t="s">
        <v>7</v>
      </c>
      <c r="C9" s="398">
        <v>2022</v>
      </c>
    </row>
    <row r="10" spans="1:26" ht="15.75" thickBot="1">
      <c r="B10" s="400" t="s">
        <v>8</v>
      </c>
      <c r="C10" s="399">
        <v>0.02</v>
      </c>
    </row>
    <row r="11" spans="1:26">
      <c r="A11" s="1137" t="s">
        <v>1003</v>
      </c>
      <c r="C11" s="1054">
        <v>2023</v>
      </c>
      <c r="D11" s="1054"/>
      <c r="E11" s="1054"/>
      <c r="F11" s="1054"/>
      <c r="G11" s="1054"/>
      <c r="H11" s="1054"/>
      <c r="I11" s="1054"/>
      <c r="J11" s="1054"/>
      <c r="K11" s="1054"/>
      <c r="L11" s="1054"/>
      <c r="M11" s="1054"/>
      <c r="N11" s="1054"/>
      <c r="O11" s="1054"/>
      <c r="P11" s="1054"/>
      <c r="Q11" s="1054"/>
      <c r="R11" s="1054"/>
      <c r="S11" s="1055"/>
      <c r="T11" s="1055"/>
      <c r="U11" s="1055"/>
      <c r="V11" s="1055"/>
      <c r="W11" s="1055"/>
      <c r="X11" s="1055"/>
      <c r="Y11" s="1055"/>
      <c r="Z11" s="1055"/>
    </row>
    <row r="12" spans="1:26">
      <c r="A12" s="1138"/>
      <c r="C12" s="1054" t="s">
        <v>124</v>
      </c>
      <c r="D12" s="1054"/>
      <c r="E12" s="1054"/>
      <c r="F12" s="1054"/>
      <c r="G12" s="1054" t="s">
        <v>125</v>
      </c>
      <c r="H12" s="1054"/>
      <c r="I12" s="1054" t="s">
        <v>126</v>
      </c>
      <c r="J12" s="1054"/>
      <c r="K12" s="1054"/>
      <c r="L12" s="1054" t="s">
        <v>127</v>
      </c>
      <c r="M12" s="1054"/>
      <c r="N12" s="1054"/>
      <c r="O12" s="1054"/>
      <c r="P12" s="1054"/>
      <c r="Q12" s="1054"/>
      <c r="R12" s="1054"/>
      <c r="S12" s="1054"/>
      <c r="T12" s="1054"/>
      <c r="U12" s="1055"/>
      <c r="V12" s="1055"/>
      <c r="W12" s="1055"/>
      <c r="X12" s="1055"/>
      <c r="Y12" s="1055"/>
      <c r="Z12" s="1055"/>
    </row>
    <row r="13" spans="1:26">
      <c r="A13" s="1138"/>
      <c r="C13" s="1054" t="s">
        <v>11</v>
      </c>
      <c r="D13" s="1054"/>
      <c r="E13" s="1054" t="s">
        <v>128</v>
      </c>
      <c r="F13" s="1054" t="s">
        <v>13</v>
      </c>
      <c r="G13" s="1054" t="s">
        <v>19</v>
      </c>
      <c r="H13" s="1054"/>
      <c r="I13" s="1054" t="s">
        <v>15</v>
      </c>
      <c r="J13" s="1054" t="s">
        <v>14</v>
      </c>
      <c r="K13" s="1054" t="s">
        <v>20</v>
      </c>
      <c r="L13" s="1054" t="s">
        <v>21</v>
      </c>
      <c r="M13" s="1054"/>
      <c r="N13" s="1054" t="s">
        <v>22</v>
      </c>
      <c r="O13" s="1054"/>
      <c r="P13" s="1054"/>
      <c r="Q13" s="1054"/>
      <c r="R13" s="1054"/>
      <c r="S13" s="1054"/>
      <c r="T13" s="1054"/>
      <c r="U13" s="1055"/>
      <c r="V13" s="1055"/>
      <c r="W13" s="1055"/>
      <c r="X13" s="1055"/>
      <c r="Y13" s="1055"/>
      <c r="Z13" s="1055"/>
    </row>
    <row r="14" spans="1:26" ht="15.75">
      <c r="A14" s="1138"/>
      <c r="B14" s="271" t="s">
        <v>9</v>
      </c>
      <c r="C14" s="1054" t="s">
        <v>24</v>
      </c>
      <c r="D14" s="1054" t="s">
        <v>25</v>
      </c>
      <c r="E14" s="1054" t="s">
        <v>26</v>
      </c>
      <c r="F14" s="1054" t="s">
        <v>27</v>
      </c>
      <c r="G14" s="1054" t="s">
        <v>33</v>
      </c>
      <c r="H14" s="1054" t="s">
        <v>129</v>
      </c>
      <c r="I14" s="1054" t="s">
        <v>30</v>
      </c>
      <c r="J14" s="1054" t="s">
        <v>122</v>
      </c>
      <c r="K14" s="1054" t="s">
        <v>122</v>
      </c>
      <c r="L14" s="1054" t="s">
        <v>130</v>
      </c>
      <c r="M14" s="1054" t="s">
        <v>40</v>
      </c>
      <c r="N14" s="1054" t="s">
        <v>38</v>
      </c>
      <c r="O14" s="1054" t="s">
        <v>39</v>
      </c>
      <c r="P14" s="1054" t="s">
        <v>40</v>
      </c>
      <c r="Q14" s="1054"/>
      <c r="R14" s="1054"/>
      <c r="S14" s="1054"/>
      <c r="T14" s="1054"/>
      <c r="U14" s="1055"/>
      <c r="V14" s="1055"/>
      <c r="W14" s="1055"/>
      <c r="X14" s="1055"/>
      <c r="Y14" s="1055"/>
      <c r="Z14" s="1055"/>
    </row>
    <row r="15" spans="1:26">
      <c r="B15" s="282" t="s">
        <v>10</v>
      </c>
      <c r="C15" s="45" t="s">
        <v>11</v>
      </c>
      <c r="D15" s="45" t="s">
        <v>11</v>
      </c>
      <c r="E15" s="45" t="s">
        <v>12</v>
      </c>
      <c r="F15" s="45" t="s">
        <v>13</v>
      </c>
      <c r="G15" s="45" t="s">
        <v>19</v>
      </c>
      <c r="H15" s="45" t="s">
        <v>19</v>
      </c>
      <c r="I15" s="45" t="s">
        <v>15</v>
      </c>
      <c r="J15" s="45" t="s">
        <v>14</v>
      </c>
      <c r="K15" s="45" t="s">
        <v>20</v>
      </c>
      <c r="L15" s="45" t="s">
        <v>21</v>
      </c>
      <c r="M15" s="45" t="s">
        <v>21</v>
      </c>
      <c r="N15" s="45" t="s">
        <v>22</v>
      </c>
      <c r="O15" s="45" t="s">
        <v>22</v>
      </c>
      <c r="P15" s="45" t="s">
        <v>22</v>
      </c>
      <c r="Q15" s="45"/>
      <c r="R15" s="45"/>
      <c r="S15" s="45"/>
      <c r="T15" s="45"/>
      <c r="U15" s="45"/>
      <c r="V15" s="45"/>
      <c r="W15" s="45"/>
      <c r="X15" s="45"/>
      <c r="Y15" s="45"/>
      <c r="Z15" s="45"/>
    </row>
    <row r="16" spans="1:26">
      <c r="B16" s="278" t="s">
        <v>23</v>
      </c>
      <c r="C16" s="45" t="s">
        <v>24</v>
      </c>
      <c r="D16" s="45" t="s">
        <v>25</v>
      </c>
      <c r="E16" s="45" t="s">
        <v>26</v>
      </c>
      <c r="F16" s="45" t="s">
        <v>27</v>
      </c>
      <c r="G16" s="45" t="s">
        <v>33</v>
      </c>
      <c r="H16" s="45" t="s">
        <v>34</v>
      </c>
      <c r="I16" s="45" t="s">
        <v>29</v>
      </c>
      <c r="J16" s="45" t="s">
        <v>28</v>
      </c>
      <c r="K16" s="45" t="s">
        <v>122</v>
      </c>
      <c r="L16" s="45" t="s">
        <v>36</v>
      </c>
      <c r="M16" s="45" t="s">
        <v>37</v>
      </c>
      <c r="N16" s="45" t="s">
        <v>38</v>
      </c>
      <c r="O16" s="45" t="s">
        <v>39</v>
      </c>
      <c r="P16" s="45" t="s">
        <v>40</v>
      </c>
      <c r="Q16" s="45"/>
      <c r="R16" s="45"/>
      <c r="S16" s="45"/>
      <c r="T16" s="45"/>
      <c r="U16" s="45"/>
      <c r="V16" s="45"/>
      <c r="W16" s="45"/>
      <c r="X16" s="45"/>
      <c r="Y16" s="45"/>
      <c r="Z16" s="45"/>
    </row>
    <row r="17" spans="2:26">
      <c r="B17" s="278" t="s">
        <v>41</v>
      </c>
      <c r="C17" s="45">
        <v>2023</v>
      </c>
      <c r="D17" s="45">
        <v>2023</v>
      </c>
      <c r="E17" s="45">
        <v>2023</v>
      </c>
      <c r="F17" s="45">
        <v>2023</v>
      </c>
      <c r="G17" s="45">
        <v>2023</v>
      </c>
      <c r="H17" s="45">
        <v>2023</v>
      </c>
      <c r="I17" s="45">
        <v>2023</v>
      </c>
      <c r="J17" s="45">
        <v>2023</v>
      </c>
      <c r="K17" s="45">
        <v>2023</v>
      </c>
      <c r="L17" s="45">
        <v>2023</v>
      </c>
      <c r="M17" s="45">
        <v>2023</v>
      </c>
      <c r="N17" s="45">
        <v>2023</v>
      </c>
      <c r="O17" s="45">
        <v>2023</v>
      </c>
      <c r="P17" s="45">
        <v>2023</v>
      </c>
      <c r="Q17" s="45"/>
      <c r="R17" s="45"/>
      <c r="S17" s="45"/>
      <c r="T17" s="45"/>
      <c r="U17" s="45"/>
      <c r="V17" s="45"/>
      <c r="W17" s="45"/>
      <c r="X17" s="45"/>
      <c r="Y17" s="45"/>
      <c r="Z17" s="45"/>
    </row>
    <row r="18" spans="2:26" ht="15.75" thickBot="1">
      <c r="B18" s="278" t="s">
        <v>42</v>
      </c>
      <c r="C18" s="61">
        <f>IF(C15="","",SUMIFS('Background (from TC)'!$P$4:$P$1048576,'Background (from TC)'!$D$4:$D$1048576,C$15,'Background (from TC)'!$E$4:$E$1048576,C$16,'Background (from TC)'!$O$4:$O$1048576,C$17))</f>
        <v>30</v>
      </c>
      <c r="D18" s="61">
        <f>IF(D15="","",SUMIFS('Background (from TC)'!$P$4:$P$1048576,'Background (from TC)'!$D$4:$D$1048576,D$15,'Background (from TC)'!$E$4:$E$1048576,D$16,'Background (from TC)'!$O$4:$O$1048576,D$17))</f>
        <v>30</v>
      </c>
      <c r="E18" s="61">
        <f>IF(E15="","",SUMIFS('Background (from TC)'!$P$4:$P$1048576,'Background (from TC)'!$D$4:$D$1048576,E$15,'Background (from TC)'!$E$4:$E$1048576,E$16,'Background (from TC)'!$O$4:$O$1048576,E$17))</f>
        <v>25</v>
      </c>
      <c r="F18" s="61">
        <f>IF(F15="","",SUMIFS('Background (from TC)'!$P$4:$P$1048576,'Background (from TC)'!$D$4:$D$1048576,F$15,'Background (from TC)'!$E$4:$E$1048576,F$16,'Background (from TC)'!$O$4:$O$1048576,F$17))</f>
        <v>25</v>
      </c>
      <c r="G18" s="61">
        <f>IF(G15="","",SUMIFS('Background (from TC)'!$P$4:$P$1048576,'Background (from TC)'!$D$4:$D$1048576,G$15,'Background (from TC)'!$E$4:$E$1048576,G$16,'Background (from TC)'!$O$4:$O$1048576,G$17))</f>
        <v>60</v>
      </c>
      <c r="H18" s="61">
        <f>IF(H15="","",SUMIFS('Background (from TC)'!$P$4:$P$1048576,'Background (from TC)'!$D$4:$D$1048576,H$15,'Background (from TC)'!$E$4:$E$1048576,H$16,'Background (from TC)'!$O$4:$O$1048576,H$17))</f>
        <v>0</v>
      </c>
      <c r="I18" s="61">
        <f>IF(I15="","",SUMIFS('Background (from TC)'!$P$4:$P$1048576,'Background (from TC)'!$D$4:$D$1048576,I$15,'Background (from TC)'!$E$4:$E$1048576,I$16,'Background (from TC)'!$O$4:$O$1048576,I$17))</f>
        <v>25</v>
      </c>
      <c r="J18" s="61">
        <f>IF(J15="","",SUMIFS('Background (from TC)'!$P$4:$P$1048576,'Background (from TC)'!$D$4:$D$1048576,J$15,'Background (from TC)'!$E$4:$E$1048576,J$16,'Background (from TC)'!$O$4:$O$1048576,J$17))</f>
        <v>30</v>
      </c>
      <c r="K18" s="61">
        <f>IF(K15="","",SUMIFS('Background (from TC)'!$P$4:$P$1048576,'Background (from TC)'!$D$4:$D$1048576,K$15,'Background (from TC)'!$E$4:$E$1048576,K$16,'Background (from TC)'!$O$4:$O$1048576,K$17))</f>
        <v>50</v>
      </c>
      <c r="L18" s="61">
        <f>IF(L15="","",SUMIFS('Background (from TC)'!$P$4:$P$1048576,'Background (from TC)'!$D$4:$D$1048576,L$15,'Background (from TC)'!$E$4:$E$1048576,L$16,'Background (from TC)'!$O$4:$O$1048576,L$17))</f>
        <v>27</v>
      </c>
      <c r="M18" s="61">
        <f>IF(M15="","",SUMIFS('Background (from TC)'!$P$4:$P$1048576,'Background (from TC)'!$D$4:$D$1048576,M$15,'Background (from TC)'!$E$4:$E$1048576,M$16,'Background (from TC)'!$O$4:$O$1048576,M$17))</f>
        <v>27</v>
      </c>
      <c r="N18" s="61">
        <f>IF(N15="","",SUMIFS('Background (from TC)'!$P$4:$P$1048576,'Background (from TC)'!$D$4:$D$1048576,N$15,'Background (from TC)'!$E$4:$E$1048576,N$16,'Background (from TC)'!$O$4:$O$1048576,N$17))</f>
        <v>27</v>
      </c>
      <c r="O18" s="61">
        <f>IF(O15="","",SUMIFS('Background (from TC)'!$P$4:$P$1048576,'Background (from TC)'!$D$4:$D$1048576,O$15,'Background (from TC)'!$E$4:$E$1048576,O$16,'Background (from TC)'!$O$4:$O$1048576,O$17))</f>
        <v>27</v>
      </c>
      <c r="P18" s="61">
        <f>IF(P15="","",SUMIFS('Background (from TC)'!$P$4:$P$1048576,'Background (from TC)'!$D$4:$D$1048576,P$15,'Background (from TC)'!$E$4:$E$1048576,P$16,'Background (from TC)'!$O$4:$O$1048576,P$17))</f>
        <v>20</v>
      </c>
      <c r="Q18" s="61" t="str">
        <f>IF(Q15="","",SUMIFS('Background (from TC)'!$P$4:$P$1048576,'Background (from TC)'!$D$4:$D$1048576,Q$15,'Background (from TC)'!$E$4:$E$1048576,Q$16,'Background (from TC)'!$O$4:$O$1048576,Q$17))</f>
        <v/>
      </c>
      <c r="R18" s="61" t="str">
        <f>IF(R15="","",SUMIFS('Background (from TC)'!$P$4:$P$1048576,'Background (from TC)'!$D$4:$D$1048576,R$15,'Background (from TC)'!$E$4:$E$1048576,R$16,'Background (from TC)'!$O$4:$O$1048576,R$17))</f>
        <v/>
      </c>
      <c r="S18" s="61" t="str">
        <f>IF(S15="","",SUMIFS('Background (from TC)'!$P$4:$P$1048576,'Background (from TC)'!$D$4:$D$1048576,S$15,'Background (from TC)'!$E$4:$E$1048576,S$16,'Background (from TC)'!$O$4:$O$1048576,S$17))</f>
        <v/>
      </c>
      <c r="T18" s="61" t="str">
        <f>IF(T15="","",SUMIFS('Background (from TC)'!$P$4:$P$1048576,'Background (from TC)'!$D$4:$D$1048576,T$15,'Background (from TC)'!$E$4:$E$1048576,T$16,'Background (from TC)'!$O$4:$O$1048576,T$17))</f>
        <v/>
      </c>
      <c r="U18" s="61" t="str">
        <f>IF(U15="","",SUMIFS('Background (from TC)'!$P$4:$P$1048576,'Background (from TC)'!$D$4:$D$1048576,U$15,'Background (from TC)'!$E$4:$E$1048576,U$16,'Background (from TC)'!$O$4:$O$1048576,U$17))</f>
        <v/>
      </c>
      <c r="V18" s="61" t="str">
        <f>IF(V15="","",SUMIFS('Background (from TC)'!$P$4:$P$1048576,'Background (from TC)'!$D$4:$D$1048576,V$15,'Background (from TC)'!$E$4:$E$1048576,V$16,'Background (from TC)'!$O$4:$O$1048576,V$17))</f>
        <v/>
      </c>
      <c r="W18" s="61" t="str">
        <f>IF(W15="","",SUMIFS('Background (from TC)'!$P$4:$P$1048576,'Background (from TC)'!$D$4:$D$1048576,W$15,'Background (from TC)'!$E$4:$E$1048576,W$16,'Background (from TC)'!$O$4:$O$1048576,W$17))</f>
        <v/>
      </c>
      <c r="X18" s="61" t="str">
        <f>IF(X15="","",SUMIFS('Background (from TC)'!$P$4:$P$1048576,'Background (from TC)'!$D$4:$D$1048576,X$15,'Background (from TC)'!$E$4:$E$1048576,X$16,'Background (from TC)'!$O$4:$O$1048576,X$17))</f>
        <v/>
      </c>
      <c r="Y18" s="61" t="str">
        <f>IF(Y15="","",SUMIFS('Background (from TC)'!$P$4:$P$1048576,'Background (from TC)'!$D$4:$D$1048576,Y$15,'Background (from TC)'!$E$4:$E$1048576,Y$16,'Background (from TC)'!$O$4:$O$1048576,Y$17))</f>
        <v/>
      </c>
      <c r="Z18" s="61" t="str">
        <f>IF(Z15="","",SUMIFS('Background (from TC)'!$P$4:$P$1048576,'Background (from TC)'!$D$4:$D$1048576,Z$15,'Background (from TC)'!$E$4:$E$1048576,Z$16,'Background (from TC)'!$O$4:$O$1048576,Z$17))</f>
        <v/>
      </c>
    </row>
    <row r="19" spans="2:26" ht="15.75" thickBot="1">
      <c r="B19" s="273" t="s">
        <v>43</v>
      </c>
      <c r="C19" s="59" t="str">
        <f>IF(C16="","",IF(C18=0,"Technology unavailable in this year. Please revise",IF(INDEX('Background (from TC)'!$D:$D,MATCH(C16,'Background (from TC)'!$E:$E,0))=C15,"","Incompatible combination of Fuel and Technology")))</f>
        <v/>
      </c>
      <c r="D19" s="59" t="str">
        <f>IF(D16="","",IF(D18=0,"Technology unavailable in this year. Please revise",IF(INDEX('Background (from TC)'!$D:$D,MATCH(D16,'Background (from TC)'!$E:$E,0))=D15,"","Incompatible combination of Fuel and Technology")))</f>
        <v/>
      </c>
      <c r="E19" s="59" t="str">
        <f>IF(E16="","",IF(E18=0,"Technology unavailable in this year. Please revise",IF(INDEX('Background (from TC)'!$D:$D,MATCH(E16,'Background (from TC)'!$E:$E,0))=E15,"","Incompatible combination of Fuel and Technology")))</f>
        <v/>
      </c>
      <c r="F19" s="59" t="str">
        <f>IF(F16="","",IF(F18=0,"Technology unavailable in this year. Please revise",IF(INDEX('Background (from TC)'!$D:$D,MATCH(F16,'Background (from TC)'!$E:$E,0))=F15,"","Incompatible combination of Fuel and Technology")))</f>
        <v/>
      </c>
      <c r="G19" s="59" t="str">
        <f>IF(G16="","",IF(G18=0,"Technology unavailable in this year. Please revise",IF(INDEX('Background (from TC)'!$D:$D,MATCH(G16,'Background (from TC)'!$E:$E,0))=G15,"","Incompatible combination of Fuel and Technology")))</f>
        <v/>
      </c>
      <c r="H19" s="59" t="str">
        <f>IF(H16="","",IF(H18=0,"Technology unavailable in this year. Please revise",IF(INDEX('Background (from TC)'!$D:$D,MATCH(H16,'Background (from TC)'!$E:$E,0))=H15,"","Incompatible combination of Fuel and Technology")))</f>
        <v>Technology unavailable in this year. Please revise</v>
      </c>
      <c r="I19" s="59" t="str">
        <f>IF(I16="","",IF(I18=0,"Technology unavailable in this year. Please revise",IF(INDEX('Background (from TC)'!$D:$D,MATCH(I16,'Background (from TC)'!$E:$E,0))=I15,"","Incompatible combination of Fuel and Technology")))</f>
        <v/>
      </c>
      <c r="J19" s="59" t="str">
        <f>IF(J16="","",IF(J18=0,"Technology unavailable in this year. Please revise",IF(INDEX('Background (from TC)'!$D:$D,MATCH(J16,'Background (from TC)'!$E:$E,0))=J15,"","Incompatible combination of Fuel and Technology")))</f>
        <v/>
      </c>
      <c r="K19" s="59" t="str">
        <f>IF(K16="","",IF(K18=0,"Technology unavailable in this year. Please revise",IF(INDEX('Background (from TC)'!$D:$D,MATCH(K16,'Background (from TC)'!$E:$E,0))=K15,"","Incompatible combination of Fuel and Technology")))</f>
        <v/>
      </c>
      <c r="L19" s="59" t="str">
        <f>IF(L16="","",IF(L18=0,"Technology unavailable in this year. Please revise",IF(INDEX('Background (from TC)'!$D:$D,MATCH(L16,'Background (from TC)'!$E:$E,0))=L15,"","Incompatible combination of Fuel and Technology")))</f>
        <v/>
      </c>
      <c r="M19" s="59" t="str">
        <f>IF(M16="","",IF(M18=0,"Technology unavailable in this year. Please revise",IF(INDEX('Background (from TC)'!$D:$D,MATCH(M16,'Background (from TC)'!$E:$E,0))=M15,"","Incompatible combination of Fuel and Technology")))</f>
        <v/>
      </c>
      <c r="N19" s="59" t="str">
        <f>IF(N16="","",IF(N18=0,"Technology unavailable in this year. Please revise",IF(INDEX('Background (from TC)'!$D:$D,MATCH(N16,'Background (from TC)'!$E:$E,0))=N15,"","Incompatible combination of Fuel and Technology")))</f>
        <v/>
      </c>
      <c r="O19" s="59" t="str">
        <f>IF(O16="","",IF(O18=0,"Technology unavailable in this year. Please revise",IF(INDEX('Background (from TC)'!$D:$D,MATCH(O16,'Background (from TC)'!$E:$E,0))=O15,"","Incompatible combination of Fuel and Technology")))</f>
        <v/>
      </c>
      <c r="P19" s="59" t="str">
        <f>IF(P16="","",IF(P18=0,"Technology unavailable in this year. Please revise",IF(INDEX('Background (from TC)'!$D:$D,MATCH(P16,'Background (from TC)'!$E:$E,0))=P15,"","Incompatible combination of Fuel and Technology")))</f>
        <v/>
      </c>
      <c r="Q19" s="59" t="str">
        <f>IF(Q16="","",IF(Q18=0,"Technology unavailable in this year. Please revise",IF(INDEX('Background (from TC)'!$D:$D,MATCH(Q16,'Background (from TC)'!$E:$E,0))=Q15,"","Incompatible combination of Fuel and Technology")))</f>
        <v/>
      </c>
      <c r="R19" s="59" t="str">
        <f>IF(R16="","",IF(R18=0,"Technology unavailable in this year. Please revise",IF(INDEX('Background (from TC)'!$D:$D,MATCH(R16,'Background (from TC)'!$E:$E,0))=R15,"","Incompatible combination of Fuel and Technology")))</f>
        <v/>
      </c>
      <c r="S19" s="59" t="str">
        <f>IF(S16="","",IF(S18=0,"Technology unavailable in this year. Please revise",IF(INDEX('Background (from TC)'!$D:$D,MATCH(S16,'Background (from TC)'!$E:$E,0))=S15,"","Incompatible combination of Fuel and Technology")))</f>
        <v/>
      </c>
      <c r="T19" s="59" t="str">
        <f>IF(T16="","",IF(T18=0,"Technology unavailable in this year. Please revise",IF(INDEX('Background (from TC)'!$D:$D,MATCH(T16,'Background (from TC)'!$E:$E,0))=T15,"","Incompatible combination of Fuel and Technology")))</f>
        <v/>
      </c>
      <c r="U19" s="59" t="str">
        <f>IF(U16="","",IF(U18=0,"Technology unavailable in this year. Please revise",IF(INDEX('Background (from TC)'!$D:$D,MATCH(U16,'Background (from TC)'!$E:$E,0))=U15,"","Incompatible combination of Fuel and Technology")))</f>
        <v/>
      </c>
      <c r="V19" s="59" t="str">
        <f>IF(V16="","",IF(V18=0,"Technology unavailable in this year. Please revise",IF(INDEX('Background (from TC)'!$D:$D,MATCH(V16,'Background (from TC)'!$E:$E,0))=V15,"","Incompatible combination of Fuel and Technology")))</f>
        <v/>
      </c>
      <c r="W19" s="59" t="str">
        <f>IF(W16="","",IF(W18=0,"Technology unavailable in this year. Please revise",IF(INDEX('Background (from TC)'!$D:$D,MATCH(W16,'Background (from TC)'!$E:$E,0))=W15,"","Incompatible combination of Fuel and Technology")))</f>
        <v/>
      </c>
      <c r="X19" s="59" t="str">
        <f>IF(X16="","",IF(X18=0,"Technology unavailable in this year. Please revise",IF(INDEX('Background (from TC)'!$D:$D,MATCH(X16,'Background (from TC)'!$E:$E,0))=X15,"","Incompatible combination of Fuel and Technology")))</f>
        <v/>
      </c>
      <c r="Y19" s="59" t="str">
        <f>IF(Y16="","",IF(Y18=0,"Technology unavailable in this year. Please revise",IF(INDEX('Background (from TC)'!$D:$D,MATCH(Y16,'Background (from TC)'!$E:$E,0))=Y15,"","Incompatible combination of Fuel and Technology")))</f>
        <v/>
      </c>
      <c r="Z19" s="59" t="str">
        <f>IF(Z16="","",IF(Z18=0,"Technology unavailable in this year. Please revise",IF(INDEX('Background (from TC)'!$D:$D,MATCH(Z16,'Background (from TC)'!$E:$E,0))=Z15,"","Incompatible combination of Fuel and Technology")))</f>
        <v/>
      </c>
    </row>
    <row r="20" spans="2:26">
      <c r="F20"/>
      <c r="G20"/>
      <c r="H20"/>
      <c r="I20"/>
      <c r="J20"/>
      <c r="K20"/>
      <c r="L20"/>
      <c r="M20"/>
      <c r="N20"/>
      <c r="O20"/>
      <c r="P20"/>
      <c r="Q20"/>
      <c r="R20"/>
      <c r="S20"/>
      <c r="T20"/>
      <c r="U20"/>
      <c r="V20"/>
      <c r="W20"/>
      <c r="X20"/>
      <c r="Y20"/>
      <c r="Z20"/>
    </row>
    <row r="21" spans="2:26" ht="15.75">
      <c r="B21" s="271" t="s">
        <v>44</v>
      </c>
      <c r="C21" s="19"/>
      <c r="D21" s="19"/>
      <c r="E21" s="19"/>
    </row>
    <row r="22" spans="2:26">
      <c r="B22" s="282" t="s">
        <v>45</v>
      </c>
      <c r="C22" s="44" t="s">
        <v>46</v>
      </c>
      <c r="D22" s="44" t="s">
        <v>46</v>
      </c>
      <c r="E22" s="44" t="s">
        <v>46</v>
      </c>
      <c r="F22" s="44" t="s">
        <v>46</v>
      </c>
      <c r="G22" s="44" t="s">
        <v>46</v>
      </c>
      <c r="H22" s="44"/>
      <c r="I22" s="44" t="s">
        <v>46</v>
      </c>
      <c r="J22" s="44" t="s">
        <v>46</v>
      </c>
      <c r="K22" s="44" t="s">
        <v>46</v>
      </c>
      <c r="L22" s="44" t="s">
        <v>46</v>
      </c>
      <c r="M22" s="44" t="s">
        <v>46</v>
      </c>
      <c r="N22" s="44" t="s">
        <v>46</v>
      </c>
      <c r="O22" s="44" t="s">
        <v>46</v>
      </c>
      <c r="P22" s="44" t="s">
        <v>46</v>
      </c>
      <c r="Q22" s="44"/>
      <c r="R22" s="44"/>
      <c r="S22" s="44"/>
      <c r="T22" s="44"/>
      <c r="U22" s="44"/>
      <c r="V22" s="44"/>
      <c r="W22" s="44"/>
      <c r="X22" s="44"/>
      <c r="Y22" s="44"/>
      <c r="Z22" s="44"/>
    </row>
    <row r="23" spans="2:26">
      <c r="B23" s="278" t="s">
        <v>47</v>
      </c>
      <c r="C23" s="41"/>
      <c r="D23" s="42">
        <v>0.08</v>
      </c>
      <c r="E23" s="19"/>
      <c r="H23" s="42"/>
    </row>
    <row r="24" spans="2:26">
      <c r="B24" s="278" t="s">
        <v>48</v>
      </c>
      <c r="C24" s="42">
        <f>IF(C22="","",IF(C22="User defined",C23,SUMIFS('Background (from TC)'!$AE$4:$AE$1048576,'Background (from TC)'!$D$4:$D$1048576,C$15,'Background (from TC)'!$E$4:$E$1048576,C$16,'Background (from TC)'!$O$4:$O$1048576,C$17)))</f>
        <v>0.1</v>
      </c>
      <c r="D24" s="42">
        <f>IF(D22="","",IF(D22="User defined",D23,SUMIFS('Background (from TC)'!$AE$4:$AE$1048576,'Background (from TC)'!$D$4:$D$1048576,D$15,'Background (from TC)'!$E$4:$E$1048576,D$16,'Background (from TC)'!$O$4:$O$1048576,D$17)))</f>
        <v>0.1</v>
      </c>
      <c r="E24" s="42">
        <f>IF(E22="","",IF(E22="User defined",E23,SUMIFS('Background (from TC)'!$AE$4:$AE$1048576,'Background (from TC)'!$D$4:$D$1048576,E$15,'Background (from TC)'!$E$4:$E$1048576,E$16,'Background (from TC)'!$O$4:$O$1048576,E$17)))</f>
        <v>0.1</v>
      </c>
      <c r="F24" s="42">
        <f>IF(F22="","",IF(F22="User defined",F23,SUMIFS('Background (from TC)'!$AE$4:$AE$1048576,'Background (from TC)'!$D$4:$D$1048576,F$15,'Background (from TC)'!$E$4:$E$1048576,F$16,'Background (from TC)'!$O$4:$O$1048576,F$17)))</f>
        <v>0.1</v>
      </c>
      <c r="G24" s="42">
        <f>IF(G22="","",IF(G22="User defined",G23,SUMIFS('Background (from TC)'!$AE$4:$AE$1048576,'Background (from TC)'!$D$4:$D$1048576,G$15,'Background (from TC)'!$E$4:$E$1048576,G$16,'Background (from TC)'!$O$4:$O$1048576,G$17)))</f>
        <v>0.1</v>
      </c>
      <c r="H24" s="42" t="str">
        <f>IF(H22="","",IF(H22="User defined",H23,SUMIFS('Background (from TC)'!$AE$4:$AE$1048576,'Background (from TC)'!$D$4:$D$1048576,H$15,'Background (from TC)'!$E$4:$E$1048576,H$16,'Background (from TC)'!$O$4:$O$1048576,H$17)))</f>
        <v/>
      </c>
      <c r="I24" s="42">
        <f>IF(I22="","",IF(I22="User defined",I23,SUMIFS('Background (from TC)'!$AE$4:$AE$1048576,'Background (from TC)'!$D$4:$D$1048576,I$15,'Background (from TC)'!$E$4:$E$1048576,I$16,'Background (from TC)'!$O$4:$O$1048576,I$17)))</f>
        <v>0.1</v>
      </c>
      <c r="J24" s="42">
        <f>IF(J22="","",IF(J22="User defined",J23,SUMIFS('Background (from TC)'!$AE$4:$AE$1048576,'Background (from TC)'!$D$4:$D$1048576,J$15,'Background (from TC)'!$E$4:$E$1048576,J$16,'Background (from TC)'!$O$4:$O$1048576,J$17)))</f>
        <v>0.1</v>
      </c>
      <c r="K24" s="42">
        <f>IF(K22="","",IF(K22="User defined",K23,SUMIFS('Background (from TC)'!$AE$4:$AE$1048576,'Background (from TC)'!$D$4:$D$1048576,K$15,'Background (from TC)'!$E$4:$E$1048576,K$16,'Background (from TC)'!$O$4:$O$1048576,K$17)))</f>
        <v>0.1</v>
      </c>
      <c r="L24" s="42">
        <f>IF(L22="","",IF(L22="User defined",L23,SUMIFS('Background (from TC)'!$AE$4:$AE$1048576,'Background (from TC)'!$D$4:$D$1048576,L$15,'Background (from TC)'!$E$4:$E$1048576,L$16,'Background (from TC)'!$O$4:$O$1048576,L$17)))</f>
        <v>0.1</v>
      </c>
      <c r="M24" s="42">
        <f>IF(M22="","",IF(M22="User defined",M23,SUMIFS('Background (from TC)'!$AE$4:$AE$1048576,'Background (from TC)'!$D$4:$D$1048576,M$15,'Background (from TC)'!$E$4:$E$1048576,M$16,'Background (from TC)'!$O$4:$O$1048576,M$17)))</f>
        <v>0.1</v>
      </c>
      <c r="N24" s="42">
        <f>IF(N22="","",IF(N22="User defined",N23,SUMIFS('Background (from TC)'!$AE$4:$AE$1048576,'Background (from TC)'!$D$4:$D$1048576,N$15,'Background (from TC)'!$E$4:$E$1048576,N$16,'Background (from TC)'!$O$4:$O$1048576,N$17)))</f>
        <v>0.1</v>
      </c>
      <c r="O24" s="42">
        <f>IF(O22="","",IF(O22="User defined",O23,SUMIFS('Background (from TC)'!$AE$4:$AE$1048576,'Background (from TC)'!$D$4:$D$1048576,O$15,'Background (from TC)'!$E$4:$E$1048576,O$16,'Background (from TC)'!$O$4:$O$1048576,O$17)))</f>
        <v>0.1</v>
      </c>
      <c r="P24" s="42">
        <f>IF(P22="","",IF(P22="User defined",P23,SUMIFS('Background (from TC)'!$AE$4:$AE$1048576,'Background (from TC)'!$D$4:$D$1048576,P$15,'Background (from TC)'!$E$4:$E$1048576,P$16,'Background (from TC)'!$O$4:$O$1048576,P$17)))</f>
        <v>0.1</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f>IF(C22="","",-PMT(C24,C$18,1))</f>
        <v>0.10607924825263391</v>
      </c>
      <c r="D25" s="41">
        <f t="shared" ref="D25:Z25" si="0">IF(D22="","",-PMT(D24,D$18,1))</f>
        <v>0.10607924825263391</v>
      </c>
      <c r="E25" s="41">
        <f t="shared" si="0"/>
        <v>0.11016807219002085</v>
      </c>
      <c r="F25" s="41">
        <f t="shared" si="0"/>
        <v>0.11016807219002085</v>
      </c>
      <c r="G25" s="41">
        <f t="shared" si="0"/>
        <v>0.10032950922550408</v>
      </c>
      <c r="H25" s="41" t="str">
        <f t="shared" si="0"/>
        <v/>
      </c>
      <c r="I25" s="41">
        <f t="shared" si="0"/>
        <v>0.11016807219002085</v>
      </c>
      <c r="J25" s="41">
        <f t="shared" si="0"/>
        <v>0.10607924825263391</v>
      </c>
      <c r="K25" s="41">
        <f t="shared" si="0"/>
        <v>0.10085917404611995</v>
      </c>
      <c r="L25" s="41">
        <f t="shared" si="0"/>
        <v>0.10825764227617803</v>
      </c>
      <c r="M25" s="41">
        <f t="shared" si="0"/>
        <v>0.10825764227617803</v>
      </c>
      <c r="N25" s="41">
        <f t="shared" si="0"/>
        <v>0.10825764227617803</v>
      </c>
      <c r="O25" s="41">
        <f t="shared" si="0"/>
        <v>0.10825764227617803</v>
      </c>
      <c r="P25" s="41">
        <f t="shared" si="0"/>
        <v>0.11745962477254579</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57"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401"/>
      <c r="C27" s="19"/>
      <c r="D27" s="19"/>
      <c r="E27" s="19"/>
    </row>
    <row r="28" spans="2:26">
      <c r="B28" s="278" t="s">
        <v>50</v>
      </c>
      <c r="C28" s="61">
        <f>IF(C22="","",SUMIFS('Background (from TC)'!$F$4:$F$1048576,'Background (from TC)'!$D$4:$D$1048576,C$15,'Background (from TC)'!$E$4:$E$1048576,C$16,'Background (from TC)'!$O$4:$O$1048576,C$17))</f>
        <v>2022</v>
      </c>
      <c r="D28" s="61">
        <f>IF(D22="","",SUMIFS('Background (from TC)'!$F$4:$F$1048576,'Background (from TC)'!$D$4:$D$1048576,D$15,'Background (from TC)'!$E$4:$E$1048576,D$16,'Background (from TC)'!$O$4:$O$1048576,D$17))</f>
        <v>2022</v>
      </c>
      <c r="E28" s="61">
        <f>IF(E22="","",SUMIFS('Background (from TC)'!$F$4:$F$1048576,'Background (from TC)'!$D$4:$D$1048576,E$15,'Background (from TC)'!$E$4:$E$1048576,E$16,'Background (from TC)'!$O$4:$O$1048576,E$17))</f>
        <v>2022</v>
      </c>
      <c r="F28" s="61">
        <f>IF(F22="","",SUMIFS('Background (from TC)'!$F$4:$F$1048576,'Background (from TC)'!$D$4:$D$1048576,F$15,'Background (from TC)'!$E$4:$E$1048576,F$16,'Background (from TC)'!$O$4:$O$1048576,F$17))</f>
        <v>2022</v>
      </c>
      <c r="G28" s="61">
        <f>IF(G22="","",SUMIFS('Background (from TC)'!$F$4:$F$1048576,'Background (from TC)'!$D$4:$D$1048576,G$15,'Background (from TC)'!$E$4:$E$1048576,G$16,'Background (from TC)'!$O$4:$O$1048576,G$17))</f>
        <v>2022</v>
      </c>
      <c r="H28" s="61" t="str">
        <f>IF(H22="","",SUMIFS('Background (from TC)'!$F$4:$F$1048576,'Background (from TC)'!$D$4:$D$1048576,H$15,'Background (from TC)'!$E$4:$E$1048576,H$16,'Background (from TC)'!$O$4:$O$1048576,H$17))</f>
        <v/>
      </c>
      <c r="I28" s="61">
        <f>IF(I22="","",SUMIFS('Background (from TC)'!$F$4:$F$1048576,'Background (from TC)'!$D$4:$D$1048576,I$15,'Background (from TC)'!$E$4:$E$1048576,I$16,'Background (from TC)'!$O$4:$O$1048576,I$17))</f>
        <v>2022</v>
      </c>
      <c r="J28" s="61">
        <f>IF(J22="","",SUMIFS('Background (from TC)'!$F$4:$F$1048576,'Background (from TC)'!$D$4:$D$1048576,J$15,'Background (from TC)'!$E$4:$E$1048576,J$16,'Background (from TC)'!$O$4:$O$1048576,J$17))</f>
        <v>2022</v>
      </c>
      <c r="K28" s="61">
        <f>IF(K22="","",SUMIFS('Background (from TC)'!$F$4:$F$1048576,'Background (from TC)'!$D$4:$D$1048576,K$15,'Background (from TC)'!$E$4:$E$1048576,K$16,'Background (from TC)'!$O$4:$O$1048576,K$17))</f>
        <v>2022</v>
      </c>
      <c r="L28" s="61">
        <f>IF(L22="","",SUMIFS('Background (from TC)'!$F$4:$F$1048576,'Background (from TC)'!$D$4:$D$1048576,L$15,'Background (from TC)'!$E$4:$E$1048576,L$16,'Background (from TC)'!$O$4:$O$1048576,L$17))</f>
        <v>2022</v>
      </c>
      <c r="M28" s="61">
        <f>IF(M22="","",SUMIFS('Background (from TC)'!$F$4:$F$1048576,'Background (from TC)'!$D$4:$D$1048576,M$15,'Background (from TC)'!$E$4:$E$1048576,M$16,'Background (from TC)'!$O$4:$O$1048576,M$17))</f>
        <v>2022</v>
      </c>
      <c r="N28" s="61">
        <f>IF(N22="","",SUMIFS('Background (from TC)'!$F$4:$F$1048576,'Background (from TC)'!$D$4:$D$1048576,N$15,'Background (from TC)'!$E$4:$E$1048576,N$16,'Background (from TC)'!$O$4:$O$1048576,N$17))</f>
        <v>2022</v>
      </c>
      <c r="O28" s="61">
        <f>IF(O22="","",SUMIFS('Background (from TC)'!$F$4:$F$1048576,'Background (from TC)'!$D$4:$D$1048576,O$15,'Background (from TC)'!$E$4:$E$1048576,O$16,'Background (from TC)'!$O$4:$O$1048576,O$17))</f>
        <v>2022</v>
      </c>
      <c r="P28" s="61">
        <f>IF(P22="","",SUMIFS('Background (from TC)'!$F$4:$F$1048576,'Background (from TC)'!$D$4:$D$1048576,P$15,'Background (from TC)'!$E$4:$E$1048576,P$16,'Background (from TC)'!$O$4:$O$1048576,P$17))</f>
        <v>2022</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f>IF(C22="","",(1+$C$10)^($C$9-C28))</f>
        <v>1</v>
      </c>
      <c r="D29" s="402">
        <f t="shared" ref="D29:Z29" si="2">IF(D22="","",(1+$C$10)^($C$9-D28))</f>
        <v>1</v>
      </c>
      <c r="E29" s="402">
        <f t="shared" si="2"/>
        <v>1</v>
      </c>
      <c r="F29" s="402">
        <f t="shared" si="2"/>
        <v>1</v>
      </c>
      <c r="G29" s="402">
        <f t="shared" si="2"/>
        <v>1</v>
      </c>
      <c r="H29" s="402" t="str">
        <f t="shared" si="2"/>
        <v/>
      </c>
      <c r="I29" s="402">
        <f t="shared" si="2"/>
        <v>1</v>
      </c>
      <c r="J29" s="402">
        <f t="shared" si="2"/>
        <v>1</v>
      </c>
      <c r="K29" s="402">
        <f t="shared" si="2"/>
        <v>1</v>
      </c>
      <c r="L29" s="402">
        <f t="shared" si="2"/>
        <v>1</v>
      </c>
      <c r="M29" s="402">
        <f t="shared" si="2"/>
        <v>1</v>
      </c>
      <c r="N29" s="402">
        <f t="shared" si="2"/>
        <v>1</v>
      </c>
      <c r="O29" s="402">
        <f t="shared" si="2"/>
        <v>1</v>
      </c>
      <c r="P29" s="402">
        <f t="shared" si="2"/>
        <v>1</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5"/>
      <c r="C30" s="19"/>
      <c r="D30" s="19"/>
      <c r="E30" s="19"/>
    </row>
    <row r="31" spans="2:26" ht="15.75">
      <c r="B31" s="286" t="s">
        <v>52</v>
      </c>
    </row>
    <row r="32" spans="2:26">
      <c r="B32" s="278" t="s">
        <v>53</v>
      </c>
      <c r="C32" s="19" t="s">
        <v>54</v>
      </c>
      <c r="D32" s="19" t="s">
        <v>54</v>
      </c>
      <c r="E32" s="19" t="s">
        <v>54</v>
      </c>
      <c r="F32" s="19" t="s">
        <v>54</v>
      </c>
      <c r="G32" s="19" t="s">
        <v>54</v>
      </c>
      <c r="I32" s="19" t="s">
        <v>54</v>
      </c>
      <c r="J32" s="19" t="s">
        <v>46</v>
      </c>
      <c r="K32" s="19" t="s">
        <v>46</v>
      </c>
      <c r="L32" s="19" t="s">
        <v>46</v>
      </c>
      <c r="M32" s="19" t="s">
        <v>46</v>
      </c>
      <c r="N32" s="19" t="s">
        <v>46</v>
      </c>
      <c r="O32" s="19" t="s">
        <v>46</v>
      </c>
      <c r="P32" s="19" t="s">
        <v>46</v>
      </c>
    </row>
    <row r="33" spans="2:26">
      <c r="B33" s="278" t="s">
        <v>55</v>
      </c>
      <c r="C33" s="43">
        <v>7000</v>
      </c>
      <c r="D33" s="43">
        <v>7000</v>
      </c>
      <c r="E33" s="43">
        <v>5000</v>
      </c>
      <c r="F33" s="43">
        <v>5000</v>
      </c>
      <c r="G33" s="43">
        <v>7000</v>
      </c>
      <c r="H33" s="43"/>
      <c r="I33" s="43">
        <v>5000</v>
      </c>
      <c r="J33" s="43">
        <v>5000</v>
      </c>
      <c r="K33" s="43">
        <v>5000</v>
      </c>
      <c r="L33" s="43">
        <v>7500</v>
      </c>
      <c r="M33" s="43">
        <v>7500</v>
      </c>
      <c r="N33" s="43"/>
      <c r="O33" s="43"/>
      <c r="P33" s="43"/>
      <c r="Q33" s="43"/>
      <c r="R33" s="43"/>
      <c r="S33" s="43"/>
      <c r="T33" s="43"/>
      <c r="U33" s="43"/>
      <c r="V33" s="43"/>
      <c r="W33" s="43"/>
      <c r="X33" s="43"/>
      <c r="Y33" s="43"/>
      <c r="Z33" s="43"/>
    </row>
    <row r="34" spans="2:26" ht="15.75" thickBot="1">
      <c r="B34" s="278" t="s">
        <v>56</v>
      </c>
      <c r="C34" s="43">
        <f>IF(C32="","",IF(C32="User defined",C33,IF(SUMIFS('Background (from TC)'!$R$4:$R$1048576,'Background (from TC)'!$D$4:$D$1048576,C$15,'Background (from TC)'!$E$4:$E$1048576,C$16,'Background (from TC)'!$O$4:$O$1048576,C$17)=0,4000,SUMIFS('Background (from TC)'!$R$4:$R$1048576,'Background (from TC)'!$D$4:$D$1048576,C$15,'Background (from TC)'!$E$4:$E$1048576,C$16,'Background (from TC)'!$O$4:$O$1048576,C$17))))</f>
        <v>7000</v>
      </c>
      <c r="D34" s="43">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7000</v>
      </c>
      <c r="E34" s="43">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5000</v>
      </c>
      <c r="F34" s="43">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5000</v>
      </c>
      <c r="G34" s="43">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7000</v>
      </c>
      <c r="H34" s="43" t="str">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
      </c>
      <c r="I34" s="43">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5000</v>
      </c>
      <c r="J34" s="43">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7008</v>
      </c>
      <c r="K34" s="43">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4467.6000000000004</v>
      </c>
      <c r="L34" s="43">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1790.9999999999998</v>
      </c>
      <c r="M34" s="43">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1840.7499999999998</v>
      </c>
      <c r="N34" s="43">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2384.1215999999999</v>
      </c>
      <c r="O34" s="43">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3066</v>
      </c>
      <c r="P34" s="43">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2945.4623999999999</v>
      </c>
      <c r="Q34" s="43"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43"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43"/>
      <c r="T34" s="43"/>
      <c r="U34" s="43"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43"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43"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43"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43"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43"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2:26" ht="15.75" thickBot="1">
      <c r="B35" s="273" t="s">
        <v>43</v>
      </c>
      <c r="C35" s="258" t="str">
        <f>IF(AND(C32="User defined",C33=""),"Insert value above",IF(AND(C32="User defined",OR(C33&lt;0,C33&gt;8760)),"Value should be between 0 and 8760",IF(AND(C32="Generic",OR(C34=0,NOT(ISNUMBER(C34)))),"Absence of generic data, please switch to User Defined and insert FLHs","")))</f>
        <v/>
      </c>
      <c r="D35" s="258" t="str">
        <f t="shared" ref="D35:Z35" si="3">IF(AND(D32="User defined",D33=""),"Insert value above",IF(AND(D32="User defined",OR(D33&lt;0,D33&gt;8760)),"Value should be between 0 and 8760",IF(AND(D32="Generic",OR(D34=0,NOT(ISNUMBER(D34)))),"Absence of generic data, please switch to User Defined and insert FLHs","")))</f>
        <v/>
      </c>
      <c r="E35" s="258" t="str">
        <f t="shared" si="3"/>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8" t="str">
        <f t="shared" si="3"/>
        <v/>
      </c>
    </row>
    <row r="36" spans="2:26">
      <c r="B36" s="15"/>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2:26" ht="15.75">
      <c r="B37" s="286" t="s">
        <v>57</v>
      </c>
      <c r="C37" s="19"/>
      <c r="D37" s="19"/>
      <c r="E37" s="19"/>
    </row>
    <row r="38" spans="2:26">
      <c r="B38" s="278" t="s">
        <v>58</v>
      </c>
      <c r="C38" s="19"/>
      <c r="D38" s="19"/>
      <c r="E38" s="19"/>
      <c r="G38" s="19" t="s">
        <v>46</v>
      </c>
      <c r="H38" s="19" t="s">
        <v>46</v>
      </c>
      <c r="K38" s="19" t="s">
        <v>54</v>
      </c>
      <c r="L38" s="19" t="s">
        <v>54</v>
      </c>
      <c r="S38" s="19" t="s">
        <v>54</v>
      </c>
      <c r="T38" s="19" t="s">
        <v>54</v>
      </c>
    </row>
    <row r="39" spans="2:26">
      <c r="B39" s="278" t="s">
        <v>59</v>
      </c>
      <c r="C39" s="44"/>
      <c r="D39" s="44"/>
      <c r="E39" s="44"/>
      <c r="F39" s="44"/>
      <c r="G39" s="44"/>
      <c r="H39" s="44"/>
      <c r="I39" s="44"/>
      <c r="J39" s="44"/>
      <c r="K39" s="44">
        <v>3</v>
      </c>
      <c r="L39" s="44">
        <v>3</v>
      </c>
      <c r="M39" s="44"/>
      <c r="N39" s="44"/>
      <c r="O39" s="44"/>
      <c r="P39" s="44"/>
      <c r="Q39" s="44"/>
      <c r="R39" s="44"/>
      <c r="S39" s="44">
        <v>3</v>
      </c>
      <c r="T39" s="44">
        <v>3</v>
      </c>
      <c r="U39" s="44"/>
      <c r="V39" s="44"/>
      <c r="W39" s="44"/>
      <c r="X39" s="44"/>
      <c r="Y39" s="44"/>
      <c r="Z39" s="44"/>
    </row>
    <row r="40" spans="2:26">
      <c r="B40" s="278" t="s">
        <v>60</v>
      </c>
      <c r="C40" s="44"/>
      <c r="D40" s="44"/>
      <c r="E40" s="44"/>
      <c r="F40" s="44"/>
      <c r="G40" s="44"/>
      <c r="H40" s="44"/>
      <c r="I40" s="44"/>
      <c r="J40" s="44"/>
      <c r="K40" s="44">
        <v>1</v>
      </c>
      <c r="L40" s="44">
        <v>1</v>
      </c>
      <c r="M40" s="44"/>
      <c r="N40" s="44"/>
      <c r="O40" s="44"/>
      <c r="P40" s="44"/>
      <c r="Q40" s="44"/>
      <c r="R40" s="44"/>
      <c r="S40" s="44">
        <v>1</v>
      </c>
      <c r="T40" s="44">
        <v>1</v>
      </c>
      <c r="U40" s="44"/>
      <c r="V40" s="44"/>
      <c r="W40" s="44"/>
      <c r="X40" s="44"/>
      <c r="Y40" s="44"/>
      <c r="Z40" s="44"/>
    </row>
    <row r="41" spans="2:26">
      <c r="B41" s="278" t="s">
        <v>61</v>
      </c>
      <c r="C41" s="44"/>
      <c r="D41" s="44"/>
      <c r="E41" s="44"/>
      <c r="F41" s="44"/>
      <c r="G41" s="44"/>
      <c r="H41" s="44"/>
      <c r="I41" s="44"/>
      <c r="J41" s="44"/>
      <c r="K41" s="44">
        <v>1</v>
      </c>
      <c r="L41" s="44">
        <v>1</v>
      </c>
      <c r="M41" s="44"/>
      <c r="N41" s="44"/>
      <c r="O41" s="44"/>
      <c r="P41" s="44"/>
      <c r="Q41" s="44"/>
      <c r="R41" s="44"/>
      <c r="S41" s="44">
        <v>1</v>
      </c>
      <c r="T41" s="44">
        <v>1</v>
      </c>
      <c r="U41" s="44"/>
      <c r="V41" s="44"/>
      <c r="W41" s="44"/>
      <c r="X41" s="44"/>
      <c r="Y41" s="44"/>
      <c r="Z41" s="44"/>
    </row>
    <row r="42" spans="2:26">
      <c r="B42" s="278" t="s">
        <v>62</v>
      </c>
      <c r="C42" s="44" t="str">
        <f>IF(C15="","",IF(C15&lt;&gt;"Storage","",IF(C$38="User Defined",C$39,SUMIFS('Background (from TC)'!$Y$4:$Y$1048576,'Background (from TC)'!$D$4:$D$1048576,C$15,'Background (from TC)'!$E$4:$E$1048576,C$16,'Background (from TC)'!$O$4:$O$1048576,C$17))))</f>
        <v/>
      </c>
      <c r="D42" s="44" t="str">
        <f>IF(D15="","",IF(D15&lt;&gt;"Storage","",IF(D$38="User Defined",D$39,SUMIFS('Background (from TC)'!$Y$4:$Y$1048576,'Background (from TC)'!$D$4:$D$1048576,D$15,'Background (from TC)'!$E$4:$E$1048576,D$16,'Background (from TC)'!$O$4:$O$1048576,D$17))))</f>
        <v/>
      </c>
      <c r="E42" s="44" t="str">
        <f>IF(E15="","",IF(E15&lt;&gt;"Storage","",IF(E$38="User Defined",E$39,SUMIFS('Background (from TC)'!$Y$4:$Y$1048576,'Background (from TC)'!$D$4:$D$1048576,E$15,'Background (from TC)'!$E$4:$E$1048576,E$16,'Background (from TC)'!$O$4:$O$1048576,E$17))))</f>
        <v/>
      </c>
      <c r="F42" s="44" t="str">
        <f>IF(F15="","",IF(F15&lt;&gt;"Storage","",IF(F$38="User Defined",F$39,SUMIFS('Background (from TC)'!$Y$4:$Y$1048576,'Background (from TC)'!$D$4:$D$1048576,F$15,'Background (from TC)'!$E$4:$E$1048576,F$16,'Background (from TC)'!$O$4:$O$1048576,F$17))))</f>
        <v/>
      </c>
      <c r="G42" s="44" t="str">
        <f>IF(G15="","",IF(G15&lt;&gt;"Storage","",IF(G$38="User Defined",G$39,SUMIFS('Background (from TC)'!$Y$4:$Y$1048576,'Background (from TC)'!$D$4:$D$1048576,G$15,'Background (from TC)'!$E$4:$E$1048576,G$16,'Background (from TC)'!$O$4:$O$1048576,G$17))))</f>
        <v/>
      </c>
      <c r="H42" s="44" t="str">
        <f>IF(H15="","",IF(H15&lt;&gt;"Storage","",IF(H$38="User Defined",H$39,SUMIFS('Background (from TC)'!$Y$4:$Y$1048576,'Background (from TC)'!$D$4:$D$1048576,H$15,'Background (from TC)'!$E$4:$E$1048576,H$16,'Background (from TC)'!$O$4:$O$1048576,H$17))))</f>
        <v/>
      </c>
      <c r="I42" s="44" t="str">
        <f>IF(I15="","",IF(I15&lt;&gt;"Storage","",IF(I$38="User Defined",I$39,SUMIFS('Background (from TC)'!$Y$4:$Y$1048576,'Background (from TC)'!$D$4:$D$1048576,I$15,'Background (from TC)'!$E$4:$E$1048576,I$16,'Background (from TC)'!$O$4:$O$1048576,I$17))))</f>
        <v/>
      </c>
      <c r="J42" s="44" t="str">
        <f>IF(J15="","",IF(J15&lt;&gt;"Storage","",IF(J$38="User Defined",J$39,SUMIFS('Background (from TC)'!$Y$4:$Y$1048576,'Background (from TC)'!$D$4:$D$1048576,J$15,'Background (from TC)'!$E$4:$E$1048576,J$16,'Background (from TC)'!$O$4:$O$1048576,J$17))))</f>
        <v/>
      </c>
      <c r="K42" s="44" t="str">
        <f>IF(K15="","",IF(K15&lt;&gt;"Storage","",IF(K$38="User Defined",K$39,SUMIFS('Background (from TC)'!$Y$4:$Y$1048576,'Background (from TC)'!$D$4:$D$1048576,K$15,'Background (from TC)'!$E$4:$E$1048576,K$16,'Background (from TC)'!$O$4:$O$1048576,K$17))))</f>
        <v/>
      </c>
      <c r="L42" s="44" t="str">
        <f>IF(L15="","",IF(L15&lt;&gt;"Storage","",IF(L$38="User Defined",L$39,SUMIFS('Background (from TC)'!$Y$4:$Y$1048576,'Background (from TC)'!$D$4:$D$1048576,L$15,'Background (from TC)'!$E$4:$E$1048576,L$16,'Background (from TC)'!$O$4:$O$1048576,L$17))))</f>
        <v/>
      </c>
      <c r="M42" s="44" t="str">
        <f>IF(M15="","",IF(M15&lt;&gt;"Storage","",IF(M$38="User Defined",M$39,SUMIFS('Background (from TC)'!$Y$4:$Y$1048576,'Background (from TC)'!$D$4:$D$1048576,M$15,'Background (from TC)'!$E$4:$E$1048576,M$16,'Background (from TC)'!$O$4:$O$1048576,M$17))))</f>
        <v/>
      </c>
      <c r="N42" s="44" t="str">
        <f>IF(N15="","",IF(N15&lt;&gt;"Storage","",IF(N$38="User Defined",N$39,SUMIFS('Background (from TC)'!$Y$4:$Y$1048576,'Background (from TC)'!$D$4:$D$1048576,N$15,'Background (from TC)'!$E$4:$E$1048576,N$16,'Background (from TC)'!$O$4:$O$1048576,N$17))))</f>
        <v/>
      </c>
      <c r="O42" s="44" t="str">
        <f>IF(O15="","",IF(O15&lt;&gt;"Storage","",IF(O$38="User Defined",O$39,SUMIFS('Background (from TC)'!$Y$4:$Y$1048576,'Background (from TC)'!$D$4:$D$1048576,O$15,'Background (from TC)'!$E$4:$E$1048576,O$16,'Background (from TC)'!$O$4:$O$1048576,O$17))))</f>
        <v/>
      </c>
      <c r="P42" s="44" t="str">
        <f>IF(P15="","",IF(P15&lt;&gt;"Storage","",IF(P$38="User Defined",P$39,SUMIFS('Background (from TC)'!$Y$4:$Y$1048576,'Background (from TC)'!$D$4:$D$1048576,P$15,'Background (from TC)'!$E$4:$E$1048576,P$16,'Background (from TC)'!$O$4:$O$1048576,P$17))))</f>
        <v/>
      </c>
      <c r="Q42" s="44" t="str">
        <f>IF(Q15="","",IF(Q15&lt;&gt;"Storage","",IF(Q$38="User Defined",Q$39,SUMIFS('Background (from TC)'!$Y$4:$Y$1048576,'Background (from TC)'!$D$4:$D$1048576,Q$15,'Background (from TC)'!$E$4:$E$1048576,Q$16,'Background (from TC)'!$O$4:$O$1048576,Q$17))))</f>
        <v/>
      </c>
      <c r="R42" s="44" t="str">
        <f>IF(R15="","",IF(R15&lt;&gt;"Storage","",IF(R$38="User Defined",R$39,SUMIFS('Background (from TC)'!$Y$4:$Y$1048576,'Background (from TC)'!$D$4:$D$1048576,R$15,'Background (from TC)'!$E$4:$E$1048576,R$16,'Background (from TC)'!$O$4:$O$1048576,R$17))))</f>
        <v/>
      </c>
      <c r="S42" s="44" t="str">
        <f>IF(S15="","",IF(S15&lt;&gt;"Storage","",IF(S$38="User Defined",S$39,SUMIFS('Background (from TC)'!$Y$4:$Y$1048576,'Background (from TC)'!$D$4:$D$1048576,S$15,'Background (from TC)'!$E$4:$E$1048576,S$16,'Background (from TC)'!$O$4:$O$1048576,S$17))))</f>
        <v/>
      </c>
      <c r="T42" s="44" t="str">
        <f>IF(T15="","",IF(T15&lt;&gt;"Storage","",IF(T$38="User Defined",T$39,SUMIFS('Background (from TC)'!$Y$4:$Y$1048576,'Background (from TC)'!$D$4:$D$1048576,T$15,'Background (from TC)'!$E$4:$E$1048576,T$16,'Background (from TC)'!$O$4:$O$1048576,T$17))))</f>
        <v/>
      </c>
      <c r="U42" s="44" t="str">
        <f>IF(U15="","",IF(U15&lt;&gt;"Storage","",IF(U$38="User Defined",U$39,SUMIFS('Background (from TC)'!$Y$4:$Y$1048576,'Background (from TC)'!$D$4:$D$1048576,U$15,'Background (from TC)'!$E$4:$E$1048576,U$16,'Background (from TC)'!$O$4:$O$1048576,U$17))))</f>
        <v/>
      </c>
      <c r="V42" s="44" t="str">
        <f>IF(V15="","",IF(V15&lt;&gt;"Storage","",IF(V$38="User Defined",V$39,SUMIFS('Background (from TC)'!$Y$4:$Y$1048576,'Background (from TC)'!$D$4:$D$1048576,V$15,'Background (from TC)'!$E$4:$E$1048576,V$16,'Background (from TC)'!$O$4:$O$1048576,V$17))))</f>
        <v/>
      </c>
      <c r="W42" s="44" t="str">
        <f>IF(W15="","",IF(W15&lt;&gt;"Storage","",IF(W$38="User Defined",W$39,SUMIFS('Background (from TC)'!$Y$4:$Y$1048576,'Background (from TC)'!$D$4:$D$1048576,W$15,'Background (from TC)'!$E$4:$E$1048576,W$16,'Background (from TC)'!$O$4:$O$1048576,W$17))))</f>
        <v/>
      </c>
      <c r="X42" s="44" t="str">
        <f>IF(X15="","",IF(X15&lt;&gt;"Storage","",IF(X$38="User Defined",X$39,SUMIFS('Background (from TC)'!$Y$4:$Y$1048576,'Background (from TC)'!$D$4:$D$1048576,X$15,'Background (from TC)'!$E$4:$E$1048576,X$16,'Background (from TC)'!$O$4:$O$1048576,X$17))))</f>
        <v/>
      </c>
      <c r="Y42" s="44" t="str">
        <f>IF(Y15="","",IF(Y15&lt;&gt;"Storage","",IF(Y$38="User Defined",Y$39,SUMIFS('Background (from TC)'!$Y$4:$Y$1048576,'Background (from TC)'!$D$4:$D$1048576,Y$15,'Background (from TC)'!$E$4:$E$1048576,Y$16,'Background (from TC)'!$O$4:$O$1048576,Y$17))))</f>
        <v/>
      </c>
      <c r="Z42" s="44" t="str">
        <f>IF(Z15="","",IF(Z15&lt;&gt;"Storage","",IF(Z$38="User Defined",Z$39,SUMIFS('Background (from TC)'!$Y$4:$Y$1048576,'Background (from TC)'!$D$4:$D$1048576,Z$15,'Background (from TC)'!$E$4:$E$1048576,Z$16,'Background (from TC)'!$O$4:$O$1048576,Z$17))))</f>
        <v/>
      </c>
    </row>
    <row r="43" spans="2:26">
      <c r="B43" s="278" t="s">
        <v>63</v>
      </c>
      <c r="C43" s="44" t="str">
        <f>IF(C15="","",IF(C15&lt;&gt;"Storage","",IF(C$38="User Defined",C$40,SUMIFS('Background (from TC)'!$Z$4:$Z$1048576,'Background (from TC)'!$D$4:$D$1048576,C$15,'Background (from TC)'!$E$4:$E$1048576,C$16,'Background (from TC)'!$O$4:$O$1048576,C$17))))</f>
        <v/>
      </c>
      <c r="D43" s="44" t="str">
        <f>IF(D15="","",IF(D15&lt;&gt;"Storage","",IF(D$38="User Defined",D$40,SUMIFS('Background (from TC)'!$Z$4:$Z$1048576,'Background (from TC)'!$D$4:$D$1048576,D$15,'Background (from TC)'!$E$4:$E$1048576,D$16,'Background (from TC)'!$O$4:$O$1048576,D$17))))</f>
        <v/>
      </c>
      <c r="E43" s="44" t="str">
        <f>IF(E15="","",IF(E15&lt;&gt;"Storage","",IF(E$38="User Defined",E$40,SUMIFS('Background (from TC)'!$Z$4:$Z$1048576,'Background (from TC)'!$D$4:$D$1048576,E$15,'Background (from TC)'!$E$4:$E$1048576,E$16,'Background (from TC)'!$O$4:$O$1048576,E$17))))</f>
        <v/>
      </c>
      <c r="F43" s="44" t="str">
        <f>IF(F15="","",IF(F15&lt;&gt;"Storage","",IF(F$38="User Defined",F$40,SUMIFS('Background (from TC)'!$Z$4:$Z$1048576,'Background (from TC)'!$D$4:$D$1048576,F$15,'Background (from TC)'!$E$4:$E$1048576,F$16,'Background (from TC)'!$O$4:$O$1048576,F$17))))</f>
        <v/>
      </c>
      <c r="G43" s="44" t="str">
        <f>IF(G15="","",IF(G15&lt;&gt;"Storage","",IF(G$38="User Defined",G$40,SUMIFS('Background (from TC)'!$Z$4:$Z$1048576,'Background (from TC)'!$D$4:$D$1048576,G$15,'Background (from TC)'!$E$4:$E$1048576,G$16,'Background (from TC)'!$O$4:$O$1048576,G$17))))</f>
        <v/>
      </c>
      <c r="H43" s="44" t="str">
        <f>IF(H15="","",IF(H15&lt;&gt;"Storage","",IF(H$38="User Defined",H$40,SUMIFS('Background (from TC)'!$Z$4:$Z$1048576,'Background (from TC)'!$D$4:$D$1048576,H$15,'Background (from TC)'!$E$4:$E$1048576,H$16,'Background (from TC)'!$O$4:$O$1048576,H$17))))</f>
        <v/>
      </c>
      <c r="I43" s="44" t="str">
        <f>IF(I15="","",IF(I15&lt;&gt;"Storage","",IF(I$38="User Defined",I$40,SUMIFS('Background (from TC)'!$Z$4:$Z$1048576,'Background (from TC)'!$D$4:$D$1048576,I$15,'Background (from TC)'!$E$4:$E$1048576,I$16,'Background (from TC)'!$O$4:$O$1048576,I$17))))</f>
        <v/>
      </c>
      <c r="J43" s="44" t="str">
        <f>IF(J15="","",IF(J15&lt;&gt;"Storage","",IF(J$38="User Defined",J$40,SUMIFS('Background (from TC)'!$Z$4:$Z$1048576,'Background (from TC)'!$D$4:$D$1048576,J$15,'Background (from TC)'!$E$4:$E$1048576,J$16,'Background (from TC)'!$O$4:$O$1048576,J$17))))</f>
        <v/>
      </c>
      <c r="K43" s="44" t="str">
        <f>IF(K15="","",IF(K15&lt;&gt;"Storage","",IF(K$38="User Defined",K$40,SUMIFS('Background (from TC)'!$Z$4:$Z$1048576,'Background (from TC)'!$D$4:$D$1048576,K$15,'Background (from TC)'!$E$4:$E$1048576,K$16,'Background (from TC)'!$O$4:$O$1048576,K$17))))</f>
        <v/>
      </c>
      <c r="L43" s="44" t="str">
        <f>IF(L15="","",IF(L15&lt;&gt;"Storage","",IF(L$38="User Defined",L$40,SUMIFS('Background (from TC)'!$Z$4:$Z$1048576,'Background (from TC)'!$D$4:$D$1048576,L$15,'Background (from TC)'!$E$4:$E$1048576,L$16,'Background (from TC)'!$O$4:$O$1048576,L$17))))</f>
        <v/>
      </c>
      <c r="M43" s="44" t="str">
        <f>IF(M15="","",IF(M15&lt;&gt;"Storage","",IF(M$38="User Defined",M$40,SUMIFS('Background (from TC)'!$Z$4:$Z$1048576,'Background (from TC)'!$D$4:$D$1048576,M$15,'Background (from TC)'!$E$4:$E$1048576,M$16,'Background (from TC)'!$O$4:$O$1048576,M$17))))</f>
        <v/>
      </c>
      <c r="N43" s="44" t="str">
        <f>IF(N15="","",IF(N15&lt;&gt;"Storage","",IF(N$38="User Defined",N$40,SUMIFS('Background (from TC)'!$Z$4:$Z$1048576,'Background (from TC)'!$D$4:$D$1048576,N$15,'Background (from TC)'!$E$4:$E$1048576,N$16,'Background (from TC)'!$O$4:$O$1048576,N$17))))</f>
        <v/>
      </c>
      <c r="O43" s="44" t="str">
        <f>IF(O15="","",IF(O15&lt;&gt;"Storage","",IF(O$38="User Defined",O$40,SUMIFS('Background (from TC)'!$Z$4:$Z$1048576,'Background (from TC)'!$D$4:$D$1048576,O$15,'Background (from TC)'!$E$4:$E$1048576,O$16,'Background (from TC)'!$O$4:$O$1048576,O$17))))</f>
        <v/>
      </c>
      <c r="P43" s="44" t="str">
        <f>IF(P15="","",IF(P15&lt;&gt;"Storage","",IF(P$38="User Defined",P$40,SUMIFS('Background (from TC)'!$Z$4:$Z$1048576,'Background (from TC)'!$D$4:$D$1048576,P$15,'Background (from TC)'!$E$4:$E$1048576,P$16,'Background (from TC)'!$O$4:$O$1048576,P$17))))</f>
        <v/>
      </c>
      <c r="Q43" s="44" t="str">
        <f>IF(Q15="","",IF(Q15&lt;&gt;"Storage","",IF(Q$38="User Defined",Q$40,SUMIFS('Background (from TC)'!$Z$4:$Z$1048576,'Background (from TC)'!$D$4:$D$1048576,Q$15,'Background (from TC)'!$E$4:$E$1048576,Q$16,'Background (from TC)'!$O$4:$O$1048576,Q$17))))</f>
        <v/>
      </c>
      <c r="R43" s="44" t="str">
        <f>IF(R15="","",IF(R15&lt;&gt;"Storage","",IF(R$38="User Defined",R$40,SUMIFS('Background (from TC)'!$Z$4:$Z$1048576,'Background (from TC)'!$D$4:$D$1048576,R$15,'Background (from TC)'!$E$4:$E$1048576,R$16,'Background (from TC)'!$O$4:$O$1048576,R$17))))</f>
        <v/>
      </c>
      <c r="S43" s="44" t="str">
        <f>IF(S15="","",IF(S15&lt;&gt;"Storage","",IF(S$38="User Defined",S$40,SUMIFS('Background (from TC)'!$Z$4:$Z$1048576,'Background (from TC)'!$D$4:$D$1048576,S$15,'Background (from TC)'!$E$4:$E$1048576,S$16,'Background (from TC)'!$O$4:$O$1048576,S$17))))</f>
        <v/>
      </c>
      <c r="T43" s="44" t="str">
        <f>IF(T15="","",IF(T15&lt;&gt;"Storage","",IF(T$38="User Defined",T$40,SUMIFS('Background (from TC)'!$Z$4:$Z$1048576,'Background (from TC)'!$D$4:$D$1048576,T$15,'Background (from TC)'!$E$4:$E$1048576,T$16,'Background (from TC)'!$O$4:$O$1048576,T$17))))</f>
        <v/>
      </c>
      <c r="U43" s="44" t="str">
        <f>IF(U15="","",IF(U15&lt;&gt;"Storage","",IF(U$38="User Defined",U$40,SUMIFS('Background (from TC)'!$Z$4:$Z$1048576,'Background (from TC)'!$D$4:$D$1048576,U$15,'Background (from TC)'!$E$4:$E$1048576,U$16,'Background (from TC)'!$O$4:$O$1048576,U$17))))</f>
        <v/>
      </c>
      <c r="V43" s="44" t="str">
        <f>IF(V15="","",IF(V15&lt;&gt;"Storage","",IF(V$38="User Defined",V$40,SUMIFS('Background (from TC)'!$Z$4:$Z$1048576,'Background (from TC)'!$D$4:$D$1048576,V$15,'Background (from TC)'!$E$4:$E$1048576,V$16,'Background (from TC)'!$O$4:$O$1048576,V$17))))</f>
        <v/>
      </c>
      <c r="W43" s="44" t="str">
        <f>IF(W15="","",IF(W15&lt;&gt;"Storage","",IF(W$38="User Defined",W$40,SUMIFS('Background (from TC)'!$Z$4:$Z$1048576,'Background (from TC)'!$D$4:$D$1048576,W$15,'Background (from TC)'!$E$4:$E$1048576,W$16,'Background (from TC)'!$O$4:$O$1048576,W$17))))</f>
        <v/>
      </c>
      <c r="X43" s="44" t="str">
        <f>IF(X15="","",IF(X15&lt;&gt;"Storage","",IF(X$38="User Defined",X$40,SUMIFS('Background (from TC)'!$Z$4:$Z$1048576,'Background (from TC)'!$D$4:$D$1048576,X$15,'Background (from TC)'!$E$4:$E$1048576,X$16,'Background (from TC)'!$O$4:$O$1048576,X$17))))</f>
        <v/>
      </c>
      <c r="Y43" s="44" t="str">
        <f>IF(Y15="","",IF(Y15&lt;&gt;"Storage","",IF(Y$38="User Defined",Y$40,SUMIFS('Background (from TC)'!$Z$4:$Z$1048576,'Background (from TC)'!$D$4:$D$1048576,Y$15,'Background (from TC)'!$E$4:$E$1048576,Y$16,'Background (from TC)'!$O$4:$O$1048576,Y$17))))</f>
        <v/>
      </c>
      <c r="Z43" s="44" t="str">
        <f>IF(Z15="","",IF(Z15&lt;&gt;"Storage","",IF(Z$38="User Defined",Z$40,SUMIFS('Background (from TC)'!$Z$4:$Z$1048576,'Background (from TC)'!$D$4:$D$1048576,Z$15,'Background (from TC)'!$E$4:$E$1048576,Z$16,'Background (from TC)'!$O$4:$O$1048576,Z$17))))</f>
        <v/>
      </c>
    </row>
    <row r="44" spans="2:26">
      <c r="B44" s="278" t="s">
        <v>64</v>
      </c>
      <c r="C44" s="44" t="str">
        <f>IF(C15="","",IF(C15&lt;&gt;"Storage","",IF(C$38="User Defined",C$41,SUMIFS('Background (from TC)'!$AA$4:$AA$1048576,'Background (from TC)'!$D$4:$D$1048576,C$15,'Background (from TC)'!$E$4:$E$1048576,C$16,'Background (from TC)'!$O$4:$O$1048576,C$17))))</f>
        <v/>
      </c>
      <c r="D44" s="44" t="str">
        <f>IF(D15="","",IF(D15&lt;&gt;"Storage","",IF(D$38="User Defined",D$41,SUMIFS('Background (from TC)'!$AA$4:$AA$1048576,'Background (from TC)'!$D$4:$D$1048576,D$15,'Background (from TC)'!$E$4:$E$1048576,D$16,'Background (from TC)'!$O$4:$O$1048576,D$17))))</f>
        <v/>
      </c>
      <c r="E44" s="44" t="str">
        <f>IF(E15="","",IF(E15&lt;&gt;"Storage","",IF(E$38="User Defined",E$41,SUMIFS('Background (from TC)'!$AA$4:$AA$1048576,'Background (from TC)'!$D$4:$D$1048576,E$15,'Background (from TC)'!$E$4:$E$1048576,E$16,'Background (from TC)'!$O$4:$O$1048576,E$17))))</f>
        <v/>
      </c>
      <c r="F44" s="44" t="str">
        <f>IF(F15="","",IF(F15&lt;&gt;"Storage","",IF(F$38="User Defined",F$41,SUMIFS('Background (from TC)'!$AA$4:$AA$1048576,'Background (from TC)'!$D$4:$D$1048576,F$15,'Background (from TC)'!$E$4:$E$1048576,F$16,'Background (from TC)'!$O$4:$O$1048576,F$17))))</f>
        <v/>
      </c>
      <c r="G44" s="44" t="str">
        <f>IF(G15="","",IF(G15&lt;&gt;"Storage","",IF(G$38="User Defined",G$41,SUMIFS('Background (from TC)'!$AA$4:$AA$1048576,'Background (from TC)'!$D$4:$D$1048576,G$15,'Background (from TC)'!$E$4:$E$1048576,G$16,'Background (from TC)'!$O$4:$O$1048576,G$17))))</f>
        <v/>
      </c>
      <c r="H44" s="44" t="str">
        <f>IF(H15="","",IF(H15&lt;&gt;"Storage","",IF(H$38="User Defined",H$41,SUMIFS('Background (from TC)'!$AA$4:$AA$1048576,'Background (from TC)'!$D$4:$D$1048576,H$15,'Background (from TC)'!$E$4:$E$1048576,H$16,'Background (from TC)'!$O$4:$O$1048576,H$17))))</f>
        <v/>
      </c>
      <c r="I44" s="44" t="str">
        <f>IF(I15="","",IF(I15&lt;&gt;"Storage","",IF(I$38="User Defined",I$41,SUMIFS('Background (from TC)'!$AA$4:$AA$1048576,'Background (from TC)'!$D$4:$D$1048576,I$15,'Background (from TC)'!$E$4:$E$1048576,I$16,'Background (from TC)'!$O$4:$O$1048576,I$17))))</f>
        <v/>
      </c>
      <c r="J44" s="44" t="str">
        <f>IF(J15="","",IF(J15&lt;&gt;"Storage","",IF(J$38="User Defined",J$41,SUMIFS('Background (from TC)'!$AA$4:$AA$1048576,'Background (from TC)'!$D$4:$D$1048576,J$15,'Background (from TC)'!$E$4:$E$1048576,J$16,'Background (from TC)'!$O$4:$O$1048576,J$17))))</f>
        <v/>
      </c>
      <c r="K44" s="44" t="str">
        <f>IF(K15="","",IF(K15&lt;&gt;"Storage","",IF(K$38="User Defined",K$41,SUMIFS('Background (from TC)'!$AA$4:$AA$1048576,'Background (from TC)'!$D$4:$D$1048576,K$15,'Background (from TC)'!$E$4:$E$1048576,K$16,'Background (from TC)'!$O$4:$O$1048576,K$17))))</f>
        <v/>
      </c>
      <c r="L44" s="44" t="str">
        <f>IF(L15="","",IF(L15&lt;&gt;"Storage","",IF(L$38="User Defined",L$41,SUMIFS('Background (from TC)'!$AA$4:$AA$1048576,'Background (from TC)'!$D$4:$D$1048576,L$15,'Background (from TC)'!$E$4:$E$1048576,L$16,'Background (from TC)'!$O$4:$O$1048576,L$17))))</f>
        <v/>
      </c>
      <c r="M44" s="44" t="str">
        <f>IF(M15="","",IF(M15&lt;&gt;"Storage","",IF(M$38="User Defined",M$41,SUMIFS('Background (from TC)'!$AA$4:$AA$1048576,'Background (from TC)'!$D$4:$D$1048576,M$15,'Background (from TC)'!$E$4:$E$1048576,M$16,'Background (from TC)'!$O$4:$O$1048576,M$17))))</f>
        <v/>
      </c>
      <c r="N44" s="44" t="str">
        <f>IF(N15="","",IF(N15&lt;&gt;"Storage","",IF(N$38="User Defined",N$41,SUMIFS('Background (from TC)'!$AA$4:$AA$1048576,'Background (from TC)'!$D$4:$D$1048576,N$15,'Background (from TC)'!$E$4:$E$1048576,N$16,'Background (from TC)'!$O$4:$O$1048576,N$17))))</f>
        <v/>
      </c>
      <c r="O44" s="44" t="str">
        <f>IF(O15="","",IF(O15&lt;&gt;"Storage","",IF(O$38="User Defined",O$41,SUMIFS('Background (from TC)'!$AA$4:$AA$1048576,'Background (from TC)'!$D$4:$D$1048576,O$15,'Background (from TC)'!$E$4:$E$1048576,O$16,'Background (from TC)'!$O$4:$O$1048576,O$17))))</f>
        <v/>
      </c>
      <c r="P44" s="44" t="str">
        <f>IF(P15="","",IF(P15&lt;&gt;"Storage","",IF(P$38="User Defined",P$41,SUMIFS('Background (from TC)'!$AA$4:$AA$1048576,'Background (from TC)'!$D$4:$D$1048576,P$15,'Background (from TC)'!$E$4:$E$1048576,P$16,'Background (from TC)'!$O$4:$O$1048576,P$17))))</f>
        <v/>
      </c>
      <c r="Q44" s="44" t="str">
        <f>IF(Q15="","",IF(Q15&lt;&gt;"Storage","",IF(Q$38="User Defined",Q$41,SUMIFS('Background (from TC)'!$AA$4:$AA$1048576,'Background (from TC)'!$D$4:$D$1048576,Q$15,'Background (from TC)'!$E$4:$E$1048576,Q$16,'Background (from TC)'!$O$4:$O$1048576,Q$17))))</f>
        <v/>
      </c>
      <c r="R44" s="44" t="str">
        <f>IF(R15="","",IF(R15&lt;&gt;"Storage","",IF(R$38="User Defined",R$41,SUMIFS('Background (from TC)'!$AA$4:$AA$1048576,'Background (from TC)'!$D$4:$D$1048576,R$15,'Background (from TC)'!$E$4:$E$1048576,R$16,'Background (from TC)'!$O$4:$O$1048576,R$17))))</f>
        <v/>
      </c>
      <c r="S44" s="44" t="str">
        <f>IF(S15="","",IF(S15&lt;&gt;"Storage","",IF(S$38="User Defined",S$41,SUMIFS('Background (from TC)'!$AA$4:$AA$1048576,'Background (from TC)'!$D$4:$D$1048576,S$15,'Background (from TC)'!$E$4:$E$1048576,S$16,'Background (from TC)'!$O$4:$O$1048576,S$17))))</f>
        <v/>
      </c>
      <c r="T44" s="44" t="str">
        <f>IF(T15="","",IF(T15&lt;&gt;"Storage","",IF(T$38="User Defined",T$41,SUMIFS('Background (from TC)'!$AA$4:$AA$1048576,'Background (from TC)'!$D$4:$D$1048576,T$15,'Background (from TC)'!$E$4:$E$1048576,T$16,'Background (from TC)'!$O$4:$O$1048576,T$17))))</f>
        <v/>
      </c>
      <c r="U44" s="44" t="str">
        <f>IF(U15="","",IF(U15&lt;&gt;"Storage","",IF(U$38="User Defined",U$41,SUMIFS('Background (from TC)'!$AA$4:$AA$1048576,'Background (from TC)'!$D$4:$D$1048576,U$15,'Background (from TC)'!$E$4:$E$1048576,U$16,'Background (from TC)'!$O$4:$O$1048576,U$17))))</f>
        <v/>
      </c>
      <c r="V44" s="44" t="str">
        <f>IF(V15="","",IF(V15&lt;&gt;"Storage","",IF(V$38="User Defined",V$41,SUMIFS('Background (from TC)'!$AA$4:$AA$1048576,'Background (from TC)'!$D$4:$D$1048576,V$15,'Background (from TC)'!$E$4:$E$1048576,V$16,'Background (from TC)'!$O$4:$O$1048576,V$17))))</f>
        <v/>
      </c>
      <c r="W44" s="44" t="str">
        <f>IF(W15="","",IF(W15&lt;&gt;"Storage","",IF(W$38="User Defined",W$41,SUMIFS('Background (from TC)'!$AA$4:$AA$1048576,'Background (from TC)'!$D$4:$D$1048576,W$15,'Background (from TC)'!$E$4:$E$1048576,W$16,'Background (from TC)'!$O$4:$O$1048576,W$17))))</f>
        <v/>
      </c>
      <c r="X44" s="44" t="str">
        <f>IF(X15="","",IF(X15&lt;&gt;"Storage","",IF(X$38="User Defined",X$41,SUMIFS('Background (from TC)'!$AA$4:$AA$1048576,'Background (from TC)'!$D$4:$D$1048576,X$15,'Background (from TC)'!$E$4:$E$1048576,X$16,'Background (from TC)'!$O$4:$O$1048576,X$17))))</f>
        <v/>
      </c>
      <c r="Y44" s="44" t="str">
        <f>IF(Y15="","",IF(Y15&lt;&gt;"Storage","",IF(Y$38="User Defined",Y$41,SUMIFS('Background (from TC)'!$AA$4:$AA$1048576,'Background (from TC)'!$D$4:$D$1048576,Y$15,'Background (from TC)'!$E$4:$E$1048576,Y$16,'Background (from TC)'!$O$4:$O$1048576,Y$17))))</f>
        <v/>
      </c>
      <c r="Z44" s="44" t="str">
        <f>IF(Z15="","",IF(Z15&lt;&gt;"Storage","",IF(Z$38="User Defined",Z$41,SUMIFS('Background (from TC)'!$AA$4:$AA$1048576,'Background (from TC)'!$D$4:$D$1048576,Z$15,'Background (from TC)'!$E$4:$E$1048576,Z$16,'Background (from TC)'!$O$4:$O$1048576,Z$17))))</f>
        <v/>
      </c>
    </row>
    <row r="45" spans="2:26">
      <c r="B45" s="278" t="s">
        <v>65</v>
      </c>
      <c r="C45" s="55" t="str">
        <f>IF(C15="","",IF(C15&lt;&gt;"Storage","",C42/C43/SUMIFS('Background (from TC)'!$T$4:$T$1048576,'Background (from TC)'!$D$4:$D$1048576,C$15,'Background (from TC)'!$E$4:$E$1048576,C$16,'Background (from TC)'!$O$4:$O$1048576,C$17)))</f>
        <v/>
      </c>
      <c r="D45" s="61" t="str">
        <f>IF(D15="","",IF(D15&lt;&gt;"Storage","",D42/D43/SUMIFS('Background (from TC)'!$T$4:$T$1048576,'Background (from TC)'!$D$4:$D$1048576,D$15,'Background (from TC)'!$E$4:$E$1048576,D$16,'Background (from TC)'!$O$4:$O$1048576,D$17)))</f>
        <v/>
      </c>
      <c r="E45" s="61" t="str">
        <f>IF(E15="","",IF(E15&lt;&gt;"Storage","",E42/E43/SUMIFS('Background (from TC)'!$T$4:$T$1048576,'Background (from TC)'!$D$4:$D$1048576,E$15,'Background (from TC)'!$E$4:$E$1048576,E$16,'Background (from TC)'!$O$4:$O$1048576,E$17)))</f>
        <v/>
      </c>
      <c r="F45" s="61" t="str">
        <f>IF(F15="","",IF(F15&lt;&gt;"Storage","",F42/F43/SUMIFS('Background (from TC)'!$T$4:$T$1048576,'Background (from TC)'!$D$4:$D$1048576,F$15,'Background (from TC)'!$E$4:$E$1048576,F$16,'Background (from TC)'!$O$4:$O$1048576,F$17)))</f>
        <v/>
      </c>
      <c r="G45" s="61" t="str">
        <f>IF(G15="","",IF(G15&lt;&gt;"Storage","",G42/G43/SUMIFS('Background (from TC)'!$T$4:$T$1048576,'Background (from TC)'!$D$4:$D$1048576,G$15,'Background (from TC)'!$E$4:$E$1048576,G$16,'Background (from TC)'!$O$4:$O$1048576,G$17)))</f>
        <v/>
      </c>
      <c r="H45" s="61" t="str">
        <f>IF(H15="","",IF(H15&lt;&gt;"Storage","",H42/H43/SUMIFS('Background (from TC)'!$T$4:$T$1048576,'Background (from TC)'!$D$4:$D$1048576,H$15,'Background (from TC)'!$E$4:$E$1048576,H$16,'Background (from TC)'!$O$4:$O$1048576,H$17)))</f>
        <v/>
      </c>
      <c r="I45" s="61" t="str">
        <f>IF(I15="","",IF(I15&lt;&gt;"Storage","",I42/I43/SUMIFS('Background (from TC)'!$T$4:$T$1048576,'Background (from TC)'!$D$4:$D$1048576,I$15,'Background (from TC)'!$E$4:$E$1048576,I$16,'Background (from TC)'!$O$4:$O$1048576,I$17)))</f>
        <v/>
      </c>
      <c r="J45" s="61" t="str">
        <f>IF(J15="","",IF(J15&lt;&gt;"Storage","",J42/J43/SUMIFS('Background (from TC)'!$T$4:$T$1048576,'Background (from TC)'!$D$4:$D$1048576,J$15,'Background (from TC)'!$E$4:$E$1048576,J$16,'Background (from TC)'!$O$4:$O$1048576,J$17)))</f>
        <v/>
      </c>
      <c r="K45" s="293" t="str">
        <f>IF(K15="","",IF(K15&lt;&gt;"Storage","",K42/K43/SUMIFS('Background (from TC)'!$T$4:$T$1048576,'Background (from TC)'!$D$4:$D$1048576,K$15,'Background (from TC)'!$E$4:$E$1048576,K$16,'Background (from TC)'!$O$4:$O$1048576,K$17)))</f>
        <v/>
      </c>
      <c r="L45" s="61" t="str">
        <f>IF(L15="","",IF(L15&lt;&gt;"Storage","",L42/L43/SUMIFS('Background (from TC)'!$T$4:$T$1048576,'Background (from TC)'!$D$4:$D$1048576,L$15,'Background (from TC)'!$E$4:$E$1048576,L$16,'Background (from TC)'!$O$4:$O$1048576,L$17)))</f>
        <v/>
      </c>
      <c r="M45" s="61" t="str">
        <f>IF(M15="","",IF(M15&lt;&gt;"Storage","",M42/M43/SUMIFS('Background (from TC)'!$T$4:$T$1048576,'Background (from TC)'!$D$4:$D$1048576,M$15,'Background (from TC)'!$E$4:$E$1048576,M$16,'Background (from TC)'!$O$4:$O$1048576,M$17)))</f>
        <v/>
      </c>
      <c r="N45" s="61" t="str">
        <f>IF(N15="","",IF(N15&lt;&gt;"Storage","",N42/N43/SUMIFS('Background (from TC)'!$T$4:$T$1048576,'Background (from TC)'!$D$4:$D$1048576,N$15,'Background (from TC)'!$E$4:$E$1048576,N$16,'Background (from TC)'!$O$4:$O$1048576,N$17)))</f>
        <v/>
      </c>
      <c r="O45" s="61" t="str">
        <f>IF(O15="","",IF(O15&lt;&gt;"Storage","",O42/O43/SUMIFS('Background (from TC)'!$T$4:$T$1048576,'Background (from TC)'!$D$4:$D$1048576,O$15,'Background (from TC)'!$E$4:$E$1048576,O$16,'Background (from TC)'!$O$4:$O$1048576,O$17)))</f>
        <v/>
      </c>
      <c r="P45" s="61" t="str">
        <f>IF(P15="","",IF(P15&lt;&gt;"Storage","",P42/P43/SUMIFS('Background (from TC)'!$T$4:$T$1048576,'Background (from TC)'!$D$4:$D$1048576,P$15,'Background (from TC)'!$E$4:$E$1048576,P$16,'Background (from TC)'!$O$4:$O$1048576,P$17)))</f>
        <v/>
      </c>
      <c r="Q45" s="61" t="str">
        <f>IF(Q15="","",IF(Q15&lt;&gt;"Storage","",Q42/Q43/SUMIFS('Background (from TC)'!$T$4:$T$1048576,'Background (from TC)'!$D$4:$D$1048576,Q$15,'Background (from TC)'!$E$4:$E$1048576,Q$16,'Background (from TC)'!$O$4:$O$1048576,Q$17)))</f>
        <v/>
      </c>
      <c r="R45" s="61" t="str">
        <f>IF(R15="","",IF(R15&lt;&gt;"Storage","",R42/R43/SUMIFS('Background (from TC)'!$T$4:$T$1048576,'Background (from TC)'!$D$4:$D$1048576,R$15,'Background (from TC)'!$E$4:$E$1048576,R$16,'Background (from TC)'!$O$4:$O$1048576,R$17)))</f>
        <v/>
      </c>
      <c r="S45" s="61" t="str">
        <f>IF(S15="","",IF(S15&lt;&gt;"Storage","",S42/S43/SUMIFS('Background (from TC)'!$T$4:$T$1048576,'Background (from TC)'!$D$4:$D$1048576,S$15,'Background (from TC)'!$E$4:$E$1048576,S$16,'Background (from TC)'!$O$4:$O$1048576,S$17)))</f>
        <v/>
      </c>
      <c r="T45" s="61" t="str">
        <f>IF(T15="","",IF(T15&lt;&gt;"Storage","",T42/T43/SUMIFS('Background (from TC)'!$T$4:$T$1048576,'Background (from TC)'!$D$4:$D$1048576,T$15,'Background (from TC)'!$E$4:$E$1048576,T$16,'Background (from TC)'!$O$4:$O$1048576,T$17)))</f>
        <v/>
      </c>
      <c r="U45" s="61" t="str">
        <f>IF(U15="","",IF(U15&lt;&gt;"Storage","",U42/U43/SUMIFS('Background (from TC)'!$T$4:$T$1048576,'Background (from TC)'!$D$4:$D$1048576,U$15,'Background (from TC)'!$E$4:$E$1048576,U$16,'Background (from TC)'!$O$4:$O$1048576,U$17)))</f>
        <v/>
      </c>
      <c r="V45" s="61" t="str">
        <f>IF(V15="","",IF(V15&lt;&gt;"Storage","",V42/V43/SUMIFS('Background (from TC)'!$T$4:$T$1048576,'Background (from TC)'!$D$4:$D$1048576,V$15,'Background (from TC)'!$E$4:$E$1048576,V$16,'Background (from TC)'!$O$4:$O$1048576,V$17)))</f>
        <v/>
      </c>
      <c r="W45" s="61" t="str">
        <f>IF(W15="","",IF(W15&lt;&gt;"Storage","",W42/W43/SUMIFS('Background (from TC)'!$T$4:$T$1048576,'Background (from TC)'!$D$4:$D$1048576,W$15,'Background (from TC)'!$E$4:$E$1048576,W$16,'Background (from TC)'!$O$4:$O$1048576,W$17)))</f>
        <v/>
      </c>
      <c r="X45" s="61" t="str">
        <f>IF(X15="","",IF(X15&lt;&gt;"Storage","",X42/X43/SUMIFS('Background (from TC)'!$T$4:$T$1048576,'Background (from TC)'!$D$4:$D$1048576,X$15,'Background (from TC)'!$E$4:$E$1048576,X$16,'Background (from TC)'!$O$4:$O$1048576,X$17)))</f>
        <v/>
      </c>
      <c r="Y45" s="61" t="str">
        <f>IF(Y15="","",IF(Y15&lt;&gt;"Storage","",Y42/Y43/SUMIFS('Background (from TC)'!$T$4:$T$1048576,'Background (from TC)'!$D$4:$D$1048576,Y$15,'Background (from TC)'!$E$4:$E$1048576,Y$16,'Background (from TC)'!$O$4:$O$1048576,Y$17)))</f>
        <v/>
      </c>
      <c r="Z45" s="61" t="str">
        <f>IF(Z15="","",IF(Z15&lt;&gt;"Storage","",Z42/Z43/SUMIFS('Background (from TC)'!$T$4:$T$1048576,'Background (from TC)'!$D$4:$D$1048576,Z$15,'Background (from TC)'!$E$4:$E$1048576,Z$16,'Background (from TC)'!$O$4:$O$1048576,Z$17)))</f>
        <v/>
      </c>
    </row>
    <row r="46" spans="2:26">
      <c r="B46" s="278" t="s">
        <v>66</v>
      </c>
      <c r="C46" s="55" t="str">
        <f t="shared" ref="C46:Z46" si="4">IF(C15="","",IF(C15&lt;&gt;"Storage","",C42/C44))</f>
        <v/>
      </c>
      <c r="D46" s="61" t="str">
        <f t="shared" si="4"/>
        <v/>
      </c>
      <c r="E46" s="61" t="str">
        <f t="shared" si="4"/>
        <v/>
      </c>
      <c r="F46" s="61" t="str">
        <f t="shared" si="4"/>
        <v/>
      </c>
      <c r="G46" s="61" t="str">
        <f t="shared" si="4"/>
        <v/>
      </c>
      <c r="H46" s="61" t="str">
        <f t="shared" si="4"/>
        <v/>
      </c>
      <c r="I46" s="61" t="str">
        <f t="shared" si="4"/>
        <v/>
      </c>
      <c r="J46" s="61" t="str">
        <f t="shared" si="4"/>
        <v/>
      </c>
      <c r="K46" s="293" t="str">
        <f t="shared" si="4"/>
        <v/>
      </c>
      <c r="L46" s="61" t="str">
        <f t="shared" si="4"/>
        <v/>
      </c>
      <c r="M46" s="61" t="str">
        <f t="shared" si="4"/>
        <v/>
      </c>
      <c r="N46" s="61" t="str">
        <f t="shared" si="4"/>
        <v/>
      </c>
      <c r="O46" s="61" t="str">
        <f t="shared" si="4"/>
        <v/>
      </c>
      <c r="P46" s="61" t="str">
        <f t="shared" si="4"/>
        <v/>
      </c>
      <c r="Q46" s="61" t="str">
        <f t="shared" si="4"/>
        <v/>
      </c>
      <c r="R46" s="61" t="str">
        <f t="shared" si="4"/>
        <v/>
      </c>
      <c r="S46" s="61" t="str">
        <f t="shared" si="4"/>
        <v/>
      </c>
      <c r="T46" s="61" t="str">
        <f t="shared" si="4"/>
        <v/>
      </c>
      <c r="U46" s="61" t="str">
        <f t="shared" si="4"/>
        <v/>
      </c>
      <c r="V46" s="61" t="str">
        <f t="shared" si="4"/>
        <v/>
      </c>
      <c r="W46" s="61" t="str">
        <f t="shared" si="4"/>
        <v/>
      </c>
      <c r="X46" s="61" t="str">
        <f t="shared" si="4"/>
        <v/>
      </c>
      <c r="Y46" s="61" t="str">
        <f t="shared" si="4"/>
        <v/>
      </c>
      <c r="Z46" s="61" t="str">
        <f t="shared" si="4"/>
        <v/>
      </c>
    </row>
    <row r="47" spans="2:26">
      <c r="B47" s="278" t="s">
        <v>67</v>
      </c>
      <c r="C47" s="55"/>
      <c r="D47" s="61"/>
      <c r="E47" s="61"/>
      <c r="F47" s="61"/>
      <c r="G47" s="61"/>
      <c r="H47" s="61"/>
      <c r="I47" s="61"/>
      <c r="J47" s="61"/>
      <c r="K47" s="61">
        <v>300</v>
      </c>
      <c r="L47" s="61">
        <v>365</v>
      </c>
      <c r="M47" s="61"/>
      <c r="N47" s="61"/>
      <c r="O47" s="61"/>
      <c r="P47" s="61"/>
      <c r="Q47" s="61"/>
      <c r="R47" s="61"/>
      <c r="S47" s="61">
        <v>300</v>
      </c>
      <c r="T47" s="61">
        <v>300</v>
      </c>
      <c r="U47" s="61"/>
      <c r="V47" s="61"/>
      <c r="W47" s="61"/>
      <c r="X47" s="61"/>
      <c r="Y47" s="61"/>
      <c r="Z47" s="61"/>
    </row>
    <row r="48" spans="2:26">
      <c r="B48" s="278" t="s">
        <v>68</v>
      </c>
      <c r="C48" s="41"/>
      <c r="D48" s="41"/>
      <c r="E48" s="41"/>
      <c r="F48" s="41"/>
      <c r="G48" s="41"/>
      <c r="H48" s="41"/>
      <c r="I48" s="41"/>
      <c r="J48" s="41"/>
      <c r="K48" s="41">
        <v>1</v>
      </c>
      <c r="L48" s="41">
        <v>1</v>
      </c>
      <c r="M48" s="41"/>
      <c r="N48" s="41"/>
      <c r="O48" s="41"/>
      <c r="P48" s="41"/>
      <c r="Q48" s="41"/>
      <c r="R48" s="41"/>
      <c r="S48" s="41">
        <v>1</v>
      </c>
      <c r="T48" s="41">
        <v>1</v>
      </c>
      <c r="U48" s="41"/>
      <c r="V48" s="41"/>
      <c r="W48" s="41"/>
      <c r="X48" s="41"/>
      <c r="Y48" s="41"/>
      <c r="Z48" s="41"/>
    </row>
    <row r="49" spans="2:26">
      <c r="B49" s="278" t="s">
        <v>69</v>
      </c>
      <c r="C49" s="55" t="str">
        <f t="shared" ref="C49:Z49" si="5">IF(C15&lt;&gt;"Storage","",IFERROR(IF(C38="User defined",C47*IF(C48="",100%,C48),24/SUM(C45:C46)*365*100%),""))</f>
        <v/>
      </c>
      <c r="D49" s="55" t="str">
        <f t="shared" si="5"/>
        <v/>
      </c>
      <c r="E49" s="55" t="str">
        <f t="shared" si="5"/>
        <v/>
      </c>
      <c r="F49" s="55" t="str">
        <f t="shared" si="5"/>
        <v/>
      </c>
      <c r="G49" s="55" t="str">
        <f t="shared" si="5"/>
        <v/>
      </c>
      <c r="H49" s="55" t="str">
        <f t="shared" si="5"/>
        <v/>
      </c>
      <c r="I49" s="55" t="str">
        <f t="shared" si="5"/>
        <v/>
      </c>
      <c r="J49" s="55" t="str">
        <f t="shared" si="5"/>
        <v/>
      </c>
      <c r="K49" s="55" t="str">
        <f t="shared" si="5"/>
        <v/>
      </c>
      <c r="L49" s="55" t="str">
        <f t="shared" si="5"/>
        <v/>
      </c>
      <c r="M49" s="55" t="str">
        <f t="shared" si="5"/>
        <v/>
      </c>
      <c r="N49" s="55" t="str">
        <f t="shared" si="5"/>
        <v/>
      </c>
      <c r="O49" s="55" t="str">
        <f t="shared" si="5"/>
        <v/>
      </c>
      <c r="P49" s="55" t="str">
        <f t="shared" si="5"/>
        <v/>
      </c>
      <c r="Q49" s="55" t="str">
        <f t="shared" si="5"/>
        <v/>
      </c>
      <c r="R49" s="55" t="str">
        <f t="shared" si="5"/>
        <v/>
      </c>
      <c r="S49" s="55" t="str">
        <f t="shared" si="5"/>
        <v/>
      </c>
      <c r="T49" s="55" t="str">
        <f t="shared" si="5"/>
        <v/>
      </c>
      <c r="U49" s="55" t="str">
        <f t="shared" si="5"/>
        <v/>
      </c>
      <c r="V49" s="55" t="str">
        <f t="shared" si="5"/>
        <v/>
      </c>
      <c r="W49" s="55" t="str">
        <f t="shared" si="5"/>
        <v/>
      </c>
      <c r="X49" s="55" t="str">
        <f t="shared" si="5"/>
        <v/>
      </c>
      <c r="Y49" s="55" t="str">
        <f t="shared" si="5"/>
        <v/>
      </c>
      <c r="Z49" s="55" t="str">
        <f t="shared" si="5"/>
        <v/>
      </c>
    </row>
    <row r="50" spans="2:26">
      <c r="B50" s="278" t="s">
        <v>70</v>
      </c>
      <c r="C50" s="55" t="str">
        <f>IF(C15&lt;&gt;"Storage","",C49*C44*C46)</f>
        <v/>
      </c>
      <c r="D50" s="55" t="str">
        <f t="shared" ref="D50:Z50" si="6">IF(D15&lt;&gt;"Storage","",D49*D44*D46)</f>
        <v/>
      </c>
      <c r="E50" s="55" t="str">
        <f t="shared" si="6"/>
        <v/>
      </c>
      <c r="F50" s="55" t="str">
        <f t="shared" si="6"/>
        <v/>
      </c>
      <c r="G50" s="55" t="str">
        <f t="shared" si="6"/>
        <v/>
      </c>
      <c r="H50" s="55" t="str">
        <f t="shared" si="6"/>
        <v/>
      </c>
      <c r="I50" s="55" t="str">
        <f t="shared" si="6"/>
        <v/>
      </c>
      <c r="J50" s="55" t="str">
        <f t="shared" si="6"/>
        <v/>
      </c>
      <c r="K50" s="55" t="str">
        <f t="shared" si="6"/>
        <v/>
      </c>
      <c r="L50" s="55" t="str">
        <f t="shared" si="6"/>
        <v/>
      </c>
      <c r="M50" s="55" t="str">
        <f t="shared" si="6"/>
        <v/>
      </c>
      <c r="N50" s="55" t="str">
        <f t="shared" si="6"/>
        <v/>
      </c>
      <c r="O50" s="55" t="str">
        <f t="shared" si="6"/>
        <v/>
      </c>
      <c r="P50" s="55" t="str">
        <f t="shared" si="6"/>
        <v/>
      </c>
      <c r="Q50" s="55" t="str">
        <f t="shared" si="6"/>
        <v/>
      </c>
      <c r="R50" s="55" t="str">
        <f t="shared" si="6"/>
        <v/>
      </c>
      <c r="S50" s="55" t="str">
        <f t="shared" si="6"/>
        <v/>
      </c>
      <c r="T50" s="55" t="str">
        <f t="shared" si="6"/>
        <v/>
      </c>
      <c r="U50" s="55" t="str">
        <f t="shared" si="6"/>
        <v/>
      </c>
      <c r="V50" s="55" t="str">
        <f t="shared" si="6"/>
        <v/>
      </c>
      <c r="W50" s="55" t="str">
        <f t="shared" si="6"/>
        <v/>
      </c>
      <c r="X50" s="55" t="str">
        <f t="shared" si="6"/>
        <v/>
      </c>
      <c r="Y50" s="55" t="str">
        <f t="shared" si="6"/>
        <v/>
      </c>
      <c r="Z50" s="55" t="str">
        <f t="shared" si="6"/>
        <v/>
      </c>
    </row>
    <row r="51" spans="2:26">
      <c r="B51" s="278" t="s">
        <v>71</v>
      </c>
      <c r="C51" s="55" t="str">
        <f>IF(OR(C15="",C15&lt;&gt;"Storage"),"",SUMIFS('Background (from TC)'!$X$4:$X$1048576,'Background (from TC)'!$D$4:$D$1048576,C$15,'Background (from TC)'!$E$4:$E$1048576,C$16,'Background (from TC)'!$O$4:$O$1048576,C$17))</f>
        <v/>
      </c>
      <c r="D51" s="55" t="str">
        <f>IF(OR(D15="",D15&lt;&gt;"Storage"),"",SUMIFS('Background (from TC)'!$X$4:$X$1048576,'Background (from TC)'!$D$4:$D$1048576,D$15,'Background (from TC)'!$E$4:$E$1048576,D$16,'Background (from TC)'!$O$4:$O$1048576,D$17))</f>
        <v/>
      </c>
      <c r="E51" s="55" t="str">
        <f>IF(OR(E15="",E15&lt;&gt;"Storage"),"",SUMIFS('Background (from TC)'!$X$4:$X$1048576,'Background (from TC)'!$D$4:$D$1048576,E$15,'Background (from TC)'!$E$4:$E$1048576,E$16,'Background (from TC)'!$O$4:$O$1048576,E$17))</f>
        <v/>
      </c>
      <c r="F51" s="55" t="str">
        <f>IF(OR(F15="",F15&lt;&gt;"Storage"),"",SUMIFS('Background (from TC)'!$X$4:$X$1048576,'Background (from TC)'!$D$4:$D$1048576,F$15,'Background (from TC)'!$E$4:$E$1048576,F$16,'Background (from TC)'!$O$4:$O$1048576,F$17))</f>
        <v/>
      </c>
      <c r="G51" s="55" t="str">
        <f>IF(OR(G15="",G15&lt;&gt;"Storage"),"",SUMIFS('Background (from TC)'!$X$4:$X$1048576,'Background (from TC)'!$D$4:$D$1048576,G$15,'Background (from TC)'!$E$4:$E$1048576,G$16,'Background (from TC)'!$O$4:$O$1048576,G$17))</f>
        <v/>
      </c>
      <c r="H51" s="55" t="str">
        <f>IF(OR(H15="",H15&lt;&gt;"Storage"),"",SUMIFS('Background (from TC)'!$X$4:$X$1048576,'Background (from TC)'!$D$4:$D$1048576,H$15,'Background (from TC)'!$E$4:$E$1048576,H$16,'Background (from TC)'!$O$4:$O$1048576,H$17))</f>
        <v/>
      </c>
      <c r="I51" s="55" t="str">
        <f>IF(OR(I15="",I15&lt;&gt;"Storage"),"",SUMIFS('Background (from TC)'!$X$4:$X$1048576,'Background (from TC)'!$D$4:$D$1048576,I$15,'Background (from TC)'!$E$4:$E$1048576,I$16,'Background (from TC)'!$O$4:$O$1048576,I$17))</f>
        <v/>
      </c>
      <c r="J51" s="55" t="str">
        <f>IF(OR(J15="",J15&lt;&gt;"Storage"),"",SUMIFS('Background (from TC)'!$X$4:$X$1048576,'Background (from TC)'!$D$4:$D$1048576,J$15,'Background (from TC)'!$E$4:$E$1048576,J$16,'Background (from TC)'!$O$4:$O$1048576,J$17))</f>
        <v/>
      </c>
      <c r="K51" s="55" t="str">
        <f>IF(OR(K15="",K15&lt;&gt;"Storage"),"",SUMIFS('Background (from TC)'!$X$4:$X$1048576,'Background (from TC)'!$D$4:$D$1048576,K$15,'Background (from TC)'!$E$4:$E$1048576,K$16,'Background (from TC)'!$O$4:$O$1048576,K$17))</f>
        <v/>
      </c>
      <c r="L51" s="55" t="str">
        <f>IF(OR(L15="",L15&lt;&gt;"Storage"),"",SUMIFS('Background (from TC)'!$X$4:$X$1048576,'Background (from TC)'!$D$4:$D$1048576,L$15,'Background (from TC)'!$E$4:$E$1048576,L$16,'Background (from TC)'!$O$4:$O$1048576,L$17))</f>
        <v/>
      </c>
      <c r="M51" s="55" t="str">
        <f>IF(OR(M15="",M15&lt;&gt;"Storage"),"",SUMIFS('Background (from TC)'!$X$4:$X$1048576,'Background (from TC)'!$D$4:$D$1048576,M$15,'Background (from TC)'!$E$4:$E$1048576,M$16,'Background (from TC)'!$O$4:$O$1048576,M$17))</f>
        <v/>
      </c>
      <c r="N51" s="55" t="str">
        <f>IF(OR(N15="",N15&lt;&gt;"Storage"),"",SUMIFS('Background (from TC)'!$X$4:$X$1048576,'Background (from TC)'!$D$4:$D$1048576,N$15,'Background (from TC)'!$E$4:$E$1048576,N$16,'Background (from TC)'!$O$4:$O$1048576,N$17))</f>
        <v/>
      </c>
      <c r="O51" s="55" t="str">
        <f>IF(OR(O15="",O15&lt;&gt;"Storage"),"",SUMIFS('Background (from TC)'!$X$4:$X$1048576,'Background (from TC)'!$D$4:$D$1048576,O$15,'Background (from TC)'!$E$4:$E$1048576,O$16,'Background (from TC)'!$O$4:$O$1048576,O$17))</f>
        <v/>
      </c>
      <c r="P51" s="55" t="str">
        <f>IF(OR(P15="",P15&lt;&gt;"Storage"),"",SUMIFS('Background (from TC)'!$X$4:$X$1048576,'Background (from TC)'!$D$4:$D$1048576,P$15,'Background (from TC)'!$E$4:$E$1048576,P$16,'Background (from TC)'!$O$4:$O$1048576,P$17))</f>
        <v/>
      </c>
      <c r="Q51" s="55" t="str">
        <f>IF(OR(Q15="",Q15&lt;&gt;"Storage"),"",SUMIFS('Background (from TC)'!$X$4:$X$1048576,'Background (from TC)'!$D$4:$D$1048576,Q$15,'Background (from TC)'!$E$4:$E$1048576,Q$16,'Background (from TC)'!$O$4:$O$1048576,Q$17))</f>
        <v/>
      </c>
      <c r="R51" s="55" t="str">
        <f>IF(OR(R15="",R15&lt;&gt;"Storage"),"",SUMIFS('Background (from TC)'!$X$4:$X$1048576,'Background (from TC)'!$D$4:$D$1048576,R$15,'Background (from TC)'!$E$4:$E$1048576,R$16,'Background (from TC)'!$O$4:$O$1048576,R$17))</f>
        <v/>
      </c>
      <c r="S51" s="55" t="str">
        <f>IF(OR(S15="",S15&lt;&gt;"Storage"),"",SUMIFS('Background (from TC)'!$X$4:$X$1048576,'Background (from TC)'!$D$4:$D$1048576,S$15,'Background (from TC)'!$E$4:$E$1048576,S$16,'Background (from TC)'!$O$4:$O$1048576,S$17))</f>
        <v/>
      </c>
      <c r="T51" s="55" t="str">
        <f>IF(OR(T15="",T15&lt;&gt;"Storage"),"",SUMIFS('Background (from TC)'!$X$4:$X$1048576,'Background (from TC)'!$D$4:$D$1048576,T$15,'Background (from TC)'!$E$4:$E$1048576,T$16,'Background (from TC)'!$O$4:$O$1048576,T$17))</f>
        <v/>
      </c>
      <c r="U51" s="55" t="str">
        <f>IF(OR(U15="",U15&lt;&gt;"Storage"),"",SUMIFS('Background (from TC)'!$X$4:$X$1048576,'Background (from TC)'!$D$4:$D$1048576,U$15,'Background (from TC)'!$E$4:$E$1048576,U$16,'Background (from TC)'!$O$4:$O$1048576,U$17))</f>
        <v/>
      </c>
      <c r="V51" s="55" t="str">
        <f>IF(OR(V15="",V15&lt;&gt;"Storage"),"",SUMIFS('Background (from TC)'!$X$4:$X$1048576,'Background (from TC)'!$D$4:$D$1048576,V$15,'Background (from TC)'!$E$4:$E$1048576,V$16,'Background (from TC)'!$O$4:$O$1048576,V$17))</f>
        <v/>
      </c>
      <c r="W51" s="55" t="str">
        <f>IF(OR(W15="",W15&lt;&gt;"Storage"),"",SUMIFS('Background (from TC)'!$X$4:$X$1048576,'Background (from TC)'!$D$4:$D$1048576,W$15,'Background (from TC)'!$E$4:$E$1048576,W$16,'Background (from TC)'!$O$4:$O$1048576,W$17))</f>
        <v/>
      </c>
      <c r="X51" s="55" t="str">
        <f>IF(OR(X15="",X15&lt;&gt;"Storage"),"",SUMIFS('Background (from TC)'!$X$4:$X$1048576,'Background (from TC)'!$D$4:$D$1048576,X$15,'Background (from TC)'!$E$4:$E$1048576,X$16,'Background (from TC)'!$O$4:$O$1048576,X$17))</f>
        <v/>
      </c>
      <c r="Y51" s="55" t="str">
        <f>IF(OR(Y15="",Y15&lt;&gt;"Storage"),"",SUMIFS('Background (from TC)'!$X$4:$X$1048576,'Background (from TC)'!$D$4:$D$1048576,Y$15,'Background (from TC)'!$E$4:$E$1048576,Y$16,'Background (from TC)'!$O$4:$O$1048576,Y$17))</f>
        <v/>
      </c>
      <c r="Z51" s="55" t="str">
        <f>IF(OR(Z15="",Z15&lt;&gt;"Storage"),"",SUMIFS('Background (from TC)'!$X$4:$X$1048576,'Background (from TC)'!$D$4:$D$1048576,Z$15,'Background (from TC)'!$E$4:$E$1048576,Z$16,'Background (from TC)'!$O$4:$O$1048576,Z$17))</f>
        <v/>
      </c>
    </row>
    <row r="52" spans="2:26" ht="15.75" thickBot="1">
      <c r="B52" s="279" t="s">
        <v>72</v>
      </c>
      <c r="C52" s="55" t="str">
        <f>IF(C51="","",C51/C$18)</f>
        <v/>
      </c>
      <c r="D52" s="55" t="str">
        <f t="shared" ref="D52:Z52" si="7">IF(D51="","",D51/D$18)</f>
        <v/>
      </c>
      <c r="E52" s="55" t="str">
        <f t="shared" si="7"/>
        <v/>
      </c>
      <c r="F52" s="55" t="str">
        <f t="shared" si="7"/>
        <v/>
      </c>
      <c r="G52" s="55" t="str">
        <f t="shared" si="7"/>
        <v/>
      </c>
      <c r="H52" s="55" t="str">
        <f t="shared" si="7"/>
        <v/>
      </c>
      <c r="I52" s="55" t="str">
        <f t="shared" si="7"/>
        <v/>
      </c>
      <c r="J52" s="55" t="str">
        <f t="shared" si="7"/>
        <v/>
      </c>
      <c r="K52" s="55" t="str">
        <f t="shared" si="7"/>
        <v/>
      </c>
      <c r="L52" s="55" t="str">
        <f t="shared" si="7"/>
        <v/>
      </c>
      <c r="M52" s="55" t="str">
        <f t="shared" si="7"/>
        <v/>
      </c>
      <c r="N52" s="55" t="str">
        <f t="shared" si="7"/>
        <v/>
      </c>
      <c r="O52" s="55" t="str">
        <f t="shared" si="7"/>
        <v/>
      </c>
      <c r="P52" s="55" t="str">
        <f t="shared" si="7"/>
        <v/>
      </c>
      <c r="Q52" s="55" t="str">
        <f t="shared" si="7"/>
        <v/>
      </c>
      <c r="R52" s="55" t="str">
        <f t="shared" si="7"/>
        <v/>
      </c>
      <c r="S52" s="55" t="str">
        <f t="shared" si="7"/>
        <v/>
      </c>
      <c r="T52" s="55" t="str">
        <f t="shared" si="7"/>
        <v/>
      </c>
      <c r="U52" s="55" t="str">
        <f t="shared" si="7"/>
        <v/>
      </c>
      <c r="V52" s="55" t="str">
        <f t="shared" si="7"/>
        <v/>
      </c>
      <c r="W52" s="55" t="str">
        <f t="shared" si="7"/>
        <v/>
      </c>
      <c r="X52" s="55" t="str">
        <f t="shared" si="7"/>
        <v/>
      </c>
      <c r="Y52" s="55" t="str">
        <f t="shared" si="7"/>
        <v/>
      </c>
      <c r="Z52" s="55" t="str">
        <f t="shared" si="7"/>
        <v/>
      </c>
    </row>
    <row r="53" spans="2:26" ht="15.75" thickBot="1">
      <c r="B53" s="290" t="s">
        <v>43</v>
      </c>
      <c r="C53" s="294" t="str">
        <f t="shared" ref="C53:Z53" si="8">IF(C16="","",IF(C49&gt;C52,"Exceeding maximum possible annual cycles. Please revise",""))</f>
        <v/>
      </c>
      <c r="D53" s="258" t="str">
        <f t="shared" si="8"/>
        <v/>
      </c>
      <c r="E53" s="258" t="str">
        <f t="shared" si="8"/>
        <v/>
      </c>
      <c r="F53" s="258" t="str">
        <f t="shared" si="8"/>
        <v/>
      </c>
      <c r="G53" s="258" t="str">
        <f t="shared" si="8"/>
        <v/>
      </c>
      <c r="H53" s="258" t="str">
        <f t="shared" si="8"/>
        <v/>
      </c>
      <c r="I53" s="258" t="str">
        <f t="shared" si="8"/>
        <v/>
      </c>
      <c r="J53" s="258" t="str">
        <f t="shared" si="8"/>
        <v/>
      </c>
      <c r="K53" s="258" t="str">
        <f t="shared" si="8"/>
        <v/>
      </c>
      <c r="L53" s="258" t="str">
        <f t="shared" si="8"/>
        <v/>
      </c>
      <c r="M53" s="258" t="str">
        <f t="shared" si="8"/>
        <v/>
      </c>
      <c r="N53" s="258" t="str">
        <f t="shared" si="8"/>
        <v/>
      </c>
      <c r="O53" s="258" t="str">
        <f t="shared" si="8"/>
        <v/>
      </c>
      <c r="P53" s="258" t="str">
        <f t="shared" si="8"/>
        <v/>
      </c>
      <c r="Q53" s="258" t="str">
        <f t="shared" si="8"/>
        <v/>
      </c>
      <c r="R53" s="258" t="str">
        <f t="shared" si="8"/>
        <v/>
      </c>
      <c r="S53" s="258" t="str">
        <f t="shared" si="8"/>
        <v/>
      </c>
      <c r="T53" s="258" t="str">
        <f t="shared" si="8"/>
        <v/>
      </c>
      <c r="U53" s="258" t="str">
        <f t="shared" si="8"/>
        <v/>
      </c>
      <c r="V53" s="258" t="str">
        <f t="shared" si="8"/>
        <v/>
      </c>
      <c r="W53" s="258" t="str">
        <f t="shared" si="8"/>
        <v/>
      </c>
      <c r="X53" s="258" t="str">
        <f t="shared" si="8"/>
        <v/>
      </c>
      <c r="Y53" s="258" t="str">
        <f t="shared" si="8"/>
        <v/>
      </c>
      <c r="Z53" s="259" t="str">
        <f t="shared" si="8"/>
        <v/>
      </c>
    </row>
    <row r="54" spans="2:26" ht="15.75">
      <c r="B54" s="271"/>
    </row>
    <row r="55" spans="2:26" ht="15.75">
      <c r="B55" s="286" t="s">
        <v>73</v>
      </c>
    </row>
    <row r="56" spans="2:26">
      <c r="B56" s="278" t="s">
        <v>74</v>
      </c>
      <c r="C56" s="19" t="s">
        <v>46</v>
      </c>
      <c r="D56" s="19" t="s">
        <v>46</v>
      </c>
      <c r="E56" s="19" t="s">
        <v>46</v>
      </c>
      <c r="F56" s="19" t="s">
        <v>46</v>
      </c>
      <c r="G56" s="19" t="s">
        <v>46</v>
      </c>
      <c r="I56" s="19" t="s">
        <v>46</v>
      </c>
      <c r="J56" s="19" t="s">
        <v>46</v>
      </c>
      <c r="K56" s="19" t="s">
        <v>46</v>
      </c>
      <c r="L56" s="19" t="s">
        <v>46</v>
      </c>
      <c r="M56" s="19" t="s">
        <v>46</v>
      </c>
      <c r="N56" s="19" t="s">
        <v>46</v>
      </c>
      <c r="O56" s="19" t="s">
        <v>46</v>
      </c>
      <c r="P56" s="19" t="s">
        <v>46</v>
      </c>
    </row>
    <row r="57" spans="2:26">
      <c r="B57" s="278" t="s">
        <v>75</v>
      </c>
      <c r="C57" s="43">
        <v>40</v>
      </c>
      <c r="D57" s="43">
        <v>60</v>
      </c>
      <c r="E57" s="43"/>
      <c r="F57" s="43"/>
      <c r="G57" s="43"/>
      <c r="H57" s="43">
        <v>4</v>
      </c>
      <c r="I57" s="43"/>
      <c r="J57" s="43"/>
      <c r="K57" s="43"/>
      <c r="L57" s="43"/>
      <c r="M57" s="43"/>
      <c r="N57" s="43"/>
      <c r="O57" s="43"/>
      <c r="P57" s="43"/>
      <c r="Q57" s="43"/>
      <c r="R57" s="43"/>
      <c r="S57" s="43"/>
      <c r="T57" s="43"/>
      <c r="U57" s="43"/>
      <c r="V57" s="43"/>
      <c r="W57" s="43"/>
      <c r="X57" s="43"/>
      <c r="Y57" s="43"/>
      <c r="Z57" s="43"/>
    </row>
    <row r="58" spans="2:26">
      <c r="B58" s="278" t="s">
        <v>76</v>
      </c>
      <c r="C58" s="43">
        <f>IF(C56="","",IF(C56="User defined",C57,SUMIFS('Background (from TC)'!$M$4:$M$1048576,'Background (from TC)'!$D$4:$D$1048576,C$15,'Background (from TC)'!$E$4:$E$1048576,C$16,'Background (from TC)'!$O$4:$O$1048576,C$17)*C29))</f>
        <v>3.7177777777777781</v>
      </c>
      <c r="D58" s="43">
        <f>IF(D56="","",IF(D56="User defined",D57,SUMIFS('Background (from TC)'!$M$4:$M$1048576,'Background (from TC)'!$D$4:$D$1048576,D$15,'Background (from TC)'!$E$4:$E$1048576,D$16,'Background (from TC)'!$O$4:$O$1048576,D$17)*D29))</f>
        <v>3.7177777777777781</v>
      </c>
      <c r="E58" s="43">
        <f>IF(E56="","",IF(E56="User defined",E57,SUMIFS('Background (from TC)'!$M$4:$M$1048576,'Background (from TC)'!$D$4:$D$1048576,E$15,'Background (from TC)'!$E$4:$E$1048576,E$16,'Background (from TC)'!$O$4:$O$1048576,E$17)*E29))</f>
        <v>10.890499999999999</v>
      </c>
      <c r="F58" s="43">
        <f>IF(F56="","",IF(F56="User defined",F57,SUMIFS('Background (from TC)'!$M$4:$M$1048576,'Background (from TC)'!$D$4:$D$1048576,F$15,'Background (from TC)'!$E$4:$E$1048576,F$16,'Background (from TC)'!$O$4:$O$1048576,F$17)*F29))</f>
        <v>13.474706417287043</v>
      </c>
      <c r="G58" s="43">
        <f>IF(G56="","",IF(G56="User defined",G57,SUMIFS('Background (from TC)'!$M$4:$M$1048576,'Background (from TC)'!$D$4:$D$1048576,G$15,'Background (from TC)'!$E$4:$E$1048576,G$16,'Background (from TC)'!$O$4:$O$1048576,G$17)*G29))</f>
        <v>1.0833342000000008</v>
      </c>
      <c r="H58" s="43" t="str">
        <f>IF(H56="","",IF(H56="User defined",H57,SUMIFS('Background (from TC)'!$M$4:$M$1048576,'Background (from TC)'!$D$4:$D$1048576,H$15,'Background (from TC)'!$E$4:$E$1048576,H$16,'Background (from TC)'!$O$4:$O$1048576,H$17)*H29))</f>
        <v/>
      </c>
      <c r="I58" s="43">
        <f>IF(I56="","",IF(I56="User defined",I57,SUMIFS('Background (from TC)'!$M$4:$M$1048576,'Background (from TC)'!$D$4:$D$1048576,I$15,'Background (from TC)'!$E$4:$E$1048576,I$16,'Background (from TC)'!$O$4:$O$1048576,I$17)*I29))</f>
        <v>4.666666666666667</v>
      </c>
      <c r="J58" s="43">
        <f>IF(J56="","",IF(J56="User defined",J57,SUMIFS('Background (from TC)'!$M$4:$M$1048576,'Background (from TC)'!$D$4:$D$1048576,J$15,'Background (from TC)'!$E$4:$E$1048576,J$16,'Background (from TC)'!$O$4:$O$1048576,J$17)*J29))</f>
        <v>0</v>
      </c>
      <c r="K58" s="43">
        <f>IF(K56="","",IF(K56="User defined",K57,SUMIFS('Background (from TC)'!$M$4:$M$1048576,'Background (from TC)'!$D$4:$D$1048576,K$15,'Background (from TC)'!$E$4:$E$1048576,K$16,'Background (from TC)'!$O$4:$O$1048576,K$17)*K29))</f>
        <v>0</v>
      </c>
      <c r="L58" s="43">
        <f>IF(L56="","",IF(L56="User defined",L57,SUMIFS('Background (from TC)'!$M$4:$M$1048576,'Background (from TC)'!$D$4:$D$1048576,L$15,'Background (from TC)'!$E$4:$E$1048576,L$16,'Background (from TC)'!$O$4:$O$1048576,L$17)*L29))</f>
        <v>0</v>
      </c>
      <c r="M58" s="43">
        <f>IF(M56="","",IF(M56="User defined",M57,SUMIFS('Background (from TC)'!$M$4:$M$1048576,'Background (from TC)'!$D$4:$D$1048576,M$15,'Background (from TC)'!$E$4:$E$1048576,M$16,'Background (from TC)'!$O$4:$O$1048576,M$17)*M29))</f>
        <v>0</v>
      </c>
      <c r="N58" s="43">
        <f>IF(N56="","",IF(N56="User defined",N57,SUMIFS('Background (from TC)'!$M$4:$M$1048576,'Background (from TC)'!$D$4:$D$1048576,N$15,'Background (from TC)'!$E$4:$E$1048576,N$16,'Background (from TC)'!$O$4:$O$1048576,N$17)*N29))</f>
        <v>0</v>
      </c>
      <c r="O58" s="43">
        <f>IF(O56="","",IF(O56="User defined",O57,SUMIFS('Background (from TC)'!$M$4:$M$1048576,'Background (from TC)'!$D$4:$D$1048576,O$15,'Background (from TC)'!$E$4:$E$1048576,O$16,'Background (from TC)'!$O$4:$O$1048576,O$17)*O29))</f>
        <v>0</v>
      </c>
      <c r="P58" s="43">
        <f>IF(P56="","",IF(P56="User defined",P57,SUMIFS('Background (from TC)'!$M$4:$M$1048576,'Background (from TC)'!$D$4:$D$1048576,P$15,'Background (from TC)'!$E$4:$E$1048576,P$16,'Background (from TC)'!$O$4:$O$1048576,P$17)*P29))</f>
        <v>0</v>
      </c>
      <c r="Q58" s="43" t="str">
        <f>IF(Q56="","",IF(Q56="User defined",Q57,SUMIFS('Background (from TC)'!$M$4:$M$1048576,'Background (from TC)'!$D$4:$D$1048576,Q$15,'Background (from TC)'!$E$4:$E$1048576,Q$16,'Background (from TC)'!$O$4:$O$1048576,Q$17)*Q29))</f>
        <v/>
      </c>
      <c r="R58" s="43" t="str">
        <f>IF(R56="","",IF(R56="User defined",R57,SUMIFS('Background (from TC)'!$M$4:$M$1048576,'Background (from TC)'!$D$4:$D$1048576,R$15,'Background (from TC)'!$E$4:$E$1048576,R$16,'Background (from TC)'!$O$4:$O$1048576,R$17)*R29))</f>
        <v/>
      </c>
      <c r="S58" s="43" t="str">
        <f>IF(S56="","",IF(S56="User defined",S57,SUMIFS('Background (from TC)'!$M$4:$M$1048576,'Background (from TC)'!$D$4:$D$1048576,S$15,'Background (from TC)'!$E$4:$E$1048576,S$16,'Background (from TC)'!$O$4:$O$1048576,S$17)*S29))</f>
        <v/>
      </c>
      <c r="T58" s="43" t="str">
        <f>IF(T56="","",IF(T56="User defined",T57,SUMIFS('Background (from TC)'!$M$4:$M$1048576,'Background (from TC)'!$D$4:$D$1048576,T$15,'Background (from TC)'!$E$4:$E$1048576,T$16,'Background (from TC)'!$O$4:$O$1048576,T$17)*T29))</f>
        <v/>
      </c>
      <c r="U58" s="43" t="str">
        <f>IF(U56="","",IF(U56="User defined",U57,SUMIFS('Background (from TC)'!$M$4:$M$1048576,'Background (from TC)'!$D$4:$D$1048576,U$15,'Background (from TC)'!$E$4:$E$1048576,U$16,'Background (from TC)'!$O$4:$O$1048576,U$17)*U29))</f>
        <v/>
      </c>
      <c r="V58" s="43" t="str">
        <f>IF(V56="","",IF(V56="User defined",V57,SUMIFS('Background (from TC)'!$M$4:$M$1048576,'Background (from TC)'!$D$4:$D$1048576,V$15,'Background (from TC)'!$E$4:$E$1048576,V$16,'Background (from TC)'!$O$4:$O$1048576,V$17)*V29))</f>
        <v/>
      </c>
      <c r="W58" s="43" t="str">
        <f>IF(W56="","",IF(W56="User defined",W57,SUMIFS('Background (from TC)'!$M$4:$M$1048576,'Background (from TC)'!$D$4:$D$1048576,W$15,'Background (from TC)'!$E$4:$E$1048576,W$16,'Background (from TC)'!$O$4:$O$1048576,W$17)*W29))</f>
        <v/>
      </c>
      <c r="X58" s="43" t="str">
        <f>IF(X56="","",IF(X56="User defined",X57,SUMIFS('Background (from TC)'!$M$4:$M$1048576,'Background (from TC)'!$D$4:$D$1048576,X$15,'Background (from TC)'!$E$4:$E$1048576,X$16,'Background (from TC)'!$O$4:$O$1048576,X$17)*X29))</f>
        <v/>
      </c>
      <c r="Y58" s="43" t="str">
        <f>IF(Y56="","",IF(Y56="User defined",Y57,SUMIFS('Background (from TC)'!$M$4:$M$1048576,'Background (from TC)'!$D$4:$D$1048576,Y$15,'Background (from TC)'!$E$4:$E$1048576,Y$16,'Background (from TC)'!$O$4:$O$1048576,Y$17)*Y29))</f>
        <v/>
      </c>
      <c r="Z58" s="43" t="str">
        <f>IF(Z56="","",IF(Z56="User defined",Z57,SUMIFS('Background (from TC)'!$M$4:$M$1048576,'Background (from TC)'!$D$4:$D$1048576,Z$15,'Background (from TC)'!$E$4:$E$1048576,Z$16,'Background (from TC)'!$O$4:$O$1048576,Z$17)*Z29))</f>
        <v/>
      </c>
    </row>
    <row r="59" spans="2:26" ht="30">
      <c r="B59" s="280" t="s">
        <v>77</v>
      </c>
      <c r="C59" s="41">
        <f>IFERROR(IF(C15="","",SUMIFS('Background (from TC)'!$S$4:$S$1048576,'Background (from TC)'!$D$4:$D$1048576,C$15,'Background (from TC)'!$E$4:$E$1048576,C$16,'Background (from TC)'!$O$4:$O$1048576,C$17)),"")</f>
        <v>0.37</v>
      </c>
      <c r="D59" s="41">
        <f>IFERROR(IF(D15="","",SUMIFS('Background (from TC)'!$S$4:$S$1048576,'Background (from TC)'!$D$4:$D$1048576,D$15,'Background (from TC)'!$E$4:$E$1048576,D$16,'Background (from TC)'!$O$4:$O$1048576,D$17)),"")</f>
        <v>0.4</v>
      </c>
      <c r="E59" s="41">
        <f>IFERROR(IF(E15="","",SUMIFS('Background (from TC)'!$S$4:$S$1048576,'Background (from TC)'!$D$4:$D$1048576,E$15,'Background (from TC)'!$E$4:$E$1048576,E$16,'Background (from TC)'!$O$4:$O$1048576,E$17)),"")</f>
        <v>0.56000000000000005</v>
      </c>
      <c r="F59" s="41">
        <f>IFERROR(IF(F15="","",SUMIFS('Background (from TC)'!$S$4:$S$1048576,'Background (from TC)'!$D$4:$D$1048576,F$15,'Background (from TC)'!$E$4:$E$1048576,F$16,'Background (from TC)'!$O$4:$O$1048576,F$17)),"")</f>
        <v>0.45</v>
      </c>
      <c r="G59" s="41">
        <f>IFERROR(IF(G15="","",SUMIFS('Background (from TC)'!$S$4:$S$1048576,'Background (from TC)'!$D$4:$D$1048576,G$15,'Background (from TC)'!$E$4:$E$1048576,G$16,'Background (from TC)'!$O$4:$O$1048576,G$17)),"")</f>
        <v>0.33640000000000003</v>
      </c>
      <c r="H59" s="41">
        <f>IFERROR(IF(H15="","",SUMIFS('Background (from TC)'!$S$4:$S$1048576,'Background (from TC)'!$D$4:$D$1048576,H$15,'Background (from TC)'!$E$4:$E$1048576,H$16,'Background (from TC)'!$O$4:$O$1048576,H$17)),"")</f>
        <v>0</v>
      </c>
      <c r="I59" s="41">
        <f>IFERROR(IF(I15="","",SUMIFS('Background (from TC)'!$S$4:$S$1048576,'Background (from TC)'!$D$4:$D$1048576,I$15,'Background (from TC)'!$E$4:$E$1048576,I$16,'Background (from TC)'!$O$4:$O$1048576,I$17)),"")</f>
        <v>0.31</v>
      </c>
      <c r="J59" s="41">
        <f>IFERROR(IF(J15="","",SUMIFS('Background (from TC)'!$S$4:$S$1048576,'Background (from TC)'!$D$4:$D$1048576,J$15,'Background (from TC)'!$E$4:$E$1048576,J$16,'Background (from TC)'!$O$4:$O$1048576,J$17)),"")</f>
        <v>0.15</v>
      </c>
      <c r="K59" s="41">
        <f>IFERROR(IF(K15="","",SUMIFS('Background (from TC)'!$S$4:$S$1048576,'Background (from TC)'!$D$4:$D$1048576,K$15,'Background (from TC)'!$E$4:$E$1048576,K$16,'Background (from TC)'!$O$4:$O$1048576,K$17)),"")</f>
        <v>0.95</v>
      </c>
      <c r="L59" s="41">
        <f>IFERROR(IF(L15="","",SUMIFS('Background (from TC)'!$S$4:$S$1048576,'Background (from TC)'!$D$4:$D$1048576,L$15,'Background (from TC)'!$E$4:$E$1048576,L$16,'Background (from TC)'!$O$4:$O$1048576,L$17)),"")</f>
        <v>0</v>
      </c>
      <c r="M59" s="41">
        <f>IFERROR(IF(M15="","",SUMIFS('Background (from TC)'!$S$4:$S$1048576,'Background (from TC)'!$D$4:$D$1048576,M$15,'Background (from TC)'!$E$4:$E$1048576,M$16,'Background (from TC)'!$O$4:$O$1048576,M$17)),"")</f>
        <v>0</v>
      </c>
      <c r="N59" s="41">
        <f>IFERROR(IF(N15="","",SUMIFS('Background (from TC)'!$S$4:$S$1048576,'Background (from TC)'!$D$4:$D$1048576,N$15,'Background (from TC)'!$E$4:$E$1048576,N$16,'Background (from TC)'!$O$4:$O$1048576,N$17)),"")</f>
        <v>0</v>
      </c>
      <c r="O59" s="41">
        <f>IFERROR(IF(O15="","",SUMIFS('Background (from TC)'!$S$4:$S$1048576,'Background (from TC)'!$D$4:$D$1048576,O$15,'Background (from TC)'!$E$4:$E$1048576,O$16,'Background (from TC)'!$O$4:$O$1048576,O$17)),"")</f>
        <v>0</v>
      </c>
      <c r="P59" s="41">
        <f>IFERROR(IF(P15="","",SUMIFS('Background (from TC)'!$S$4:$S$1048576,'Background (from TC)'!$D$4:$D$1048576,P$15,'Background (from TC)'!$E$4:$E$1048576,P$16,'Background (from TC)'!$O$4:$O$1048576,P$17)),"")</f>
        <v>0</v>
      </c>
      <c r="Q59" s="41" t="str">
        <f>IFERROR(IF(Q15="","",SUMIFS('Background (from TC)'!$S$4:$S$1048576,'Background (from TC)'!$D$4:$D$1048576,Q$15,'Background (from TC)'!$E$4:$E$1048576,Q$16,'Background (from TC)'!$O$4:$O$1048576,Q$17)),"")</f>
        <v/>
      </c>
      <c r="R59" s="41" t="str">
        <f>IFERROR(IF(R15="","",SUMIFS('Background (from TC)'!$S$4:$S$1048576,'Background (from TC)'!$D$4:$D$1048576,R$15,'Background (from TC)'!$E$4:$E$1048576,R$16,'Background (from TC)'!$O$4:$O$1048576,R$17)),"")</f>
        <v/>
      </c>
      <c r="S59" s="41" t="str">
        <f>IFERROR(IF(S15="","",SUMIFS('Background (from TC)'!$S$4:$S$1048576,'Background (from TC)'!$D$4:$D$1048576,S$15,'Background (from TC)'!$E$4:$E$1048576,S$16,'Background (from TC)'!$O$4:$O$1048576,S$17)),"")</f>
        <v/>
      </c>
      <c r="T59" s="41" t="str">
        <f>IFERROR(IF(T15="","",SUMIFS('Background (from TC)'!$S$4:$S$1048576,'Background (from TC)'!$D$4:$D$1048576,T$15,'Background (from TC)'!$E$4:$E$1048576,T$16,'Background (from TC)'!$O$4:$O$1048576,T$17)),"")</f>
        <v/>
      </c>
      <c r="U59" s="41" t="str">
        <f>IFERROR(IF(U15="","",SUMIFS('Background (from TC)'!$S$4:$S$1048576,'Background (from TC)'!$D$4:$D$1048576,U$15,'Background (from TC)'!$E$4:$E$1048576,U$16,'Background (from TC)'!$O$4:$O$1048576,U$17)),"")</f>
        <v/>
      </c>
      <c r="V59" s="41" t="str">
        <f>IFERROR(IF(V15="","",SUMIFS('Background (from TC)'!$S$4:$S$1048576,'Background (from TC)'!$D$4:$D$1048576,V$15,'Background (from TC)'!$E$4:$E$1048576,V$16,'Background (from TC)'!$O$4:$O$1048576,V$17)),"")</f>
        <v/>
      </c>
      <c r="W59" s="41" t="str">
        <f>IFERROR(IF(W15="","",SUMIFS('Background (from TC)'!$S$4:$S$1048576,'Background (from TC)'!$D$4:$D$1048576,W$15,'Background (from TC)'!$E$4:$E$1048576,W$16,'Background (from TC)'!$O$4:$O$1048576,W$17)),"")</f>
        <v/>
      </c>
      <c r="X59" s="41" t="str">
        <f>IFERROR(IF(X15="","",SUMIFS('Background (from TC)'!$S$4:$S$1048576,'Background (from TC)'!$D$4:$D$1048576,X$15,'Background (from TC)'!$E$4:$E$1048576,X$16,'Background (from TC)'!$O$4:$O$1048576,X$17)),"")</f>
        <v/>
      </c>
      <c r="Y59" s="41" t="str">
        <f>IFERROR(IF(Y15="","",SUMIFS('Background (from TC)'!$S$4:$S$1048576,'Background (from TC)'!$D$4:$D$1048576,Y$15,'Background (from TC)'!$E$4:$E$1048576,Y$16,'Background (from TC)'!$O$4:$O$1048576,Y$17)),"")</f>
        <v/>
      </c>
      <c r="Z59" s="41" t="str">
        <f>IFERROR(IF(Z15="","",SUMIFS('Background (from TC)'!$S$4:$S$1048576,'Background (from TC)'!$D$4:$D$1048576,Z$15,'Background (from TC)'!$E$4:$E$1048576,Z$16,'Background (from TC)'!$O$4:$O$1048576,Z$17)),"")</f>
        <v/>
      </c>
    </row>
    <row r="60" spans="2:26" ht="15.75" thickBot="1">
      <c r="B60" s="281" t="s">
        <v>78</v>
      </c>
      <c r="C60" s="43">
        <f>IF(C56="","",IFERROR(C58*3.6/C59,0))</f>
        <v>36.172972972972978</v>
      </c>
      <c r="D60" s="43">
        <f t="shared" ref="D60:Z60" si="9">IF(D56="","",IFERROR(D58*3.6/D59,0))</f>
        <v>33.46</v>
      </c>
      <c r="E60" s="43">
        <f t="shared" si="9"/>
        <v>70.010357142857131</v>
      </c>
      <c r="F60" s="43">
        <f t="shared" si="9"/>
        <v>107.79765133829635</v>
      </c>
      <c r="G60" s="43">
        <f t="shared" si="9"/>
        <v>11.593350535077297</v>
      </c>
      <c r="H60" s="43" t="str">
        <f t="shared" si="9"/>
        <v/>
      </c>
      <c r="I60" s="43">
        <f t="shared" si="9"/>
        <v>54.193548387096776</v>
      </c>
      <c r="J60" s="43">
        <f t="shared" si="9"/>
        <v>0</v>
      </c>
      <c r="K60" s="43">
        <f t="shared" si="9"/>
        <v>0</v>
      </c>
      <c r="L60" s="43">
        <f t="shared" si="9"/>
        <v>0</v>
      </c>
      <c r="M60" s="43">
        <f t="shared" si="9"/>
        <v>0</v>
      </c>
      <c r="N60" s="43">
        <f t="shared" si="9"/>
        <v>0</v>
      </c>
      <c r="O60" s="43">
        <f t="shared" si="9"/>
        <v>0</v>
      </c>
      <c r="P60" s="43">
        <f t="shared" si="9"/>
        <v>0</v>
      </c>
      <c r="Q60" s="43" t="str">
        <f t="shared" si="9"/>
        <v/>
      </c>
      <c r="R60" s="43" t="str">
        <f t="shared" si="9"/>
        <v/>
      </c>
      <c r="S60" s="43" t="str">
        <f t="shared" si="9"/>
        <v/>
      </c>
      <c r="T60" s="43" t="str">
        <f t="shared" si="9"/>
        <v/>
      </c>
      <c r="U60" s="43" t="str">
        <f t="shared" si="9"/>
        <v/>
      </c>
      <c r="V60" s="43" t="str">
        <f t="shared" si="9"/>
        <v/>
      </c>
      <c r="W60" s="43" t="str">
        <f t="shared" si="9"/>
        <v/>
      </c>
      <c r="X60" s="43" t="str">
        <f t="shared" si="9"/>
        <v/>
      </c>
      <c r="Y60" s="43" t="str">
        <f t="shared" si="9"/>
        <v/>
      </c>
      <c r="Z60" s="43" t="str">
        <f t="shared" si="9"/>
        <v/>
      </c>
    </row>
    <row r="61" spans="2:26" ht="15.75" thickBot="1">
      <c r="B61" s="273" t="s">
        <v>43</v>
      </c>
      <c r="C61" s="258" t="str">
        <f t="shared" ref="C61:Z61" si="10">IF(OR(AND(C56="User defined",C57=""),AND(C15="Storage",C58="")),"Insert value above","")</f>
        <v/>
      </c>
      <c r="D61" s="258" t="str">
        <f t="shared" si="10"/>
        <v/>
      </c>
      <c r="E61" s="258" t="str">
        <f t="shared" si="10"/>
        <v/>
      </c>
      <c r="F61" s="258" t="str">
        <f t="shared" si="10"/>
        <v/>
      </c>
      <c r="G61" s="258" t="str">
        <f t="shared" si="10"/>
        <v/>
      </c>
      <c r="H61" s="258" t="str">
        <f t="shared" si="10"/>
        <v/>
      </c>
      <c r="I61" s="258" t="str">
        <f t="shared" si="10"/>
        <v/>
      </c>
      <c r="J61" s="258" t="str">
        <f t="shared" si="10"/>
        <v/>
      </c>
      <c r="K61" s="258" t="str">
        <f t="shared" si="10"/>
        <v/>
      </c>
      <c r="L61" s="258" t="str">
        <f t="shared" si="10"/>
        <v/>
      </c>
      <c r="M61" s="258" t="str">
        <f t="shared" si="10"/>
        <v/>
      </c>
      <c r="N61" s="258" t="str">
        <f t="shared" si="10"/>
        <v/>
      </c>
      <c r="O61" s="258" t="str">
        <f t="shared" si="10"/>
        <v/>
      </c>
      <c r="P61" s="258" t="str">
        <f t="shared" si="10"/>
        <v/>
      </c>
      <c r="Q61" s="258" t="str">
        <f t="shared" si="10"/>
        <v/>
      </c>
      <c r="R61" s="258" t="str">
        <f t="shared" si="10"/>
        <v/>
      </c>
      <c r="S61" s="258" t="str">
        <f t="shared" si="10"/>
        <v/>
      </c>
      <c r="T61" s="258" t="str">
        <f t="shared" si="10"/>
        <v/>
      </c>
      <c r="U61" s="258" t="str">
        <f t="shared" si="10"/>
        <v/>
      </c>
      <c r="V61" s="258" t="str">
        <f t="shared" si="10"/>
        <v/>
      </c>
      <c r="W61" s="258" t="str">
        <f t="shared" si="10"/>
        <v/>
      </c>
      <c r="X61" s="258" t="str">
        <f t="shared" si="10"/>
        <v/>
      </c>
      <c r="Y61" s="258" t="str">
        <f t="shared" si="10"/>
        <v/>
      </c>
      <c r="Z61" s="259" t="str">
        <f t="shared" si="10"/>
        <v/>
      </c>
    </row>
    <row r="62" spans="2:26">
      <c r="F62"/>
    </row>
    <row r="63" spans="2:26" ht="15.75">
      <c r="B63" s="286" t="s">
        <v>79</v>
      </c>
      <c r="F63"/>
    </row>
    <row r="64" spans="2:26">
      <c r="B64" s="279" t="s">
        <v>80</v>
      </c>
      <c r="F64"/>
      <c r="G64"/>
      <c r="H64"/>
      <c r="I64"/>
      <c r="J64"/>
      <c r="K64"/>
      <c r="L64"/>
      <c r="M64"/>
      <c r="N64"/>
      <c r="O64"/>
      <c r="P64"/>
      <c r="Q64"/>
      <c r="R64"/>
      <c r="S64"/>
      <c r="T64"/>
      <c r="U64"/>
      <c r="V64"/>
      <c r="W64"/>
      <c r="X64"/>
      <c r="Y64"/>
      <c r="Z64"/>
    </row>
    <row r="66" spans="1:27" ht="15.75">
      <c r="B66" s="286" t="s">
        <v>81</v>
      </c>
    </row>
    <row r="67" spans="1:27">
      <c r="B67" s="282" t="s">
        <v>82</v>
      </c>
      <c r="C67" s="19" t="s">
        <v>83</v>
      </c>
      <c r="D67" s="19" t="s">
        <v>83</v>
      </c>
      <c r="E67" s="19" t="s">
        <v>83</v>
      </c>
      <c r="F67" s="19" t="s">
        <v>83</v>
      </c>
      <c r="G67" s="19" t="s">
        <v>83</v>
      </c>
      <c r="H67" s="19" t="s">
        <v>83</v>
      </c>
      <c r="I67" s="19" t="s">
        <v>83</v>
      </c>
      <c r="J67" s="19" t="s">
        <v>83</v>
      </c>
      <c r="K67" s="19" t="s">
        <v>83</v>
      </c>
      <c r="L67" s="19" t="s">
        <v>83</v>
      </c>
      <c r="M67" s="19" t="s">
        <v>83</v>
      </c>
      <c r="N67" s="19" t="s">
        <v>83</v>
      </c>
      <c r="O67" s="19" t="s">
        <v>83</v>
      </c>
      <c r="P67" s="19" t="s">
        <v>83</v>
      </c>
      <c r="Q67" s="19" t="s">
        <v>83</v>
      </c>
      <c r="R67" s="19" t="s">
        <v>83</v>
      </c>
      <c r="S67" s="19" t="s">
        <v>83</v>
      </c>
      <c r="T67" s="19" t="s">
        <v>83</v>
      </c>
      <c r="U67" s="19" t="s">
        <v>84</v>
      </c>
      <c r="V67" s="19" t="s">
        <v>84</v>
      </c>
      <c r="W67" s="19" t="s">
        <v>84</v>
      </c>
      <c r="X67" s="19" t="s">
        <v>84</v>
      </c>
      <c r="Y67" s="19" t="s">
        <v>84</v>
      </c>
      <c r="Z67" s="19" t="s">
        <v>84</v>
      </c>
    </row>
    <row r="68" spans="1:27">
      <c r="B68" s="278" t="s">
        <v>85</v>
      </c>
      <c r="C68" s="19">
        <v>125</v>
      </c>
      <c r="D68" s="19">
        <v>125</v>
      </c>
      <c r="E68" s="19">
        <v>125</v>
      </c>
      <c r="F68" s="19">
        <v>125</v>
      </c>
      <c r="G68" s="19">
        <v>125</v>
      </c>
      <c r="I68" s="19">
        <v>125</v>
      </c>
      <c r="J68" s="19">
        <v>125</v>
      </c>
      <c r="K68" s="19">
        <v>125</v>
      </c>
      <c r="L68" s="19">
        <v>125</v>
      </c>
      <c r="M68" s="19">
        <v>125</v>
      </c>
      <c r="N68" s="19">
        <v>125</v>
      </c>
      <c r="O68" s="19">
        <v>125</v>
      </c>
      <c r="P68" s="19">
        <v>125</v>
      </c>
      <c r="Q68" s="19">
        <v>125</v>
      </c>
      <c r="R68" s="19">
        <v>125</v>
      </c>
      <c r="S68" s="19">
        <v>125</v>
      </c>
      <c r="T68" s="19">
        <v>125</v>
      </c>
      <c r="U68" s="19">
        <v>125</v>
      </c>
      <c r="V68" s="19">
        <v>125</v>
      </c>
      <c r="W68" s="19">
        <v>125</v>
      </c>
      <c r="X68" s="19">
        <v>125</v>
      </c>
      <c r="Y68" s="19">
        <v>125</v>
      </c>
      <c r="Z68" s="19">
        <v>125</v>
      </c>
    </row>
    <row r="69" spans="1:27">
      <c r="B69" s="278" t="s">
        <v>86</v>
      </c>
      <c r="C69" s="19" t="s">
        <v>46</v>
      </c>
      <c r="D69" s="19" t="s">
        <v>46</v>
      </c>
      <c r="E69" s="19" t="s">
        <v>46</v>
      </c>
      <c r="F69" s="19" t="s">
        <v>46</v>
      </c>
      <c r="G69" s="19" t="s">
        <v>46</v>
      </c>
      <c r="H69" s="19" t="s">
        <v>46</v>
      </c>
      <c r="I69" s="19" t="s">
        <v>46</v>
      </c>
      <c r="J69" s="19" t="s">
        <v>46</v>
      </c>
      <c r="K69" s="19" t="s">
        <v>46</v>
      </c>
      <c r="L69" s="19" t="s">
        <v>46</v>
      </c>
      <c r="M69" s="19" t="s">
        <v>46</v>
      </c>
      <c r="N69" s="19" t="s">
        <v>46</v>
      </c>
      <c r="O69" s="19" t="s">
        <v>46</v>
      </c>
      <c r="P69" s="19" t="s">
        <v>46</v>
      </c>
      <c r="Q69" s="19" t="s">
        <v>46</v>
      </c>
      <c r="R69" s="19" t="s">
        <v>46</v>
      </c>
      <c r="S69" s="19" t="s">
        <v>46</v>
      </c>
      <c r="T69" s="19" t="s">
        <v>46</v>
      </c>
    </row>
    <row r="70" spans="1:27">
      <c r="B70" s="278" t="s">
        <v>87</v>
      </c>
      <c r="C70" s="521">
        <f>IF(C15="","",IF(C79=0,0,SUMIFS('Background (from TC)'!$L:$L,'Background (from TC)'!$D:$D,C15,'Background (from TC)'!$E:$E,C16,'Background (from TC)'!$O:$O,C17)/1000*3.6/C59))</f>
        <v>1.0352432432432435</v>
      </c>
      <c r="D70" s="521">
        <f>IF(D15="","",IF(D79=0,0,SUMIFS('Background (from TC)'!$L:$L,'Background (from TC)'!$D:$D,D15,'Background (from TC)'!$E:$E,D16,'Background (from TC)'!$O:$O,D17)/1000*3.6/D59))</f>
        <v>0.51119999999999999</v>
      </c>
      <c r="E70" s="521">
        <f>IF(E15="","",IF(E79=0,0,SUMIFS('Background (from TC)'!$L:$L,'Background (from TC)'!$D:$D,E15,'Background (from TC)'!$E:$E,E16,'Background (from TC)'!$O:$O,E17)/1000*3.6/E59))</f>
        <v>0.3651428571428571</v>
      </c>
      <c r="F70" s="521">
        <f>IF(F15="","",IF(F79=0,0,SUMIFS('Background (from TC)'!$L:$L,'Background (from TC)'!$D:$D,F15,'Background (from TC)'!$E:$E,F16,'Background (from TC)'!$O:$O,F17)/1000*3.6/F59))</f>
        <v>0.624</v>
      </c>
      <c r="G70" s="521">
        <f>IF(G15="","",IF(G79=0,0,SUMIFS('Background (from TC)'!$L:$L,'Background (from TC)'!$D:$D,G15,'Background (from TC)'!$E:$E,G16,'Background (from TC)'!$O:$O,G17)/1000*3.6/G59))</f>
        <v>0</v>
      </c>
      <c r="H70" s="521"/>
      <c r="I70" s="521">
        <f>IF(I15="","",IF(I79=0,0,SUMIFS('Background (from TC)'!$L:$L,'Background (from TC)'!$D:$D,I15,'Background (from TC)'!$E:$E,I16,'Background (from TC)'!$O:$O,I17)/1000*3.6/I59))</f>
        <v>0</v>
      </c>
      <c r="J70" s="521">
        <f>IF(J15="","",IF(J79=0,0,SUMIFS('Background (from TC)'!$L:$L,'Background (from TC)'!$D:$D,J15,'Background (from TC)'!$E:$E,J16,'Background (from TC)'!$O:$O,J17)/1000*3.6/J59))</f>
        <v>0</v>
      </c>
      <c r="K70" s="521">
        <f>IF(K15="","",IF(K79=0,0,SUMIFS('Background (from TC)'!$L:$L,'Background (from TC)'!$D:$D,K15,'Background (from TC)'!$E:$E,K16,'Background (from TC)'!$O:$O,K17)/1000*3.6/K59))</f>
        <v>0</v>
      </c>
      <c r="L70" s="521">
        <f>IF(L15="","",IF(L79=0,0,SUMIFS('Background (from TC)'!$L:$L,'Background (from TC)'!$D:$D,L15,'Background (from TC)'!$E:$E,L16,'Background (from TC)'!$O:$O,L17)/1000*3.6/L59))</f>
        <v>0</v>
      </c>
      <c r="M70" s="521">
        <f>IF(M15="","",IF(M79=0,0,SUMIFS('Background (from TC)'!$L:$L,'Background (from TC)'!$D:$D,M15,'Background (from TC)'!$E:$E,M16,'Background (from TC)'!$O:$O,M17)/1000*3.6/M59))</f>
        <v>0</v>
      </c>
      <c r="N70" s="521">
        <f>IF(N15="","",IF(N79=0,0,SUMIFS('Background (from TC)'!$L:$L,'Background (from TC)'!$D:$D,N15,'Background (from TC)'!$E:$E,N16,'Background (from TC)'!$O:$O,N17)/1000*3.6/N59))</f>
        <v>0</v>
      </c>
      <c r="O70" s="521">
        <f>IF(O15="","",IF(O79=0,0,SUMIFS('Background (from TC)'!$L:$L,'Background (from TC)'!$D:$D,O15,'Background (from TC)'!$E:$E,O16,'Background (from TC)'!$O:$O,O17)/1000*3.6/O59))</f>
        <v>0</v>
      </c>
      <c r="P70" s="521">
        <f>IF(P15="","",IF(P79=0,0,SUMIFS('Background (from TC)'!$L:$L,'Background (from TC)'!$D:$D,P15,'Background (from TC)'!$E:$E,P16,'Background (from TC)'!$O:$O,P17)/1000*3.6/P59))</f>
        <v>0</v>
      </c>
      <c r="Q70" s="521" t="str">
        <f>IF(Q15="","",IF(Q79=0,0,SUMIFS('Background (from TC)'!$L:$L,'Background (from TC)'!$D:$D,Q15,'Background (from TC)'!$E:$E,Q16,'Background (from TC)'!$O:$O,Q17)/1000*3.6/Q59))</f>
        <v/>
      </c>
      <c r="R70" s="521" t="str">
        <f>IF(R15="","",IF(R79=0,0,SUMIFS('Background (from TC)'!$L:$L,'Background (from TC)'!$D:$D,R15,'Background (from TC)'!$E:$E,R16,'Background (from TC)'!$O:$O,R17)/1000*3.6/R59))</f>
        <v/>
      </c>
      <c r="S70" s="521" t="str">
        <f>IF(S15="","",IF(S79=0,0,SUMIFS('Background (from TC)'!$L:$L,'Background (from TC)'!$D:$D,S15,'Background (from TC)'!$E:$E,S16,'Background (from TC)'!$O:$O,S17)/1000*3.6/S59))</f>
        <v/>
      </c>
      <c r="T70" s="521" t="str">
        <f>IF(T15="","",IF(T79=0,0,SUMIFS('Background (from TC)'!$L:$L,'Background (from TC)'!$D:$D,T15,'Background (from TC)'!$E:$E,T16,'Background (from TC)'!$O:$O,T17)/1000*3.6/T59))</f>
        <v/>
      </c>
      <c r="U70" s="521" t="str">
        <f>IF(U15="","",IF(U79=0,0,SUMIFS('Background (from TC)'!$L:$L,'Background (from TC)'!$D:$D,U15,'Background (from TC)'!$E:$E,U16,'Background (from TC)'!$O:$O,U17)/1000*3.6/U59))</f>
        <v/>
      </c>
      <c r="V70" s="521" t="str">
        <f>IF(V15="","",IF(V79=0,0,SUMIFS('Background (from TC)'!$L:$L,'Background (from TC)'!$D:$D,V15,'Background (from TC)'!$E:$E,V16,'Background (from TC)'!$O:$O,V17)/1000*3.6/V59))</f>
        <v/>
      </c>
      <c r="W70" s="521" t="str">
        <f>IF(W15="","",IF(W79=0,0,SUMIFS('Background (from TC)'!$L:$L,'Background (from TC)'!$D:$D,W15,'Background (from TC)'!$E:$E,W16,'Background (from TC)'!$O:$O,W17)/1000*3.6/W59))</f>
        <v/>
      </c>
      <c r="X70" s="521" t="str">
        <f>IF(X15="","",IF(X79=0,0,SUMIFS('Background (from TC)'!$L:$L,'Background (from TC)'!$D:$D,X15,'Background (from TC)'!$E:$E,X16,'Background (from TC)'!$O:$O,X17)/1000*3.6/X59))</f>
        <v/>
      </c>
      <c r="Y70" s="521" t="str">
        <f>IF(Y15="","",IF(Y79=0,0,SUMIFS('Background (from TC)'!$L:$L,'Background (from TC)'!$D:$D,Y15,'Background (from TC)'!$E:$E,Y16,'Background (from TC)'!$O:$O,Y17)/1000*3.6/Y59))</f>
        <v/>
      </c>
      <c r="Z70" s="521" t="str">
        <f>IF(Z15="","",IF(Z79=0,0,SUMIFS('Background (from TC)'!$L:$L,'Background (from TC)'!$D:$D,Z15,'Background (from TC)'!$E:$E,Z16,'Background (from TC)'!$O:$O,Z17)/1000*3.6/Z59))</f>
        <v/>
      </c>
    </row>
    <row r="71" spans="1:27">
      <c r="B71" s="278" t="s">
        <v>88</v>
      </c>
      <c r="C71" s="56">
        <v>1.0900000000000001</v>
      </c>
      <c r="D71" s="56">
        <v>2.09</v>
      </c>
      <c r="E71" s="56">
        <v>3.09</v>
      </c>
      <c r="F71" s="56">
        <v>4.09</v>
      </c>
      <c r="G71" s="56">
        <v>5.09</v>
      </c>
      <c r="H71" s="56"/>
      <c r="I71" s="56">
        <v>7.09</v>
      </c>
      <c r="J71" s="56">
        <v>1.25</v>
      </c>
      <c r="K71" s="56"/>
      <c r="L71" s="56">
        <v>10.09</v>
      </c>
      <c r="M71" s="56">
        <v>11.09</v>
      </c>
      <c r="N71" s="56">
        <v>12.09</v>
      </c>
      <c r="O71" s="56">
        <v>13.09</v>
      </c>
      <c r="P71" s="56">
        <v>14.09</v>
      </c>
      <c r="Q71" s="56">
        <v>15.09</v>
      </c>
      <c r="R71" s="56">
        <v>16.09</v>
      </c>
      <c r="S71" s="56">
        <v>17.09</v>
      </c>
      <c r="T71" s="56">
        <v>18.09</v>
      </c>
      <c r="U71" s="56">
        <v>19.09</v>
      </c>
      <c r="V71" s="56">
        <v>20.09</v>
      </c>
      <c r="W71" s="56">
        <v>21.09</v>
      </c>
      <c r="X71" s="56">
        <v>22.09</v>
      </c>
      <c r="Y71" s="56">
        <v>23.09</v>
      </c>
      <c r="Z71" s="56">
        <v>24.09</v>
      </c>
    </row>
    <row r="72" spans="1:27">
      <c r="B72" s="279" t="s">
        <v>89</v>
      </c>
      <c r="C72" s="18">
        <f>IF(C69="User defined",C71,C70)</f>
        <v>1.0352432432432435</v>
      </c>
      <c r="D72" s="18">
        <f>IF(D69="User defined",D71,D70)</f>
        <v>0.51119999999999999</v>
      </c>
      <c r="E72" s="18">
        <f t="shared" ref="E72:Z72" si="11">IF(E69="User defined",E71,E70)</f>
        <v>0.3651428571428571</v>
      </c>
      <c r="F72" s="18">
        <f t="shared" si="11"/>
        <v>0.624</v>
      </c>
      <c r="G72" s="18">
        <f t="shared" si="11"/>
        <v>0</v>
      </c>
      <c r="H72" s="18"/>
      <c r="I72" s="18">
        <f t="shared" si="11"/>
        <v>0</v>
      </c>
      <c r="J72" s="18">
        <f t="shared" si="11"/>
        <v>0</v>
      </c>
      <c r="K72" s="18">
        <f t="shared" si="11"/>
        <v>0</v>
      </c>
      <c r="L72" s="18">
        <f t="shared" si="11"/>
        <v>0</v>
      </c>
      <c r="M72" s="18">
        <f t="shared" si="11"/>
        <v>0</v>
      </c>
      <c r="N72" s="18">
        <f t="shared" si="11"/>
        <v>0</v>
      </c>
      <c r="O72" s="18">
        <f t="shared" si="11"/>
        <v>0</v>
      </c>
      <c r="P72" s="18">
        <f t="shared" si="11"/>
        <v>0</v>
      </c>
      <c r="Q72" s="18" t="str">
        <f t="shared" si="11"/>
        <v/>
      </c>
      <c r="R72" s="18" t="str">
        <f t="shared" si="11"/>
        <v/>
      </c>
      <c r="S72" s="18" t="str">
        <f t="shared" si="11"/>
        <v/>
      </c>
      <c r="T72" s="18" t="str">
        <f t="shared" si="11"/>
        <v/>
      </c>
      <c r="U72" s="18" t="str">
        <f t="shared" si="11"/>
        <v/>
      </c>
      <c r="V72" s="18" t="str">
        <f t="shared" si="11"/>
        <v/>
      </c>
      <c r="W72" s="18" t="str">
        <f t="shared" si="11"/>
        <v/>
      </c>
      <c r="X72" s="18" t="str">
        <f t="shared" si="11"/>
        <v/>
      </c>
      <c r="Y72" s="18" t="str">
        <f t="shared" si="11"/>
        <v/>
      </c>
      <c r="Z72" s="18" t="str">
        <f t="shared" si="11"/>
        <v/>
      </c>
    </row>
    <row r="73" spans="1:27">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7" ht="15.75">
      <c r="B74" s="286" t="s">
        <v>90</v>
      </c>
    </row>
    <row r="75" spans="1:27" s="19" customFormat="1">
      <c r="A75"/>
      <c r="B75" s="278" t="s">
        <v>91</v>
      </c>
      <c r="C75" s="19" t="s">
        <v>84</v>
      </c>
      <c r="D75" s="19" t="s">
        <v>84</v>
      </c>
      <c r="E75" s="19" t="s">
        <v>84</v>
      </c>
      <c r="F75" s="19" t="s">
        <v>84</v>
      </c>
      <c r="G75" s="19" t="s">
        <v>84</v>
      </c>
      <c r="I75" s="19" t="s">
        <v>84</v>
      </c>
      <c r="J75" s="19" t="s">
        <v>84</v>
      </c>
      <c r="K75" s="19" t="s">
        <v>84</v>
      </c>
      <c r="L75" s="19" t="s">
        <v>84</v>
      </c>
      <c r="M75" s="19" t="s">
        <v>84</v>
      </c>
      <c r="N75" s="19" t="s">
        <v>84</v>
      </c>
      <c r="O75" s="19" t="s">
        <v>84</v>
      </c>
      <c r="P75" s="19" t="s">
        <v>84</v>
      </c>
      <c r="Q75" s="19" t="s">
        <v>84</v>
      </c>
      <c r="R75" s="19" t="s">
        <v>84</v>
      </c>
      <c r="S75" s="19" t="s">
        <v>84</v>
      </c>
      <c r="T75" s="19" t="s">
        <v>84</v>
      </c>
      <c r="U75" s="19" t="s">
        <v>84</v>
      </c>
      <c r="V75" s="19" t="s">
        <v>84</v>
      </c>
      <c r="W75" s="19" t="s">
        <v>84</v>
      </c>
      <c r="X75" s="19" t="s">
        <v>84</v>
      </c>
      <c r="Y75" s="19" t="s">
        <v>84</v>
      </c>
      <c r="Z75" s="19" t="s">
        <v>84</v>
      </c>
      <c r="AA75" s="276"/>
    </row>
    <row r="76" spans="1:27">
      <c r="B76" s="278" t="s">
        <v>92</v>
      </c>
      <c r="C76" s="35">
        <f>IF(C$15="","",IF(C75="No",0,IF(C15="Storage",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TC)'!$O$4:$O$1048576,C$17)*C43/SUMIFS('Background (from TC)'!$S$4:$S$1048576,'Background (from TC)'!$D$4:$D$1048576,C$15,'Background (from TC)'!$E$4:$E$1048576,C$16,'Background (from TC)'!$O$4:$O$1048576,C$17)+SUMIFS('Background (from TC)'!$AD$4:$AD$1048576,'Background (from TC)'!$D$4:$D$1048576,C$15,'Background (from TC)'!$E$4:$E$1048576,C$16,'Background (from TC)'!$O$4:$O$1048576,C$17)*C42),
SUMIFS('Background (from TC)'!$G$4:$G$1048576,'Background (from TC)'!$D$4:$D$1048576,C$15,'Background (from TC)'!$E$4:$E$1048576,C$16,'Background (from TC)'!$O$4:$O$1048576,C$17)))*C29)</f>
        <v>1.6</v>
      </c>
      <c r="D76" s="35">
        <f>IF(D$15="","",IF(D75="No",0,IF(D15="Storage",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
SUMIFS('Background (from TC)'!$G$4:$G$1048576,'Background (from TC)'!$D$4:$D$1048576,D$15,'Background (from TC)'!$E$4:$E$1048576,D$16,'Background (from TC)'!$O$4:$O$1048576,D$17)))*D29)</f>
        <v>2.73</v>
      </c>
      <c r="E76" s="35">
        <f>IF(E$15="","",IF(E75="No",0,IF(E15="Storage",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
SUMIFS('Background (from TC)'!$G$4:$G$1048576,'Background (from TC)'!$D$4:$D$1048576,E$15,'Background (from TC)'!$E$4:$E$1048576,E$16,'Background (from TC)'!$O$4:$O$1048576,E$17)))*E29)</f>
        <v>1.08</v>
      </c>
      <c r="F76" s="35">
        <f>IF(F$15="","",IF(F75="No",0,IF(F15="Storage",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
SUMIFS('Background (from TC)'!$G$4:$G$1048576,'Background (from TC)'!$D$4:$D$1048576,F$15,'Background (from TC)'!$E$4:$E$1048576,F$16,'Background (from TC)'!$O$4:$O$1048576,F$17)))*F29)</f>
        <v>0.91200000000000003</v>
      </c>
      <c r="G76" s="35">
        <f>IF(G$15="","",IF(G75="No",0,IF(G15="Storage",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
SUMIFS('Background (from TC)'!$G$4:$G$1048576,'Background (from TC)'!$D$4:$D$1048576,G$15,'Background (from TC)'!$E$4:$E$1048576,G$16,'Background (from TC)'!$O$4:$O$1048576,G$17)))*G29)</f>
        <v>9</v>
      </c>
      <c r="H76" s="35"/>
      <c r="I76" s="35">
        <f>IF(I$15="","",IF(I75="No",0,IF(I15="Storage",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
SUMIFS('Background (from TC)'!$G$4:$G$1048576,'Background (from TC)'!$D$4:$D$1048576,I$15,'Background (from TC)'!$E$4:$E$1048576,I$16,'Background (from TC)'!$O$4:$O$1048576,I$17)))*I29)</f>
        <v>2.2799999999999998</v>
      </c>
      <c r="J76" s="35">
        <f>IF(J$15="","",IF(J75="No",0,IF(J15="Storage",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
SUMIFS('Background (from TC)'!$G$4:$G$1048576,'Background (from TC)'!$D$4:$D$1048576,J$15,'Background (from TC)'!$E$4:$E$1048576,J$16,'Background (from TC)'!$O$4:$O$1048576,J$17)))*J29)</f>
        <v>4.4000000000000004</v>
      </c>
      <c r="K76" s="35">
        <f>IF(K$15="","",IF(K75="No",0,IF(K15="Storage",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
SUMIFS('Background (from TC)'!$G$4:$G$1048576,'Background (from TC)'!$D$4:$D$1048576,K$15,'Background (from TC)'!$E$4:$E$1048576,K$16,'Background (from TC)'!$O$4:$O$1048576,K$17)))*K29)</f>
        <v>2.2000000000000002</v>
      </c>
      <c r="L76" s="35">
        <f>IF(L$15="","",IF(L75="No",0,IF(L15="Storage",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
SUMIFS('Background (from TC)'!$G$4:$G$1048576,'Background (from TC)'!$D$4:$D$1048576,L$15,'Background (from TC)'!$E$4:$E$1048576,L$16,'Background (from TC)'!$O$4:$O$1048576,L$17)))*L29)</f>
        <v>0.96</v>
      </c>
      <c r="M76" s="35">
        <f>IF(M$15="","",IF(M75="No",0,IF(M15="Storage",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
SUMIFS('Background (from TC)'!$G$4:$G$1048576,'Background (from TC)'!$D$4:$D$1048576,M$15,'Background (from TC)'!$E$4:$E$1048576,M$16,'Background (from TC)'!$O$4:$O$1048576,M$17)))*M29)</f>
        <v>1.2</v>
      </c>
      <c r="N76" s="35">
        <f>IF(N$15="","",IF(N75="No",0,IF(N15="Storage",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
SUMIFS('Background (from TC)'!$G$4:$G$1048576,'Background (from TC)'!$D$4:$D$1048576,N$15,'Background (from TC)'!$E$4:$E$1048576,N$16,'Background (from TC)'!$O$4:$O$1048576,N$17)))*N29)</f>
        <v>1.65</v>
      </c>
      <c r="O76" s="35">
        <f>IF(O$15="","",IF(O75="No",0,IF(O15="Storage",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
SUMIFS('Background (from TC)'!$G$4:$G$1048576,'Background (from TC)'!$D$4:$D$1048576,O$15,'Background (from TC)'!$E$4:$E$1048576,O$16,'Background (from TC)'!$O$4:$O$1048576,O$17)))*O29)</f>
        <v>4.0999999999999996</v>
      </c>
      <c r="P76" s="35">
        <f>IF(P$15="","",IF(P75="No",0,IF(P15="Storage",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
SUMIFS('Background (from TC)'!$G$4:$G$1048576,'Background (from TC)'!$D$4:$D$1048576,P$15,'Background (from TC)'!$E$4:$E$1048576,P$16,'Background (from TC)'!$O$4:$O$1048576,P$17)))*P29)</f>
        <v>5.5</v>
      </c>
      <c r="Q76" s="35" t="str">
        <f>IF(Q$15="","",IF(Q75="No",0,IF(Q15="Storage",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
SUMIFS('Background (from TC)'!$G$4:$G$1048576,'Background (from TC)'!$D$4:$D$1048576,Q$15,'Background (from TC)'!$E$4:$E$1048576,Q$16,'Background (from TC)'!$O$4:$O$1048576,Q$17)))*Q29)</f>
        <v/>
      </c>
      <c r="R76" s="35" t="str">
        <f>IF(R$15="","",IF(R75="No",0,IF(R15="Storage",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
SUMIFS('Background (from TC)'!$G$4:$G$1048576,'Background (from TC)'!$D$4:$D$1048576,R$15,'Background (from TC)'!$E$4:$E$1048576,R$16,'Background (from TC)'!$O$4:$O$1048576,R$17)))*R29)</f>
        <v/>
      </c>
      <c r="S76" s="35" t="str">
        <f>IF(S$15="","",IF(S75="No",0,IF(S15="Storage",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
SUMIFS('Background (from TC)'!$G$4:$G$1048576,'Background (from TC)'!$D$4:$D$1048576,S$15,'Background (from TC)'!$E$4:$E$1048576,S$16,'Background (from TC)'!$O$4:$O$1048576,S$17)))*S29)</f>
        <v/>
      </c>
      <c r="T76" s="35" t="str">
        <f>IF(T$15="","",IF(T75="No",0,IF(T15="Storage",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
SUMIFS('Background (from TC)'!$G$4:$G$1048576,'Background (from TC)'!$D$4:$D$1048576,T$15,'Background (from TC)'!$E$4:$E$1048576,T$16,'Background (from TC)'!$O$4:$O$1048576,T$17)))*T29)</f>
        <v/>
      </c>
      <c r="U76" s="35" t="str">
        <f>IF(U$15="","",IF(U75="No",0,IF(U15="Storage",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
SUMIFS('Background (from TC)'!$G$4:$G$1048576,'Background (from TC)'!$D$4:$D$1048576,U$15,'Background (from TC)'!$E$4:$E$1048576,U$16,'Background (from TC)'!$O$4:$O$1048576,U$17)))*U29)</f>
        <v/>
      </c>
      <c r="V76" s="35" t="str">
        <f>IF(V$15="","",IF(V75="No",0,IF(V15="Storage",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
SUMIFS('Background (from TC)'!$G$4:$G$1048576,'Background (from TC)'!$D$4:$D$1048576,V$15,'Background (from TC)'!$E$4:$E$1048576,V$16,'Background (from TC)'!$O$4:$O$1048576,V$17)))*V29)</f>
        <v/>
      </c>
      <c r="W76" s="35" t="str">
        <f>IF(W$15="","",IF(W75="No",0,IF(W15="Storage",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
SUMIFS('Background (from TC)'!$G$4:$G$1048576,'Background (from TC)'!$D$4:$D$1048576,W$15,'Background (from TC)'!$E$4:$E$1048576,W$16,'Background (from TC)'!$O$4:$O$1048576,W$17)))*W29)</f>
        <v/>
      </c>
      <c r="X76" s="35" t="str">
        <f>IF(X$15="","",IF(X75="No",0,IF(X15="Storage",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
SUMIFS('Background (from TC)'!$G$4:$G$1048576,'Background (from TC)'!$D$4:$D$1048576,X$15,'Background (from TC)'!$E$4:$E$1048576,X$16,'Background (from TC)'!$O$4:$O$1048576,X$17)))*X29)</f>
        <v/>
      </c>
      <c r="Y76" s="35" t="str">
        <f>IF(Y$15="","",IF(Y75="No",0,IF(Y15="Storage",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
SUMIFS('Background (from TC)'!$G$4:$G$1048576,'Background (from TC)'!$D$4:$D$1048576,Y$15,'Background (from TC)'!$E$4:$E$1048576,Y$16,'Background (from TC)'!$O$4:$O$1048576,Y$17)))*Y29)</f>
        <v/>
      </c>
      <c r="Z76" s="35" t="str">
        <f>IF(Z$15="","",IF(Z75="No",0,IF(Z15="Storage",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
SUMIFS('Background (from TC)'!$G$4:$G$1048576,'Background (from TC)'!$D$4:$D$1048576,Z$15,'Background (from TC)'!$E$4:$E$1048576,Z$16,'Background (from TC)'!$O$4:$O$1048576,Z$17)))*Z29)</f>
        <v/>
      </c>
    </row>
    <row r="77" spans="1:27">
      <c r="B77" s="278" t="s">
        <v>93</v>
      </c>
      <c r="C77" s="35">
        <f>IF(C$15="","",SUMIFS('Background (from TC)'!$H$4:$H$1048576,'Background (from TC)'!$D$4:$D$1048576,C$15,'Background (from TC)'!$E$4:$E$1048576,C$16,'Background (from TC)'!$O$4:$O$1048576,C$17)*C29)</f>
        <v>47</v>
      </c>
      <c r="D77" s="35">
        <f>IF(D$15="","",SUMIFS('Background (from TC)'!$H$4:$H$1048576,'Background (from TC)'!$D$4:$D$1048576,D$15,'Background (from TC)'!$E$4:$E$1048576,D$16,'Background (from TC)'!$O$4:$O$1048576,D$17)*D29)</f>
        <v>68.400000000000006</v>
      </c>
      <c r="E77" s="35">
        <f>IF(E$15="","",SUMIFS('Background (from TC)'!$H$4:$H$1048576,'Background (from TC)'!$D$4:$D$1048576,E$15,'Background (from TC)'!$E$4:$E$1048576,E$16,'Background (from TC)'!$O$4:$O$1048576,E$17)*E29)</f>
        <v>26.8</v>
      </c>
      <c r="F77" s="35">
        <f>IF(F$15="","",SUMIFS('Background (from TC)'!$H$4:$H$1048576,'Background (from TC)'!$D$4:$D$1048576,F$15,'Background (from TC)'!$E$4:$E$1048576,F$16,'Background (from TC)'!$O$4:$O$1048576,F$17)*F29)</f>
        <v>9.1199999999999992</v>
      </c>
      <c r="G77" s="35">
        <f>IF(G$15="","",SUMIFS('Background (from TC)'!$H$4:$H$1048576,'Background (from TC)'!$D$4:$D$1048576,G$15,'Background (from TC)'!$E$4:$E$1048576,G$16,'Background (from TC)'!$O$4:$O$1048576,G$17)*G29)</f>
        <v>127</v>
      </c>
      <c r="H77" s="35"/>
      <c r="I77" s="35">
        <f>IF(I$15="","",SUMIFS('Background (from TC)'!$H$4:$H$1048576,'Background (from TC)'!$D$4:$D$1048576,I$15,'Background (from TC)'!$E$4:$E$1048576,I$16,'Background (from TC)'!$O$4:$O$1048576,I$17)*I29)</f>
        <v>54</v>
      </c>
      <c r="J77" s="35">
        <f>IF(J$15="","",SUMIFS('Background (from TC)'!$H$4:$H$1048576,'Background (from TC)'!$D$4:$D$1048576,J$15,'Background (from TC)'!$E$4:$E$1048576,J$16,'Background (from TC)'!$O$4:$O$1048576,J$17)*J29)</f>
        <v>110</v>
      </c>
      <c r="K77" s="35">
        <f>IF(K$15="","",SUMIFS('Background (from TC)'!$H$4:$H$1048576,'Background (from TC)'!$D$4:$D$1048576,K$15,'Background (from TC)'!$E$4:$E$1048576,K$16,'Background (from TC)'!$O$4:$O$1048576,K$17)*K29)</f>
        <v>43</v>
      </c>
      <c r="L77" s="35">
        <f>IF(L$15="","",SUMIFS('Background (from TC)'!$H$4:$H$1048576,'Background (from TC)'!$D$4:$D$1048576,L$15,'Background (from TC)'!$E$4:$E$1048576,L$16,'Background (from TC)'!$O$4:$O$1048576,L$17)*L29)</f>
        <v>7.5</v>
      </c>
      <c r="M77" s="35">
        <f>IF(M$15="","",SUMIFS('Background (from TC)'!$H$4:$H$1048576,'Background (from TC)'!$D$4:$D$1048576,M$15,'Background (from TC)'!$E$4:$E$1048576,M$16,'Background (from TC)'!$O$4:$O$1048576,M$17)*M29)</f>
        <v>9</v>
      </c>
      <c r="N77" s="35">
        <f>IF(N$15="","",SUMIFS('Background (from TC)'!$H$4:$H$1048576,'Background (from TC)'!$D$4:$D$1048576,N$15,'Background (from TC)'!$E$4:$E$1048576,N$16,'Background (from TC)'!$O$4:$O$1048576,N$17)*N29)</f>
        <v>40</v>
      </c>
      <c r="O77" s="35">
        <f>IF(O$15="","",SUMIFS('Background (from TC)'!$H$4:$H$1048576,'Background (from TC)'!$D$4:$D$1048576,O$15,'Background (from TC)'!$E$4:$E$1048576,O$16,'Background (from TC)'!$O$4:$O$1048576,O$17)*O29)</f>
        <v>118.76788796025376</v>
      </c>
      <c r="P77" s="35">
        <f>IF(P$15="","",SUMIFS('Background (from TC)'!$H$4:$H$1048576,'Background (from TC)'!$D$4:$D$1048576,P$15,'Background (from TC)'!$E$4:$E$1048576,P$16,'Background (from TC)'!$O$4:$O$1048576,P$17)*P29)</f>
        <v>155</v>
      </c>
      <c r="Q77" s="35" t="str">
        <f>IF(Q$15="","",SUMIFS('Background (from TC)'!$H$4:$H$1048576,'Background (from TC)'!$D$4:$D$1048576,Q$15,'Background (from TC)'!$E$4:$E$1048576,Q$16,'Background (from TC)'!$O$4:$O$1048576,Q$17)*Q29)</f>
        <v/>
      </c>
      <c r="R77" s="35" t="str">
        <f>IF(R$15="","",SUMIFS('Background (from TC)'!$H$4:$H$1048576,'Background (from TC)'!$D$4:$D$1048576,R$15,'Background (from TC)'!$E$4:$E$1048576,R$16,'Background (from TC)'!$O$4:$O$1048576,R$17)*R29)</f>
        <v/>
      </c>
      <c r="S77" s="35" t="str">
        <f>IF(S$15="","",SUMIFS('Background (from TC)'!$H$4:$H$1048576,'Background (from TC)'!$D$4:$D$1048576,S$15,'Background (from TC)'!$E$4:$E$1048576,S$16,'Background (from TC)'!$O$4:$O$1048576,S$17)*S29)</f>
        <v/>
      </c>
      <c r="T77" s="35" t="str">
        <f>IF(T$15="","",SUMIFS('Background (from TC)'!$H$4:$H$1048576,'Background (from TC)'!$D$4:$D$1048576,T$15,'Background (from TC)'!$E$4:$E$1048576,T$16,'Background (from TC)'!$O$4:$O$1048576,T$17)*T29)</f>
        <v/>
      </c>
      <c r="U77" s="35" t="str">
        <f>IF(U$15="","",SUMIFS('Background (from TC)'!$H$4:$H$1048576,'Background (from TC)'!$D$4:$D$1048576,U$15,'Background (from TC)'!$E$4:$E$1048576,U$16,'Background (from TC)'!$O$4:$O$1048576,U$17)*U29)</f>
        <v/>
      </c>
      <c r="V77" s="35" t="str">
        <f>IF(V$15="","",SUMIFS('Background (from TC)'!$H$4:$H$1048576,'Background (from TC)'!$D$4:$D$1048576,V$15,'Background (from TC)'!$E$4:$E$1048576,V$16,'Background (from TC)'!$O$4:$O$1048576,V$17)*V29)</f>
        <v/>
      </c>
      <c r="W77" s="35" t="str">
        <f>IF(W$15="","",SUMIFS('Background (from TC)'!$H$4:$H$1048576,'Background (from TC)'!$D$4:$D$1048576,W$15,'Background (from TC)'!$E$4:$E$1048576,W$16,'Background (from TC)'!$O$4:$O$1048576,W$17)*W29)</f>
        <v/>
      </c>
      <c r="X77" s="35" t="str">
        <f>IF(X$15="","",SUMIFS('Background (from TC)'!$H$4:$H$1048576,'Background (from TC)'!$D$4:$D$1048576,X$15,'Background (from TC)'!$E$4:$E$1048576,X$16,'Background (from TC)'!$O$4:$O$1048576,X$17)*X29)</f>
        <v/>
      </c>
      <c r="Y77" s="35" t="str">
        <f>IF(Y$15="","",SUMIFS('Background (from TC)'!$H$4:$H$1048576,'Background (from TC)'!$D$4:$D$1048576,Y$15,'Background (from TC)'!$E$4:$E$1048576,Y$16,'Background (from TC)'!$O$4:$O$1048576,Y$17)*Y29)</f>
        <v/>
      </c>
      <c r="Z77" s="35" t="str">
        <f>IF(Z$15="","",SUMIFS('Background (from TC)'!$H$4:$H$1048576,'Background (from TC)'!$D$4:$D$1048576,Z$15,'Background (from TC)'!$E$4:$E$1048576,Z$16,'Background (from TC)'!$O$4:$O$1048576,Z$17)*Z29)</f>
        <v/>
      </c>
    </row>
    <row r="78" spans="1:27">
      <c r="B78" s="278" t="s">
        <v>94</v>
      </c>
      <c r="C78" s="1074">
        <f>IF(C$15="","",SUMIFS('Background (from TC)'!$I$4:$I$1048576,'Background (from TC)'!$D$4:$D$1048576,C$15,'Background (from TC)'!$E$4:$E$1048576,C$16,'Background (from TC)'!$O$4:$O$1048576,C$17)*C29)</f>
        <v>1.4</v>
      </c>
      <c r="D78" s="1074">
        <f>IF(D$15="","",SUMIFS('Background (from TC)'!$I$4:$I$1048576,'Background (from TC)'!$D$4:$D$1048576,D$15,'Background (from TC)'!$E$4:$E$1048576,D$16,'Background (from TC)'!$O$4:$O$1048576,D$17)*D29)</f>
        <v>13.7</v>
      </c>
      <c r="E78" s="1074">
        <f>IF(E$15="","",SUMIFS('Background (from TC)'!$I$4:$I$1048576,'Background (from TC)'!$D$4:$D$1048576,E$15,'Background (from TC)'!$E$4:$E$1048576,E$16,'Background (from TC)'!$O$4:$O$1048576,E$17)*E29)</f>
        <v>2.6</v>
      </c>
      <c r="F78" s="1074">
        <f>IF(F$15="","",SUMIFS('Background (from TC)'!$I$4:$I$1048576,'Background (from TC)'!$D$4:$D$1048576,F$15,'Background (from TC)'!$E$4:$E$1048576,F$16,'Background (from TC)'!$O$4:$O$1048576,F$17)*F29)</f>
        <v>7.2960000000000003</v>
      </c>
      <c r="G78" s="1074">
        <f>IF(G$15="","",SUMIFS('Background (from TC)'!$I$4:$I$1048576,'Background (from TC)'!$D$4:$D$1048576,G$15,'Background (from TC)'!$E$4:$E$1048576,G$16,'Background (from TC)'!$O$4:$O$1048576,G$17)*G29)</f>
        <v>2.4</v>
      </c>
      <c r="H78" s="1074"/>
      <c r="I78" s="1074">
        <f>IF(I$15="","",SUMIFS('Background (from TC)'!$I$4:$I$1048576,'Background (from TC)'!$D$4:$D$1048576,I$15,'Background (from TC)'!$E$4:$E$1048576,I$16,'Background (from TC)'!$O$4:$O$1048576,I$17)*I29)</f>
        <v>3.4</v>
      </c>
      <c r="J78" s="1074">
        <f>IF(J$15="","",SUMIFS('Background (from TC)'!$I$4:$I$1048576,'Background (from TC)'!$D$4:$D$1048576,J$15,'Background (from TC)'!$E$4:$E$1048576,J$16,'Background (from TC)'!$O$4:$O$1048576,J$17)*J29)</f>
        <v>0.27</v>
      </c>
      <c r="K78" s="1074">
        <f>IF(K$15="","",SUMIFS('Background (from TC)'!$I$4:$I$1048576,'Background (from TC)'!$D$4:$D$1048576,K$15,'Background (from TC)'!$E$4:$E$1048576,K$16,'Background (from TC)'!$O$4:$O$1048576,K$17)*K29)</f>
        <v>0.74</v>
      </c>
      <c r="L78" s="1074">
        <f>IF(L$15="","",SUMIFS('Background (from TC)'!$I$4:$I$1048576,'Background (from TC)'!$D$4:$D$1048576,L$15,'Background (from TC)'!$E$4:$E$1048576,L$16,'Background (from TC)'!$O$4:$O$1048576,L$17)*L29)</f>
        <v>0</v>
      </c>
      <c r="M78" s="1074">
        <f>IF(M$15="","",SUMIFS('Background (from TC)'!$I$4:$I$1048576,'Background (from TC)'!$D$4:$D$1048576,M$15,'Background (from TC)'!$E$4:$E$1048576,M$16,'Background (from TC)'!$O$4:$O$1048576,M$17)*M29)</f>
        <v>0</v>
      </c>
      <c r="N78" s="1074">
        <f>IF(N$15="","",SUMIFS('Background (from TC)'!$I$4:$I$1048576,'Background (from TC)'!$D$4:$D$1048576,N$15,'Background (from TC)'!$E$4:$E$1048576,N$16,'Background (from TC)'!$O$4:$O$1048576,N$17)*N29)</f>
        <v>0</v>
      </c>
      <c r="O78" s="1074">
        <f>IF(O$15="","",SUMIFS('Background (from TC)'!$I$4:$I$1048576,'Background (from TC)'!$D$4:$D$1048576,O$15,'Background (from TC)'!$E$4:$E$1048576,O$16,'Background (from TC)'!$O$4:$O$1048576,O$17)*O29)</f>
        <v>5.5</v>
      </c>
      <c r="P78" s="1074">
        <f>IF(P$15="","",SUMIFS('Background (from TC)'!$I$4:$I$1048576,'Background (from TC)'!$D$4:$D$1048576,P$15,'Background (from TC)'!$E$4:$E$1048576,P$16,'Background (from TC)'!$O$4:$O$1048576,P$17)*P29)</f>
        <v>0</v>
      </c>
      <c r="Q78" s="1074" t="str">
        <f>IF(Q$15="","",SUMIFS('Background (from TC)'!$I$4:$I$1048576,'Background (from TC)'!$D$4:$D$1048576,Q$15,'Background (from TC)'!$E$4:$E$1048576,Q$16,'Background (from TC)'!$O$4:$O$1048576,Q$17)*Q29)</f>
        <v/>
      </c>
      <c r="R78" s="1074" t="str">
        <f>IF(R$15="","",SUMIFS('Background (from TC)'!$I$4:$I$1048576,'Background (from TC)'!$D$4:$D$1048576,R$15,'Background (from TC)'!$E$4:$E$1048576,R$16,'Background (from TC)'!$O$4:$O$1048576,R$17)*R29)</f>
        <v/>
      </c>
      <c r="S78" s="1074" t="str">
        <f>IF(S$15="","",SUMIFS('Background (from TC)'!$I$4:$I$1048576,'Background (from TC)'!$D$4:$D$1048576,S$15,'Background (from TC)'!$E$4:$E$1048576,S$16,'Background (from TC)'!$O$4:$O$1048576,S$17)*S29)</f>
        <v/>
      </c>
      <c r="T78" s="1074" t="str">
        <f>IF(T$15="","",SUMIFS('Background (from TC)'!$I$4:$I$1048576,'Background (from TC)'!$D$4:$D$1048576,T$15,'Background (from TC)'!$E$4:$E$1048576,T$16,'Background (from TC)'!$O$4:$O$1048576,T$17)*T29)</f>
        <v/>
      </c>
      <c r="U78" s="1074" t="str">
        <f>IF(U$15="","",SUMIFS('Background (from TC)'!$I$4:$I$1048576,'Background (from TC)'!$D$4:$D$1048576,U$15,'Background (from TC)'!$E$4:$E$1048576,U$16,'Background (from TC)'!$O$4:$O$1048576,U$17)*U29)</f>
        <v/>
      </c>
      <c r="V78" s="1074" t="str">
        <f>IF(V$15="","",SUMIFS('Background (from TC)'!$I$4:$I$1048576,'Background (from TC)'!$D$4:$D$1048576,V$15,'Background (from TC)'!$E$4:$E$1048576,V$16,'Background (from TC)'!$O$4:$O$1048576,V$17)*V29)</f>
        <v/>
      </c>
      <c r="W78" s="1074" t="str">
        <f>IF(W$15="","",SUMIFS('Background (from TC)'!$I$4:$I$1048576,'Background (from TC)'!$D$4:$D$1048576,W$15,'Background (from TC)'!$E$4:$E$1048576,W$16,'Background (from TC)'!$O$4:$O$1048576,W$17)*W29)</f>
        <v/>
      </c>
      <c r="X78" s="1074" t="str">
        <f>IF(X$15="","",SUMIFS('Background (from TC)'!$I$4:$I$1048576,'Background (from TC)'!$D$4:$D$1048576,X$15,'Background (from TC)'!$E$4:$E$1048576,X$16,'Background (from TC)'!$O$4:$O$1048576,X$17)*X29)</f>
        <v/>
      </c>
      <c r="Y78" s="1074" t="str">
        <f>IF(Y$15="","",SUMIFS('Background (from TC)'!$I$4:$I$1048576,'Background (from TC)'!$D$4:$D$1048576,Y$15,'Background (from TC)'!$E$4:$E$1048576,Y$16,'Background (from TC)'!$O$4:$O$1048576,Y$17)*Y29)</f>
        <v/>
      </c>
      <c r="Z78" s="1074" t="str">
        <f>IF(Z$15="","",SUMIFS('Background (from TC)'!$I$4:$I$1048576,'Background (from TC)'!$D$4:$D$1048576,Z$15,'Background (from TC)'!$E$4:$E$1048576,Z$16,'Background (from TC)'!$O$4:$O$1048576,Z$17)*Z29)</f>
        <v/>
      </c>
    </row>
    <row r="79" spans="1:27">
      <c r="B79" s="278" t="s">
        <v>78</v>
      </c>
      <c r="C79" s="35">
        <f t="shared" ref="C79:Z79" si="12">IF(C$15="","",IF(C60="",0,C60))</f>
        <v>36.172972972972978</v>
      </c>
      <c r="D79" s="35">
        <f t="shared" si="12"/>
        <v>33.46</v>
      </c>
      <c r="E79" s="35">
        <f t="shared" si="12"/>
        <v>70.010357142857131</v>
      </c>
      <c r="F79" s="35">
        <f t="shared" si="12"/>
        <v>107.79765133829635</v>
      </c>
      <c r="G79" s="35">
        <f t="shared" si="12"/>
        <v>11.593350535077297</v>
      </c>
      <c r="H79" s="35"/>
      <c r="I79" s="35">
        <f t="shared" si="12"/>
        <v>54.193548387096776</v>
      </c>
      <c r="J79" s="35">
        <f t="shared" si="12"/>
        <v>0</v>
      </c>
      <c r="K79" s="35">
        <f t="shared" si="12"/>
        <v>0</v>
      </c>
      <c r="L79" s="35">
        <f t="shared" si="12"/>
        <v>0</v>
      </c>
      <c r="M79" s="35">
        <f t="shared" si="12"/>
        <v>0</v>
      </c>
      <c r="N79" s="35">
        <f t="shared" si="12"/>
        <v>0</v>
      </c>
      <c r="O79" s="35">
        <f t="shared" si="12"/>
        <v>0</v>
      </c>
      <c r="P79" s="35">
        <f t="shared" si="12"/>
        <v>0</v>
      </c>
      <c r="Q79" s="35" t="str">
        <f t="shared" si="12"/>
        <v/>
      </c>
      <c r="R79" s="35" t="str">
        <f t="shared" si="12"/>
        <v/>
      </c>
      <c r="S79" s="35" t="str">
        <f t="shared" si="12"/>
        <v/>
      </c>
      <c r="T79" s="35" t="str">
        <f t="shared" si="12"/>
        <v/>
      </c>
      <c r="U79" s="35" t="str">
        <f t="shared" si="12"/>
        <v/>
      </c>
      <c r="V79" s="35" t="str">
        <f t="shared" si="12"/>
        <v/>
      </c>
      <c r="W79" s="35" t="str">
        <f t="shared" si="12"/>
        <v/>
      </c>
      <c r="X79" s="35" t="str">
        <f t="shared" si="12"/>
        <v/>
      </c>
      <c r="Y79" s="35" t="str">
        <f t="shared" si="12"/>
        <v/>
      </c>
      <c r="Z79" s="35" t="str">
        <f t="shared" si="12"/>
        <v/>
      </c>
    </row>
    <row r="80" spans="1:27">
      <c r="B80" s="278" t="s">
        <v>95</v>
      </c>
      <c r="C80" s="35">
        <f>IF(C$15="","",SUMIFS('Background (from TC)'!$J$4:$J$1048576,'Background (from TC)'!$D$4:$D$1048576,C$15,'Background (from TC)'!$E$4:$E$1048576,C$16,'Background (from TC)'!$O$4:$O$1048576,C$17)*C29*C64)</f>
        <v>0</v>
      </c>
      <c r="D80" s="35">
        <f>IF(D$15="","",SUMIFS('Background (from TC)'!$J$4:$J$1048576,'Background (from TC)'!$D$4:$D$1048576,D$15,'Background (from TC)'!$E$4:$E$1048576,D$16,'Background (from TC)'!$O$4:$O$1048576,D$17)*D29*D64)</f>
        <v>0</v>
      </c>
      <c r="E80" s="35">
        <f>IF(E$15="","",SUMIFS('Background (from TC)'!$J$4:$J$1048576,'Background (from TC)'!$D$4:$D$1048576,E$15,'Background (from TC)'!$E$4:$E$1048576,E$16,'Background (from TC)'!$O$4:$O$1048576,E$17)*E29*E64)</f>
        <v>0</v>
      </c>
      <c r="F80" s="35">
        <f>IF(F$15="","",SUMIFS('Background (from TC)'!$J$4:$J$1048576,'Background (from TC)'!$D$4:$D$1048576,F$15,'Background (from TC)'!$E$4:$E$1048576,F$16,'Background (from TC)'!$O$4:$O$1048576,F$17)*F29*F64)</f>
        <v>0</v>
      </c>
      <c r="G80" s="35">
        <f>IF(G$15="","",SUMIFS('Background (from TC)'!$J$4:$J$1048576,'Background (from TC)'!$D$4:$D$1048576,G$15,'Background (from TC)'!$E$4:$E$1048576,G$16,'Background (from TC)'!$O$4:$O$1048576,G$17)*G29*G64)</f>
        <v>0</v>
      </c>
      <c r="H80" s="35"/>
      <c r="I80" s="35">
        <f>IF(I$15="","",SUMIFS('Background (from TC)'!$J$4:$J$1048576,'Background (from TC)'!$D$4:$D$1048576,I$15,'Background (from TC)'!$E$4:$E$1048576,I$16,'Background (from TC)'!$O$4:$O$1048576,I$17)*I29*I64)</f>
        <v>0</v>
      </c>
      <c r="J80" s="35">
        <f>IF(J$15="","",SUMIFS('Background (from TC)'!$J$4:$J$1048576,'Background (from TC)'!$D$4:$D$1048576,J$15,'Background (from TC)'!$E$4:$E$1048576,J$16,'Background (from TC)'!$O$4:$O$1048576,J$17)*J29*J64)</f>
        <v>0</v>
      </c>
      <c r="K80" s="35">
        <f>IF(K$15="","",SUMIFS('Background (from TC)'!$J$4:$J$1048576,'Background (from TC)'!$D$4:$D$1048576,K$15,'Background (from TC)'!$E$4:$E$1048576,K$16,'Background (from TC)'!$O$4:$O$1048576,K$17)*K29*K64)</f>
        <v>0</v>
      </c>
      <c r="L80" s="35">
        <f>IF(L$15="","",SUMIFS('Background (from TC)'!$J$4:$J$1048576,'Background (from TC)'!$D$4:$D$1048576,L$15,'Background (from TC)'!$E$4:$E$1048576,L$16,'Background (from TC)'!$O$4:$O$1048576,L$17)*L29*L64)</f>
        <v>0</v>
      </c>
      <c r="M80" s="35">
        <f>IF(M$15="","",SUMIFS('Background (from TC)'!$J$4:$J$1048576,'Background (from TC)'!$D$4:$D$1048576,M$15,'Background (from TC)'!$E$4:$E$1048576,M$16,'Background (from TC)'!$O$4:$O$1048576,M$17)*M29*M64)</f>
        <v>0</v>
      </c>
      <c r="N80" s="35">
        <f>IF(N$15="","",SUMIFS('Background (from TC)'!$J$4:$J$1048576,'Background (from TC)'!$D$4:$D$1048576,N$15,'Background (from TC)'!$E$4:$E$1048576,N$16,'Background (from TC)'!$O$4:$O$1048576,N$17)*N29*N64)</f>
        <v>0</v>
      </c>
      <c r="O80" s="35">
        <f>IF(O$15="","",SUMIFS('Background (from TC)'!$J$4:$J$1048576,'Background (from TC)'!$D$4:$D$1048576,O$15,'Background (from TC)'!$E$4:$E$1048576,O$16,'Background (from TC)'!$O$4:$O$1048576,O$17)*O29*O64)</f>
        <v>0</v>
      </c>
      <c r="P80" s="35">
        <f>IF(P$15="","",SUMIFS('Background (from TC)'!$J$4:$J$1048576,'Background (from TC)'!$D$4:$D$1048576,P$15,'Background (from TC)'!$E$4:$E$1048576,P$16,'Background (from TC)'!$O$4:$O$1048576,P$17)*P29*P64)</f>
        <v>0</v>
      </c>
      <c r="Q80" s="35" t="str">
        <f>IF(Q$15="","",SUMIFS('Background (from TC)'!$J$4:$J$1048576,'Background (from TC)'!$D$4:$D$1048576,Q$15,'Background (from TC)'!$E$4:$E$1048576,Q$16,'Background (from TC)'!$O$4:$O$1048576,Q$17)*Q29*Q64)</f>
        <v/>
      </c>
      <c r="R80" s="35" t="str">
        <f>IF(R$15="","",SUMIFS('Background (from TC)'!$J$4:$J$1048576,'Background (from TC)'!$D$4:$D$1048576,R$15,'Background (from TC)'!$E$4:$E$1048576,R$16,'Background (from TC)'!$O$4:$O$1048576,R$17)*R29*R64)</f>
        <v/>
      </c>
      <c r="S80" s="35" t="str">
        <f>IF(S$15="","",SUMIFS('Background (from TC)'!$J$4:$J$1048576,'Background (from TC)'!$D$4:$D$1048576,S$15,'Background (from TC)'!$E$4:$E$1048576,S$16,'Background (from TC)'!$O$4:$O$1048576,S$17)*S29*S64)</f>
        <v/>
      </c>
      <c r="T80" s="35" t="str">
        <f>IF(T$15="","",SUMIFS('Background (from TC)'!$J$4:$J$1048576,'Background (from TC)'!$D$4:$D$1048576,T$15,'Background (from TC)'!$E$4:$E$1048576,T$16,'Background (from TC)'!$O$4:$O$1048576,T$17)*T29*T64)</f>
        <v/>
      </c>
      <c r="U80" s="35" t="str">
        <f>IF(U$15="","",SUMIFS('Background (from TC)'!$J$4:$J$1048576,'Background (from TC)'!$D$4:$D$1048576,U$15,'Background (from TC)'!$E$4:$E$1048576,U$16,'Background (from TC)'!$O$4:$O$1048576,U$17)*U29*U64)</f>
        <v/>
      </c>
      <c r="V80" s="35" t="str">
        <f>IF(V$15="","",SUMIFS('Background (from TC)'!$J$4:$J$1048576,'Background (from TC)'!$D$4:$D$1048576,V$15,'Background (from TC)'!$E$4:$E$1048576,V$16,'Background (from TC)'!$O$4:$O$1048576,V$17)*V29*V64)</f>
        <v/>
      </c>
      <c r="W80" s="35" t="str">
        <f>IF(W$15="","",SUMIFS('Background (from TC)'!$J$4:$J$1048576,'Background (from TC)'!$D$4:$D$1048576,W$15,'Background (from TC)'!$E$4:$E$1048576,W$16,'Background (from TC)'!$O$4:$O$1048576,W$17)*W29*W64)</f>
        <v/>
      </c>
      <c r="X80" s="35" t="str">
        <f>IF(X$15="","",SUMIFS('Background (from TC)'!$J$4:$J$1048576,'Background (from TC)'!$D$4:$D$1048576,X$15,'Background (from TC)'!$E$4:$E$1048576,X$16,'Background (from TC)'!$O$4:$O$1048576,X$17)*X29*X64)</f>
        <v/>
      </c>
      <c r="Y80" s="35" t="str">
        <f>IF(Y$15="","",SUMIFS('Background (from TC)'!$J$4:$J$1048576,'Background (from TC)'!$D$4:$D$1048576,Y$15,'Background (from TC)'!$E$4:$E$1048576,Y$16,'Background (from TC)'!$O$4:$O$1048576,Y$17)*Y29*Y64)</f>
        <v/>
      </c>
      <c r="Z80" s="35" t="str">
        <f>IF(Z$15="","",SUMIFS('Background (from TC)'!$J$4:$J$1048576,'Background (from TC)'!$D$4:$D$1048576,Z$15,'Background (from TC)'!$E$4:$E$1048576,Z$16,'Background (from TC)'!$O$4:$O$1048576,Z$17)*Z29*Z64)</f>
        <v/>
      </c>
    </row>
    <row r="81" spans="2:26">
      <c r="B81" s="278" t="s">
        <v>96</v>
      </c>
      <c r="C81" s="35">
        <f>IF(C$15="","",SUMIFS('Background (from TC)'!$N$4:$N$1048576,'Background (from TC)'!$D$4:$D$1048576,C$15,'Background (from TC)'!$E$4:$E$1048576,C$16,'Background (from TC)'!$O$4:$O$1048576,C$17))</f>
        <v>0</v>
      </c>
      <c r="D81" s="35">
        <f>IF(D$15="","",SUMIFS('Background (from TC)'!$N$4:$N$1048576,'Background (from TC)'!$D$4:$D$1048576,D$15,'Background (from TC)'!$E$4:$E$1048576,D$16,'Background (from TC)'!$O$4:$O$1048576,D$17))</f>
        <v>0</v>
      </c>
      <c r="E81" s="35">
        <f>IF(E$15="","",SUMIFS('Background (from TC)'!$N$4:$N$1048576,'Background (from TC)'!$D$4:$D$1048576,E$15,'Background (from TC)'!$E$4:$E$1048576,E$16,'Background (from TC)'!$O$4:$O$1048576,E$17))</f>
        <v>0</v>
      </c>
      <c r="F81" s="35">
        <f>IF(F$15="","",SUMIFS('Background (from TC)'!$N$4:$N$1048576,'Background (from TC)'!$D$4:$D$1048576,F$15,'Background (from TC)'!$E$4:$E$1048576,F$16,'Background (from TC)'!$O$4:$O$1048576,F$17))</f>
        <v>0</v>
      </c>
      <c r="G81" s="35">
        <f>IF(G$15="","",SUMIFS('Background (from TC)'!$N$4:$N$1048576,'Background (from TC)'!$D$4:$D$1048576,G$15,'Background (from TC)'!$E$4:$E$1048576,G$16,'Background (from TC)'!$O$4:$O$1048576,G$17))</f>
        <v>0</v>
      </c>
      <c r="H81" s="35"/>
      <c r="I81" s="35">
        <f>IF(I$15="","",SUMIFS('Background (from TC)'!$N$4:$N$1048576,'Background (from TC)'!$D$4:$D$1048576,I$15,'Background (from TC)'!$E$4:$E$1048576,I$16,'Background (from TC)'!$O$4:$O$1048576,I$17))</f>
        <v>0</v>
      </c>
      <c r="J81" s="35">
        <f>IF(J$15="","",SUMIFS('Background (from TC)'!$N$4:$N$1048576,'Background (from TC)'!$D$4:$D$1048576,J$15,'Background (from TC)'!$E$4:$E$1048576,J$16,'Background (from TC)'!$O$4:$O$1048576,J$17))</f>
        <v>0.32</v>
      </c>
      <c r="K81" s="35">
        <f>IF(K$15="","",SUMIFS('Background (from TC)'!$N$4:$N$1048576,'Background (from TC)'!$D$4:$D$1048576,K$15,'Background (from TC)'!$E$4:$E$1048576,K$16,'Background (from TC)'!$O$4:$O$1048576,K$17))</f>
        <v>0</v>
      </c>
      <c r="L81" s="35">
        <f>IF(L$15="","",SUMIFS('Background (from TC)'!$N$4:$N$1048576,'Background (from TC)'!$D$4:$D$1048576,L$15,'Background (from TC)'!$E$4:$E$1048576,L$16,'Background (from TC)'!$O$4:$O$1048576,L$17))</f>
        <v>0</v>
      </c>
      <c r="M81" s="35">
        <f>IF(M$15="","",SUMIFS('Background (from TC)'!$N$4:$N$1048576,'Background (from TC)'!$D$4:$D$1048576,M$15,'Background (from TC)'!$E$4:$E$1048576,M$16,'Background (from TC)'!$O$4:$O$1048576,M$17))</f>
        <v>0</v>
      </c>
      <c r="N81" s="35">
        <f>IF(N$15="","",SUMIFS('Background (from TC)'!$N$4:$N$1048576,'Background (from TC)'!$D$4:$D$1048576,N$15,'Background (from TC)'!$E$4:$E$1048576,N$16,'Background (from TC)'!$O$4:$O$1048576,N$17))</f>
        <v>0</v>
      </c>
      <c r="O81" s="35">
        <f>IF(O$15="","",SUMIFS('Background (from TC)'!$N$4:$N$1048576,'Background (from TC)'!$D$4:$D$1048576,O$15,'Background (from TC)'!$E$4:$E$1048576,O$16,'Background (from TC)'!$O$4:$O$1048576,O$17))</f>
        <v>0</v>
      </c>
      <c r="P81" s="35">
        <f>IF(P$15="","",SUMIFS('Background (from TC)'!$N$4:$N$1048576,'Background (from TC)'!$D$4:$D$1048576,P$15,'Background (from TC)'!$E$4:$E$1048576,P$16,'Background (from TC)'!$O$4:$O$1048576,P$17))</f>
        <v>0</v>
      </c>
      <c r="Q81" s="35" t="str">
        <f>IF(Q$15="","",SUMIFS('Background (from TC)'!$N$4:$N$1048576,'Background (from TC)'!$D$4:$D$1048576,Q$15,'Background (from TC)'!$E$4:$E$1048576,Q$16,'Background (from TC)'!$O$4:$O$1048576,Q$17))</f>
        <v/>
      </c>
      <c r="R81" s="35" t="str">
        <f>IF(R$15="","",SUMIFS('Background (from TC)'!$N$4:$N$1048576,'Background (from TC)'!$D$4:$D$1048576,R$15,'Background (from TC)'!$E$4:$E$1048576,R$16,'Background (from TC)'!$O$4:$O$1048576,R$17))</f>
        <v/>
      </c>
      <c r="S81" s="35" t="str">
        <f>IF(S$15="","",SUMIFS('Background (from TC)'!$N$4:$N$1048576,'Background (from TC)'!$D$4:$D$1048576,S$15,'Background (from TC)'!$E$4:$E$1048576,S$16,'Background (from TC)'!$O$4:$O$1048576,S$17))</f>
        <v/>
      </c>
      <c r="T81" s="35" t="str">
        <f>IF(T$15="","",SUMIFS('Background (from TC)'!$N$4:$N$1048576,'Background (from TC)'!$D$4:$D$1048576,T$15,'Background (from TC)'!$E$4:$E$1048576,T$16,'Background (from TC)'!$O$4:$O$1048576,T$17))</f>
        <v/>
      </c>
      <c r="U81" s="35" t="str">
        <f>IF(U$15="","",SUMIFS('Background (from TC)'!$N$4:$N$1048576,'Background (from TC)'!$D$4:$D$1048576,U$15,'Background (from TC)'!$E$4:$E$1048576,U$16,'Background (from TC)'!$O$4:$O$1048576,U$17))</f>
        <v/>
      </c>
      <c r="V81" s="35" t="str">
        <f>IF(V$15="","",SUMIFS('Background (from TC)'!$N$4:$N$1048576,'Background (from TC)'!$D$4:$D$1048576,V$15,'Background (from TC)'!$E$4:$E$1048576,V$16,'Background (from TC)'!$O$4:$O$1048576,V$17))</f>
        <v/>
      </c>
      <c r="W81" s="35" t="str">
        <f>IF(W$15="","",SUMIFS('Background (from TC)'!$N$4:$N$1048576,'Background (from TC)'!$D$4:$D$1048576,W$15,'Background (from TC)'!$E$4:$E$1048576,W$16,'Background (from TC)'!$O$4:$O$1048576,W$17))</f>
        <v/>
      </c>
      <c r="X81" s="35" t="str">
        <f>IF(X$15="","",SUMIFS('Background (from TC)'!$N$4:$N$1048576,'Background (from TC)'!$D$4:$D$1048576,X$15,'Background (from TC)'!$E$4:$E$1048576,X$16,'Background (from TC)'!$O$4:$O$1048576,X$17))</f>
        <v/>
      </c>
      <c r="Y81" s="35" t="str">
        <f>IF(Y$15="","",SUMIFS('Background (from TC)'!$N$4:$N$1048576,'Background (from TC)'!$D$4:$D$1048576,Y$15,'Background (from TC)'!$E$4:$E$1048576,Y$16,'Background (from TC)'!$O$4:$O$1048576,Y$17))</f>
        <v/>
      </c>
      <c r="Z81" s="35" t="str">
        <f>IF(Z$15="","",SUMIFS('Background (from TC)'!$N$4:$N$1048576,'Background (from TC)'!$D$4:$D$1048576,Z$15,'Background (from TC)'!$E$4:$E$1048576,Z$16,'Background (from TC)'!$O$4:$O$1048576,Z$17))</f>
        <v/>
      </c>
    </row>
    <row r="82" spans="2:26">
      <c r="B82" s="278"/>
      <c r="C82" s="35"/>
      <c r="D82" s="35"/>
      <c r="E82" s="35"/>
      <c r="F82" s="43"/>
      <c r="G82" s="43"/>
      <c r="H82" s="43"/>
      <c r="I82" s="43"/>
      <c r="J82" s="43"/>
      <c r="K82" s="43"/>
      <c r="L82" s="43"/>
      <c r="M82" s="43"/>
      <c r="N82" s="43"/>
      <c r="O82" s="43"/>
      <c r="P82" s="43"/>
      <c r="Q82" s="43"/>
      <c r="R82" s="43"/>
      <c r="S82" s="43"/>
      <c r="T82" s="43"/>
      <c r="U82" s="43"/>
      <c r="V82" s="43"/>
      <c r="W82" s="43"/>
      <c r="X82" s="43"/>
      <c r="Y82" s="43"/>
      <c r="Z82" s="43"/>
    </row>
    <row r="83" spans="2:26">
      <c r="B83" s="278" t="s">
        <v>97</v>
      </c>
      <c r="C83" s="35"/>
      <c r="D83" s="35"/>
      <c r="E83" s="35"/>
      <c r="F83" s="43"/>
      <c r="G83" s="43"/>
      <c r="H83" s="43"/>
      <c r="I83" s="43"/>
      <c r="J83" s="43"/>
      <c r="K83" s="43"/>
      <c r="L83" s="43"/>
      <c r="M83" s="43"/>
      <c r="N83" s="43"/>
      <c r="O83" s="43"/>
      <c r="P83" s="43"/>
      <c r="Q83" s="43"/>
      <c r="R83" s="43"/>
      <c r="S83" s="43"/>
      <c r="T83" s="43"/>
      <c r="U83" s="43"/>
      <c r="V83" s="43"/>
      <c r="W83" s="43"/>
      <c r="X83" s="43"/>
      <c r="Y83" s="43"/>
      <c r="Z83" s="43"/>
    </row>
    <row r="84" spans="2:26">
      <c r="B84" s="278" t="s">
        <v>98</v>
      </c>
      <c r="C84" s="35">
        <f t="shared" ref="C84:Z84" si="13">IF(C15="","",C76*10^6*C25/IF(C15="Storage",C50,C34))</f>
        <v>24.246685314887753</v>
      </c>
      <c r="D84" s="35">
        <f t="shared" si="13"/>
        <v>41.370906818527232</v>
      </c>
      <c r="E84" s="35">
        <f t="shared" si="13"/>
        <v>23.796303593044502</v>
      </c>
      <c r="F84" s="35">
        <f t="shared" si="13"/>
        <v>20.094656367459802</v>
      </c>
      <c r="G84" s="35">
        <f t="shared" si="13"/>
        <v>128.99508328993383</v>
      </c>
      <c r="H84" s="35"/>
      <c r="I84" s="35">
        <f t="shared" si="13"/>
        <v>50.236640918649506</v>
      </c>
      <c r="J84" s="35">
        <f t="shared" si="13"/>
        <v>66.602267738525853</v>
      </c>
      <c r="K84" s="35">
        <f t="shared" si="13"/>
        <v>49.666528539140444</v>
      </c>
      <c r="L84" s="35">
        <f t="shared" si="13"/>
        <v>58.027546948705151</v>
      </c>
      <c r="M84" s="35">
        <f t="shared" si="13"/>
        <v>70.574043586263016</v>
      </c>
      <c r="N84" s="35">
        <f t="shared" si="13"/>
        <v>74.922818431615966</v>
      </c>
      <c r="O84" s="35">
        <f t="shared" si="13"/>
        <v>144.76723200663073</v>
      </c>
      <c r="P84" s="35">
        <f t="shared" si="13"/>
        <v>219.32988730360364</v>
      </c>
      <c r="Q84" s="35" t="str">
        <f t="shared" si="13"/>
        <v/>
      </c>
      <c r="R84" s="35" t="str">
        <f t="shared" si="13"/>
        <v/>
      </c>
      <c r="S84" s="35" t="str">
        <f t="shared" si="13"/>
        <v/>
      </c>
      <c r="T84" s="35" t="str">
        <f t="shared" si="13"/>
        <v/>
      </c>
      <c r="U84" s="35" t="str">
        <f t="shared" si="13"/>
        <v/>
      </c>
      <c r="V84" s="35" t="str">
        <f t="shared" si="13"/>
        <v/>
      </c>
      <c r="W84" s="35" t="str">
        <f t="shared" si="13"/>
        <v/>
      </c>
      <c r="X84" s="35" t="str">
        <f t="shared" si="13"/>
        <v/>
      </c>
      <c r="Y84" s="35" t="str">
        <f t="shared" si="13"/>
        <v/>
      </c>
      <c r="Z84" s="35" t="str">
        <f t="shared" si="13"/>
        <v/>
      </c>
    </row>
    <row r="85" spans="2:26">
      <c r="B85" s="278" t="s">
        <v>99</v>
      </c>
      <c r="C85" s="35">
        <f t="shared" ref="C85:Z85" si="14">IF(C15="","",C77*10^3/IF(C15="Storage",C50,C34))</f>
        <v>6.7142857142857144</v>
      </c>
      <c r="D85" s="35">
        <f t="shared" si="14"/>
        <v>9.7714285714285722</v>
      </c>
      <c r="E85" s="35">
        <f t="shared" si="14"/>
        <v>5.36</v>
      </c>
      <c r="F85" s="35">
        <f t="shared" si="14"/>
        <v>1.8240000000000001</v>
      </c>
      <c r="G85" s="35">
        <f t="shared" si="14"/>
        <v>18.142857142857142</v>
      </c>
      <c r="H85" s="35"/>
      <c r="I85" s="35">
        <f t="shared" si="14"/>
        <v>10.8</v>
      </c>
      <c r="J85" s="35">
        <f t="shared" si="14"/>
        <v>15.696347031963469</v>
      </c>
      <c r="K85" s="35">
        <f t="shared" si="14"/>
        <v>9.6248545080132502</v>
      </c>
      <c r="L85" s="35">
        <f t="shared" si="14"/>
        <v>4.1876046901172534</v>
      </c>
      <c r="M85" s="35">
        <f t="shared" si="14"/>
        <v>4.8893114219747389</v>
      </c>
      <c r="N85" s="35">
        <f t="shared" si="14"/>
        <v>16.777667716277559</v>
      </c>
      <c r="O85" s="35">
        <f t="shared" si="14"/>
        <v>38.737080221870109</v>
      </c>
      <c r="P85" s="35">
        <f t="shared" si="14"/>
        <v>52.623316461279565</v>
      </c>
      <c r="Q85" s="35" t="str">
        <f t="shared" si="14"/>
        <v/>
      </c>
      <c r="R85" s="35" t="str">
        <f t="shared" si="14"/>
        <v/>
      </c>
      <c r="S85" s="35" t="str">
        <f t="shared" si="14"/>
        <v/>
      </c>
      <c r="T85" s="35" t="str">
        <f t="shared" si="14"/>
        <v/>
      </c>
      <c r="U85" s="35" t="str">
        <f t="shared" si="14"/>
        <v/>
      </c>
      <c r="V85" s="35" t="str">
        <f t="shared" si="14"/>
        <v/>
      </c>
      <c r="W85" s="35" t="str">
        <f t="shared" si="14"/>
        <v/>
      </c>
      <c r="X85" s="35" t="str">
        <f t="shared" si="14"/>
        <v/>
      </c>
      <c r="Y85" s="35" t="str">
        <f t="shared" si="14"/>
        <v/>
      </c>
      <c r="Z85" s="35" t="str">
        <f t="shared" si="14"/>
        <v/>
      </c>
    </row>
    <row r="86" spans="2:26">
      <c r="B86" s="278" t="s">
        <v>100</v>
      </c>
      <c r="C86" s="1074">
        <f t="shared" ref="C86:Z86" si="15">IF(C15="","",C78)</f>
        <v>1.4</v>
      </c>
      <c r="D86" s="1074">
        <f t="shared" si="15"/>
        <v>13.7</v>
      </c>
      <c r="E86" s="1074">
        <f t="shared" si="15"/>
        <v>2.6</v>
      </c>
      <c r="F86" s="1074">
        <f t="shared" si="15"/>
        <v>7.2960000000000003</v>
      </c>
      <c r="G86" s="1074">
        <f t="shared" si="15"/>
        <v>2.4</v>
      </c>
      <c r="H86" s="1074"/>
      <c r="I86" s="1074">
        <f t="shared" si="15"/>
        <v>3.4</v>
      </c>
      <c r="J86" s="1074">
        <f t="shared" si="15"/>
        <v>0.27</v>
      </c>
      <c r="K86" s="1074">
        <f t="shared" si="15"/>
        <v>0.74</v>
      </c>
      <c r="L86" s="1074">
        <f t="shared" si="15"/>
        <v>0</v>
      </c>
      <c r="M86" s="1074">
        <f t="shared" si="15"/>
        <v>0</v>
      </c>
      <c r="N86" s="1074">
        <f t="shared" si="15"/>
        <v>0</v>
      </c>
      <c r="O86" s="1074">
        <f t="shared" si="15"/>
        <v>5.5</v>
      </c>
      <c r="P86" s="1074">
        <f t="shared" si="15"/>
        <v>0</v>
      </c>
      <c r="Q86" s="1074" t="str">
        <f t="shared" si="15"/>
        <v/>
      </c>
      <c r="R86" s="1074" t="str">
        <f t="shared" si="15"/>
        <v/>
      </c>
      <c r="S86" s="1074" t="str">
        <f t="shared" si="15"/>
        <v/>
      </c>
      <c r="T86" s="1074" t="str">
        <f t="shared" si="15"/>
        <v/>
      </c>
      <c r="U86" s="1074" t="str">
        <f t="shared" si="15"/>
        <v/>
      </c>
      <c r="V86" s="1074" t="str">
        <f t="shared" si="15"/>
        <v/>
      </c>
      <c r="W86" s="1074" t="str">
        <f t="shared" si="15"/>
        <v/>
      </c>
      <c r="X86" s="1074" t="str">
        <f t="shared" si="15"/>
        <v/>
      </c>
      <c r="Y86" s="1074" t="str">
        <f t="shared" si="15"/>
        <v/>
      </c>
      <c r="Z86" s="1074" t="str">
        <f t="shared" si="15"/>
        <v/>
      </c>
    </row>
    <row r="87" spans="2:26">
      <c r="B87" s="278" t="s">
        <v>101</v>
      </c>
      <c r="C87" s="35">
        <f t="shared" ref="C87:Z87" si="16">IF(C15="","",C79)</f>
        <v>36.172972972972978</v>
      </c>
      <c r="D87" s="35">
        <f t="shared" si="16"/>
        <v>33.46</v>
      </c>
      <c r="E87" s="35">
        <f t="shared" si="16"/>
        <v>70.010357142857131</v>
      </c>
      <c r="F87" s="35">
        <f t="shared" si="16"/>
        <v>107.79765133829635</v>
      </c>
      <c r="G87" s="35">
        <f t="shared" si="16"/>
        <v>11.593350535077297</v>
      </c>
      <c r="H87" s="1075"/>
      <c r="I87" s="35">
        <f t="shared" si="16"/>
        <v>54.193548387096776</v>
      </c>
      <c r="J87" s="35">
        <f t="shared" si="16"/>
        <v>0</v>
      </c>
      <c r="K87" s="35">
        <f t="shared" si="16"/>
        <v>0</v>
      </c>
      <c r="L87" s="35">
        <f t="shared" si="16"/>
        <v>0</v>
      </c>
      <c r="M87" s="35">
        <f t="shared" si="16"/>
        <v>0</v>
      </c>
      <c r="N87" s="35">
        <f t="shared" si="16"/>
        <v>0</v>
      </c>
      <c r="O87" s="35">
        <f t="shared" si="16"/>
        <v>0</v>
      </c>
      <c r="P87" s="35">
        <f t="shared" si="16"/>
        <v>0</v>
      </c>
      <c r="Q87" s="35" t="str">
        <f t="shared" si="16"/>
        <v/>
      </c>
      <c r="R87" s="35" t="str">
        <f t="shared" si="16"/>
        <v/>
      </c>
      <c r="S87" s="35" t="str">
        <f t="shared" si="16"/>
        <v/>
      </c>
      <c r="T87" s="35" t="str">
        <f t="shared" si="16"/>
        <v/>
      </c>
      <c r="U87" s="35" t="str">
        <f t="shared" si="16"/>
        <v/>
      </c>
      <c r="V87" s="35" t="str">
        <f t="shared" si="16"/>
        <v/>
      </c>
      <c r="W87" s="35" t="str">
        <f t="shared" si="16"/>
        <v/>
      </c>
      <c r="X87" s="35" t="str">
        <f t="shared" si="16"/>
        <v/>
      </c>
      <c r="Y87" s="35" t="str">
        <f t="shared" si="16"/>
        <v/>
      </c>
      <c r="Z87" s="35" t="str">
        <f t="shared" si="16"/>
        <v/>
      </c>
    </row>
    <row r="88" spans="2:26">
      <c r="B88" s="278" t="s">
        <v>102</v>
      </c>
      <c r="C88" s="35">
        <f t="shared" ref="C88:Z88" si="17">IF(C15="","",C80/IF(C15="Storage",C50,C34))</f>
        <v>0</v>
      </c>
      <c r="D88" s="35">
        <f t="shared" si="17"/>
        <v>0</v>
      </c>
      <c r="E88" s="35">
        <f t="shared" si="17"/>
        <v>0</v>
      </c>
      <c r="F88" s="35">
        <f t="shared" si="17"/>
        <v>0</v>
      </c>
      <c r="G88" s="35">
        <f t="shared" si="17"/>
        <v>0</v>
      </c>
      <c r="H88" s="35"/>
      <c r="I88" s="35">
        <f t="shared" si="17"/>
        <v>0</v>
      </c>
      <c r="J88" s="35">
        <f t="shared" si="17"/>
        <v>0</v>
      </c>
      <c r="K88" s="35">
        <f t="shared" si="17"/>
        <v>0</v>
      </c>
      <c r="L88" s="35">
        <f t="shared" si="17"/>
        <v>0</v>
      </c>
      <c r="M88" s="35">
        <f t="shared" si="17"/>
        <v>0</v>
      </c>
      <c r="N88" s="35">
        <f t="shared" si="17"/>
        <v>0</v>
      </c>
      <c r="O88" s="35">
        <f t="shared" si="17"/>
        <v>0</v>
      </c>
      <c r="P88" s="35">
        <f t="shared" si="17"/>
        <v>0</v>
      </c>
      <c r="Q88" s="35" t="str">
        <f t="shared" si="17"/>
        <v/>
      </c>
      <c r="R88" s="35" t="str">
        <f t="shared" si="17"/>
        <v/>
      </c>
      <c r="S88" s="35" t="str">
        <f t="shared" si="17"/>
        <v/>
      </c>
      <c r="T88" s="35" t="str">
        <f t="shared" si="17"/>
        <v/>
      </c>
      <c r="U88" s="35" t="str">
        <f t="shared" si="17"/>
        <v/>
      </c>
      <c r="V88" s="35" t="str">
        <f t="shared" si="17"/>
        <v/>
      </c>
      <c r="W88" s="35" t="str">
        <f t="shared" si="17"/>
        <v/>
      </c>
      <c r="X88" s="35" t="str">
        <f t="shared" si="17"/>
        <v/>
      </c>
      <c r="Y88" s="35" t="str">
        <f t="shared" si="17"/>
        <v/>
      </c>
      <c r="Z88" s="35" t="str">
        <f t="shared" si="17"/>
        <v/>
      </c>
    </row>
    <row r="89" spans="2:26">
      <c r="B89" s="278" t="s">
        <v>103</v>
      </c>
      <c r="C89" s="35">
        <f t="shared" ref="C89:Z89" si="18">IF(C15="","",C81*10^6*C25/IF(C15="Storage",C50,C34))</f>
        <v>0</v>
      </c>
      <c r="D89" s="35">
        <f t="shared" si="18"/>
        <v>0</v>
      </c>
      <c r="E89" s="35">
        <f t="shared" si="18"/>
        <v>0</v>
      </c>
      <c r="F89" s="35">
        <f t="shared" si="18"/>
        <v>0</v>
      </c>
      <c r="G89" s="35">
        <f t="shared" si="18"/>
        <v>0</v>
      </c>
      <c r="H89" s="35"/>
      <c r="I89" s="35">
        <f t="shared" si="18"/>
        <v>0</v>
      </c>
      <c r="J89" s="35">
        <f t="shared" si="18"/>
        <v>4.8438012900746079</v>
      </c>
      <c r="K89" s="35">
        <f t="shared" si="18"/>
        <v>0</v>
      </c>
      <c r="L89" s="35">
        <f t="shared" si="18"/>
        <v>0</v>
      </c>
      <c r="M89" s="35">
        <f t="shared" si="18"/>
        <v>0</v>
      </c>
      <c r="N89" s="35">
        <f t="shared" si="18"/>
        <v>0</v>
      </c>
      <c r="O89" s="35">
        <f t="shared" si="18"/>
        <v>0</v>
      </c>
      <c r="P89" s="35">
        <f t="shared" si="18"/>
        <v>0</v>
      </c>
      <c r="Q89" s="35" t="str">
        <f t="shared" si="18"/>
        <v/>
      </c>
      <c r="R89" s="35" t="str">
        <f t="shared" si="18"/>
        <v/>
      </c>
      <c r="S89" s="35" t="str">
        <f t="shared" si="18"/>
        <v/>
      </c>
      <c r="T89" s="35" t="str">
        <f t="shared" si="18"/>
        <v/>
      </c>
      <c r="U89" s="35" t="str">
        <f t="shared" si="18"/>
        <v/>
      </c>
      <c r="V89" s="35" t="str">
        <f t="shared" si="18"/>
        <v/>
      </c>
      <c r="W89" s="35" t="str">
        <f t="shared" si="18"/>
        <v/>
      </c>
      <c r="X89" s="35" t="str">
        <f t="shared" si="18"/>
        <v/>
      </c>
      <c r="Y89" s="35" t="str">
        <f t="shared" si="18"/>
        <v/>
      </c>
      <c r="Z89" s="35" t="str">
        <f t="shared" si="18"/>
        <v/>
      </c>
    </row>
    <row r="90" spans="2:26">
      <c r="B90" s="278" t="s">
        <v>104</v>
      </c>
      <c r="C90" s="35">
        <f t="shared" ref="C90:Z90" si="19">IF(C15="","",IF(C67="Yes",C68*C72,0))</f>
        <v>0</v>
      </c>
      <c r="D90" s="35">
        <f t="shared" si="19"/>
        <v>0</v>
      </c>
      <c r="E90" s="35">
        <f t="shared" si="19"/>
        <v>0</v>
      </c>
      <c r="F90" s="35">
        <f t="shared" si="19"/>
        <v>0</v>
      </c>
      <c r="G90" s="35">
        <f t="shared" si="19"/>
        <v>0</v>
      </c>
      <c r="H90" s="35"/>
      <c r="I90" s="35">
        <f t="shared" si="19"/>
        <v>0</v>
      </c>
      <c r="J90" s="35">
        <f t="shared" si="19"/>
        <v>0</v>
      </c>
      <c r="K90" s="35">
        <f t="shared" si="19"/>
        <v>0</v>
      </c>
      <c r="L90" s="35">
        <f t="shared" si="19"/>
        <v>0</v>
      </c>
      <c r="M90" s="35">
        <f t="shared" si="19"/>
        <v>0</v>
      </c>
      <c r="N90" s="35">
        <f t="shared" si="19"/>
        <v>0</v>
      </c>
      <c r="O90" s="35">
        <f t="shared" si="19"/>
        <v>0</v>
      </c>
      <c r="P90" s="35">
        <f t="shared" si="19"/>
        <v>0</v>
      </c>
      <c r="Q90" s="35" t="str">
        <f t="shared" si="19"/>
        <v/>
      </c>
      <c r="R90" s="35" t="str">
        <f t="shared" si="19"/>
        <v/>
      </c>
      <c r="S90" s="35" t="str">
        <f t="shared" si="19"/>
        <v/>
      </c>
      <c r="T90" s="35" t="str">
        <f t="shared" si="19"/>
        <v/>
      </c>
      <c r="U90" s="35" t="str">
        <f t="shared" si="19"/>
        <v/>
      </c>
      <c r="V90" s="35" t="str">
        <f t="shared" si="19"/>
        <v/>
      </c>
      <c r="W90" s="35" t="str">
        <f t="shared" si="19"/>
        <v/>
      </c>
      <c r="X90" s="35" t="str">
        <f t="shared" si="19"/>
        <v/>
      </c>
      <c r="Y90" s="35" t="str">
        <f t="shared" si="19"/>
        <v/>
      </c>
      <c r="Z90" s="35" t="str">
        <f t="shared" si="19"/>
        <v/>
      </c>
    </row>
    <row r="91" spans="2:26">
      <c r="B91" s="278"/>
      <c r="C91" s="18"/>
      <c r="D91" s="18"/>
      <c r="E91" s="18"/>
      <c r="F91" s="56"/>
      <c r="G91" s="56"/>
      <c r="H91" s="56"/>
      <c r="I91" s="56"/>
      <c r="J91" s="56"/>
      <c r="K91" s="56"/>
      <c r="L91" s="56"/>
      <c r="M91" s="56"/>
      <c r="N91" s="56"/>
      <c r="O91" s="56"/>
      <c r="P91" s="56"/>
      <c r="Q91" s="56"/>
      <c r="R91" s="56"/>
      <c r="S91" s="56"/>
      <c r="T91" s="56"/>
      <c r="U91" s="56"/>
      <c r="V91" s="56"/>
      <c r="W91" s="56"/>
      <c r="X91" s="56"/>
      <c r="Y91" s="56"/>
      <c r="Z91" s="56"/>
    </row>
    <row r="92" spans="2:26" ht="15.75" thickBot="1">
      <c r="B92" s="272" t="s">
        <v>105</v>
      </c>
      <c r="C92" s="408">
        <f>IF(C15="","",SUM(C84:C90))</f>
        <v>68.533944002146455</v>
      </c>
      <c r="D92" s="408">
        <f t="shared" ref="D92:Z92" si="20">IF(D15="","",SUM(D84:D90))</f>
        <v>98.3023353899558</v>
      </c>
      <c r="E92" s="408">
        <f t="shared" si="20"/>
        <v>101.76666073590164</v>
      </c>
      <c r="F92" s="408">
        <f t="shared" si="20"/>
        <v>137.01230770575614</v>
      </c>
      <c r="G92" s="408">
        <f t="shared" si="20"/>
        <v>161.13129096786827</v>
      </c>
      <c r="H92" s="408"/>
      <c r="I92" s="408">
        <f t="shared" si="20"/>
        <v>118.63018930574628</v>
      </c>
      <c r="J92" s="408">
        <f t="shared" si="20"/>
        <v>87.412416060563928</v>
      </c>
      <c r="K92" s="408">
        <f t="shared" si="20"/>
        <v>60.031383047153696</v>
      </c>
      <c r="L92" s="408">
        <f t="shared" si="20"/>
        <v>62.215151638822405</v>
      </c>
      <c r="M92" s="408">
        <f t="shared" si="20"/>
        <v>75.463355008237755</v>
      </c>
      <c r="N92" s="408">
        <f t="shared" si="20"/>
        <v>91.700486147893528</v>
      </c>
      <c r="O92" s="408">
        <f t="shared" si="20"/>
        <v>189.00431222850085</v>
      </c>
      <c r="P92" s="408">
        <f t="shared" si="20"/>
        <v>271.9532037648832</v>
      </c>
      <c r="Q92" s="408" t="str">
        <f t="shared" si="20"/>
        <v/>
      </c>
      <c r="R92" s="408" t="str">
        <f t="shared" si="20"/>
        <v/>
      </c>
      <c r="S92" s="408" t="str">
        <f t="shared" si="20"/>
        <v/>
      </c>
      <c r="T92" s="79" t="str">
        <f t="shared" si="20"/>
        <v/>
      </c>
      <c r="U92" s="79" t="str">
        <f t="shared" si="20"/>
        <v/>
      </c>
      <c r="V92" s="79" t="str">
        <f t="shared" si="20"/>
        <v/>
      </c>
      <c r="W92" s="79" t="str">
        <f t="shared" si="20"/>
        <v/>
      </c>
      <c r="X92" s="79" t="str">
        <f t="shared" si="20"/>
        <v/>
      </c>
      <c r="Y92" s="79" t="str">
        <f t="shared" si="20"/>
        <v/>
      </c>
      <c r="Z92" s="79" t="str">
        <f t="shared" si="20"/>
        <v/>
      </c>
    </row>
    <row r="93" spans="2:26" ht="15.75" thickBot="1">
      <c r="B93" s="273" t="s">
        <v>43</v>
      </c>
      <c r="C93" s="59" t="str">
        <f>IF(ISERROR(C92),"Populate cells above","")</f>
        <v/>
      </c>
      <c r="D93" s="59" t="str">
        <f t="shared" ref="D93:Z93" si="21">IF(ISERROR(D92),"Populate cells above","")</f>
        <v/>
      </c>
      <c r="E93" s="59" t="str">
        <f t="shared" si="21"/>
        <v/>
      </c>
      <c r="F93" s="57" t="str">
        <f t="shared" si="21"/>
        <v/>
      </c>
      <c r="G93" s="57" t="str">
        <f t="shared" si="21"/>
        <v/>
      </c>
      <c r="H93" s="57" t="str">
        <f t="shared" si="21"/>
        <v/>
      </c>
      <c r="I93" s="57" t="str">
        <f t="shared" si="21"/>
        <v/>
      </c>
      <c r="J93" s="57" t="str">
        <f t="shared" si="21"/>
        <v/>
      </c>
      <c r="K93" s="57" t="str">
        <f t="shared" si="21"/>
        <v/>
      </c>
      <c r="L93" s="57" t="str">
        <f t="shared" si="21"/>
        <v/>
      </c>
      <c r="M93" s="57" t="str">
        <f t="shared" si="21"/>
        <v/>
      </c>
      <c r="N93" s="57" t="str">
        <f t="shared" si="21"/>
        <v/>
      </c>
      <c r="O93" s="57" t="str">
        <f t="shared" si="21"/>
        <v/>
      </c>
      <c r="P93" s="57" t="str">
        <f t="shared" si="21"/>
        <v/>
      </c>
      <c r="Q93" s="57" t="str">
        <f t="shared" si="21"/>
        <v/>
      </c>
      <c r="R93" s="57" t="str">
        <f t="shared" si="21"/>
        <v/>
      </c>
      <c r="S93" s="57" t="str">
        <f t="shared" si="21"/>
        <v/>
      </c>
      <c r="T93" s="57" t="str">
        <f t="shared" si="21"/>
        <v/>
      </c>
      <c r="U93" s="57" t="str">
        <f t="shared" si="21"/>
        <v/>
      </c>
      <c r="V93" s="57" t="str">
        <f t="shared" si="21"/>
        <v/>
      </c>
      <c r="W93" s="57" t="str">
        <f t="shared" si="21"/>
        <v/>
      </c>
      <c r="X93" s="57" t="str">
        <f t="shared" si="21"/>
        <v/>
      </c>
      <c r="Y93" s="57" t="str">
        <f t="shared" si="21"/>
        <v/>
      </c>
      <c r="Z93" s="58" t="str">
        <f t="shared" si="21"/>
        <v/>
      </c>
    </row>
    <row r="94" spans="2:26">
      <c r="B94" s="278" t="s">
        <v>106</v>
      </c>
      <c r="C94" t="str">
        <f>IF(C92="","",TEXT(C92,"#,#0")&amp;" $/MWh")</f>
        <v>69 $/MWh</v>
      </c>
      <c r="D94" t="str">
        <f t="shared" ref="D94:Z94" si="22">IF(D92="","",TEXT(D92,"#,#0")&amp;" $/MWh")</f>
        <v>98 $/MWh</v>
      </c>
      <c r="E94" t="str">
        <f t="shared" si="22"/>
        <v>102 $/MWh</v>
      </c>
      <c r="F94" t="str">
        <f t="shared" si="22"/>
        <v>137 $/MWh</v>
      </c>
      <c r="G94" t="str">
        <f t="shared" si="22"/>
        <v>161 $/MWh</v>
      </c>
      <c r="H94" s="509"/>
      <c r="I94" t="str">
        <f t="shared" si="22"/>
        <v>119 $/MWh</v>
      </c>
      <c r="J94" t="str">
        <f t="shared" si="22"/>
        <v>87 $/MWh</v>
      </c>
      <c r="K94" t="str">
        <f t="shared" si="22"/>
        <v>60 $/MWh</v>
      </c>
      <c r="L94" t="str">
        <f t="shared" si="22"/>
        <v>62 $/MWh</v>
      </c>
      <c r="M94" t="str">
        <f t="shared" si="22"/>
        <v>75 $/MWh</v>
      </c>
      <c r="N94" t="str">
        <f t="shared" si="22"/>
        <v>92 $/MWh</v>
      </c>
      <c r="O94" t="str">
        <f t="shared" si="22"/>
        <v>189 $/MWh</v>
      </c>
      <c r="P94" t="str">
        <f t="shared" si="22"/>
        <v>272 $/MWh</v>
      </c>
      <c r="Q94" t="str">
        <f t="shared" si="22"/>
        <v/>
      </c>
      <c r="R94" t="str">
        <f t="shared" si="22"/>
        <v/>
      </c>
      <c r="S94" t="str">
        <f t="shared" si="22"/>
        <v/>
      </c>
      <c r="T94" t="str">
        <f t="shared" si="22"/>
        <v/>
      </c>
      <c r="U94" t="str">
        <f t="shared" si="22"/>
        <v/>
      </c>
      <c r="V94" t="str">
        <f t="shared" si="22"/>
        <v/>
      </c>
      <c r="W94" t="str">
        <f t="shared" si="22"/>
        <v/>
      </c>
      <c r="X94" t="str">
        <f t="shared" si="22"/>
        <v/>
      </c>
      <c r="Y94" t="str">
        <f t="shared" si="22"/>
        <v/>
      </c>
      <c r="Z94" t="str">
        <f t="shared" si="22"/>
        <v/>
      </c>
    </row>
    <row r="95" spans="2:26">
      <c r="B95" s="1"/>
    </row>
    <row r="98" spans="1:30">
      <c r="D98" s="54"/>
      <c r="E98" s="54"/>
    </row>
    <row r="99" spans="1:30" s="19" customFormat="1">
      <c r="A99"/>
      <c r="C99" s="11"/>
      <c r="D99"/>
      <c r="E99" s="54"/>
      <c r="AA99" s="39"/>
      <c r="AB99"/>
      <c r="AC99"/>
      <c r="AD99"/>
    </row>
    <row r="100" spans="1:30" s="19" customFormat="1">
      <c r="A100"/>
      <c r="C100" s="8"/>
      <c r="D100" s="8"/>
      <c r="E100" s="8"/>
      <c r="F100" s="8"/>
      <c r="G100" s="8"/>
      <c r="H100" s="8"/>
      <c r="I100" s="8"/>
      <c r="J100" s="8"/>
      <c r="K100" s="8"/>
      <c r="L100" s="8"/>
      <c r="T100" s="8"/>
      <c r="AA100" s="39"/>
      <c r="AB100"/>
      <c r="AC100"/>
      <c r="AD100"/>
    </row>
    <row r="101" spans="1:30">
      <c r="B101" s="63" t="s">
        <v>1005</v>
      </c>
      <c r="F101"/>
      <c r="G101"/>
      <c r="H101"/>
      <c r="I101"/>
      <c r="J101"/>
      <c r="K101"/>
      <c r="L101"/>
      <c r="T101"/>
    </row>
    <row r="102" spans="1:30">
      <c r="B102" s="390" t="str">
        <f>"LCOEs of Newly Invested Units: "&amp;C11</f>
        <v>LCOEs of Newly Invested Units: 2023</v>
      </c>
      <c r="E102" s="19"/>
    </row>
    <row r="103" spans="1:30" s="19" customFormat="1">
      <c r="A103"/>
      <c r="B103"/>
      <c r="C103" s="9"/>
      <c r="D103"/>
      <c r="AA103" s="39"/>
      <c r="AB103"/>
      <c r="AC103"/>
      <c r="AD103"/>
    </row>
    <row r="104" spans="1:30">
      <c r="C104" s="409"/>
      <c r="D104" s="409"/>
      <c r="E104" s="409"/>
      <c r="F104" s="409"/>
      <c r="G104" s="409"/>
      <c r="H104" s="409"/>
      <c r="I104" s="409"/>
      <c r="J104" s="409"/>
      <c r="K104" s="409"/>
      <c r="L104" s="409"/>
      <c r="T104" s="409"/>
    </row>
    <row r="105" spans="1:30" s="19" customFormat="1">
      <c r="A105"/>
      <c r="B105"/>
      <c r="C105" s="409"/>
      <c r="D105" s="409"/>
      <c r="E105" s="409"/>
      <c r="F105" s="409"/>
      <c r="G105" s="409"/>
      <c r="H105" s="409"/>
      <c r="I105" s="409"/>
      <c r="J105" s="409"/>
      <c r="K105" s="409"/>
      <c r="L105" s="409"/>
      <c r="T105" s="409"/>
      <c r="AA105" s="39"/>
      <c r="AB105"/>
      <c r="AC105"/>
      <c r="AD105"/>
    </row>
    <row r="106" spans="1:30">
      <c r="C106" s="409"/>
      <c r="D106" s="409"/>
      <c r="E106" s="409"/>
      <c r="F106" s="409"/>
      <c r="G106" s="409"/>
      <c r="H106" s="409"/>
      <c r="I106" s="409"/>
      <c r="J106" s="409"/>
      <c r="K106" s="409"/>
      <c r="L106" s="409"/>
      <c r="T106" s="409"/>
    </row>
    <row r="107" spans="1:30" s="19" customFormat="1">
      <c r="A107"/>
      <c r="B107"/>
      <c r="C107" s="409"/>
      <c r="D107" s="409"/>
      <c r="E107" s="409"/>
      <c r="F107" s="409"/>
      <c r="G107" s="409"/>
      <c r="H107" s="409"/>
      <c r="I107" s="409"/>
      <c r="J107" s="409"/>
      <c r="K107" s="409"/>
      <c r="L107" s="409"/>
      <c r="T107" s="409"/>
      <c r="AA107" s="39"/>
      <c r="AB107"/>
      <c r="AC107"/>
      <c r="AD107"/>
    </row>
    <row r="108" spans="1:30">
      <c r="C108" s="409"/>
      <c r="D108" s="409"/>
      <c r="E108" s="409"/>
      <c r="F108" s="409"/>
      <c r="G108" s="409"/>
      <c r="H108" s="409"/>
      <c r="I108" s="409"/>
      <c r="J108" s="409"/>
      <c r="K108" s="409"/>
      <c r="L108" s="409"/>
      <c r="T108" s="409"/>
    </row>
    <row r="109" spans="1:30">
      <c r="C109" s="409"/>
      <c r="D109" s="409"/>
      <c r="E109" s="409"/>
      <c r="F109" s="409"/>
      <c r="G109" s="409"/>
      <c r="H109" s="409"/>
      <c r="I109" s="409"/>
      <c r="J109" s="409"/>
      <c r="K109" s="409"/>
      <c r="L109" s="409"/>
      <c r="T109" s="409"/>
    </row>
    <row r="110" spans="1:30" s="19" customFormat="1">
      <c r="A110"/>
      <c r="B110"/>
      <c r="C110" s="409"/>
      <c r="D110" s="409"/>
      <c r="E110" s="409"/>
      <c r="F110" s="409"/>
      <c r="G110" s="409"/>
      <c r="H110" s="409"/>
      <c r="I110" s="409"/>
      <c r="J110" s="409"/>
      <c r="K110" s="409"/>
      <c r="L110" s="409"/>
      <c r="T110" s="409"/>
      <c r="AA110" s="39"/>
      <c r="AB110"/>
      <c r="AC110"/>
      <c r="AD110"/>
    </row>
    <row r="111" spans="1:30">
      <c r="C111" s="409"/>
      <c r="D111" s="409"/>
      <c r="E111" s="409"/>
      <c r="F111" s="409"/>
      <c r="G111" s="409"/>
      <c r="H111" s="409"/>
      <c r="I111" s="409"/>
      <c r="J111" s="409"/>
      <c r="K111" s="409"/>
      <c r="L111" s="409"/>
      <c r="T111" s="409"/>
    </row>
    <row r="112" spans="1:30">
      <c r="C112" s="8"/>
      <c r="D112" s="8"/>
      <c r="E112" s="8"/>
      <c r="F112" s="8"/>
      <c r="G112" s="8"/>
      <c r="H112" s="8"/>
      <c r="I112" s="8"/>
      <c r="J112" s="8"/>
      <c r="K112" s="8"/>
    </row>
    <row r="113" spans="3:11">
      <c r="C113" s="409"/>
      <c r="D113" s="409"/>
      <c r="E113" s="409"/>
      <c r="F113" s="409"/>
      <c r="G113" s="409"/>
      <c r="H113" s="409"/>
      <c r="I113" s="409"/>
      <c r="J113" s="409"/>
      <c r="K113" s="409"/>
    </row>
  </sheetData>
  <mergeCells count="1">
    <mergeCell ref="A11:A14"/>
  </mergeCells>
  <conditionalFormatting sqref="C32:Y32">
    <cfRule type="expression" dxfId="289" priority="53">
      <formula>NOT(ISBLANK(C$15))</formula>
    </cfRule>
  </conditionalFormatting>
  <conditionalFormatting sqref="C15:Z15">
    <cfRule type="notContainsBlanks" dxfId="288" priority="59">
      <formula>LEN(TRIM(C15))&gt;0</formula>
    </cfRule>
  </conditionalFormatting>
  <conditionalFormatting sqref="C16:Z17">
    <cfRule type="expression" dxfId="287" priority="1">
      <formula>NOT(ISBLANK(C$15))</formula>
    </cfRule>
  </conditionalFormatting>
  <conditionalFormatting sqref="C18:Z18">
    <cfRule type="notContainsBlanks" dxfId="286" priority="34">
      <formula>LEN(TRIM(C18))&gt;0</formula>
    </cfRule>
  </conditionalFormatting>
  <conditionalFormatting sqref="C19:Z19">
    <cfRule type="containsText" dxfId="285" priority="2" operator="containsText" text="Technology unavailable in this year. Please revise">
      <formula>NOT(ISERROR(SEARCH("Technology unavailable in this year. Please revise",C19)))</formula>
    </cfRule>
  </conditionalFormatting>
  <conditionalFormatting sqref="C19:Z20">
    <cfRule type="containsText" dxfId="284" priority="38" operator="containsText" text="Incompatible combination of Fuel and Technology">
      <formula>NOT(ISERROR(SEARCH("Incompatible combination of Fuel and Technology",C19)))</formula>
    </cfRule>
  </conditionalFormatting>
  <conditionalFormatting sqref="C22:Z22">
    <cfRule type="expression" dxfId="283" priority="57">
      <formula>NOT(ISBLANK(C$15))</formula>
    </cfRule>
  </conditionalFormatting>
  <conditionalFormatting sqref="C23:Z23">
    <cfRule type="expression" dxfId="282" priority="58">
      <formula>C22="Generic"</formula>
    </cfRule>
    <cfRule type="expression" dxfId="281" priority="56">
      <formula>C22="User defined"</formula>
    </cfRule>
  </conditionalFormatting>
  <conditionalFormatting sqref="C24:Z25">
    <cfRule type="notContainsBlanks" dxfId="280" priority="54">
      <formula>LEN(TRIM(C24))&gt;0</formula>
    </cfRule>
  </conditionalFormatting>
  <conditionalFormatting sqref="C26:Z27 C30:Z30">
    <cfRule type="containsText" dxfId="279" priority="49" operator="containsText" text="Value should be between 0 and 1">
      <formula>NOT(ISERROR(SEARCH("Value should be between 0 and 1",C26)))</formula>
    </cfRule>
    <cfRule type="containsText" dxfId="278" priority="55" operator="containsText" text="Insert value above">
      <formula>NOT(ISERROR(SEARCH("Insert value above",C26)))</formula>
    </cfRule>
  </conditionalFormatting>
  <conditionalFormatting sqref="C28:Z29">
    <cfRule type="notContainsBlanks" dxfId="277" priority="3">
      <formula>LEN(TRIM(C28))&gt;0</formula>
    </cfRule>
  </conditionalFormatting>
  <conditionalFormatting sqref="C32:Z32">
    <cfRule type="expression" dxfId="276" priority="42">
      <formula>C$15="Storage"</formula>
    </cfRule>
  </conditionalFormatting>
  <conditionalFormatting sqref="C33:Z33">
    <cfRule type="expression" dxfId="275" priority="52">
      <formula>C32="Generic"</formula>
    </cfRule>
    <cfRule type="expression" dxfId="274" priority="51">
      <formula>C32="User defined"</formula>
    </cfRule>
  </conditionalFormatting>
  <conditionalFormatting sqref="C33:Z34">
    <cfRule type="expression" dxfId="273" priority="41">
      <formula>C$15="Storage"</formula>
    </cfRule>
  </conditionalFormatting>
  <conditionalFormatting sqref="C34:Z34">
    <cfRule type="notContainsBlanks" dxfId="272" priority="50">
      <formula>LEN(TRIM(C34))&gt;0</formula>
    </cfRule>
  </conditionalFormatting>
  <conditionalFormatting sqref="C35:Z37">
    <cfRule type="containsText" dxfId="271" priority="30" operator="containsText" text="Absence of generic data, please switch to User Defined and insert FLHs">
      <formula>NOT(ISERROR(SEARCH("Absence of generic data, please switch to User Defined and insert FLHs",C35)))</formula>
    </cfRule>
    <cfRule type="containsText" dxfId="270" priority="48" operator="containsText" text="Insert value above">
      <formula>NOT(ISERROR(SEARCH("Insert value above",C35)))</formula>
    </cfRule>
    <cfRule type="containsText" dxfId="269" priority="47" operator="containsText" text="Value should be between 0 and 1">
      <formula>NOT(ISERROR(SEARCH("Value should be between 0 and 1",C35)))</formula>
    </cfRule>
  </conditionalFormatting>
  <conditionalFormatting sqref="C38:Z38">
    <cfRule type="expression" dxfId="268" priority="8">
      <formula>C$15="Storage"</formula>
    </cfRule>
  </conditionalFormatting>
  <conditionalFormatting sqref="C38:Z48">
    <cfRule type="expression" dxfId="267" priority="7">
      <formula>C$15&lt;&gt;"Storage"</formula>
    </cfRule>
  </conditionalFormatting>
  <conditionalFormatting sqref="C38:Z52">
    <cfRule type="expression" dxfId="266" priority="6">
      <formula>C$15=""</formula>
    </cfRule>
  </conditionalFormatting>
  <conditionalFormatting sqref="C39:Z41">
    <cfRule type="expression" dxfId="265" priority="46">
      <formula>C$38&lt;&gt;"User defined"</formula>
    </cfRule>
    <cfRule type="expression" dxfId="264" priority="32">
      <formula>C$38="User defined"</formula>
    </cfRule>
  </conditionalFormatting>
  <conditionalFormatting sqref="C42:Z46">
    <cfRule type="expression" dxfId="263" priority="31">
      <formula>C$38&lt;&gt;""</formula>
    </cfRule>
  </conditionalFormatting>
  <conditionalFormatting sqref="C45:Z48">
    <cfRule type="expression" dxfId="262" priority="45">
      <formula>C$38&lt;&gt;""</formula>
    </cfRule>
    <cfRule type="expression" dxfId="261" priority="33">
      <formula>C$38=""</formula>
    </cfRule>
  </conditionalFormatting>
  <conditionalFormatting sqref="C47:Z48">
    <cfRule type="expression" dxfId="260" priority="44">
      <formula>C$38="Generic"</formula>
    </cfRule>
    <cfRule type="expression" dxfId="259" priority="43">
      <formula>C$38="User defined"</formula>
    </cfRule>
  </conditionalFormatting>
  <conditionalFormatting sqref="C49:Z52">
    <cfRule type="expression" dxfId="258" priority="61">
      <formula>C$38=""</formula>
    </cfRule>
    <cfRule type="expression" dxfId="257" priority="62">
      <formula>C$15="Storage"</formula>
    </cfRule>
    <cfRule type="expression" dxfId="256" priority="63">
      <formula>C$15&lt;&gt;"Storage"</formula>
    </cfRule>
  </conditionalFormatting>
  <conditionalFormatting sqref="C53:Z53">
    <cfRule type="containsText" dxfId="255" priority="9" operator="containsText" text="Exceeding maximum possible annual cycles. Please revise">
      <formula>NOT(ISERROR(SEARCH("Exceeding maximum possible annual cycles. Please revise",C53)))</formula>
    </cfRule>
  </conditionalFormatting>
  <conditionalFormatting sqref="C56:Z56">
    <cfRule type="expression" dxfId="254" priority="60">
      <formula>NOT(ISBLANK(C$15))</formula>
    </cfRule>
  </conditionalFormatting>
  <conditionalFormatting sqref="C56:Z60">
    <cfRule type="expression" dxfId="253" priority="4">
      <formula>C$15=""</formula>
    </cfRule>
  </conditionalFormatting>
  <conditionalFormatting sqref="C57:Z57">
    <cfRule type="expression" dxfId="252" priority="29">
      <formula>C56&lt;&gt;"User Defined"</formula>
    </cfRule>
  </conditionalFormatting>
  <conditionalFormatting sqref="C57:Z58">
    <cfRule type="expression" dxfId="251" priority="25">
      <formula>C56="User defined"</formula>
    </cfRule>
  </conditionalFormatting>
  <conditionalFormatting sqref="C58:Z60">
    <cfRule type="expression" dxfId="250" priority="5">
      <formula>C$15&lt;&gt;""</formula>
    </cfRule>
  </conditionalFormatting>
  <conditionalFormatting sqref="C59:Z59">
    <cfRule type="expression" dxfId="249" priority="64">
      <formula>NOT(OR(C$15="Storage",C$56="User Defined"))</formula>
    </cfRule>
  </conditionalFormatting>
  <conditionalFormatting sqref="C61:Z61">
    <cfRule type="containsText" dxfId="248" priority="27" operator="containsText" text="Value should be between 0 and 1">
      <formula>NOT(ISERROR(SEARCH("Value should be between 0 and 1",C61)))</formula>
    </cfRule>
    <cfRule type="containsText" dxfId="247" priority="26" operator="containsText" text="Absence of generic data, please switch to User Defined and insert FLHs">
      <formula>NOT(ISERROR(SEARCH("Absence of generic data, please switch to User Defined and insert FLHs",C61)))</formula>
    </cfRule>
    <cfRule type="containsText" dxfId="246" priority="28" operator="containsText" text="Insert value above">
      <formula>NOT(ISERROR(SEARCH("Insert value above",C61)))</formula>
    </cfRule>
  </conditionalFormatting>
  <conditionalFormatting sqref="C64:Z64">
    <cfRule type="expression" dxfId="245" priority="69">
      <formula>C$15=""</formula>
    </cfRule>
  </conditionalFormatting>
  <conditionalFormatting sqref="C67:Z67">
    <cfRule type="expression" dxfId="244" priority="20">
      <formula>NOT(ISBLANK(C$15))</formula>
    </cfRule>
    <cfRule type="expression" dxfId="243" priority="19">
      <formula>AND(NOT(ISBLANK(C$15)),C67="Yes")</formula>
    </cfRule>
    <cfRule type="expression" dxfId="242" priority="18">
      <formula>AND(NOT(ISBLANK(C$15)),C67="No")</formula>
    </cfRule>
  </conditionalFormatting>
  <conditionalFormatting sqref="C67:Z68 C72:Z72">
    <cfRule type="expression" dxfId="241" priority="15">
      <formula>ISBLANK(C$15)</formula>
    </cfRule>
  </conditionalFormatting>
  <conditionalFormatting sqref="C68:Z68 C72:Z72">
    <cfRule type="expression" dxfId="240" priority="17">
      <formula>C$67="Yes"</formula>
    </cfRule>
    <cfRule type="expression" dxfId="239" priority="16">
      <formula>C$67="No"</formula>
    </cfRule>
  </conditionalFormatting>
  <conditionalFormatting sqref="C69:Z69">
    <cfRule type="expression" dxfId="238" priority="65">
      <formula>NOT(ISNUMBER(C$60))</formula>
    </cfRule>
    <cfRule type="expression" dxfId="237" priority="66">
      <formula>NOT(ISBLANK(C$15))</formula>
    </cfRule>
  </conditionalFormatting>
  <conditionalFormatting sqref="C69:Z71">
    <cfRule type="expression" dxfId="236" priority="10">
      <formula>C$15=""</formula>
    </cfRule>
    <cfRule type="expression" dxfId="235" priority="67">
      <formula>C$67="No"</formula>
    </cfRule>
    <cfRule type="expression" dxfId="234" priority="68">
      <formula>C$15="Storage"</formula>
    </cfRule>
  </conditionalFormatting>
  <conditionalFormatting sqref="C70:Z70">
    <cfRule type="expression" dxfId="233" priority="12">
      <formula>C69="User defined"</formula>
    </cfRule>
    <cfRule type="expression" dxfId="232" priority="11">
      <formula>C69&lt;&gt;"User defined"</formula>
    </cfRule>
  </conditionalFormatting>
  <conditionalFormatting sqref="C71:Z71">
    <cfRule type="expression" dxfId="231" priority="14">
      <formula>C69&lt;&gt;"User defined"</formula>
    </cfRule>
    <cfRule type="expression" dxfId="230" priority="13">
      <formula>C69="User defined"</formula>
    </cfRule>
  </conditionalFormatting>
  <conditionalFormatting sqref="C75:Z75">
    <cfRule type="expression" dxfId="229" priority="24">
      <formula>NOT(ISBLANK(C$15))</formula>
    </cfRule>
    <cfRule type="expression" dxfId="228" priority="23">
      <formula>AND(NOT(ISBLANK(C$15)),C75="Yes")</formula>
    </cfRule>
    <cfRule type="expression" dxfId="227" priority="22">
      <formula>AND(NOT(ISBLANK(C$15)),C75="No")</formula>
    </cfRule>
    <cfRule type="expression" dxfId="226" priority="21">
      <formula>ISBLANK(C$15)</formula>
    </cfRule>
  </conditionalFormatting>
  <conditionalFormatting sqref="C76:Z81 C84:Z90">
    <cfRule type="expression" dxfId="225" priority="36">
      <formula>NOT(ISBLANK(C$15))</formula>
    </cfRule>
  </conditionalFormatting>
  <conditionalFormatting sqref="C92:Z92">
    <cfRule type="expression" dxfId="224" priority="35">
      <formula>NOT(ISBLANK(C$15))</formula>
    </cfRule>
  </conditionalFormatting>
  <conditionalFormatting sqref="C93:Z93">
    <cfRule type="containsText" dxfId="223" priority="40" operator="containsText" text="Populate cells above">
      <formula>NOT(ISERROR(SEARCH("Populate cells above",C93)))</formula>
    </cfRule>
  </conditionalFormatting>
  <conditionalFormatting sqref="Z73">
    <cfRule type="expression" dxfId="222" priority="37">
      <formula>NOT(ISBLANK(Z$15))</formula>
    </cfRule>
  </conditionalFormatting>
  <dataValidations count="2">
    <dataValidation type="list" allowBlank="1" showInputMessage="1" showErrorMessage="1" sqref="C75:Z75 C67:Z67" xr:uid="{D53332BA-7114-453D-83B5-07EE13A8369A}">
      <formula1>"Yes, No"</formula1>
    </dataValidation>
    <dataValidation type="list" allowBlank="1" showInputMessage="1" showErrorMessage="1" sqref="C22:Z22 C32:Y32 C69:Z69 C56:Z56 C38:Z38" xr:uid="{5E2FD89E-0B97-431D-B166-D450463DC2A6}">
      <formula1>"Generic, User defined"</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70" id="{0B08126C-DCFE-40E0-8FEC-BA16D620AB76}">
            <xm:f>SUMIFS('Background (from TC)'!$J$4:$J$1048576,'Background (from TC)'!$D$4:$D$1048576,C$15,'Background (from TC)'!$E$4:$E$1048576,C$16,'Background (from TC)'!$O$4:$O$1048576,C$17)&gt;0</xm:f>
            <x14:dxf>
              <fill>
                <patternFill>
                  <bgColor theme="6" tint="0.79998168889431442"/>
                </patternFill>
              </fill>
            </x14:dxf>
          </x14:cfRule>
          <x14:cfRule type="expression" priority="71" id="{18BF528F-F16A-42F9-96CC-27B45661AA92}">
            <xm:f>SUMIFS('Background (from TC)'!$J$4:$J$1048576,'Background (from TC)'!$D$4:$D$1048576,C$15,'Background (from TC)'!$E$4:$E$1048576,C$16,'Background (from TC)'!$O$4:$O$1048576,C$17)=0</xm:f>
            <x14:dxf>
              <font>
                <color theme="0" tint="-0.24994659260841701"/>
              </font>
              <fill>
                <patternFill>
                  <bgColor theme="0" tint="-0.24994659260841701"/>
                </patternFill>
              </fill>
            </x14:dxf>
          </x14:cfRule>
          <x14:cfRule type="expression" priority="72" id="{36131F40-9450-483B-BECC-1ED3208A930A}">
            <xm:f>SUMIFS('Background (from TC)'!$J$4:$J$1048576,'Background (from TC)'!$D$4:$D$1048576,C$15,'Background (from TC)'!$E$4:$E$1048576,C$16,'Background (from TC)'!$O$4:$O$1048576,C$17)=""</xm:f>
            <x14:dxf>
              <font>
                <color theme="0" tint="-0.24994659260841701"/>
              </font>
              <fill>
                <patternFill>
                  <bgColor theme="0" tint="-0.24994659260841701"/>
                </patternFill>
              </fill>
            </x14:dxf>
          </x14:cfRule>
          <xm:sqref>C64:Z64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1E189C8-952A-487A-98D2-BA60522C9257}">
          <x14:formula1>
            <xm:f>OFFSET('Background (from TC)'!$A$4,,,COUNTIF('Background (from TC)'!$A$4:$A$1048576,"?*"))</xm:f>
          </x14:formula1>
          <xm:sqref>C15:Z15</xm:sqref>
        </x14:dataValidation>
        <x14:dataValidation type="list" allowBlank="1" showInputMessage="1" showErrorMessage="1" xr:uid="{7E516C30-5C9C-4D07-9429-A1D0E03DC4D7}">
          <x14:formula1>
            <xm:f>OFFSET('Background (from TC)'!$C$4,,,COUNTIF('Background (from TC)'!$C$4:$C$1048576,"&lt;&gt;"))</xm:f>
          </x14:formula1>
          <xm:sqref>C17:Z17</xm:sqref>
        </x14:dataValidation>
        <x14:dataValidation type="list" allowBlank="1" showInputMessage="1" showErrorMessage="1" xr:uid="{08715C9E-693C-4260-8FE9-DBB6C142A0C6}">
          <x14:formula1>
            <xm:f>OFFSET('Fuel - Technology Mapping'!$A$3,0,MATCH(C$15,'Fuel - Technology Mapping'!1:1,0)-1,1000000)</xm:f>
          </x14:formula1>
          <xm:sqref>C16:Z16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6D37B-7ECD-420C-8ED1-593A615B50C8}">
  <sheetPr>
    <tabColor theme="0"/>
  </sheetPr>
  <dimension ref="A2:AD113"/>
  <sheetViews>
    <sheetView showGridLines="0" zoomScale="90" zoomScaleNormal="90" workbookViewId="0">
      <selection activeCell="D154" sqref="D154"/>
    </sheetView>
  </sheetViews>
  <sheetFormatPr defaultRowHeight="15"/>
  <cols>
    <col min="2" max="2" width="68.85546875" customWidth="1"/>
    <col min="3" max="3" width="14.85546875" customWidth="1"/>
    <col min="4" max="5" width="11.85546875" bestFit="1" customWidth="1"/>
    <col min="6" max="6" width="11.85546875" style="19" bestFit="1" customWidth="1"/>
    <col min="7" max="7" width="19.42578125" style="19" bestFit="1" customWidth="1"/>
    <col min="8" max="8" width="28.5703125" style="19" bestFit="1" customWidth="1"/>
    <col min="9" max="9" width="25.140625" style="19" bestFit="1" customWidth="1"/>
    <col min="10" max="10" width="17.28515625" style="19" bestFit="1" customWidth="1"/>
    <col min="11" max="11" width="11.85546875" style="19" bestFit="1" customWidth="1"/>
    <col min="12" max="12" width="15.85546875" style="19" bestFit="1" customWidth="1"/>
    <col min="13" max="13" width="10.42578125" style="19" bestFit="1" customWidth="1"/>
    <col min="14" max="16" width="13.42578125" style="19" bestFit="1" customWidth="1"/>
    <col min="17" max="18" width="19.7109375" style="19" bestFit="1" customWidth="1"/>
    <col min="19" max="19" width="33.7109375" style="19" bestFit="1" customWidth="1"/>
    <col min="20" max="20" width="26" style="19" bestFit="1" customWidth="1"/>
    <col min="21" max="26" width="8.7109375" style="19"/>
    <col min="27" max="27" width="8.7109375" style="39"/>
    <col min="30" max="30" width="23.42578125" bestFit="1" customWidth="1"/>
  </cols>
  <sheetData>
    <row r="2" spans="1:26">
      <c r="B2" s="1" t="s">
        <v>0</v>
      </c>
      <c r="C2" s="1" t="s">
        <v>1</v>
      </c>
    </row>
    <row r="3" spans="1:26">
      <c r="B3" s="33"/>
      <c r="C3" s="15" t="s">
        <v>2</v>
      </c>
    </row>
    <row r="4" spans="1:26">
      <c r="B4" s="38"/>
      <c r="C4" s="15" t="s">
        <v>3</v>
      </c>
    </row>
    <row r="5" spans="1:26">
      <c r="B5" s="10"/>
      <c r="C5" s="15" t="s">
        <v>4</v>
      </c>
      <c r="G5" s="19" t="s">
        <v>5</v>
      </c>
    </row>
    <row r="6" spans="1:26">
      <c r="B6" s="40"/>
      <c r="C6" s="15" t="s">
        <v>6</v>
      </c>
    </row>
    <row r="7" spans="1:26">
      <c r="C7" s="63" t="s">
        <v>964</v>
      </c>
    </row>
    <row r="8" spans="1:26" ht="15.75" thickBot="1"/>
    <row r="9" spans="1:26">
      <c r="B9" s="397" t="s">
        <v>7</v>
      </c>
      <c r="C9" s="398">
        <v>2022</v>
      </c>
    </row>
    <row r="10" spans="1:26" ht="15.75" thickBot="1">
      <c r="B10" s="400" t="s">
        <v>8</v>
      </c>
      <c r="C10" s="399">
        <v>0.02</v>
      </c>
    </row>
    <row r="11" spans="1:26">
      <c r="A11" s="1137" t="s">
        <v>1003</v>
      </c>
      <c r="C11" s="1054">
        <v>2030</v>
      </c>
      <c r="D11" s="1054"/>
      <c r="E11" s="1054"/>
      <c r="F11" s="1054"/>
      <c r="G11" s="1054"/>
      <c r="H11" s="1054"/>
      <c r="I11" s="1054"/>
      <c r="J11" s="1054"/>
      <c r="K11" s="1054"/>
      <c r="L11" s="1054"/>
      <c r="M11" s="1054"/>
      <c r="N11" s="1054"/>
      <c r="O11" s="1054"/>
      <c r="P11" s="1054"/>
      <c r="Q11" s="1054"/>
      <c r="R11" s="1054"/>
      <c r="S11" s="1055"/>
      <c r="T11" s="1055"/>
      <c r="U11" s="1055"/>
      <c r="V11" s="1055"/>
      <c r="W11" s="1055"/>
      <c r="X11" s="1055"/>
      <c r="Y11" s="1055"/>
      <c r="Z11" s="1055"/>
    </row>
    <row r="12" spans="1:26">
      <c r="A12" s="1138"/>
      <c r="C12" s="1054" t="s">
        <v>124</v>
      </c>
      <c r="D12" s="1054"/>
      <c r="E12" s="1054"/>
      <c r="F12" s="1054"/>
      <c r="G12" s="1054" t="s">
        <v>125</v>
      </c>
      <c r="H12" s="1054"/>
      <c r="I12" s="1054" t="s">
        <v>126</v>
      </c>
      <c r="J12" s="1054"/>
      <c r="K12" s="1054"/>
      <c r="L12" s="1054" t="s">
        <v>127</v>
      </c>
      <c r="M12" s="1054"/>
      <c r="N12" s="1054"/>
      <c r="O12" s="1054"/>
      <c r="P12" s="1054"/>
      <c r="Q12" s="1054"/>
      <c r="R12" s="1054"/>
      <c r="S12" s="1054"/>
      <c r="T12" s="1054"/>
      <c r="U12" s="1055"/>
      <c r="V12" s="1055"/>
      <c r="W12" s="1055"/>
      <c r="X12" s="1055"/>
      <c r="Y12" s="1055"/>
      <c r="Z12" s="1055"/>
    </row>
    <row r="13" spans="1:26">
      <c r="A13" s="1138"/>
      <c r="C13" s="1054" t="s">
        <v>11</v>
      </c>
      <c r="D13" s="1054"/>
      <c r="E13" s="1054" t="s">
        <v>128</v>
      </c>
      <c r="F13" s="1054" t="s">
        <v>13</v>
      </c>
      <c r="G13" s="1054" t="s">
        <v>19</v>
      </c>
      <c r="H13" s="1054"/>
      <c r="I13" s="1054" t="s">
        <v>15</v>
      </c>
      <c r="J13" s="1054" t="s">
        <v>14</v>
      </c>
      <c r="K13" s="1054" t="s">
        <v>20</v>
      </c>
      <c r="L13" s="1054" t="s">
        <v>21</v>
      </c>
      <c r="M13" s="1054"/>
      <c r="N13" s="1054" t="s">
        <v>22</v>
      </c>
      <c r="O13" s="1054"/>
      <c r="P13" s="1054"/>
      <c r="Q13" s="1054"/>
      <c r="R13" s="1054"/>
      <c r="S13" s="1054"/>
      <c r="T13" s="1054"/>
      <c r="U13" s="1055"/>
      <c r="V13" s="1055"/>
      <c r="W13" s="1055"/>
      <c r="X13" s="1055"/>
      <c r="Y13" s="1055"/>
      <c r="Z13" s="1055"/>
    </row>
    <row r="14" spans="1:26" ht="15.75">
      <c r="A14" s="1138"/>
      <c r="B14" s="271" t="s">
        <v>9</v>
      </c>
      <c r="C14" s="1054" t="s">
        <v>24</v>
      </c>
      <c r="D14" s="1054" t="s">
        <v>25</v>
      </c>
      <c r="E14" s="1054" t="s">
        <v>26</v>
      </c>
      <c r="F14" s="1054" t="s">
        <v>27</v>
      </c>
      <c r="G14" s="1054" t="s">
        <v>33</v>
      </c>
      <c r="H14" s="1054" t="s">
        <v>123</v>
      </c>
      <c r="I14" s="1054" t="s">
        <v>30</v>
      </c>
      <c r="J14" s="1054" t="s">
        <v>122</v>
      </c>
      <c r="K14" s="1054" t="s">
        <v>122</v>
      </c>
      <c r="L14" s="1054" t="s">
        <v>130</v>
      </c>
      <c r="M14" s="1054" t="s">
        <v>40</v>
      </c>
      <c r="N14" s="1054" t="s">
        <v>38</v>
      </c>
      <c r="O14" s="1054" t="s">
        <v>39</v>
      </c>
      <c r="P14" s="1054" t="s">
        <v>40</v>
      </c>
      <c r="Q14" s="1054"/>
      <c r="R14" s="1054"/>
      <c r="S14" s="1054"/>
      <c r="T14" s="1054"/>
      <c r="U14" s="1055"/>
      <c r="V14" s="1055"/>
      <c r="W14" s="1055"/>
      <c r="X14" s="1055"/>
      <c r="Y14" s="1055"/>
      <c r="Z14" s="1055"/>
    </row>
    <row r="15" spans="1:26">
      <c r="B15" s="282" t="s">
        <v>10</v>
      </c>
      <c r="C15" s="45" t="s">
        <v>11</v>
      </c>
      <c r="D15" s="45" t="s">
        <v>11</v>
      </c>
      <c r="E15" s="45" t="s">
        <v>12</v>
      </c>
      <c r="F15" s="45" t="s">
        <v>13</v>
      </c>
      <c r="G15" s="45" t="s">
        <v>19</v>
      </c>
      <c r="H15" s="45" t="s">
        <v>19</v>
      </c>
      <c r="I15" s="45" t="s">
        <v>15</v>
      </c>
      <c r="J15" s="45" t="s">
        <v>14</v>
      </c>
      <c r="K15" s="45" t="s">
        <v>20</v>
      </c>
      <c r="L15" s="45" t="s">
        <v>21</v>
      </c>
      <c r="M15" s="45" t="s">
        <v>21</v>
      </c>
      <c r="N15" s="45" t="s">
        <v>22</v>
      </c>
      <c r="O15" s="45" t="s">
        <v>22</v>
      </c>
      <c r="P15" s="45" t="s">
        <v>22</v>
      </c>
      <c r="Q15" s="45"/>
      <c r="R15" s="45"/>
      <c r="S15" s="45"/>
      <c r="T15" s="45"/>
      <c r="U15" s="45"/>
      <c r="V15" s="45"/>
      <c r="W15" s="45"/>
      <c r="X15" s="45"/>
      <c r="Y15" s="45"/>
      <c r="Z15" s="45"/>
    </row>
    <row r="16" spans="1:26">
      <c r="B16" s="278" t="s">
        <v>23</v>
      </c>
      <c r="C16" s="45" t="s">
        <v>24</v>
      </c>
      <c r="D16" s="45" t="s">
        <v>25</v>
      </c>
      <c r="E16" s="45" t="s">
        <v>26</v>
      </c>
      <c r="F16" s="45" t="s">
        <v>27</v>
      </c>
      <c r="G16" s="45" t="s">
        <v>33</v>
      </c>
      <c r="H16" s="45" t="s">
        <v>34</v>
      </c>
      <c r="I16" s="45" t="s">
        <v>29</v>
      </c>
      <c r="J16" s="45" t="s">
        <v>28</v>
      </c>
      <c r="K16" s="45" t="s">
        <v>122</v>
      </c>
      <c r="L16" s="45" t="s">
        <v>36</v>
      </c>
      <c r="M16" s="45" t="s">
        <v>37</v>
      </c>
      <c r="N16" s="45" t="s">
        <v>38</v>
      </c>
      <c r="O16" s="45" t="s">
        <v>39</v>
      </c>
      <c r="P16" s="45" t="s">
        <v>40</v>
      </c>
      <c r="Q16" s="45"/>
      <c r="R16" s="45"/>
      <c r="S16" s="45"/>
      <c r="T16" s="45"/>
      <c r="U16" s="45"/>
      <c r="V16" s="45"/>
      <c r="W16" s="45"/>
      <c r="X16" s="45"/>
      <c r="Y16" s="45"/>
      <c r="Z16" s="45"/>
    </row>
    <row r="17" spans="2:26">
      <c r="B17" s="278" t="s">
        <v>41</v>
      </c>
      <c r="C17" s="45">
        <v>2030</v>
      </c>
      <c r="D17" s="45">
        <v>2030</v>
      </c>
      <c r="E17" s="45">
        <v>2030</v>
      </c>
      <c r="F17" s="45">
        <v>2030</v>
      </c>
      <c r="G17" s="45">
        <v>2030</v>
      </c>
      <c r="H17" s="45">
        <v>2030</v>
      </c>
      <c r="I17" s="45">
        <v>2030</v>
      </c>
      <c r="J17" s="45">
        <v>2030</v>
      </c>
      <c r="K17" s="45">
        <v>2030</v>
      </c>
      <c r="L17" s="45">
        <v>2030</v>
      </c>
      <c r="M17" s="45">
        <v>2030</v>
      </c>
      <c r="N17" s="45">
        <v>2030</v>
      </c>
      <c r="O17" s="45">
        <v>2030</v>
      </c>
      <c r="P17" s="45">
        <v>2030</v>
      </c>
      <c r="Q17" s="45"/>
      <c r="R17" s="45"/>
      <c r="S17" s="45"/>
      <c r="T17" s="45"/>
      <c r="U17" s="45"/>
      <c r="V17" s="45"/>
      <c r="W17" s="45"/>
      <c r="X17" s="45"/>
      <c r="Y17" s="45"/>
      <c r="Z17" s="45"/>
    </row>
    <row r="18" spans="2:26" ht="15.75" thickBot="1">
      <c r="B18" s="278" t="s">
        <v>42</v>
      </c>
      <c r="C18" s="61">
        <f>IF(C15="","",SUMIFS('Background (from TC)'!$P$4:$P$1048576,'Background (from TC)'!$D$4:$D$1048576,C$15,'Background (from TC)'!$E$4:$E$1048576,C$16,'Background (from TC)'!$O$4:$O$1048576,C$17))</f>
        <v>30</v>
      </c>
      <c r="D18" s="61">
        <f>IF(D15="","",SUMIFS('Background (from TC)'!$P$4:$P$1048576,'Background (from TC)'!$D$4:$D$1048576,D$15,'Background (from TC)'!$E$4:$E$1048576,D$16,'Background (from TC)'!$O$4:$O$1048576,D$17))</f>
        <v>30</v>
      </c>
      <c r="E18" s="61">
        <f>IF(E15="","",SUMIFS('Background (from TC)'!$P$4:$P$1048576,'Background (from TC)'!$D$4:$D$1048576,E$15,'Background (from TC)'!$E$4:$E$1048576,E$16,'Background (from TC)'!$O$4:$O$1048576,E$17))</f>
        <v>25</v>
      </c>
      <c r="F18" s="61">
        <f>IF(F15="","",SUMIFS('Background (from TC)'!$P$4:$P$1048576,'Background (from TC)'!$D$4:$D$1048576,F$15,'Background (from TC)'!$E$4:$E$1048576,F$16,'Background (from TC)'!$O$4:$O$1048576,F$17))</f>
        <v>25</v>
      </c>
      <c r="G18" s="61">
        <f>IF(G15="","",SUMIFS('Background (from TC)'!$P$4:$P$1048576,'Background (from TC)'!$D$4:$D$1048576,G$15,'Background (from TC)'!$E$4:$E$1048576,G$16,'Background (from TC)'!$O$4:$O$1048576,G$17))</f>
        <v>60</v>
      </c>
      <c r="H18" s="61">
        <f>IF(H15="","",SUMIFS('Background (from TC)'!$P$4:$P$1048576,'Background (from TC)'!$D$4:$D$1048576,H$15,'Background (from TC)'!$E$4:$E$1048576,H$16,'Background (from TC)'!$O$4:$O$1048576,H$17))</f>
        <v>40</v>
      </c>
      <c r="I18" s="61">
        <f>IF(I15="","",SUMIFS('Background (from TC)'!$P$4:$P$1048576,'Background (from TC)'!$D$4:$D$1048576,I$15,'Background (from TC)'!$E$4:$E$1048576,I$16,'Background (from TC)'!$O$4:$O$1048576,I$17))</f>
        <v>25</v>
      </c>
      <c r="J18" s="61">
        <f>IF(J15="","",SUMIFS('Background (from TC)'!$P$4:$P$1048576,'Background (from TC)'!$D$4:$D$1048576,J$15,'Background (from TC)'!$E$4:$E$1048576,J$16,'Background (from TC)'!$O$4:$O$1048576,J$17))</f>
        <v>30</v>
      </c>
      <c r="K18" s="61">
        <f>IF(K15="","",SUMIFS('Background (from TC)'!$P$4:$P$1048576,'Background (from TC)'!$D$4:$D$1048576,K$15,'Background (from TC)'!$E$4:$E$1048576,K$16,'Background (from TC)'!$O$4:$O$1048576,K$17))</f>
        <v>50</v>
      </c>
      <c r="L18" s="61">
        <f>IF(L15="","",SUMIFS('Background (from TC)'!$P$4:$P$1048576,'Background (from TC)'!$D$4:$D$1048576,L$15,'Background (from TC)'!$E$4:$E$1048576,L$16,'Background (from TC)'!$O$4:$O$1048576,L$17))</f>
        <v>30</v>
      </c>
      <c r="M18" s="61">
        <f>IF(M15="","",SUMIFS('Background (from TC)'!$P$4:$P$1048576,'Background (from TC)'!$D$4:$D$1048576,M$15,'Background (from TC)'!$E$4:$E$1048576,M$16,'Background (from TC)'!$O$4:$O$1048576,M$17))</f>
        <v>30</v>
      </c>
      <c r="N18" s="61">
        <f>IF(N15="","",SUMIFS('Background (from TC)'!$P$4:$P$1048576,'Background (from TC)'!$D$4:$D$1048576,N$15,'Background (from TC)'!$E$4:$E$1048576,N$16,'Background (from TC)'!$O$4:$O$1048576,N$17))</f>
        <v>30</v>
      </c>
      <c r="O18" s="61">
        <f>IF(O15="","",SUMIFS('Background (from TC)'!$P$4:$P$1048576,'Background (from TC)'!$D$4:$D$1048576,O$15,'Background (from TC)'!$E$4:$E$1048576,O$16,'Background (from TC)'!$O$4:$O$1048576,O$17))</f>
        <v>30</v>
      </c>
      <c r="P18" s="61">
        <f>IF(P15="","",SUMIFS('Background (from TC)'!$P$4:$P$1048576,'Background (from TC)'!$D$4:$D$1048576,P$15,'Background (from TC)'!$E$4:$E$1048576,P$16,'Background (from TC)'!$O$4:$O$1048576,P$17))</f>
        <v>25</v>
      </c>
      <c r="Q18" s="61" t="str">
        <f>IF(Q15="","",SUMIFS('Background (from TC)'!$P$4:$P$1048576,'Background (from TC)'!$D$4:$D$1048576,Q$15,'Background (from TC)'!$E$4:$E$1048576,Q$16,'Background (from TC)'!$O$4:$O$1048576,Q$17))</f>
        <v/>
      </c>
      <c r="R18" s="61" t="str">
        <f>IF(R15="","",SUMIFS('Background (from TC)'!$P$4:$P$1048576,'Background (from TC)'!$D$4:$D$1048576,R$15,'Background (from TC)'!$E$4:$E$1048576,R$16,'Background (from TC)'!$O$4:$O$1048576,R$17))</f>
        <v/>
      </c>
      <c r="S18" s="61" t="str">
        <f>IF(S15="","",SUMIFS('Background (from TC)'!$P$4:$P$1048576,'Background (from TC)'!$D$4:$D$1048576,S$15,'Background (from TC)'!$E$4:$E$1048576,S$16,'Background (from TC)'!$O$4:$O$1048576,S$17))</f>
        <v/>
      </c>
      <c r="T18" s="61" t="str">
        <f>IF(T15="","",SUMIFS('Background (from TC)'!$P$4:$P$1048576,'Background (from TC)'!$D$4:$D$1048576,T$15,'Background (from TC)'!$E$4:$E$1048576,T$16,'Background (from TC)'!$O$4:$O$1048576,T$17))</f>
        <v/>
      </c>
      <c r="U18" s="61" t="str">
        <f>IF(U15="","",SUMIFS('Background (from TC)'!$P$4:$P$1048576,'Background (from TC)'!$D$4:$D$1048576,U$15,'Background (from TC)'!$E$4:$E$1048576,U$16,'Background (from TC)'!$O$4:$O$1048576,U$17))</f>
        <v/>
      </c>
      <c r="V18" s="61" t="str">
        <f>IF(V15="","",SUMIFS('Background (from TC)'!$P$4:$P$1048576,'Background (from TC)'!$D$4:$D$1048576,V$15,'Background (from TC)'!$E$4:$E$1048576,V$16,'Background (from TC)'!$O$4:$O$1048576,V$17))</f>
        <v/>
      </c>
      <c r="W18" s="61" t="str">
        <f>IF(W15="","",SUMIFS('Background (from TC)'!$P$4:$P$1048576,'Background (from TC)'!$D$4:$D$1048576,W$15,'Background (from TC)'!$E$4:$E$1048576,W$16,'Background (from TC)'!$O$4:$O$1048576,W$17))</f>
        <v/>
      </c>
      <c r="X18" s="61" t="str">
        <f>IF(X15="","",SUMIFS('Background (from TC)'!$P$4:$P$1048576,'Background (from TC)'!$D$4:$D$1048576,X$15,'Background (from TC)'!$E$4:$E$1048576,X$16,'Background (from TC)'!$O$4:$O$1048576,X$17))</f>
        <v/>
      </c>
      <c r="Y18" s="61" t="str">
        <f>IF(Y15="","",SUMIFS('Background (from TC)'!$P$4:$P$1048576,'Background (from TC)'!$D$4:$D$1048576,Y$15,'Background (from TC)'!$E$4:$E$1048576,Y$16,'Background (from TC)'!$O$4:$O$1048576,Y$17))</f>
        <v/>
      </c>
      <c r="Z18" s="61" t="str">
        <f>IF(Z15="","",SUMIFS('Background (from TC)'!$P$4:$P$1048576,'Background (from TC)'!$D$4:$D$1048576,Z$15,'Background (from TC)'!$E$4:$E$1048576,Z$16,'Background (from TC)'!$O$4:$O$1048576,Z$17))</f>
        <v/>
      </c>
    </row>
    <row r="19" spans="2:26" ht="15.75" thickBot="1">
      <c r="B19" s="273" t="s">
        <v>43</v>
      </c>
      <c r="C19" s="59" t="str">
        <f>IF(C16="","",IF(C18=0,"Technology unavailable in this year. Please revise",IF(INDEX('Background (from TC)'!$D:$D,MATCH(C16,'Background (from TC)'!$E:$E,0))=C15,"","Incompatible combination of Fuel and Technology")))</f>
        <v/>
      </c>
      <c r="D19" s="59" t="str">
        <f>IF(D16="","",IF(D18=0,"Technology unavailable in this year. Please revise",IF(INDEX('Background (from TC)'!$D:$D,MATCH(D16,'Background (from TC)'!$E:$E,0))=D15,"","Incompatible combination of Fuel and Technology")))</f>
        <v/>
      </c>
      <c r="E19" s="59" t="str">
        <f>IF(E16="","",IF(E18=0,"Technology unavailable in this year. Please revise",IF(INDEX('Background (from TC)'!$D:$D,MATCH(E16,'Background (from TC)'!$E:$E,0))=E15,"","Incompatible combination of Fuel and Technology")))</f>
        <v/>
      </c>
      <c r="F19" s="59" t="str">
        <f>IF(F16="","",IF(F18=0,"Technology unavailable in this year. Please revise",IF(INDEX('Background (from TC)'!$D:$D,MATCH(F16,'Background (from TC)'!$E:$E,0))=F15,"","Incompatible combination of Fuel and Technology")))</f>
        <v/>
      </c>
      <c r="G19" s="59" t="str">
        <f>IF(G16="","",IF(G18=0,"Technology unavailable in this year. Please revise",IF(INDEX('Background (from TC)'!$D:$D,MATCH(G16,'Background (from TC)'!$E:$E,0))=G15,"","Incompatible combination of Fuel and Technology")))</f>
        <v/>
      </c>
      <c r="H19" s="59" t="str">
        <f>IF(H16="","",IF(H18=0,"Technology unavailable in this year. Please revise",IF(INDEX('Background (from TC)'!$D:$D,MATCH(H16,'Background (from TC)'!$E:$E,0))=H15,"","Incompatible combination of Fuel and Technology")))</f>
        <v/>
      </c>
      <c r="I19" s="59" t="str">
        <f>IF(I16="","",IF(I18=0,"Technology unavailable in this year. Please revise",IF(INDEX('Background (from TC)'!$D:$D,MATCH(I16,'Background (from TC)'!$E:$E,0))=I15,"","Incompatible combination of Fuel and Technology")))</f>
        <v/>
      </c>
      <c r="J19" s="59" t="str">
        <f>IF(J16="","",IF(J18=0,"Technology unavailable in this year. Please revise",IF(INDEX('Background (from TC)'!$D:$D,MATCH(J16,'Background (from TC)'!$E:$E,0))=J15,"","Incompatible combination of Fuel and Technology")))</f>
        <v/>
      </c>
      <c r="K19" s="59" t="str">
        <f>IF(K16="","",IF(K18=0,"Technology unavailable in this year. Please revise",IF(INDEX('Background (from TC)'!$D:$D,MATCH(K16,'Background (from TC)'!$E:$E,0))=K15,"","Incompatible combination of Fuel and Technology")))</f>
        <v/>
      </c>
      <c r="L19" s="59" t="str">
        <f>IF(L16="","",IF(L18=0,"Technology unavailable in this year. Please revise",IF(INDEX('Background (from TC)'!$D:$D,MATCH(L16,'Background (from TC)'!$E:$E,0))=L15,"","Incompatible combination of Fuel and Technology")))</f>
        <v/>
      </c>
      <c r="M19" s="59" t="str">
        <f>IF(M16="","",IF(M18=0,"Technology unavailable in this year. Please revise",IF(INDEX('Background (from TC)'!$D:$D,MATCH(M16,'Background (from TC)'!$E:$E,0))=M15,"","Incompatible combination of Fuel and Technology")))</f>
        <v/>
      </c>
      <c r="N19" s="59" t="str">
        <f>IF(N16="","",IF(N18=0,"Technology unavailable in this year. Please revise",IF(INDEX('Background (from TC)'!$D:$D,MATCH(N16,'Background (from TC)'!$E:$E,0))=N15,"","Incompatible combination of Fuel and Technology")))</f>
        <v/>
      </c>
      <c r="O19" s="59" t="str">
        <f>IF(O16="","",IF(O18=0,"Technology unavailable in this year. Please revise",IF(INDEX('Background (from TC)'!$D:$D,MATCH(O16,'Background (from TC)'!$E:$E,0))=O15,"","Incompatible combination of Fuel and Technology")))</f>
        <v/>
      </c>
      <c r="P19" s="59" t="str">
        <f>IF(P16="","",IF(P18=0,"Technology unavailable in this year. Please revise",IF(INDEX('Background (from TC)'!$D:$D,MATCH(P16,'Background (from TC)'!$E:$E,0))=P15,"","Incompatible combination of Fuel and Technology")))</f>
        <v/>
      </c>
      <c r="Q19" s="59" t="str">
        <f>IF(Q16="","",IF(Q18=0,"Technology unavailable in this year. Please revise",IF(INDEX('Background (from TC)'!$D:$D,MATCH(Q16,'Background (from TC)'!$E:$E,0))=Q15,"","Incompatible combination of Fuel and Technology")))</f>
        <v/>
      </c>
      <c r="R19" s="59" t="str">
        <f>IF(R16="","",IF(R18=0,"Technology unavailable in this year. Please revise",IF(INDEX('Background (from TC)'!$D:$D,MATCH(R16,'Background (from TC)'!$E:$E,0))=R15,"","Incompatible combination of Fuel and Technology")))</f>
        <v/>
      </c>
      <c r="S19" s="59" t="str">
        <f>IF(S16="","",IF(S18=0,"Technology unavailable in this year. Please revise",IF(INDEX('Background (from TC)'!$D:$D,MATCH(S16,'Background (from TC)'!$E:$E,0))=S15,"","Incompatible combination of Fuel and Technology")))</f>
        <v/>
      </c>
      <c r="T19" s="59" t="str">
        <f>IF(T16="","",IF(T18=0,"Technology unavailable in this year. Please revise",IF(INDEX('Background (from TC)'!$D:$D,MATCH(T16,'Background (from TC)'!$E:$E,0))=T15,"","Incompatible combination of Fuel and Technology")))</f>
        <v/>
      </c>
      <c r="U19" s="59" t="str">
        <f>IF(U16="","",IF(U18=0,"Technology unavailable in this year. Please revise",IF(INDEX('Background (from TC)'!$D:$D,MATCH(U16,'Background (from TC)'!$E:$E,0))=U15,"","Incompatible combination of Fuel and Technology")))</f>
        <v/>
      </c>
      <c r="V19" s="59" t="str">
        <f>IF(V16="","",IF(V18=0,"Technology unavailable in this year. Please revise",IF(INDEX('Background (from TC)'!$D:$D,MATCH(V16,'Background (from TC)'!$E:$E,0))=V15,"","Incompatible combination of Fuel and Technology")))</f>
        <v/>
      </c>
      <c r="W19" s="59" t="str">
        <f>IF(W16="","",IF(W18=0,"Technology unavailable in this year. Please revise",IF(INDEX('Background (from TC)'!$D:$D,MATCH(W16,'Background (from TC)'!$E:$E,0))=W15,"","Incompatible combination of Fuel and Technology")))</f>
        <v/>
      </c>
      <c r="X19" s="59" t="str">
        <f>IF(X16="","",IF(X18=0,"Technology unavailable in this year. Please revise",IF(INDEX('Background (from TC)'!$D:$D,MATCH(X16,'Background (from TC)'!$E:$E,0))=X15,"","Incompatible combination of Fuel and Technology")))</f>
        <v/>
      </c>
      <c r="Y19" s="59" t="str">
        <f>IF(Y16="","",IF(Y18=0,"Technology unavailable in this year. Please revise",IF(INDEX('Background (from TC)'!$D:$D,MATCH(Y16,'Background (from TC)'!$E:$E,0))=Y15,"","Incompatible combination of Fuel and Technology")))</f>
        <v/>
      </c>
      <c r="Z19" s="59" t="str">
        <f>IF(Z16="","",IF(Z18=0,"Technology unavailable in this year. Please revise",IF(INDEX('Background (from TC)'!$D:$D,MATCH(Z16,'Background (from TC)'!$E:$E,0))=Z15,"","Incompatible combination of Fuel and Technology")))</f>
        <v/>
      </c>
    </row>
    <row r="20" spans="2:26">
      <c r="F20"/>
      <c r="G20"/>
      <c r="H20"/>
      <c r="I20"/>
      <c r="J20"/>
      <c r="K20"/>
      <c r="L20"/>
      <c r="M20"/>
      <c r="N20"/>
      <c r="O20"/>
      <c r="P20"/>
      <c r="Q20"/>
      <c r="R20"/>
      <c r="S20"/>
      <c r="T20"/>
      <c r="U20"/>
      <c r="V20"/>
      <c r="W20"/>
      <c r="X20"/>
      <c r="Y20"/>
      <c r="Z20"/>
    </row>
    <row r="21" spans="2:26" ht="15.75">
      <c r="B21" s="271" t="s">
        <v>44</v>
      </c>
      <c r="C21" s="19"/>
      <c r="D21" s="19"/>
      <c r="E21" s="19"/>
    </row>
    <row r="22" spans="2:26">
      <c r="B22" s="282" t="s">
        <v>45</v>
      </c>
      <c r="C22" s="44" t="s">
        <v>46</v>
      </c>
      <c r="D22" s="44" t="s">
        <v>46</v>
      </c>
      <c r="E22" s="44" t="s">
        <v>46</v>
      </c>
      <c r="F22" s="44" t="s">
        <v>46</v>
      </c>
      <c r="G22" s="44" t="s">
        <v>46</v>
      </c>
      <c r="H22" s="44" t="s">
        <v>46</v>
      </c>
      <c r="I22" s="44" t="s">
        <v>46</v>
      </c>
      <c r="J22" s="44" t="s">
        <v>46</v>
      </c>
      <c r="K22" s="44" t="s">
        <v>46</v>
      </c>
      <c r="L22" s="44" t="s">
        <v>46</v>
      </c>
      <c r="M22" s="44" t="s">
        <v>46</v>
      </c>
      <c r="N22" s="44" t="s">
        <v>46</v>
      </c>
      <c r="O22" s="44" t="s">
        <v>46</v>
      </c>
      <c r="P22" s="44" t="s">
        <v>46</v>
      </c>
      <c r="Q22" s="44"/>
      <c r="R22" s="44"/>
      <c r="S22" s="44"/>
      <c r="T22" s="44"/>
      <c r="U22" s="44"/>
      <c r="V22" s="44"/>
      <c r="W22" s="44"/>
      <c r="X22" s="44"/>
      <c r="Y22" s="44"/>
      <c r="Z22" s="44"/>
    </row>
    <row r="23" spans="2:26">
      <c r="B23" s="278" t="s">
        <v>47</v>
      </c>
      <c r="C23" s="41"/>
      <c r="D23" s="42">
        <v>0.08</v>
      </c>
      <c r="E23" s="19"/>
      <c r="H23" s="42">
        <v>0.1</v>
      </c>
    </row>
    <row r="24" spans="2:26">
      <c r="B24" s="278" t="s">
        <v>48</v>
      </c>
      <c r="C24" s="42">
        <f>IF(C22="","",IF(C22="User defined",C23,SUMIFS('Background (from TC)'!$AE$4:$AE$1048576,'Background (from TC)'!$D$4:$D$1048576,C$15,'Background (from TC)'!$E$4:$E$1048576,C$16,'Background (from TC)'!$O$4:$O$1048576,C$17)))</f>
        <v>0.1</v>
      </c>
      <c r="D24" s="42">
        <f>IF(D22="","",IF(D22="User defined",D23,SUMIFS('Background (from TC)'!$AE$4:$AE$1048576,'Background (from TC)'!$D$4:$D$1048576,D$15,'Background (from TC)'!$E$4:$E$1048576,D$16,'Background (from TC)'!$O$4:$O$1048576,D$17)))</f>
        <v>0.1</v>
      </c>
      <c r="E24" s="42">
        <f>IF(E22="","",IF(E22="User defined",E23,SUMIFS('Background (from TC)'!$AE$4:$AE$1048576,'Background (from TC)'!$D$4:$D$1048576,E$15,'Background (from TC)'!$E$4:$E$1048576,E$16,'Background (from TC)'!$O$4:$O$1048576,E$17)))</f>
        <v>0.1</v>
      </c>
      <c r="F24" s="42">
        <f>IF(F22="","",IF(F22="User defined",F23,SUMIFS('Background (from TC)'!$AE$4:$AE$1048576,'Background (from TC)'!$D$4:$D$1048576,F$15,'Background (from TC)'!$E$4:$E$1048576,F$16,'Background (from TC)'!$O$4:$O$1048576,F$17)))</f>
        <v>0.1</v>
      </c>
      <c r="G24" s="42">
        <f>IF(G22="","",IF(G22="User defined",G23,SUMIFS('Background (from TC)'!$AE$4:$AE$1048576,'Background (from TC)'!$D$4:$D$1048576,G$15,'Background (from TC)'!$E$4:$E$1048576,G$16,'Background (from TC)'!$O$4:$O$1048576,G$17)))</f>
        <v>0.1</v>
      </c>
      <c r="H24" s="42">
        <f>IF(H22="","",IF(H22="User defined",H23,SUMIFS('Background (from TC)'!$AE$4:$AE$1048576,'Background (from TC)'!$D$4:$D$1048576,H$15,'Background (from TC)'!$E$4:$E$1048576,H$16,'Background (from TC)'!$O$4:$O$1048576,H$17)))</f>
        <v>0.1</v>
      </c>
      <c r="I24" s="42">
        <f>IF(I22="","",IF(I22="User defined",I23,SUMIFS('Background (from TC)'!$AE$4:$AE$1048576,'Background (from TC)'!$D$4:$D$1048576,I$15,'Background (from TC)'!$E$4:$E$1048576,I$16,'Background (from TC)'!$O$4:$O$1048576,I$17)))</f>
        <v>0.1</v>
      </c>
      <c r="J24" s="42">
        <f>IF(J22="","",IF(J22="User defined",J23,SUMIFS('Background (from TC)'!$AE$4:$AE$1048576,'Background (from TC)'!$D$4:$D$1048576,J$15,'Background (from TC)'!$E$4:$E$1048576,J$16,'Background (from TC)'!$O$4:$O$1048576,J$17)))</f>
        <v>0.1</v>
      </c>
      <c r="K24" s="42">
        <f>IF(K22="","",IF(K22="User defined",K23,SUMIFS('Background (from TC)'!$AE$4:$AE$1048576,'Background (from TC)'!$D$4:$D$1048576,K$15,'Background (from TC)'!$E$4:$E$1048576,K$16,'Background (from TC)'!$O$4:$O$1048576,K$17)))</f>
        <v>0.1</v>
      </c>
      <c r="L24" s="42">
        <f>IF(L22="","",IF(L22="User defined",L23,SUMIFS('Background (from TC)'!$AE$4:$AE$1048576,'Background (from TC)'!$D$4:$D$1048576,L$15,'Background (from TC)'!$E$4:$E$1048576,L$16,'Background (from TC)'!$O$4:$O$1048576,L$17)))</f>
        <v>0.1</v>
      </c>
      <c r="M24" s="42">
        <f>IF(M22="","",IF(M22="User defined",M23,SUMIFS('Background (from TC)'!$AE$4:$AE$1048576,'Background (from TC)'!$D$4:$D$1048576,M$15,'Background (from TC)'!$E$4:$E$1048576,M$16,'Background (from TC)'!$O$4:$O$1048576,M$17)))</f>
        <v>0.1</v>
      </c>
      <c r="N24" s="42">
        <f>IF(N22="","",IF(N22="User defined",N23,SUMIFS('Background (from TC)'!$AE$4:$AE$1048576,'Background (from TC)'!$D$4:$D$1048576,N$15,'Background (from TC)'!$E$4:$E$1048576,N$16,'Background (from TC)'!$O$4:$O$1048576,N$17)))</f>
        <v>0.1</v>
      </c>
      <c r="O24" s="42">
        <f>IF(O22="","",IF(O22="User defined",O23,SUMIFS('Background (from TC)'!$AE$4:$AE$1048576,'Background (from TC)'!$D$4:$D$1048576,O$15,'Background (from TC)'!$E$4:$E$1048576,O$16,'Background (from TC)'!$O$4:$O$1048576,O$17)))</f>
        <v>0.1</v>
      </c>
      <c r="P24" s="42">
        <f>IF(P22="","",IF(P22="User defined",P23,SUMIFS('Background (from TC)'!$AE$4:$AE$1048576,'Background (from TC)'!$D$4:$D$1048576,P$15,'Background (from TC)'!$E$4:$E$1048576,P$16,'Background (from TC)'!$O$4:$O$1048576,P$17)))</f>
        <v>0.1</v>
      </c>
      <c r="Q24" s="42" t="str">
        <f>IF(Q22="","",IF(Q22="User defined",Q23,SUMIFS('Background (from TC)'!$AE$4:$AE$1048576,'Background (from TC)'!$D$4:$D$1048576,Q$15,'Background (from TC)'!$E$4:$E$1048576,Q$16,'Background (from TC)'!$O$4:$O$1048576,Q$17)))</f>
        <v/>
      </c>
      <c r="R24" s="42" t="str">
        <f>IF(R22="","",IF(R22="User defined",R23,SUMIFS('Background (from TC)'!$AE$4:$AE$1048576,'Background (from TC)'!$D$4:$D$1048576,R$15,'Background (from TC)'!$E$4:$E$1048576,R$16,'Background (from TC)'!$O$4:$O$1048576,R$17)))</f>
        <v/>
      </c>
      <c r="S24" s="42" t="str">
        <f>IF(S22="","",IF(S22="User defined",S23,SUMIFS('Background (from TC)'!$AE$4:$AE$1048576,'Background (from TC)'!$D$4:$D$1048576,S$15,'Background (from TC)'!$E$4:$E$1048576,S$16,'Background (from TC)'!$O$4:$O$1048576,S$17)))</f>
        <v/>
      </c>
      <c r="T24" s="42" t="str">
        <f>IF(T22="","",IF(T22="User defined",T23,SUMIFS('Background (from TC)'!$AE$4:$AE$1048576,'Background (from TC)'!$D$4:$D$1048576,T$15,'Background (from TC)'!$E$4:$E$1048576,T$16,'Background (from TC)'!$O$4:$O$1048576,T$17)))</f>
        <v/>
      </c>
      <c r="U24" s="42" t="str">
        <f>IF(U22="","",IF(U22="User defined",U23,SUMIFS('Background (from TC)'!$AE$4:$AE$1048576,'Background (from TC)'!$D$4:$D$1048576,U$15,'Background (from TC)'!$E$4:$E$1048576,U$16,'Background (from TC)'!$O$4:$O$1048576,U$17)))</f>
        <v/>
      </c>
      <c r="V24" s="42" t="str">
        <f>IF(V22="","",IF(V22="User defined",V23,SUMIFS('Background (from TC)'!$AE$4:$AE$1048576,'Background (from TC)'!$D$4:$D$1048576,V$15,'Background (from TC)'!$E$4:$E$1048576,V$16,'Background (from TC)'!$O$4:$O$1048576,V$17)))</f>
        <v/>
      </c>
      <c r="W24" s="42" t="str">
        <f>IF(W22="","",IF(W22="User defined",W23,SUMIFS('Background (from TC)'!$AE$4:$AE$1048576,'Background (from TC)'!$D$4:$D$1048576,W$15,'Background (from TC)'!$E$4:$E$1048576,W$16,'Background (from TC)'!$O$4:$O$1048576,W$17)))</f>
        <v/>
      </c>
      <c r="X24" s="42" t="str">
        <f>IF(X22="","",IF(X22="User defined",X23,SUMIFS('Background (from TC)'!$AE$4:$AE$1048576,'Background (from TC)'!$D$4:$D$1048576,X$15,'Background (from TC)'!$E$4:$E$1048576,X$16,'Background (from TC)'!$O$4:$O$1048576,X$17)))</f>
        <v/>
      </c>
      <c r="Y24" s="42" t="str">
        <f>IF(Y22="","",IF(Y22="User defined",Y23,SUMIFS('Background (from TC)'!$AE$4:$AE$1048576,'Background (from TC)'!$D$4:$D$1048576,Y$15,'Background (from TC)'!$E$4:$E$1048576,Y$16,'Background (from TC)'!$O$4:$O$1048576,Y$17)))</f>
        <v/>
      </c>
      <c r="Z24" s="42" t="str">
        <f>IF(Z22="","",IF(Z22="User defined",Z23,SUMIFS('Background (from TC)'!$AE$4:$AE$1048576,'Background (from TC)'!$D$4:$D$1048576,Z$15,'Background (from TC)'!$E$4:$E$1048576,Z$16,'Background (from TC)'!$O$4:$O$1048576,Z$17)))</f>
        <v/>
      </c>
    </row>
    <row r="25" spans="2:26" ht="15.75" thickBot="1">
      <c r="B25" s="278" t="s">
        <v>49</v>
      </c>
      <c r="C25" s="41">
        <f>IF(C22="","",-PMT(C24,C$18,1))</f>
        <v>0.10607924825263391</v>
      </c>
      <c r="D25" s="41">
        <f t="shared" ref="D25:Z25" si="0">IF(D22="","",-PMT(D24,D$18,1))</f>
        <v>0.10607924825263391</v>
      </c>
      <c r="E25" s="41">
        <f t="shared" si="0"/>
        <v>0.11016807219002085</v>
      </c>
      <c r="F25" s="41">
        <f t="shared" si="0"/>
        <v>0.11016807219002085</v>
      </c>
      <c r="G25" s="41">
        <f t="shared" si="0"/>
        <v>0.10032950922550408</v>
      </c>
      <c r="H25" s="41">
        <f t="shared" si="0"/>
        <v>0.1022594144143695</v>
      </c>
      <c r="I25" s="41">
        <f t="shared" si="0"/>
        <v>0.11016807219002085</v>
      </c>
      <c r="J25" s="41">
        <f t="shared" si="0"/>
        <v>0.10607924825263391</v>
      </c>
      <c r="K25" s="41">
        <f t="shared" si="0"/>
        <v>0.10085917404611995</v>
      </c>
      <c r="L25" s="41">
        <f t="shared" si="0"/>
        <v>0.10607924825263391</v>
      </c>
      <c r="M25" s="41">
        <f t="shared" si="0"/>
        <v>0.10607924825263391</v>
      </c>
      <c r="N25" s="41">
        <f t="shared" si="0"/>
        <v>0.10607924825263391</v>
      </c>
      <c r="O25" s="41">
        <f t="shared" si="0"/>
        <v>0.10607924825263391</v>
      </c>
      <c r="P25" s="41">
        <f t="shared" si="0"/>
        <v>0.11016807219002085</v>
      </c>
      <c r="Q25" s="41" t="str">
        <f t="shared" si="0"/>
        <v/>
      </c>
      <c r="R25" s="41" t="str">
        <f t="shared" si="0"/>
        <v/>
      </c>
      <c r="S25" s="41" t="str">
        <f t="shared" si="0"/>
        <v/>
      </c>
      <c r="T25" s="41" t="str">
        <f t="shared" si="0"/>
        <v/>
      </c>
      <c r="U25" s="41" t="str">
        <f t="shared" si="0"/>
        <v/>
      </c>
      <c r="V25" s="41" t="str">
        <f t="shared" si="0"/>
        <v/>
      </c>
      <c r="W25" s="41" t="str">
        <f t="shared" si="0"/>
        <v/>
      </c>
      <c r="X25" s="41" t="str">
        <f t="shared" si="0"/>
        <v/>
      </c>
      <c r="Y25" s="41" t="str">
        <f t="shared" si="0"/>
        <v/>
      </c>
      <c r="Z25" s="41" t="str">
        <f t="shared" si="0"/>
        <v/>
      </c>
    </row>
    <row r="26" spans="2:26" ht="15.75" thickBot="1">
      <c r="B26" s="401" t="s">
        <v>43</v>
      </c>
      <c r="C26" s="57" t="str">
        <f>IF(AND(C22="User defined",C23=""),"Insert value above",IF(AND(C22="User defined",OR(C23&lt;0,C23&gt;1)),"Value should be between 0 and 1",""))</f>
        <v/>
      </c>
      <c r="D26" s="57" t="str">
        <f t="shared" ref="D26:Z26" si="1">IF(AND(D22="User defined",D23=""),"Insert value above",IF(AND(D22="User defined",OR(D23&lt;0,D23&gt;1)),"Value should be between 0 and 1",""))</f>
        <v/>
      </c>
      <c r="E26" s="57" t="str">
        <f t="shared" si="1"/>
        <v/>
      </c>
      <c r="F26" s="57" t="str">
        <f t="shared" si="1"/>
        <v/>
      </c>
      <c r="G26" s="57" t="str">
        <f t="shared" si="1"/>
        <v/>
      </c>
      <c r="H26" s="57" t="str">
        <f t="shared" si="1"/>
        <v/>
      </c>
      <c r="I26" s="57" t="str">
        <f t="shared" si="1"/>
        <v/>
      </c>
      <c r="J26" s="57" t="str">
        <f t="shared" si="1"/>
        <v/>
      </c>
      <c r="K26" s="57" t="str">
        <f t="shared" si="1"/>
        <v/>
      </c>
      <c r="L26" s="57" t="str">
        <f t="shared" si="1"/>
        <v/>
      </c>
      <c r="M26" s="57" t="str">
        <f t="shared" si="1"/>
        <v/>
      </c>
      <c r="N26" s="57" t="str">
        <f t="shared" si="1"/>
        <v/>
      </c>
      <c r="O26" s="57" t="str">
        <f t="shared" si="1"/>
        <v/>
      </c>
      <c r="P26" s="57" t="str">
        <f t="shared" si="1"/>
        <v/>
      </c>
      <c r="Q26" s="57" t="str">
        <f t="shared" si="1"/>
        <v/>
      </c>
      <c r="R26" s="57" t="str">
        <f t="shared" si="1"/>
        <v/>
      </c>
      <c r="S26" s="57" t="str">
        <f t="shared" si="1"/>
        <v/>
      </c>
      <c r="T26" s="57" t="str">
        <f t="shared" si="1"/>
        <v/>
      </c>
      <c r="U26" s="57" t="str">
        <f t="shared" si="1"/>
        <v/>
      </c>
      <c r="V26" s="57" t="str">
        <f t="shared" si="1"/>
        <v/>
      </c>
      <c r="W26" s="57" t="str">
        <f t="shared" si="1"/>
        <v/>
      </c>
      <c r="X26" s="57" t="str">
        <f t="shared" si="1"/>
        <v/>
      </c>
      <c r="Y26" s="57" t="str">
        <f t="shared" si="1"/>
        <v/>
      </c>
      <c r="Z26" s="58" t="str">
        <f t="shared" si="1"/>
        <v/>
      </c>
    </row>
    <row r="27" spans="2:26">
      <c r="B27" s="401"/>
      <c r="C27" s="19"/>
      <c r="D27" s="19"/>
      <c r="E27" s="19"/>
    </row>
    <row r="28" spans="2:26">
      <c r="B28" s="278" t="s">
        <v>50</v>
      </c>
      <c r="C28" s="61">
        <f>IF(C22="","",SUMIFS('Background (from TC)'!$F$4:$F$1048576,'Background (from TC)'!$D$4:$D$1048576,C$15,'Background (from TC)'!$E$4:$E$1048576,C$16,'Background (from TC)'!$O$4:$O$1048576,C$17))</f>
        <v>2022</v>
      </c>
      <c r="D28" s="61">
        <f>IF(D22="","",SUMIFS('Background (from TC)'!$F$4:$F$1048576,'Background (from TC)'!$D$4:$D$1048576,D$15,'Background (from TC)'!$E$4:$E$1048576,D$16,'Background (from TC)'!$O$4:$O$1048576,D$17))</f>
        <v>2022</v>
      </c>
      <c r="E28" s="61">
        <f>IF(E22="","",SUMIFS('Background (from TC)'!$F$4:$F$1048576,'Background (from TC)'!$D$4:$D$1048576,E$15,'Background (from TC)'!$E$4:$E$1048576,E$16,'Background (from TC)'!$O$4:$O$1048576,E$17))</f>
        <v>2022</v>
      </c>
      <c r="F28" s="61">
        <f>IF(F22="","",SUMIFS('Background (from TC)'!$F$4:$F$1048576,'Background (from TC)'!$D$4:$D$1048576,F$15,'Background (from TC)'!$E$4:$E$1048576,F$16,'Background (from TC)'!$O$4:$O$1048576,F$17))</f>
        <v>2022</v>
      </c>
      <c r="G28" s="61">
        <f>IF(G22="","",SUMIFS('Background (from TC)'!$F$4:$F$1048576,'Background (from TC)'!$D$4:$D$1048576,G$15,'Background (from TC)'!$E$4:$E$1048576,G$16,'Background (from TC)'!$O$4:$O$1048576,G$17))</f>
        <v>2022</v>
      </c>
      <c r="H28" s="61">
        <f>IF(H22="","",SUMIFS('Background (from TC)'!$F$4:$F$1048576,'Background (from TC)'!$D$4:$D$1048576,H$15,'Background (from TC)'!$E$4:$E$1048576,H$16,'Background (from TC)'!$O$4:$O$1048576,H$17))</f>
        <v>2022</v>
      </c>
      <c r="I28" s="61">
        <f>IF(I22="","",SUMIFS('Background (from TC)'!$F$4:$F$1048576,'Background (from TC)'!$D$4:$D$1048576,I$15,'Background (from TC)'!$E$4:$E$1048576,I$16,'Background (from TC)'!$O$4:$O$1048576,I$17))</f>
        <v>2022</v>
      </c>
      <c r="J28" s="61">
        <f>IF(J22="","",SUMIFS('Background (from TC)'!$F$4:$F$1048576,'Background (from TC)'!$D$4:$D$1048576,J$15,'Background (from TC)'!$E$4:$E$1048576,J$16,'Background (from TC)'!$O$4:$O$1048576,J$17))</f>
        <v>2022</v>
      </c>
      <c r="K28" s="61">
        <f>IF(K22="","",SUMIFS('Background (from TC)'!$F$4:$F$1048576,'Background (from TC)'!$D$4:$D$1048576,K$15,'Background (from TC)'!$E$4:$E$1048576,K$16,'Background (from TC)'!$O$4:$O$1048576,K$17))</f>
        <v>2022</v>
      </c>
      <c r="L28" s="61">
        <f>IF(L22="","",SUMIFS('Background (from TC)'!$F$4:$F$1048576,'Background (from TC)'!$D$4:$D$1048576,L$15,'Background (from TC)'!$E$4:$E$1048576,L$16,'Background (from TC)'!$O$4:$O$1048576,L$17))</f>
        <v>2022</v>
      </c>
      <c r="M28" s="61">
        <f>IF(M22="","",SUMIFS('Background (from TC)'!$F$4:$F$1048576,'Background (from TC)'!$D$4:$D$1048576,M$15,'Background (from TC)'!$E$4:$E$1048576,M$16,'Background (from TC)'!$O$4:$O$1048576,M$17))</f>
        <v>2022</v>
      </c>
      <c r="N28" s="61">
        <f>IF(N22="","",SUMIFS('Background (from TC)'!$F$4:$F$1048576,'Background (from TC)'!$D$4:$D$1048576,N$15,'Background (from TC)'!$E$4:$E$1048576,N$16,'Background (from TC)'!$O$4:$O$1048576,N$17))</f>
        <v>2022</v>
      </c>
      <c r="O28" s="61">
        <f>IF(O22="","",SUMIFS('Background (from TC)'!$F$4:$F$1048576,'Background (from TC)'!$D$4:$D$1048576,O$15,'Background (from TC)'!$E$4:$E$1048576,O$16,'Background (from TC)'!$O$4:$O$1048576,O$17))</f>
        <v>2022</v>
      </c>
      <c r="P28" s="61">
        <f>IF(P22="","",SUMIFS('Background (from TC)'!$F$4:$F$1048576,'Background (from TC)'!$D$4:$D$1048576,P$15,'Background (from TC)'!$E$4:$E$1048576,P$16,'Background (from TC)'!$O$4:$O$1048576,P$17))</f>
        <v>2022</v>
      </c>
      <c r="Q28" s="61" t="str">
        <f>IF(Q22="","",SUMIFS('Background (from TC)'!$F$4:$F$1048576,'Background (from TC)'!$D$4:$D$1048576,Q$15,'Background (from TC)'!$E$4:$E$1048576,Q$16,'Background (from TC)'!$O$4:$O$1048576,Q$17))</f>
        <v/>
      </c>
      <c r="R28" s="61" t="str">
        <f>IF(R22="","",SUMIFS('Background (from TC)'!$F$4:$F$1048576,'Background (from TC)'!$D$4:$D$1048576,R$15,'Background (from TC)'!$E$4:$E$1048576,R$16,'Background (from TC)'!$O$4:$O$1048576,R$17))</f>
        <v/>
      </c>
      <c r="S28" s="61" t="str">
        <f>IF(S22="","",SUMIFS('Background (from TC)'!$F$4:$F$1048576,'Background (from TC)'!$D$4:$D$1048576,S$15,'Background (from TC)'!$E$4:$E$1048576,S$16,'Background (from TC)'!$O$4:$O$1048576,S$17))</f>
        <v/>
      </c>
      <c r="T28" s="61" t="str">
        <f>IF(T22="","",SUMIFS('Background (from TC)'!$F$4:$F$1048576,'Background (from TC)'!$D$4:$D$1048576,T$15,'Background (from TC)'!$E$4:$E$1048576,T$16,'Background (from TC)'!$O$4:$O$1048576,T$17))</f>
        <v/>
      </c>
      <c r="U28" s="61" t="str">
        <f>IF(U22="","",SUMIFS('Background (from TC)'!$F$4:$F$1048576,'Background (from TC)'!$D$4:$D$1048576,U$15,'Background (from TC)'!$E$4:$E$1048576,U$16,'Background (from TC)'!$O$4:$O$1048576,U$17))</f>
        <v/>
      </c>
      <c r="V28" s="61" t="str">
        <f>IF(V22="","",SUMIFS('Background (from TC)'!$F$4:$F$1048576,'Background (from TC)'!$D$4:$D$1048576,V$15,'Background (from TC)'!$E$4:$E$1048576,V$16,'Background (from TC)'!$O$4:$O$1048576,V$17))</f>
        <v/>
      </c>
      <c r="W28" s="61" t="str">
        <f>IF(W22="","",SUMIFS('Background (from TC)'!$F$4:$F$1048576,'Background (from TC)'!$D$4:$D$1048576,W$15,'Background (from TC)'!$E$4:$E$1048576,W$16,'Background (from TC)'!$O$4:$O$1048576,W$17))</f>
        <v/>
      </c>
      <c r="X28" s="61" t="str">
        <f>IF(X22="","",SUMIFS('Background (from TC)'!$F$4:$F$1048576,'Background (from TC)'!$D$4:$D$1048576,X$15,'Background (from TC)'!$E$4:$E$1048576,X$16,'Background (from TC)'!$O$4:$O$1048576,X$17))</f>
        <v/>
      </c>
      <c r="Y28" s="61" t="str">
        <f>IF(Y22="","",SUMIFS('Background (from TC)'!$F$4:$F$1048576,'Background (from TC)'!$D$4:$D$1048576,Y$15,'Background (from TC)'!$E$4:$E$1048576,Y$16,'Background (from TC)'!$O$4:$O$1048576,Y$17))</f>
        <v/>
      </c>
      <c r="Z28" s="61" t="str">
        <f>IF(Z22="","",SUMIFS('Background (from TC)'!$F$4:$F$1048576,'Background (from TC)'!$D$4:$D$1048576,Z$15,'Background (from TC)'!$E$4:$E$1048576,Z$16,'Background (from TC)'!$O$4:$O$1048576,Z$17))</f>
        <v/>
      </c>
    </row>
    <row r="29" spans="2:26">
      <c r="B29" s="279" t="s">
        <v>51</v>
      </c>
      <c r="C29" s="402">
        <f>IF(C22="","",(1+$C$10)^($C$9-C28))</f>
        <v>1</v>
      </c>
      <c r="D29" s="402">
        <f t="shared" ref="D29:Z29" si="2">IF(D22="","",(1+$C$10)^($C$9-D28))</f>
        <v>1</v>
      </c>
      <c r="E29" s="402">
        <f t="shared" si="2"/>
        <v>1</v>
      </c>
      <c r="F29" s="402">
        <f t="shared" si="2"/>
        <v>1</v>
      </c>
      <c r="G29" s="402">
        <f t="shared" si="2"/>
        <v>1</v>
      </c>
      <c r="H29" s="402">
        <f t="shared" si="2"/>
        <v>1</v>
      </c>
      <c r="I29" s="402">
        <f t="shared" si="2"/>
        <v>1</v>
      </c>
      <c r="J29" s="402">
        <f t="shared" si="2"/>
        <v>1</v>
      </c>
      <c r="K29" s="402">
        <f t="shared" si="2"/>
        <v>1</v>
      </c>
      <c r="L29" s="402">
        <f t="shared" si="2"/>
        <v>1</v>
      </c>
      <c r="M29" s="402">
        <f t="shared" si="2"/>
        <v>1</v>
      </c>
      <c r="N29" s="402">
        <f t="shared" si="2"/>
        <v>1</v>
      </c>
      <c r="O29" s="402">
        <f t="shared" si="2"/>
        <v>1</v>
      </c>
      <c r="P29" s="402">
        <f t="shared" si="2"/>
        <v>1</v>
      </c>
      <c r="Q29" s="402" t="str">
        <f t="shared" si="2"/>
        <v/>
      </c>
      <c r="R29" s="402" t="str">
        <f t="shared" si="2"/>
        <v/>
      </c>
      <c r="S29" s="402" t="str">
        <f t="shared" si="2"/>
        <v/>
      </c>
      <c r="T29" s="402" t="str">
        <f t="shared" si="2"/>
        <v/>
      </c>
      <c r="U29" s="402" t="str">
        <f t="shared" si="2"/>
        <v/>
      </c>
      <c r="V29" s="402" t="str">
        <f t="shared" si="2"/>
        <v/>
      </c>
      <c r="W29" s="402" t="str">
        <f t="shared" si="2"/>
        <v/>
      </c>
      <c r="X29" s="402" t="str">
        <f t="shared" si="2"/>
        <v/>
      </c>
      <c r="Y29" s="402" t="str">
        <f t="shared" si="2"/>
        <v/>
      </c>
      <c r="Z29" s="402" t="str">
        <f t="shared" si="2"/>
        <v/>
      </c>
    </row>
    <row r="30" spans="2:26">
      <c r="B30" s="15"/>
      <c r="C30" s="19"/>
      <c r="D30" s="19"/>
      <c r="E30" s="19"/>
    </row>
    <row r="31" spans="2:26" ht="15.75">
      <c r="B31" s="286" t="s">
        <v>52</v>
      </c>
    </row>
    <row r="32" spans="2:26">
      <c r="B32" s="278" t="s">
        <v>53</v>
      </c>
      <c r="C32" s="19" t="s">
        <v>54</v>
      </c>
      <c r="D32" s="19" t="s">
        <v>54</v>
      </c>
      <c r="E32" s="19" t="s">
        <v>54</v>
      </c>
      <c r="F32" s="19" t="s">
        <v>54</v>
      </c>
      <c r="G32" s="19" t="s">
        <v>54</v>
      </c>
      <c r="H32" s="19" t="s">
        <v>54</v>
      </c>
      <c r="I32" s="19" t="s">
        <v>54</v>
      </c>
      <c r="J32" s="19" t="s">
        <v>46</v>
      </c>
      <c r="K32" s="19" t="s">
        <v>46</v>
      </c>
      <c r="L32" s="19" t="s">
        <v>46</v>
      </c>
      <c r="M32" s="19" t="s">
        <v>46</v>
      </c>
      <c r="N32" s="19" t="s">
        <v>46</v>
      </c>
      <c r="O32" s="19" t="s">
        <v>46</v>
      </c>
      <c r="P32" s="19" t="s">
        <v>46</v>
      </c>
    </row>
    <row r="33" spans="2:26">
      <c r="B33" s="278" t="s">
        <v>55</v>
      </c>
      <c r="C33" s="43">
        <v>7000</v>
      </c>
      <c r="D33" s="43">
        <v>7000</v>
      </c>
      <c r="E33" s="43">
        <v>5000</v>
      </c>
      <c r="F33" s="43">
        <v>5000</v>
      </c>
      <c r="G33" s="43">
        <v>7000</v>
      </c>
      <c r="H33" s="43">
        <v>7000</v>
      </c>
      <c r="I33" s="43">
        <v>5000</v>
      </c>
      <c r="J33" s="43">
        <v>5000</v>
      </c>
      <c r="K33" s="43">
        <v>5000</v>
      </c>
      <c r="L33" s="43">
        <v>7500</v>
      </c>
      <c r="M33" s="43">
        <v>7500</v>
      </c>
      <c r="N33" s="43"/>
      <c r="O33" s="43"/>
      <c r="P33" s="43"/>
      <c r="Q33" s="43"/>
      <c r="R33" s="43"/>
      <c r="S33" s="43"/>
      <c r="T33" s="43"/>
      <c r="U33" s="43"/>
      <c r="V33" s="43"/>
      <c r="W33" s="43"/>
      <c r="X33" s="43"/>
      <c r="Y33" s="43"/>
      <c r="Z33" s="43"/>
    </row>
    <row r="34" spans="2:26" ht="15.75" thickBot="1">
      <c r="B34" s="278" t="s">
        <v>56</v>
      </c>
      <c r="C34" s="43">
        <f>IF(C32="","",IF(C32="User defined",C33,IF(SUMIFS('Background (from TC)'!$R$4:$R$1048576,'Background (from TC)'!$D$4:$D$1048576,C$15,'Background (from TC)'!$E$4:$E$1048576,C$16,'Background (from TC)'!$O$4:$O$1048576,C$17)=0,4000,SUMIFS('Background (from TC)'!$R$4:$R$1048576,'Background (from TC)'!$D$4:$D$1048576,C$15,'Background (from TC)'!$E$4:$E$1048576,C$16,'Background (from TC)'!$O$4:$O$1048576,C$17))))</f>
        <v>7000</v>
      </c>
      <c r="D34" s="43">
        <f>IF(D32="","",IF(D32="User defined",D33,IF(SUMIFS('Background (from TC)'!$R$4:$R$1048576,'Background (from TC)'!$D$4:$D$1048576,D$15,'Background (from TC)'!$E$4:$E$1048576,D$16,'Background (from TC)'!$O$4:$O$1048576,D$17)=0,4000,SUMIFS('Background (from TC)'!$R$4:$R$1048576,'Background (from TC)'!$D$4:$D$1048576,D$15,'Background (from TC)'!$E$4:$E$1048576,D$16,'Background (from TC)'!$O$4:$O$1048576,D$17))))</f>
        <v>7000</v>
      </c>
      <c r="E34" s="43">
        <f>IF(E32="","",IF(E32="User defined",E33,IF(SUMIFS('Background (from TC)'!$R$4:$R$1048576,'Background (from TC)'!$D$4:$D$1048576,E$15,'Background (from TC)'!$E$4:$E$1048576,E$16,'Background (from TC)'!$O$4:$O$1048576,E$17)=0,4000,SUMIFS('Background (from TC)'!$R$4:$R$1048576,'Background (from TC)'!$D$4:$D$1048576,E$15,'Background (from TC)'!$E$4:$E$1048576,E$16,'Background (from TC)'!$O$4:$O$1048576,E$17))))</f>
        <v>5000</v>
      </c>
      <c r="F34" s="43">
        <f>IF(F32="","",IF(F32="User defined",F33,IF(SUMIFS('Background (from TC)'!$R$4:$R$1048576,'Background (from TC)'!$D$4:$D$1048576,F$15,'Background (from TC)'!$E$4:$E$1048576,F$16,'Background (from TC)'!$O$4:$O$1048576,F$17)=0,4000,SUMIFS('Background (from TC)'!$R$4:$R$1048576,'Background (from TC)'!$D$4:$D$1048576,F$15,'Background (from TC)'!$E$4:$E$1048576,F$16,'Background (from TC)'!$O$4:$O$1048576,F$17))))</f>
        <v>5000</v>
      </c>
      <c r="G34" s="43">
        <f>IF(G32="","",IF(G32="User defined",G33,IF(SUMIFS('Background (from TC)'!$R$4:$R$1048576,'Background (from TC)'!$D$4:$D$1048576,G$15,'Background (from TC)'!$E$4:$E$1048576,G$16,'Background (from TC)'!$O$4:$O$1048576,G$17)=0,4000,SUMIFS('Background (from TC)'!$R$4:$R$1048576,'Background (from TC)'!$D$4:$D$1048576,G$15,'Background (from TC)'!$E$4:$E$1048576,G$16,'Background (from TC)'!$O$4:$O$1048576,G$17))))</f>
        <v>7000</v>
      </c>
      <c r="H34" s="43">
        <f>IF(H32="","",IF(H32="User defined",H33,IF(SUMIFS('Background (from TC)'!$R$4:$R$1048576,'Background (from TC)'!$D$4:$D$1048576,H$15,'Background (from TC)'!$E$4:$E$1048576,H$16,'Background (from TC)'!$O$4:$O$1048576,H$17)=0,4000,SUMIFS('Background (from TC)'!$R$4:$R$1048576,'Background (from TC)'!$D$4:$D$1048576,H$15,'Background (from TC)'!$E$4:$E$1048576,H$16,'Background (from TC)'!$O$4:$O$1048576,H$17))))</f>
        <v>7000</v>
      </c>
      <c r="I34" s="43">
        <f>IF(I32="","",IF(I32="User defined",I33,IF(SUMIFS('Background (from TC)'!$R$4:$R$1048576,'Background (from TC)'!$D$4:$D$1048576,I$15,'Background (from TC)'!$E$4:$E$1048576,I$16,'Background (from TC)'!$O$4:$O$1048576,I$17)=0,4000,SUMIFS('Background (from TC)'!$R$4:$R$1048576,'Background (from TC)'!$D$4:$D$1048576,I$15,'Background (from TC)'!$E$4:$E$1048576,I$16,'Background (from TC)'!$O$4:$O$1048576,I$17))))</f>
        <v>5000</v>
      </c>
      <c r="J34" s="43">
        <f>IF(J32="","",IF(J32="User defined",J33,IF(SUMIFS('Background (from TC)'!$R$4:$R$1048576,'Background (from TC)'!$D$4:$D$1048576,J$15,'Background (from TC)'!$E$4:$E$1048576,J$16,'Background (from TC)'!$O$4:$O$1048576,J$17)=0,4000,SUMIFS('Background (from TC)'!$R$4:$R$1048576,'Background (from TC)'!$D$4:$D$1048576,J$15,'Background (from TC)'!$E$4:$E$1048576,J$16,'Background (from TC)'!$O$4:$O$1048576,J$17))))</f>
        <v>7008</v>
      </c>
      <c r="K34" s="43">
        <f>IF(K32="","",IF(K32="User defined",K33,IF(SUMIFS('Background (from TC)'!$R$4:$R$1048576,'Background (from TC)'!$D$4:$D$1048576,K$15,'Background (from TC)'!$E$4:$E$1048576,K$16,'Background (from TC)'!$O$4:$O$1048576,K$17)=0,4000,SUMIFS('Background (from TC)'!$R$4:$R$1048576,'Background (from TC)'!$D$4:$D$1048576,K$15,'Background (from TC)'!$E$4:$E$1048576,K$16,'Background (from TC)'!$O$4:$O$1048576,K$17))))</f>
        <v>4467.6000000000004</v>
      </c>
      <c r="L34" s="43">
        <f>IF(L32="","",IF(L32="User defined",L33,IF(SUMIFS('Background (from TC)'!$R$4:$R$1048576,'Background (from TC)'!$D$4:$D$1048576,L$15,'Background (from TC)'!$E$4:$E$1048576,L$16,'Background (from TC)'!$O$4:$O$1048576,L$17)=0,4000,SUMIFS('Background (from TC)'!$R$4:$R$1048576,'Background (from TC)'!$D$4:$D$1048576,L$15,'Background (from TC)'!$E$4:$E$1048576,L$16,'Background (from TC)'!$O$4:$O$1048576,L$17))))</f>
        <v>1840.7499999999998</v>
      </c>
      <c r="M34" s="43">
        <f>IF(M32="","",IF(M32="User defined",M33,IF(SUMIFS('Background (from TC)'!$R$4:$R$1048576,'Background (from TC)'!$D$4:$D$1048576,M$15,'Background (from TC)'!$E$4:$E$1048576,M$16,'Background (from TC)'!$O$4:$O$1048576,M$17)=0,4000,SUMIFS('Background (from TC)'!$R$4:$R$1048576,'Background (from TC)'!$D$4:$D$1048576,M$15,'Background (from TC)'!$E$4:$E$1048576,M$16,'Background (from TC)'!$O$4:$O$1048576,M$17))))</f>
        <v>1890.5</v>
      </c>
      <c r="N34" s="43">
        <f>IF(N32="","",IF(N32="User defined",N33,IF(SUMIFS('Background (from TC)'!$R$4:$R$1048576,'Background (from TC)'!$D$4:$D$1048576,N$15,'Background (from TC)'!$E$4:$E$1048576,N$16,'Background (from TC)'!$O$4:$O$1048576,N$17)=0,4000,SUMIFS('Background (from TC)'!$R$4:$R$1048576,'Background (from TC)'!$D$4:$D$1048576,N$15,'Background (from TC)'!$E$4:$E$1048576,N$16,'Background (from TC)'!$O$4:$O$1048576,N$17))))</f>
        <v>2738.6832738461535</v>
      </c>
      <c r="O34" s="43">
        <f>IF(O32="","",IF(O32="User defined",O33,IF(SUMIFS('Background (from TC)'!$R$4:$R$1048576,'Background (from TC)'!$D$4:$D$1048576,O$15,'Background (from TC)'!$E$4:$E$1048576,O$16,'Background (from TC)'!$O$4:$O$1048576,O$17)=0,4000,SUMIFS('Background (from TC)'!$R$4:$R$1048576,'Background (from TC)'!$D$4:$D$1048576,O$15,'Background (from TC)'!$E$4:$E$1048576,O$16,'Background (from TC)'!$O$4:$O$1048576,O$17))))</f>
        <v>3241.2</v>
      </c>
      <c r="P34" s="43">
        <f>IF(P32="","",IF(P32="User defined",P33,IF(SUMIFS('Background (from TC)'!$R$4:$R$1048576,'Background (from TC)'!$D$4:$D$1048576,P$15,'Background (from TC)'!$E$4:$E$1048576,P$16,'Background (from TC)'!$O$4:$O$1048576,P$17)=0,4000,SUMIFS('Background (from TC)'!$R$4:$R$1048576,'Background (from TC)'!$D$4:$D$1048576,P$15,'Background (from TC)'!$E$4:$E$1048576,P$16,'Background (from TC)'!$O$4:$O$1048576,P$17))))</f>
        <v>3175.6752000000001</v>
      </c>
      <c r="Q34" s="43" t="str">
        <f>IF(Q32="","",IF(Q32="User defined",Q33,IF(SUMIFS('Background (from TC)'!$R$4:$R$1048576,'Background (from TC)'!$D$4:$D$1048576,Q$15,'Background (from TC)'!$E$4:$E$1048576,Q$16,'Background (from TC)'!$O$4:$O$1048576,Q$17)=0,4000,SUMIFS('Background (from TC)'!$R$4:$R$1048576,'Background (from TC)'!$D$4:$D$1048576,Q$15,'Background (from TC)'!$E$4:$E$1048576,Q$16,'Background (from TC)'!$O$4:$O$1048576,Q$17))))</f>
        <v/>
      </c>
      <c r="R34" s="43" t="str">
        <f>IF(R32="","",IF(R32="User defined",R33,IF(SUMIFS('Background (from TC)'!$R$4:$R$1048576,'Background (from TC)'!$D$4:$D$1048576,R$15,'Background (from TC)'!$E$4:$E$1048576,R$16,'Background (from TC)'!$O$4:$O$1048576,R$17)=0,4000,SUMIFS('Background (from TC)'!$R$4:$R$1048576,'Background (from TC)'!$D$4:$D$1048576,R$15,'Background (from TC)'!$E$4:$E$1048576,R$16,'Background (from TC)'!$O$4:$O$1048576,R$17))))</f>
        <v/>
      </c>
      <c r="S34" s="43"/>
      <c r="T34" s="43"/>
      <c r="U34" s="43" t="str">
        <f>IF(U32="","",IF(U32="User defined",U33,IF(SUMIFS('Background (from TC)'!$R$4:$R$1048576,'Background (from TC)'!$D$4:$D$1048576,U$15,'Background (from TC)'!$E$4:$E$1048576,U$16,'Background (from TC)'!$O$4:$O$1048576,U$17)=0,4000,SUMIFS('Background (from TC)'!$R$4:$R$1048576,'Background (from TC)'!$D$4:$D$1048576,U$15,'Background (from TC)'!$E$4:$E$1048576,U$16,'Background (from TC)'!$O$4:$O$1048576,U$17))))</f>
        <v/>
      </c>
      <c r="V34" s="43" t="str">
        <f>IF(V32="","",IF(V32="User defined",V33,IF(SUMIFS('Background (from TC)'!$R$4:$R$1048576,'Background (from TC)'!$D$4:$D$1048576,V$15,'Background (from TC)'!$E$4:$E$1048576,V$16,'Background (from TC)'!$O$4:$O$1048576,V$17)=0,4000,SUMIFS('Background (from TC)'!$R$4:$R$1048576,'Background (from TC)'!$D$4:$D$1048576,V$15,'Background (from TC)'!$E$4:$E$1048576,V$16,'Background (from TC)'!$O$4:$O$1048576,V$17))))</f>
        <v/>
      </c>
      <c r="W34" s="43" t="str">
        <f>IF(W32="","",IF(W32="User defined",W33,IF(SUMIFS('Background (from TC)'!$R$4:$R$1048576,'Background (from TC)'!$D$4:$D$1048576,W$15,'Background (from TC)'!$E$4:$E$1048576,W$16,'Background (from TC)'!$O$4:$O$1048576,W$17)=0,4000,SUMIFS('Background (from TC)'!$R$4:$R$1048576,'Background (from TC)'!$D$4:$D$1048576,W$15,'Background (from TC)'!$E$4:$E$1048576,W$16,'Background (from TC)'!$O$4:$O$1048576,W$17))))</f>
        <v/>
      </c>
      <c r="X34" s="43" t="str">
        <f>IF(X32="","",IF(X32="User defined",X33,IF(SUMIFS('Background (from TC)'!$R$4:$R$1048576,'Background (from TC)'!$D$4:$D$1048576,X$15,'Background (from TC)'!$E$4:$E$1048576,X$16,'Background (from TC)'!$O$4:$O$1048576,X$17)=0,4000,SUMIFS('Background (from TC)'!$R$4:$R$1048576,'Background (from TC)'!$D$4:$D$1048576,X$15,'Background (from TC)'!$E$4:$E$1048576,X$16,'Background (from TC)'!$O$4:$O$1048576,X$17))))</f>
        <v/>
      </c>
      <c r="Y34" s="43" t="str">
        <f>IF(Y32="","",IF(Y32="User defined",Y33,IF(SUMIFS('Background (from TC)'!$R$4:$R$1048576,'Background (from TC)'!$D$4:$D$1048576,Y$15,'Background (from TC)'!$E$4:$E$1048576,Y$16,'Background (from TC)'!$O$4:$O$1048576,Y$17)=0,4000,SUMIFS('Background (from TC)'!$R$4:$R$1048576,'Background (from TC)'!$D$4:$D$1048576,Y$15,'Background (from TC)'!$E$4:$E$1048576,Y$16,'Background (from TC)'!$O$4:$O$1048576,Y$17))))</f>
        <v/>
      </c>
      <c r="Z34" s="43" t="str">
        <f>IF(Z32="","",IF(Z32="User defined",Z33,IF(SUMIFS('Background (from TC)'!$R$4:$R$1048576,'Background (from TC)'!$D$4:$D$1048576,Z$15,'Background (from TC)'!$E$4:$E$1048576,Z$16,'Background (from TC)'!$O$4:$O$1048576,Z$17)=0,4000,SUMIFS('Background (from TC)'!$R$4:$R$1048576,'Background (from TC)'!$D$4:$D$1048576,Z$15,'Background (from TC)'!$E$4:$E$1048576,Z$16,'Background (from TC)'!$O$4:$O$1048576,Z$17))))</f>
        <v/>
      </c>
    </row>
    <row r="35" spans="2:26" ht="15.75" thickBot="1">
      <c r="B35" s="273" t="s">
        <v>43</v>
      </c>
      <c r="C35" s="258" t="str">
        <f>IF(AND(C32="User defined",C33=""),"Insert value above",IF(AND(C32="User defined",OR(C33&lt;0,C33&gt;8760)),"Value should be between 0 and 8760",IF(AND(C32="Generic",OR(C34=0,NOT(ISNUMBER(C34)))),"Absence of generic data, please switch to User Defined and insert FLHs","")))</f>
        <v/>
      </c>
      <c r="D35" s="258" t="str">
        <f t="shared" ref="D35:Z35" si="3">IF(AND(D32="User defined",D33=""),"Insert value above",IF(AND(D32="User defined",OR(D33&lt;0,D33&gt;8760)),"Value should be between 0 and 8760",IF(AND(D32="Generic",OR(D34=0,NOT(ISNUMBER(D34)))),"Absence of generic data, please switch to User Defined and insert FLHs","")))</f>
        <v/>
      </c>
      <c r="E35" s="258" t="str">
        <f t="shared" si="3"/>
        <v/>
      </c>
      <c r="F35" s="258" t="str">
        <f t="shared" si="3"/>
        <v/>
      </c>
      <c r="G35" s="258" t="str">
        <f t="shared" si="3"/>
        <v/>
      </c>
      <c r="H35" s="258" t="str">
        <f t="shared" si="3"/>
        <v/>
      </c>
      <c r="I35" s="258" t="str">
        <f t="shared" si="3"/>
        <v/>
      </c>
      <c r="J35" s="258" t="str">
        <f t="shared" si="3"/>
        <v/>
      </c>
      <c r="K35" s="258" t="str">
        <f t="shared" si="3"/>
        <v/>
      </c>
      <c r="L35" s="258" t="str">
        <f t="shared" si="3"/>
        <v/>
      </c>
      <c r="M35" s="258" t="str">
        <f t="shared" si="3"/>
        <v/>
      </c>
      <c r="N35" s="258" t="str">
        <f t="shared" si="3"/>
        <v/>
      </c>
      <c r="O35" s="258" t="str">
        <f t="shared" si="3"/>
        <v/>
      </c>
      <c r="P35" s="258" t="str">
        <f t="shared" si="3"/>
        <v/>
      </c>
      <c r="Q35" s="258" t="str">
        <f t="shared" si="3"/>
        <v/>
      </c>
      <c r="R35" s="258" t="str">
        <f t="shared" si="3"/>
        <v/>
      </c>
      <c r="S35" s="258" t="str">
        <f t="shared" si="3"/>
        <v/>
      </c>
      <c r="T35" s="258" t="str">
        <f t="shared" si="3"/>
        <v/>
      </c>
      <c r="U35" s="258" t="str">
        <f t="shared" si="3"/>
        <v/>
      </c>
      <c r="V35" s="258" t="str">
        <f t="shared" si="3"/>
        <v/>
      </c>
      <c r="W35" s="258" t="str">
        <f t="shared" si="3"/>
        <v/>
      </c>
      <c r="X35" s="258" t="str">
        <f t="shared" si="3"/>
        <v/>
      </c>
      <c r="Y35" s="258" t="str">
        <f t="shared" si="3"/>
        <v/>
      </c>
      <c r="Z35" s="258" t="str">
        <f t="shared" si="3"/>
        <v/>
      </c>
    </row>
    <row r="36" spans="2:26">
      <c r="B36" s="15"/>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2:26" ht="15.75">
      <c r="B37" s="286" t="s">
        <v>57</v>
      </c>
      <c r="C37" s="19"/>
      <c r="D37" s="19"/>
      <c r="E37" s="19"/>
    </row>
    <row r="38" spans="2:26">
      <c r="B38" s="278" t="s">
        <v>58</v>
      </c>
      <c r="C38" s="19"/>
      <c r="D38" s="19"/>
      <c r="E38" s="19"/>
      <c r="G38" s="19" t="s">
        <v>46</v>
      </c>
      <c r="H38" s="19" t="s">
        <v>46</v>
      </c>
      <c r="K38" s="19" t="s">
        <v>54</v>
      </c>
      <c r="L38" s="19" t="s">
        <v>54</v>
      </c>
      <c r="S38" s="19" t="s">
        <v>54</v>
      </c>
      <c r="T38" s="19" t="s">
        <v>54</v>
      </c>
    </row>
    <row r="39" spans="2:26">
      <c r="B39" s="278" t="s">
        <v>59</v>
      </c>
      <c r="C39" s="44"/>
      <c r="D39" s="44"/>
      <c r="E39" s="44"/>
      <c r="F39" s="44"/>
      <c r="G39" s="44"/>
      <c r="H39" s="44"/>
      <c r="I39" s="44"/>
      <c r="J39" s="44"/>
      <c r="K39" s="44">
        <v>3</v>
      </c>
      <c r="L39" s="44">
        <v>3</v>
      </c>
      <c r="M39" s="44"/>
      <c r="N39" s="44"/>
      <c r="O39" s="44"/>
      <c r="P39" s="44"/>
      <c r="Q39" s="44"/>
      <c r="R39" s="44"/>
      <c r="S39" s="44">
        <v>3</v>
      </c>
      <c r="T39" s="44">
        <v>3</v>
      </c>
      <c r="U39" s="44"/>
      <c r="V39" s="44"/>
      <c r="W39" s="44"/>
      <c r="X39" s="44"/>
      <c r="Y39" s="44"/>
      <c r="Z39" s="44"/>
    </row>
    <row r="40" spans="2:26">
      <c r="B40" s="278" t="s">
        <v>60</v>
      </c>
      <c r="C40" s="44"/>
      <c r="D40" s="44"/>
      <c r="E40" s="44"/>
      <c r="F40" s="44"/>
      <c r="G40" s="44"/>
      <c r="H40" s="44"/>
      <c r="I40" s="44"/>
      <c r="J40" s="44"/>
      <c r="K40" s="44">
        <v>1</v>
      </c>
      <c r="L40" s="44">
        <v>1</v>
      </c>
      <c r="M40" s="44"/>
      <c r="N40" s="44"/>
      <c r="O40" s="44"/>
      <c r="P40" s="44"/>
      <c r="Q40" s="44"/>
      <c r="R40" s="44"/>
      <c r="S40" s="44">
        <v>1</v>
      </c>
      <c r="T40" s="44">
        <v>1</v>
      </c>
      <c r="U40" s="44"/>
      <c r="V40" s="44"/>
      <c r="W40" s="44"/>
      <c r="X40" s="44"/>
      <c r="Y40" s="44"/>
      <c r="Z40" s="44"/>
    </row>
    <row r="41" spans="2:26">
      <c r="B41" s="278" t="s">
        <v>61</v>
      </c>
      <c r="C41" s="44"/>
      <c r="D41" s="44"/>
      <c r="E41" s="44"/>
      <c r="F41" s="44"/>
      <c r="G41" s="44"/>
      <c r="H41" s="44"/>
      <c r="I41" s="44"/>
      <c r="J41" s="44"/>
      <c r="K41" s="44">
        <v>1</v>
      </c>
      <c r="L41" s="44">
        <v>1</v>
      </c>
      <c r="M41" s="44"/>
      <c r="N41" s="44"/>
      <c r="O41" s="44"/>
      <c r="P41" s="44"/>
      <c r="Q41" s="44"/>
      <c r="R41" s="44"/>
      <c r="S41" s="44">
        <v>1</v>
      </c>
      <c r="T41" s="44">
        <v>1</v>
      </c>
      <c r="U41" s="44"/>
      <c r="V41" s="44"/>
      <c r="W41" s="44"/>
      <c r="X41" s="44"/>
      <c r="Y41" s="44"/>
      <c r="Z41" s="44"/>
    </row>
    <row r="42" spans="2:26">
      <c r="B42" s="278" t="s">
        <v>62</v>
      </c>
      <c r="C42" s="44" t="str">
        <f>IF(C15="","",IF(C15&lt;&gt;"Storage","",IF(C$38="User Defined",C$39,SUMIFS('Background (from TC)'!$Y$4:$Y$1048576,'Background (from TC)'!$D$4:$D$1048576,C$15,'Background (from TC)'!$E$4:$E$1048576,C$16,'Background (from TC)'!$O$4:$O$1048576,C$17))))</f>
        <v/>
      </c>
      <c r="D42" s="44" t="str">
        <f>IF(D15="","",IF(D15&lt;&gt;"Storage","",IF(D$38="User Defined",D$39,SUMIFS('Background (from TC)'!$Y$4:$Y$1048576,'Background (from TC)'!$D$4:$D$1048576,D$15,'Background (from TC)'!$E$4:$E$1048576,D$16,'Background (from TC)'!$O$4:$O$1048576,D$17))))</f>
        <v/>
      </c>
      <c r="E42" s="44" t="str">
        <f>IF(E15="","",IF(E15&lt;&gt;"Storage","",IF(E$38="User Defined",E$39,SUMIFS('Background (from TC)'!$Y$4:$Y$1048576,'Background (from TC)'!$D$4:$D$1048576,E$15,'Background (from TC)'!$E$4:$E$1048576,E$16,'Background (from TC)'!$O$4:$O$1048576,E$17))))</f>
        <v/>
      </c>
      <c r="F42" s="44" t="str">
        <f>IF(F15="","",IF(F15&lt;&gt;"Storage","",IF(F$38="User Defined",F$39,SUMIFS('Background (from TC)'!$Y$4:$Y$1048576,'Background (from TC)'!$D$4:$D$1048576,F$15,'Background (from TC)'!$E$4:$E$1048576,F$16,'Background (from TC)'!$O$4:$O$1048576,F$17))))</f>
        <v/>
      </c>
      <c r="G42" s="44" t="str">
        <f>IF(G15="","",IF(G15&lt;&gt;"Storage","",IF(G$38="User Defined",G$39,SUMIFS('Background (from TC)'!$Y$4:$Y$1048576,'Background (from TC)'!$D$4:$D$1048576,G$15,'Background (from TC)'!$E$4:$E$1048576,G$16,'Background (from TC)'!$O$4:$O$1048576,G$17))))</f>
        <v/>
      </c>
      <c r="H42" s="44" t="str">
        <f>IF(H15="","",IF(H15&lt;&gt;"Storage","",IF(H$38="User Defined",H$39,SUMIFS('Background (from TC)'!$Y$4:$Y$1048576,'Background (from TC)'!$D$4:$D$1048576,H$15,'Background (from TC)'!$E$4:$E$1048576,H$16,'Background (from TC)'!$O$4:$O$1048576,H$17))))</f>
        <v/>
      </c>
      <c r="I42" s="44" t="str">
        <f>IF(I15="","",IF(I15&lt;&gt;"Storage","",IF(I$38="User Defined",I$39,SUMIFS('Background (from TC)'!$Y$4:$Y$1048576,'Background (from TC)'!$D$4:$D$1048576,I$15,'Background (from TC)'!$E$4:$E$1048576,I$16,'Background (from TC)'!$O$4:$O$1048576,I$17))))</f>
        <v/>
      </c>
      <c r="J42" s="44" t="str">
        <f>IF(J15="","",IF(J15&lt;&gt;"Storage","",IF(J$38="User Defined",J$39,SUMIFS('Background (from TC)'!$Y$4:$Y$1048576,'Background (from TC)'!$D$4:$D$1048576,J$15,'Background (from TC)'!$E$4:$E$1048576,J$16,'Background (from TC)'!$O$4:$O$1048576,J$17))))</f>
        <v/>
      </c>
      <c r="K42" s="44" t="str">
        <f>IF(K15="","",IF(K15&lt;&gt;"Storage","",IF(K$38="User Defined",K$39,SUMIFS('Background (from TC)'!$Y$4:$Y$1048576,'Background (from TC)'!$D$4:$D$1048576,K$15,'Background (from TC)'!$E$4:$E$1048576,K$16,'Background (from TC)'!$O$4:$O$1048576,K$17))))</f>
        <v/>
      </c>
      <c r="L42" s="44" t="str">
        <f>IF(L15="","",IF(L15&lt;&gt;"Storage","",IF(L$38="User Defined",L$39,SUMIFS('Background (from TC)'!$Y$4:$Y$1048576,'Background (from TC)'!$D$4:$D$1048576,L$15,'Background (from TC)'!$E$4:$E$1048576,L$16,'Background (from TC)'!$O$4:$O$1048576,L$17))))</f>
        <v/>
      </c>
      <c r="M42" s="44" t="str">
        <f>IF(M15="","",IF(M15&lt;&gt;"Storage","",IF(M$38="User Defined",M$39,SUMIFS('Background (from TC)'!$Y$4:$Y$1048576,'Background (from TC)'!$D$4:$D$1048576,M$15,'Background (from TC)'!$E$4:$E$1048576,M$16,'Background (from TC)'!$O$4:$O$1048576,M$17))))</f>
        <v/>
      </c>
      <c r="N42" s="44" t="str">
        <f>IF(N15="","",IF(N15&lt;&gt;"Storage","",IF(N$38="User Defined",N$39,SUMIFS('Background (from TC)'!$Y$4:$Y$1048576,'Background (from TC)'!$D$4:$D$1048576,N$15,'Background (from TC)'!$E$4:$E$1048576,N$16,'Background (from TC)'!$O$4:$O$1048576,N$17))))</f>
        <v/>
      </c>
      <c r="O42" s="44" t="str">
        <f>IF(O15="","",IF(O15&lt;&gt;"Storage","",IF(O$38="User Defined",O$39,SUMIFS('Background (from TC)'!$Y$4:$Y$1048576,'Background (from TC)'!$D$4:$D$1048576,O$15,'Background (from TC)'!$E$4:$E$1048576,O$16,'Background (from TC)'!$O$4:$O$1048576,O$17))))</f>
        <v/>
      </c>
      <c r="P42" s="44" t="str">
        <f>IF(P15="","",IF(P15&lt;&gt;"Storage","",IF(P$38="User Defined",P$39,SUMIFS('Background (from TC)'!$Y$4:$Y$1048576,'Background (from TC)'!$D$4:$D$1048576,P$15,'Background (from TC)'!$E$4:$E$1048576,P$16,'Background (from TC)'!$O$4:$O$1048576,P$17))))</f>
        <v/>
      </c>
      <c r="Q42" s="44" t="str">
        <f>IF(Q15="","",IF(Q15&lt;&gt;"Storage","",IF(Q$38="User Defined",Q$39,SUMIFS('Background (from TC)'!$Y$4:$Y$1048576,'Background (from TC)'!$D$4:$D$1048576,Q$15,'Background (from TC)'!$E$4:$E$1048576,Q$16,'Background (from TC)'!$O$4:$O$1048576,Q$17))))</f>
        <v/>
      </c>
      <c r="R42" s="44" t="str">
        <f>IF(R15="","",IF(R15&lt;&gt;"Storage","",IF(R$38="User Defined",R$39,SUMIFS('Background (from TC)'!$Y$4:$Y$1048576,'Background (from TC)'!$D$4:$D$1048576,R$15,'Background (from TC)'!$E$4:$E$1048576,R$16,'Background (from TC)'!$O$4:$O$1048576,R$17))))</f>
        <v/>
      </c>
      <c r="S42" s="44" t="str">
        <f>IF(S15="","",IF(S15&lt;&gt;"Storage","",IF(S$38="User Defined",S$39,SUMIFS('Background (from TC)'!$Y$4:$Y$1048576,'Background (from TC)'!$D$4:$D$1048576,S$15,'Background (from TC)'!$E$4:$E$1048576,S$16,'Background (from TC)'!$O$4:$O$1048576,S$17))))</f>
        <v/>
      </c>
      <c r="T42" s="44" t="str">
        <f>IF(T15="","",IF(T15&lt;&gt;"Storage","",IF(T$38="User Defined",T$39,SUMIFS('Background (from TC)'!$Y$4:$Y$1048576,'Background (from TC)'!$D$4:$D$1048576,T$15,'Background (from TC)'!$E$4:$E$1048576,T$16,'Background (from TC)'!$O$4:$O$1048576,T$17))))</f>
        <v/>
      </c>
      <c r="U42" s="44" t="str">
        <f>IF(U15="","",IF(U15&lt;&gt;"Storage","",IF(U$38="User Defined",U$39,SUMIFS('Background (from TC)'!$Y$4:$Y$1048576,'Background (from TC)'!$D$4:$D$1048576,U$15,'Background (from TC)'!$E$4:$E$1048576,U$16,'Background (from TC)'!$O$4:$O$1048576,U$17))))</f>
        <v/>
      </c>
      <c r="V42" s="44" t="str">
        <f>IF(V15="","",IF(V15&lt;&gt;"Storage","",IF(V$38="User Defined",V$39,SUMIFS('Background (from TC)'!$Y$4:$Y$1048576,'Background (from TC)'!$D$4:$D$1048576,V$15,'Background (from TC)'!$E$4:$E$1048576,V$16,'Background (from TC)'!$O$4:$O$1048576,V$17))))</f>
        <v/>
      </c>
      <c r="W42" s="44" t="str">
        <f>IF(W15="","",IF(W15&lt;&gt;"Storage","",IF(W$38="User Defined",W$39,SUMIFS('Background (from TC)'!$Y$4:$Y$1048576,'Background (from TC)'!$D$4:$D$1048576,W$15,'Background (from TC)'!$E$4:$E$1048576,W$16,'Background (from TC)'!$O$4:$O$1048576,W$17))))</f>
        <v/>
      </c>
      <c r="X42" s="44" t="str">
        <f>IF(X15="","",IF(X15&lt;&gt;"Storage","",IF(X$38="User Defined",X$39,SUMIFS('Background (from TC)'!$Y$4:$Y$1048576,'Background (from TC)'!$D$4:$D$1048576,X$15,'Background (from TC)'!$E$4:$E$1048576,X$16,'Background (from TC)'!$O$4:$O$1048576,X$17))))</f>
        <v/>
      </c>
      <c r="Y42" s="44" t="str">
        <f>IF(Y15="","",IF(Y15&lt;&gt;"Storage","",IF(Y$38="User Defined",Y$39,SUMIFS('Background (from TC)'!$Y$4:$Y$1048576,'Background (from TC)'!$D$4:$D$1048576,Y$15,'Background (from TC)'!$E$4:$E$1048576,Y$16,'Background (from TC)'!$O$4:$O$1048576,Y$17))))</f>
        <v/>
      </c>
      <c r="Z42" s="44" t="str">
        <f>IF(Z15="","",IF(Z15&lt;&gt;"Storage","",IF(Z$38="User Defined",Z$39,SUMIFS('Background (from TC)'!$Y$4:$Y$1048576,'Background (from TC)'!$D$4:$D$1048576,Z$15,'Background (from TC)'!$E$4:$E$1048576,Z$16,'Background (from TC)'!$O$4:$O$1048576,Z$17))))</f>
        <v/>
      </c>
    </row>
    <row r="43" spans="2:26">
      <c r="B43" s="278" t="s">
        <v>63</v>
      </c>
      <c r="C43" s="44" t="str">
        <f>IF(C15="","",IF(C15&lt;&gt;"Storage","",IF(C$38="User Defined",C$40,SUMIFS('Background (from TC)'!$Z$4:$Z$1048576,'Background (from TC)'!$D$4:$D$1048576,C$15,'Background (from TC)'!$E$4:$E$1048576,C$16,'Background (from TC)'!$O$4:$O$1048576,C$17))))</f>
        <v/>
      </c>
      <c r="D43" s="44" t="str">
        <f>IF(D15="","",IF(D15&lt;&gt;"Storage","",IF(D$38="User Defined",D$40,SUMIFS('Background (from TC)'!$Z$4:$Z$1048576,'Background (from TC)'!$D$4:$D$1048576,D$15,'Background (from TC)'!$E$4:$E$1048576,D$16,'Background (from TC)'!$O$4:$O$1048576,D$17))))</f>
        <v/>
      </c>
      <c r="E43" s="44" t="str">
        <f>IF(E15="","",IF(E15&lt;&gt;"Storage","",IF(E$38="User Defined",E$40,SUMIFS('Background (from TC)'!$Z$4:$Z$1048576,'Background (from TC)'!$D$4:$D$1048576,E$15,'Background (from TC)'!$E$4:$E$1048576,E$16,'Background (from TC)'!$O$4:$O$1048576,E$17))))</f>
        <v/>
      </c>
      <c r="F43" s="44" t="str">
        <f>IF(F15="","",IF(F15&lt;&gt;"Storage","",IF(F$38="User Defined",F$40,SUMIFS('Background (from TC)'!$Z$4:$Z$1048576,'Background (from TC)'!$D$4:$D$1048576,F$15,'Background (from TC)'!$E$4:$E$1048576,F$16,'Background (from TC)'!$O$4:$O$1048576,F$17))))</f>
        <v/>
      </c>
      <c r="G43" s="44" t="str">
        <f>IF(G15="","",IF(G15&lt;&gt;"Storage","",IF(G$38="User Defined",G$40,SUMIFS('Background (from TC)'!$Z$4:$Z$1048576,'Background (from TC)'!$D$4:$D$1048576,G$15,'Background (from TC)'!$E$4:$E$1048576,G$16,'Background (from TC)'!$O$4:$O$1048576,G$17))))</f>
        <v/>
      </c>
      <c r="H43" s="44" t="str">
        <f>IF(H15="","",IF(H15&lt;&gt;"Storage","",IF(H$38="User Defined",H$40,SUMIFS('Background (from TC)'!$Z$4:$Z$1048576,'Background (from TC)'!$D$4:$D$1048576,H$15,'Background (from TC)'!$E$4:$E$1048576,H$16,'Background (from TC)'!$O$4:$O$1048576,H$17))))</f>
        <v/>
      </c>
      <c r="I43" s="44" t="str">
        <f>IF(I15="","",IF(I15&lt;&gt;"Storage","",IF(I$38="User Defined",I$40,SUMIFS('Background (from TC)'!$Z$4:$Z$1048576,'Background (from TC)'!$D$4:$D$1048576,I$15,'Background (from TC)'!$E$4:$E$1048576,I$16,'Background (from TC)'!$O$4:$O$1048576,I$17))))</f>
        <v/>
      </c>
      <c r="J43" s="44" t="str">
        <f>IF(J15="","",IF(J15&lt;&gt;"Storage","",IF(J$38="User Defined",J$40,SUMIFS('Background (from TC)'!$Z$4:$Z$1048576,'Background (from TC)'!$D$4:$D$1048576,J$15,'Background (from TC)'!$E$4:$E$1048576,J$16,'Background (from TC)'!$O$4:$O$1048576,J$17))))</f>
        <v/>
      </c>
      <c r="K43" s="44" t="str">
        <f>IF(K15="","",IF(K15&lt;&gt;"Storage","",IF(K$38="User Defined",K$40,SUMIFS('Background (from TC)'!$Z$4:$Z$1048576,'Background (from TC)'!$D$4:$D$1048576,K$15,'Background (from TC)'!$E$4:$E$1048576,K$16,'Background (from TC)'!$O$4:$O$1048576,K$17))))</f>
        <v/>
      </c>
      <c r="L43" s="44" t="str">
        <f>IF(L15="","",IF(L15&lt;&gt;"Storage","",IF(L$38="User Defined",L$40,SUMIFS('Background (from TC)'!$Z$4:$Z$1048576,'Background (from TC)'!$D$4:$D$1048576,L$15,'Background (from TC)'!$E$4:$E$1048576,L$16,'Background (from TC)'!$O$4:$O$1048576,L$17))))</f>
        <v/>
      </c>
      <c r="M43" s="44" t="str">
        <f>IF(M15="","",IF(M15&lt;&gt;"Storage","",IF(M$38="User Defined",M$40,SUMIFS('Background (from TC)'!$Z$4:$Z$1048576,'Background (from TC)'!$D$4:$D$1048576,M$15,'Background (from TC)'!$E$4:$E$1048576,M$16,'Background (from TC)'!$O$4:$O$1048576,M$17))))</f>
        <v/>
      </c>
      <c r="N43" s="44" t="str">
        <f>IF(N15="","",IF(N15&lt;&gt;"Storage","",IF(N$38="User Defined",N$40,SUMIFS('Background (from TC)'!$Z$4:$Z$1048576,'Background (from TC)'!$D$4:$D$1048576,N$15,'Background (from TC)'!$E$4:$E$1048576,N$16,'Background (from TC)'!$O$4:$O$1048576,N$17))))</f>
        <v/>
      </c>
      <c r="O43" s="44" t="str">
        <f>IF(O15="","",IF(O15&lt;&gt;"Storage","",IF(O$38="User Defined",O$40,SUMIFS('Background (from TC)'!$Z$4:$Z$1048576,'Background (from TC)'!$D$4:$D$1048576,O$15,'Background (from TC)'!$E$4:$E$1048576,O$16,'Background (from TC)'!$O$4:$O$1048576,O$17))))</f>
        <v/>
      </c>
      <c r="P43" s="44" t="str">
        <f>IF(P15="","",IF(P15&lt;&gt;"Storage","",IF(P$38="User Defined",P$40,SUMIFS('Background (from TC)'!$Z$4:$Z$1048576,'Background (from TC)'!$D$4:$D$1048576,P$15,'Background (from TC)'!$E$4:$E$1048576,P$16,'Background (from TC)'!$O$4:$O$1048576,P$17))))</f>
        <v/>
      </c>
      <c r="Q43" s="44" t="str">
        <f>IF(Q15="","",IF(Q15&lt;&gt;"Storage","",IF(Q$38="User Defined",Q$40,SUMIFS('Background (from TC)'!$Z$4:$Z$1048576,'Background (from TC)'!$D$4:$D$1048576,Q$15,'Background (from TC)'!$E$4:$E$1048576,Q$16,'Background (from TC)'!$O$4:$O$1048576,Q$17))))</f>
        <v/>
      </c>
      <c r="R43" s="44" t="str">
        <f>IF(R15="","",IF(R15&lt;&gt;"Storage","",IF(R$38="User Defined",R$40,SUMIFS('Background (from TC)'!$Z$4:$Z$1048576,'Background (from TC)'!$D$4:$D$1048576,R$15,'Background (from TC)'!$E$4:$E$1048576,R$16,'Background (from TC)'!$O$4:$O$1048576,R$17))))</f>
        <v/>
      </c>
      <c r="S43" s="44" t="str">
        <f>IF(S15="","",IF(S15&lt;&gt;"Storage","",IF(S$38="User Defined",S$40,SUMIFS('Background (from TC)'!$Z$4:$Z$1048576,'Background (from TC)'!$D$4:$D$1048576,S$15,'Background (from TC)'!$E$4:$E$1048576,S$16,'Background (from TC)'!$O$4:$O$1048576,S$17))))</f>
        <v/>
      </c>
      <c r="T43" s="44" t="str">
        <f>IF(T15="","",IF(T15&lt;&gt;"Storage","",IF(T$38="User Defined",T$40,SUMIFS('Background (from TC)'!$Z$4:$Z$1048576,'Background (from TC)'!$D$4:$D$1048576,T$15,'Background (from TC)'!$E$4:$E$1048576,T$16,'Background (from TC)'!$O$4:$O$1048576,T$17))))</f>
        <v/>
      </c>
      <c r="U43" s="44" t="str">
        <f>IF(U15="","",IF(U15&lt;&gt;"Storage","",IF(U$38="User Defined",U$40,SUMIFS('Background (from TC)'!$Z$4:$Z$1048576,'Background (from TC)'!$D$4:$D$1048576,U$15,'Background (from TC)'!$E$4:$E$1048576,U$16,'Background (from TC)'!$O$4:$O$1048576,U$17))))</f>
        <v/>
      </c>
      <c r="V43" s="44" t="str">
        <f>IF(V15="","",IF(V15&lt;&gt;"Storage","",IF(V$38="User Defined",V$40,SUMIFS('Background (from TC)'!$Z$4:$Z$1048576,'Background (from TC)'!$D$4:$D$1048576,V$15,'Background (from TC)'!$E$4:$E$1048576,V$16,'Background (from TC)'!$O$4:$O$1048576,V$17))))</f>
        <v/>
      </c>
      <c r="W43" s="44" t="str">
        <f>IF(W15="","",IF(W15&lt;&gt;"Storage","",IF(W$38="User Defined",W$40,SUMIFS('Background (from TC)'!$Z$4:$Z$1048576,'Background (from TC)'!$D$4:$D$1048576,W$15,'Background (from TC)'!$E$4:$E$1048576,W$16,'Background (from TC)'!$O$4:$O$1048576,W$17))))</f>
        <v/>
      </c>
      <c r="X43" s="44" t="str">
        <f>IF(X15="","",IF(X15&lt;&gt;"Storage","",IF(X$38="User Defined",X$40,SUMIFS('Background (from TC)'!$Z$4:$Z$1048576,'Background (from TC)'!$D$4:$D$1048576,X$15,'Background (from TC)'!$E$4:$E$1048576,X$16,'Background (from TC)'!$O$4:$O$1048576,X$17))))</f>
        <v/>
      </c>
      <c r="Y43" s="44" t="str">
        <f>IF(Y15="","",IF(Y15&lt;&gt;"Storage","",IF(Y$38="User Defined",Y$40,SUMIFS('Background (from TC)'!$Z$4:$Z$1048576,'Background (from TC)'!$D$4:$D$1048576,Y$15,'Background (from TC)'!$E$4:$E$1048576,Y$16,'Background (from TC)'!$O$4:$O$1048576,Y$17))))</f>
        <v/>
      </c>
      <c r="Z43" s="44" t="str">
        <f>IF(Z15="","",IF(Z15&lt;&gt;"Storage","",IF(Z$38="User Defined",Z$40,SUMIFS('Background (from TC)'!$Z$4:$Z$1048576,'Background (from TC)'!$D$4:$D$1048576,Z$15,'Background (from TC)'!$E$4:$E$1048576,Z$16,'Background (from TC)'!$O$4:$O$1048576,Z$17))))</f>
        <v/>
      </c>
    </row>
    <row r="44" spans="2:26">
      <c r="B44" s="278" t="s">
        <v>64</v>
      </c>
      <c r="C44" s="44" t="str">
        <f>IF(C15="","",IF(C15&lt;&gt;"Storage","",IF(C$38="User Defined",C$41,SUMIFS('Background (from TC)'!$AA$4:$AA$1048576,'Background (from TC)'!$D$4:$D$1048576,C$15,'Background (from TC)'!$E$4:$E$1048576,C$16,'Background (from TC)'!$O$4:$O$1048576,C$17))))</f>
        <v/>
      </c>
      <c r="D44" s="44" t="str">
        <f>IF(D15="","",IF(D15&lt;&gt;"Storage","",IF(D$38="User Defined",D$41,SUMIFS('Background (from TC)'!$AA$4:$AA$1048576,'Background (from TC)'!$D$4:$D$1048576,D$15,'Background (from TC)'!$E$4:$E$1048576,D$16,'Background (from TC)'!$O$4:$O$1048576,D$17))))</f>
        <v/>
      </c>
      <c r="E44" s="44" t="str">
        <f>IF(E15="","",IF(E15&lt;&gt;"Storage","",IF(E$38="User Defined",E$41,SUMIFS('Background (from TC)'!$AA$4:$AA$1048576,'Background (from TC)'!$D$4:$D$1048576,E$15,'Background (from TC)'!$E$4:$E$1048576,E$16,'Background (from TC)'!$O$4:$O$1048576,E$17))))</f>
        <v/>
      </c>
      <c r="F44" s="44" t="str">
        <f>IF(F15="","",IF(F15&lt;&gt;"Storage","",IF(F$38="User Defined",F$41,SUMIFS('Background (from TC)'!$AA$4:$AA$1048576,'Background (from TC)'!$D$4:$D$1048576,F$15,'Background (from TC)'!$E$4:$E$1048576,F$16,'Background (from TC)'!$O$4:$O$1048576,F$17))))</f>
        <v/>
      </c>
      <c r="G44" s="44" t="str">
        <f>IF(G15="","",IF(G15&lt;&gt;"Storage","",IF(G$38="User Defined",G$41,SUMIFS('Background (from TC)'!$AA$4:$AA$1048576,'Background (from TC)'!$D$4:$D$1048576,G$15,'Background (from TC)'!$E$4:$E$1048576,G$16,'Background (from TC)'!$O$4:$O$1048576,G$17))))</f>
        <v/>
      </c>
      <c r="H44" s="44" t="str">
        <f>IF(H15="","",IF(H15&lt;&gt;"Storage","",IF(H$38="User Defined",H$41,SUMIFS('Background (from TC)'!$AA$4:$AA$1048576,'Background (from TC)'!$D$4:$D$1048576,H$15,'Background (from TC)'!$E$4:$E$1048576,H$16,'Background (from TC)'!$O$4:$O$1048576,H$17))))</f>
        <v/>
      </c>
      <c r="I44" s="44" t="str">
        <f>IF(I15="","",IF(I15&lt;&gt;"Storage","",IF(I$38="User Defined",I$41,SUMIFS('Background (from TC)'!$AA$4:$AA$1048576,'Background (from TC)'!$D$4:$D$1048576,I$15,'Background (from TC)'!$E$4:$E$1048576,I$16,'Background (from TC)'!$O$4:$O$1048576,I$17))))</f>
        <v/>
      </c>
      <c r="J44" s="44" t="str">
        <f>IF(J15="","",IF(J15&lt;&gt;"Storage","",IF(J$38="User Defined",J$41,SUMIFS('Background (from TC)'!$AA$4:$AA$1048576,'Background (from TC)'!$D$4:$D$1048576,J$15,'Background (from TC)'!$E$4:$E$1048576,J$16,'Background (from TC)'!$O$4:$O$1048576,J$17))))</f>
        <v/>
      </c>
      <c r="K44" s="44" t="str">
        <f>IF(K15="","",IF(K15&lt;&gt;"Storage","",IF(K$38="User Defined",K$41,SUMIFS('Background (from TC)'!$AA$4:$AA$1048576,'Background (from TC)'!$D$4:$D$1048576,K$15,'Background (from TC)'!$E$4:$E$1048576,K$16,'Background (from TC)'!$O$4:$O$1048576,K$17))))</f>
        <v/>
      </c>
      <c r="L44" s="44" t="str">
        <f>IF(L15="","",IF(L15&lt;&gt;"Storage","",IF(L$38="User Defined",L$41,SUMIFS('Background (from TC)'!$AA$4:$AA$1048576,'Background (from TC)'!$D$4:$D$1048576,L$15,'Background (from TC)'!$E$4:$E$1048576,L$16,'Background (from TC)'!$O$4:$O$1048576,L$17))))</f>
        <v/>
      </c>
      <c r="M44" s="44" t="str">
        <f>IF(M15="","",IF(M15&lt;&gt;"Storage","",IF(M$38="User Defined",M$41,SUMIFS('Background (from TC)'!$AA$4:$AA$1048576,'Background (from TC)'!$D$4:$D$1048576,M$15,'Background (from TC)'!$E$4:$E$1048576,M$16,'Background (from TC)'!$O$4:$O$1048576,M$17))))</f>
        <v/>
      </c>
      <c r="N44" s="44" t="str">
        <f>IF(N15="","",IF(N15&lt;&gt;"Storage","",IF(N$38="User Defined",N$41,SUMIFS('Background (from TC)'!$AA$4:$AA$1048576,'Background (from TC)'!$D$4:$D$1048576,N$15,'Background (from TC)'!$E$4:$E$1048576,N$16,'Background (from TC)'!$O$4:$O$1048576,N$17))))</f>
        <v/>
      </c>
      <c r="O44" s="44" t="str">
        <f>IF(O15="","",IF(O15&lt;&gt;"Storage","",IF(O$38="User Defined",O$41,SUMIFS('Background (from TC)'!$AA$4:$AA$1048576,'Background (from TC)'!$D$4:$D$1048576,O$15,'Background (from TC)'!$E$4:$E$1048576,O$16,'Background (from TC)'!$O$4:$O$1048576,O$17))))</f>
        <v/>
      </c>
      <c r="P44" s="44" t="str">
        <f>IF(P15="","",IF(P15&lt;&gt;"Storage","",IF(P$38="User Defined",P$41,SUMIFS('Background (from TC)'!$AA$4:$AA$1048576,'Background (from TC)'!$D$4:$D$1048576,P$15,'Background (from TC)'!$E$4:$E$1048576,P$16,'Background (from TC)'!$O$4:$O$1048576,P$17))))</f>
        <v/>
      </c>
      <c r="Q44" s="44" t="str">
        <f>IF(Q15="","",IF(Q15&lt;&gt;"Storage","",IF(Q$38="User Defined",Q$41,SUMIFS('Background (from TC)'!$AA$4:$AA$1048576,'Background (from TC)'!$D$4:$D$1048576,Q$15,'Background (from TC)'!$E$4:$E$1048576,Q$16,'Background (from TC)'!$O$4:$O$1048576,Q$17))))</f>
        <v/>
      </c>
      <c r="R44" s="44" t="str">
        <f>IF(R15="","",IF(R15&lt;&gt;"Storage","",IF(R$38="User Defined",R$41,SUMIFS('Background (from TC)'!$AA$4:$AA$1048576,'Background (from TC)'!$D$4:$D$1048576,R$15,'Background (from TC)'!$E$4:$E$1048576,R$16,'Background (from TC)'!$O$4:$O$1048576,R$17))))</f>
        <v/>
      </c>
      <c r="S44" s="44" t="str">
        <f>IF(S15="","",IF(S15&lt;&gt;"Storage","",IF(S$38="User Defined",S$41,SUMIFS('Background (from TC)'!$AA$4:$AA$1048576,'Background (from TC)'!$D$4:$D$1048576,S$15,'Background (from TC)'!$E$4:$E$1048576,S$16,'Background (from TC)'!$O$4:$O$1048576,S$17))))</f>
        <v/>
      </c>
      <c r="T44" s="44" t="str">
        <f>IF(T15="","",IF(T15&lt;&gt;"Storage","",IF(T$38="User Defined",T$41,SUMIFS('Background (from TC)'!$AA$4:$AA$1048576,'Background (from TC)'!$D$4:$D$1048576,T$15,'Background (from TC)'!$E$4:$E$1048576,T$16,'Background (from TC)'!$O$4:$O$1048576,T$17))))</f>
        <v/>
      </c>
      <c r="U44" s="44" t="str">
        <f>IF(U15="","",IF(U15&lt;&gt;"Storage","",IF(U$38="User Defined",U$41,SUMIFS('Background (from TC)'!$AA$4:$AA$1048576,'Background (from TC)'!$D$4:$D$1048576,U$15,'Background (from TC)'!$E$4:$E$1048576,U$16,'Background (from TC)'!$O$4:$O$1048576,U$17))))</f>
        <v/>
      </c>
      <c r="V44" s="44" t="str">
        <f>IF(V15="","",IF(V15&lt;&gt;"Storage","",IF(V$38="User Defined",V$41,SUMIFS('Background (from TC)'!$AA$4:$AA$1048576,'Background (from TC)'!$D$4:$D$1048576,V$15,'Background (from TC)'!$E$4:$E$1048576,V$16,'Background (from TC)'!$O$4:$O$1048576,V$17))))</f>
        <v/>
      </c>
      <c r="W44" s="44" t="str">
        <f>IF(W15="","",IF(W15&lt;&gt;"Storage","",IF(W$38="User Defined",W$41,SUMIFS('Background (from TC)'!$AA$4:$AA$1048576,'Background (from TC)'!$D$4:$D$1048576,W$15,'Background (from TC)'!$E$4:$E$1048576,W$16,'Background (from TC)'!$O$4:$O$1048576,W$17))))</f>
        <v/>
      </c>
      <c r="X44" s="44" t="str">
        <f>IF(X15="","",IF(X15&lt;&gt;"Storage","",IF(X$38="User Defined",X$41,SUMIFS('Background (from TC)'!$AA$4:$AA$1048576,'Background (from TC)'!$D$4:$D$1048576,X$15,'Background (from TC)'!$E$4:$E$1048576,X$16,'Background (from TC)'!$O$4:$O$1048576,X$17))))</f>
        <v/>
      </c>
      <c r="Y44" s="44" t="str">
        <f>IF(Y15="","",IF(Y15&lt;&gt;"Storage","",IF(Y$38="User Defined",Y$41,SUMIFS('Background (from TC)'!$AA$4:$AA$1048576,'Background (from TC)'!$D$4:$D$1048576,Y$15,'Background (from TC)'!$E$4:$E$1048576,Y$16,'Background (from TC)'!$O$4:$O$1048576,Y$17))))</f>
        <v/>
      </c>
      <c r="Z44" s="44" t="str">
        <f>IF(Z15="","",IF(Z15&lt;&gt;"Storage","",IF(Z$38="User Defined",Z$41,SUMIFS('Background (from TC)'!$AA$4:$AA$1048576,'Background (from TC)'!$D$4:$D$1048576,Z$15,'Background (from TC)'!$E$4:$E$1048576,Z$16,'Background (from TC)'!$O$4:$O$1048576,Z$17))))</f>
        <v/>
      </c>
    </row>
    <row r="45" spans="2:26">
      <c r="B45" s="278" t="s">
        <v>65</v>
      </c>
      <c r="C45" s="55" t="str">
        <f>IF(C15="","",IF(C15&lt;&gt;"Storage","",C42/C43/SUMIFS('Background (from TC)'!$T$4:$T$1048576,'Background (from TC)'!$D$4:$D$1048576,C$15,'Background (from TC)'!$E$4:$E$1048576,C$16,'Background (from TC)'!$O$4:$O$1048576,C$17)))</f>
        <v/>
      </c>
      <c r="D45" s="61" t="str">
        <f>IF(D15="","",IF(D15&lt;&gt;"Storage","",D42/D43/SUMIFS('Background (from TC)'!$T$4:$T$1048576,'Background (from TC)'!$D$4:$D$1048576,D$15,'Background (from TC)'!$E$4:$E$1048576,D$16,'Background (from TC)'!$O$4:$O$1048576,D$17)))</f>
        <v/>
      </c>
      <c r="E45" s="61" t="str">
        <f>IF(E15="","",IF(E15&lt;&gt;"Storage","",E42/E43/SUMIFS('Background (from TC)'!$T$4:$T$1048576,'Background (from TC)'!$D$4:$D$1048576,E$15,'Background (from TC)'!$E$4:$E$1048576,E$16,'Background (from TC)'!$O$4:$O$1048576,E$17)))</f>
        <v/>
      </c>
      <c r="F45" s="61" t="str">
        <f>IF(F15="","",IF(F15&lt;&gt;"Storage","",F42/F43/SUMIFS('Background (from TC)'!$T$4:$T$1048576,'Background (from TC)'!$D$4:$D$1048576,F$15,'Background (from TC)'!$E$4:$E$1048576,F$16,'Background (from TC)'!$O$4:$O$1048576,F$17)))</f>
        <v/>
      </c>
      <c r="G45" s="61" t="str">
        <f>IF(G15="","",IF(G15&lt;&gt;"Storage","",G42/G43/SUMIFS('Background (from TC)'!$T$4:$T$1048576,'Background (from TC)'!$D$4:$D$1048576,G$15,'Background (from TC)'!$E$4:$E$1048576,G$16,'Background (from TC)'!$O$4:$O$1048576,G$17)))</f>
        <v/>
      </c>
      <c r="H45" s="61" t="str">
        <f>IF(H15="","",IF(H15&lt;&gt;"Storage","",H42/H43/SUMIFS('Background (from TC)'!$T$4:$T$1048576,'Background (from TC)'!$D$4:$D$1048576,H$15,'Background (from TC)'!$E$4:$E$1048576,H$16,'Background (from TC)'!$O$4:$O$1048576,H$17)))</f>
        <v/>
      </c>
      <c r="I45" s="61" t="str">
        <f>IF(I15="","",IF(I15&lt;&gt;"Storage","",I42/I43/SUMIFS('Background (from TC)'!$T$4:$T$1048576,'Background (from TC)'!$D$4:$D$1048576,I$15,'Background (from TC)'!$E$4:$E$1048576,I$16,'Background (from TC)'!$O$4:$O$1048576,I$17)))</f>
        <v/>
      </c>
      <c r="J45" s="61" t="str">
        <f>IF(J15="","",IF(J15&lt;&gt;"Storage","",J42/J43/SUMIFS('Background (from TC)'!$T$4:$T$1048576,'Background (from TC)'!$D$4:$D$1048576,J$15,'Background (from TC)'!$E$4:$E$1048576,J$16,'Background (from TC)'!$O$4:$O$1048576,J$17)))</f>
        <v/>
      </c>
      <c r="K45" s="293" t="str">
        <f>IF(K15="","",IF(K15&lt;&gt;"Storage","",K42/K43/SUMIFS('Background (from TC)'!$T$4:$T$1048576,'Background (from TC)'!$D$4:$D$1048576,K$15,'Background (from TC)'!$E$4:$E$1048576,K$16,'Background (from TC)'!$O$4:$O$1048576,K$17)))</f>
        <v/>
      </c>
      <c r="L45" s="61" t="str">
        <f>IF(L15="","",IF(L15&lt;&gt;"Storage","",L42/L43/SUMIFS('Background (from TC)'!$T$4:$T$1048576,'Background (from TC)'!$D$4:$D$1048576,L$15,'Background (from TC)'!$E$4:$E$1048576,L$16,'Background (from TC)'!$O$4:$O$1048576,L$17)))</f>
        <v/>
      </c>
      <c r="M45" s="61" t="str">
        <f>IF(M15="","",IF(M15&lt;&gt;"Storage","",M42/M43/SUMIFS('Background (from TC)'!$T$4:$T$1048576,'Background (from TC)'!$D$4:$D$1048576,M$15,'Background (from TC)'!$E$4:$E$1048576,M$16,'Background (from TC)'!$O$4:$O$1048576,M$17)))</f>
        <v/>
      </c>
      <c r="N45" s="61" t="str">
        <f>IF(N15="","",IF(N15&lt;&gt;"Storage","",N42/N43/SUMIFS('Background (from TC)'!$T$4:$T$1048576,'Background (from TC)'!$D$4:$D$1048576,N$15,'Background (from TC)'!$E$4:$E$1048576,N$16,'Background (from TC)'!$O$4:$O$1048576,N$17)))</f>
        <v/>
      </c>
      <c r="O45" s="61" t="str">
        <f>IF(O15="","",IF(O15&lt;&gt;"Storage","",O42/O43/SUMIFS('Background (from TC)'!$T$4:$T$1048576,'Background (from TC)'!$D$4:$D$1048576,O$15,'Background (from TC)'!$E$4:$E$1048576,O$16,'Background (from TC)'!$O$4:$O$1048576,O$17)))</f>
        <v/>
      </c>
      <c r="P45" s="61" t="str">
        <f>IF(P15="","",IF(P15&lt;&gt;"Storage","",P42/P43/SUMIFS('Background (from TC)'!$T$4:$T$1048576,'Background (from TC)'!$D$4:$D$1048576,P$15,'Background (from TC)'!$E$4:$E$1048576,P$16,'Background (from TC)'!$O$4:$O$1048576,P$17)))</f>
        <v/>
      </c>
      <c r="Q45" s="61" t="str">
        <f>IF(Q15="","",IF(Q15&lt;&gt;"Storage","",Q42/Q43/SUMIFS('Background (from TC)'!$T$4:$T$1048576,'Background (from TC)'!$D$4:$D$1048576,Q$15,'Background (from TC)'!$E$4:$E$1048576,Q$16,'Background (from TC)'!$O$4:$O$1048576,Q$17)))</f>
        <v/>
      </c>
      <c r="R45" s="61" t="str">
        <f>IF(R15="","",IF(R15&lt;&gt;"Storage","",R42/R43/SUMIFS('Background (from TC)'!$T$4:$T$1048576,'Background (from TC)'!$D$4:$D$1048576,R$15,'Background (from TC)'!$E$4:$E$1048576,R$16,'Background (from TC)'!$O$4:$O$1048576,R$17)))</f>
        <v/>
      </c>
      <c r="S45" s="61" t="str">
        <f>IF(S15="","",IF(S15&lt;&gt;"Storage","",S42/S43/SUMIFS('Background (from TC)'!$T$4:$T$1048576,'Background (from TC)'!$D$4:$D$1048576,S$15,'Background (from TC)'!$E$4:$E$1048576,S$16,'Background (from TC)'!$O$4:$O$1048576,S$17)))</f>
        <v/>
      </c>
      <c r="T45" s="61" t="str">
        <f>IF(T15="","",IF(T15&lt;&gt;"Storage","",T42/T43/SUMIFS('Background (from TC)'!$T$4:$T$1048576,'Background (from TC)'!$D$4:$D$1048576,T$15,'Background (from TC)'!$E$4:$E$1048576,T$16,'Background (from TC)'!$O$4:$O$1048576,T$17)))</f>
        <v/>
      </c>
      <c r="U45" s="61" t="str">
        <f>IF(U15="","",IF(U15&lt;&gt;"Storage","",U42/U43/SUMIFS('Background (from TC)'!$T$4:$T$1048576,'Background (from TC)'!$D$4:$D$1048576,U$15,'Background (from TC)'!$E$4:$E$1048576,U$16,'Background (from TC)'!$O$4:$O$1048576,U$17)))</f>
        <v/>
      </c>
      <c r="V45" s="61" t="str">
        <f>IF(V15="","",IF(V15&lt;&gt;"Storage","",V42/V43/SUMIFS('Background (from TC)'!$T$4:$T$1048576,'Background (from TC)'!$D$4:$D$1048576,V$15,'Background (from TC)'!$E$4:$E$1048576,V$16,'Background (from TC)'!$O$4:$O$1048576,V$17)))</f>
        <v/>
      </c>
      <c r="W45" s="61" t="str">
        <f>IF(W15="","",IF(W15&lt;&gt;"Storage","",W42/W43/SUMIFS('Background (from TC)'!$T$4:$T$1048576,'Background (from TC)'!$D$4:$D$1048576,W$15,'Background (from TC)'!$E$4:$E$1048576,W$16,'Background (from TC)'!$O$4:$O$1048576,W$17)))</f>
        <v/>
      </c>
      <c r="X45" s="61" t="str">
        <f>IF(X15="","",IF(X15&lt;&gt;"Storage","",X42/X43/SUMIFS('Background (from TC)'!$T$4:$T$1048576,'Background (from TC)'!$D$4:$D$1048576,X$15,'Background (from TC)'!$E$4:$E$1048576,X$16,'Background (from TC)'!$O$4:$O$1048576,X$17)))</f>
        <v/>
      </c>
      <c r="Y45" s="61" t="str">
        <f>IF(Y15="","",IF(Y15&lt;&gt;"Storage","",Y42/Y43/SUMIFS('Background (from TC)'!$T$4:$T$1048576,'Background (from TC)'!$D$4:$D$1048576,Y$15,'Background (from TC)'!$E$4:$E$1048576,Y$16,'Background (from TC)'!$O$4:$O$1048576,Y$17)))</f>
        <v/>
      </c>
      <c r="Z45" s="61" t="str">
        <f>IF(Z15="","",IF(Z15&lt;&gt;"Storage","",Z42/Z43/SUMIFS('Background (from TC)'!$T$4:$T$1048576,'Background (from TC)'!$D$4:$D$1048576,Z$15,'Background (from TC)'!$E$4:$E$1048576,Z$16,'Background (from TC)'!$O$4:$O$1048576,Z$17)))</f>
        <v/>
      </c>
    </row>
    <row r="46" spans="2:26">
      <c r="B46" s="278" t="s">
        <v>66</v>
      </c>
      <c r="C46" s="55" t="str">
        <f t="shared" ref="C46:Z46" si="4">IF(C15="","",IF(C15&lt;&gt;"Storage","",C42/C44))</f>
        <v/>
      </c>
      <c r="D46" s="61" t="str">
        <f t="shared" si="4"/>
        <v/>
      </c>
      <c r="E46" s="61" t="str">
        <f t="shared" si="4"/>
        <v/>
      </c>
      <c r="F46" s="61" t="str">
        <f t="shared" si="4"/>
        <v/>
      </c>
      <c r="G46" s="61" t="str">
        <f t="shared" si="4"/>
        <v/>
      </c>
      <c r="H46" s="61" t="str">
        <f t="shared" si="4"/>
        <v/>
      </c>
      <c r="I46" s="61" t="str">
        <f t="shared" si="4"/>
        <v/>
      </c>
      <c r="J46" s="61" t="str">
        <f t="shared" si="4"/>
        <v/>
      </c>
      <c r="K46" s="293" t="str">
        <f t="shared" si="4"/>
        <v/>
      </c>
      <c r="L46" s="61" t="str">
        <f t="shared" si="4"/>
        <v/>
      </c>
      <c r="M46" s="61" t="str">
        <f t="shared" si="4"/>
        <v/>
      </c>
      <c r="N46" s="61" t="str">
        <f t="shared" si="4"/>
        <v/>
      </c>
      <c r="O46" s="61" t="str">
        <f t="shared" si="4"/>
        <v/>
      </c>
      <c r="P46" s="61" t="str">
        <f t="shared" si="4"/>
        <v/>
      </c>
      <c r="Q46" s="61" t="str">
        <f t="shared" si="4"/>
        <v/>
      </c>
      <c r="R46" s="61" t="str">
        <f t="shared" si="4"/>
        <v/>
      </c>
      <c r="S46" s="61" t="str">
        <f t="shared" si="4"/>
        <v/>
      </c>
      <c r="T46" s="61" t="str">
        <f t="shared" si="4"/>
        <v/>
      </c>
      <c r="U46" s="61" t="str">
        <f t="shared" si="4"/>
        <v/>
      </c>
      <c r="V46" s="61" t="str">
        <f t="shared" si="4"/>
        <v/>
      </c>
      <c r="W46" s="61" t="str">
        <f t="shared" si="4"/>
        <v/>
      </c>
      <c r="X46" s="61" t="str">
        <f t="shared" si="4"/>
        <v/>
      </c>
      <c r="Y46" s="61" t="str">
        <f t="shared" si="4"/>
        <v/>
      </c>
      <c r="Z46" s="61" t="str">
        <f t="shared" si="4"/>
        <v/>
      </c>
    </row>
    <row r="47" spans="2:26">
      <c r="B47" s="278" t="s">
        <v>67</v>
      </c>
      <c r="C47" s="55"/>
      <c r="D47" s="61"/>
      <c r="E47" s="61"/>
      <c r="F47" s="61"/>
      <c r="G47" s="61"/>
      <c r="H47" s="61"/>
      <c r="I47" s="61"/>
      <c r="J47" s="61"/>
      <c r="K47" s="61">
        <v>300</v>
      </c>
      <c r="L47" s="61">
        <v>365</v>
      </c>
      <c r="M47" s="61"/>
      <c r="N47" s="61"/>
      <c r="O47" s="61"/>
      <c r="P47" s="61"/>
      <c r="Q47" s="61"/>
      <c r="R47" s="61"/>
      <c r="S47" s="61">
        <v>300</v>
      </c>
      <c r="T47" s="61">
        <v>300</v>
      </c>
      <c r="U47" s="61"/>
      <c r="V47" s="61"/>
      <c r="W47" s="61"/>
      <c r="X47" s="61"/>
      <c r="Y47" s="61"/>
      <c r="Z47" s="61"/>
    </row>
    <row r="48" spans="2:26">
      <c r="B48" s="278" t="s">
        <v>68</v>
      </c>
      <c r="C48" s="41"/>
      <c r="D48" s="41"/>
      <c r="E48" s="41"/>
      <c r="F48" s="41"/>
      <c r="G48" s="41"/>
      <c r="H48" s="41"/>
      <c r="I48" s="41"/>
      <c r="J48" s="41"/>
      <c r="K48" s="41">
        <v>1</v>
      </c>
      <c r="L48" s="41">
        <v>1</v>
      </c>
      <c r="M48" s="41"/>
      <c r="N48" s="41"/>
      <c r="O48" s="41"/>
      <c r="P48" s="41"/>
      <c r="Q48" s="41"/>
      <c r="R48" s="41"/>
      <c r="S48" s="41">
        <v>1</v>
      </c>
      <c r="T48" s="41">
        <v>1</v>
      </c>
      <c r="U48" s="41"/>
      <c r="V48" s="41"/>
      <c r="W48" s="41"/>
      <c r="X48" s="41"/>
      <c r="Y48" s="41"/>
      <c r="Z48" s="41"/>
    </row>
    <row r="49" spans="2:26">
      <c r="B49" s="278" t="s">
        <v>69</v>
      </c>
      <c r="C49" s="55" t="str">
        <f t="shared" ref="C49:Z49" si="5">IF(C15&lt;&gt;"Storage","",IFERROR(IF(C38="User defined",C47*IF(C48="",100%,C48),24/SUM(C45:C46)*365*100%),""))</f>
        <v/>
      </c>
      <c r="D49" s="55" t="str">
        <f t="shared" si="5"/>
        <v/>
      </c>
      <c r="E49" s="55" t="str">
        <f t="shared" si="5"/>
        <v/>
      </c>
      <c r="F49" s="55" t="str">
        <f t="shared" si="5"/>
        <v/>
      </c>
      <c r="G49" s="55" t="str">
        <f t="shared" si="5"/>
        <v/>
      </c>
      <c r="H49" s="55" t="str">
        <f t="shared" si="5"/>
        <v/>
      </c>
      <c r="I49" s="55" t="str">
        <f t="shared" si="5"/>
        <v/>
      </c>
      <c r="J49" s="55" t="str">
        <f t="shared" si="5"/>
        <v/>
      </c>
      <c r="K49" s="55" t="str">
        <f t="shared" si="5"/>
        <v/>
      </c>
      <c r="L49" s="55" t="str">
        <f t="shared" si="5"/>
        <v/>
      </c>
      <c r="M49" s="55" t="str">
        <f t="shared" si="5"/>
        <v/>
      </c>
      <c r="N49" s="55" t="str">
        <f t="shared" si="5"/>
        <v/>
      </c>
      <c r="O49" s="55" t="str">
        <f t="shared" si="5"/>
        <v/>
      </c>
      <c r="P49" s="55" t="str">
        <f t="shared" si="5"/>
        <v/>
      </c>
      <c r="Q49" s="55" t="str">
        <f t="shared" si="5"/>
        <v/>
      </c>
      <c r="R49" s="55" t="str">
        <f t="shared" si="5"/>
        <v/>
      </c>
      <c r="S49" s="55" t="str">
        <f t="shared" si="5"/>
        <v/>
      </c>
      <c r="T49" s="55" t="str">
        <f t="shared" si="5"/>
        <v/>
      </c>
      <c r="U49" s="55" t="str">
        <f t="shared" si="5"/>
        <v/>
      </c>
      <c r="V49" s="55" t="str">
        <f t="shared" si="5"/>
        <v/>
      </c>
      <c r="W49" s="55" t="str">
        <f t="shared" si="5"/>
        <v/>
      </c>
      <c r="X49" s="55" t="str">
        <f t="shared" si="5"/>
        <v/>
      </c>
      <c r="Y49" s="55" t="str">
        <f t="shared" si="5"/>
        <v/>
      </c>
      <c r="Z49" s="55" t="str">
        <f t="shared" si="5"/>
        <v/>
      </c>
    </row>
    <row r="50" spans="2:26">
      <c r="B50" s="278" t="s">
        <v>70</v>
      </c>
      <c r="C50" s="55" t="str">
        <f>IF(C15&lt;&gt;"Storage","",C49*C44*C46)</f>
        <v/>
      </c>
      <c r="D50" s="55" t="str">
        <f t="shared" ref="D50:Z50" si="6">IF(D15&lt;&gt;"Storage","",D49*D44*D46)</f>
        <v/>
      </c>
      <c r="E50" s="55" t="str">
        <f t="shared" si="6"/>
        <v/>
      </c>
      <c r="F50" s="55" t="str">
        <f t="shared" si="6"/>
        <v/>
      </c>
      <c r="G50" s="55" t="str">
        <f t="shared" si="6"/>
        <v/>
      </c>
      <c r="H50" s="55" t="str">
        <f t="shared" si="6"/>
        <v/>
      </c>
      <c r="I50" s="55" t="str">
        <f t="shared" si="6"/>
        <v/>
      </c>
      <c r="J50" s="55" t="str">
        <f t="shared" si="6"/>
        <v/>
      </c>
      <c r="K50" s="55" t="str">
        <f t="shared" si="6"/>
        <v/>
      </c>
      <c r="L50" s="55" t="str">
        <f t="shared" si="6"/>
        <v/>
      </c>
      <c r="M50" s="55" t="str">
        <f t="shared" si="6"/>
        <v/>
      </c>
      <c r="N50" s="55" t="str">
        <f t="shared" si="6"/>
        <v/>
      </c>
      <c r="O50" s="55" t="str">
        <f t="shared" si="6"/>
        <v/>
      </c>
      <c r="P50" s="55" t="str">
        <f t="shared" si="6"/>
        <v/>
      </c>
      <c r="Q50" s="55" t="str">
        <f t="shared" si="6"/>
        <v/>
      </c>
      <c r="R50" s="55" t="str">
        <f t="shared" si="6"/>
        <v/>
      </c>
      <c r="S50" s="55" t="str">
        <f t="shared" si="6"/>
        <v/>
      </c>
      <c r="T50" s="55" t="str">
        <f t="shared" si="6"/>
        <v/>
      </c>
      <c r="U50" s="55" t="str">
        <f t="shared" si="6"/>
        <v/>
      </c>
      <c r="V50" s="55" t="str">
        <f t="shared" si="6"/>
        <v/>
      </c>
      <c r="W50" s="55" t="str">
        <f t="shared" si="6"/>
        <v/>
      </c>
      <c r="X50" s="55" t="str">
        <f t="shared" si="6"/>
        <v/>
      </c>
      <c r="Y50" s="55" t="str">
        <f t="shared" si="6"/>
        <v/>
      </c>
      <c r="Z50" s="55" t="str">
        <f t="shared" si="6"/>
        <v/>
      </c>
    </row>
    <row r="51" spans="2:26">
      <c r="B51" s="278" t="s">
        <v>71</v>
      </c>
      <c r="C51" s="55" t="str">
        <f>IF(OR(C15="",C15&lt;&gt;"Storage"),"",SUMIFS('Background (from TC)'!$X$4:$X$1048576,'Background (from TC)'!$D$4:$D$1048576,C$15,'Background (from TC)'!$E$4:$E$1048576,C$16,'Background (from TC)'!$O$4:$O$1048576,C$17))</f>
        <v/>
      </c>
      <c r="D51" s="55" t="str">
        <f>IF(OR(D15="",D15&lt;&gt;"Storage"),"",SUMIFS('Background (from TC)'!$X$4:$X$1048576,'Background (from TC)'!$D$4:$D$1048576,D$15,'Background (from TC)'!$E$4:$E$1048576,D$16,'Background (from TC)'!$O$4:$O$1048576,D$17))</f>
        <v/>
      </c>
      <c r="E51" s="55" t="str">
        <f>IF(OR(E15="",E15&lt;&gt;"Storage"),"",SUMIFS('Background (from TC)'!$X$4:$X$1048576,'Background (from TC)'!$D$4:$D$1048576,E$15,'Background (from TC)'!$E$4:$E$1048576,E$16,'Background (from TC)'!$O$4:$O$1048576,E$17))</f>
        <v/>
      </c>
      <c r="F51" s="55" t="str">
        <f>IF(OR(F15="",F15&lt;&gt;"Storage"),"",SUMIFS('Background (from TC)'!$X$4:$X$1048576,'Background (from TC)'!$D$4:$D$1048576,F$15,'Background (from TC)'!$E$4:$E$1048576,F$16,'Background (from TC)'!$O$4:$O$1048576,F$17))</f>
        <v/>
      </c>
      <c r="G51" s="55" t="str">
        <f>IF(OR(G15="",G15&lt;&gt;"Storage"),"",SUMIFS('Background (from TC)'!$X$4:$X$1048576,'Background (from TC)'!$D$4:$D$1048576,G$15,'Background (from TC)'!$E$4:$E$1048576,G$16,'Background (from TC)'!$O$4:$O$1048576,G$17))</f>
        <v/>
      </c>
      <c r="H51" s="55" t="str">
        <f>IF(OR(H15="",H15&lt;&gt;"Storage"),"",SUMIFS('Background (from TC)'!$X$4:$X$1048576,'Background (from TC)'!$D$4:$D$1048576,H$15,'Background (from TC)'!$E$4:$E$1048576,H$16,'Background (from TC)'!$O$4:$O$1048576,H$17))</f>
        <v/>
      </c>
      <c r="I51" s="55" t="str">
        <f>IF(OR(I15="",I15&lt;&gt;"Storage"),"",SUMIFS('Background (from TC)'!$X$4:$X$1048576,'Background (from TC)'!$D$4:$D$1048576,I$15,'Background (from TC)'!$E$4:$E$1048576,I$16,'Background (from TC)'!$O$4:$O$1048576,I$17))</f>
        <v/>
      </c>
      <c r="J51" s="55" t="str">
        <f>IF(OR(J15="",J15&lt;&gt;"Storage"),"",SUMIFS('Background (from TC)'!$X$4:$X$1048576,'Background (from TC)'!$D$4:$D$1048576,J$15,'Background (from TC)'!$E$4:$E$1048576,J$16,'Background (from TC)'!$O$4:$O$1048576,J$17))</f>
        <v/>
      </c>
      <c r="K51" s="55" t="str">
        <f>IF(OR(K15="",K15&lt;&gt;"Storage"),"",SUMIFS('Background (from TC)'!$X$4:$X$1048576,'Background (from TC)'!$D$4:$D$1048576,K$15,'Background (from TC)'!$E$4:$E$1048576,K$16,'Background (from TC)'!$O$4:$O$1048576,K$17))</f>
        <v/>
      </c>
      <c r="L51" s="55" t="str">
        <f>IF(OR(L15="",L15&lt;&gt;"Storage"),"",SUMIFS('Background (from TC)'!$X$4:$X$1048576,'Background (from TC)'!$D$4:$D$1048576,L$15,'Background (from TC)'!$E$4:$E$1048576,L$16,'Background (from TC)'!$O$4:$O$1048576,L$17))</f>
        <v/>
      </c>
      <c r="M51" s="55" t="str">
        <f>IF(OR(M15="",M15&lt;&gt;"Storage"),"",SUMIFS('Background (from TC)'!$X$4:$X$1048576,'Background (from TC)'!$D$4:$D$1048576,M$15,'Background (from TC)'!$E$4:$E$1048576,M$16,'Background (from TC)'!$O$4:$O$1048576,M$17))</f>
        <v/>
      </c>
      <c r="N51" s="55" t="str">
        <f>IF(OR(N15="",N15&lt;&gt;"Storage"),"",SUMIFS('Background (from TC)'!$X$4:$X$1048576,'Background (from TC)'!$D$4:$D$1048576,N$15,'Background (from TC)'!$E$4:$E$1048576,N$16,'Background (from TC)'!$O$4:$O$1048576,N$17))</f>
        <v/>
      </c>
      <c r="O51" s="55" t="str">
        <f>IF(OR(O15="",O15&lt;&gt;"Storage"),"",SUMIFS('Background (from TC)'!$X$4:$X$1048576,'Background (from TC)'!$D$4:$D$1048576,O$15,'Background (from TC)'!$E$4:$E$1048576,O$16,'Background (from TC)'!$O$4:$O$1048576,O$17))</f>
        <v/>
      </c>
      <c r="P51" s="55" t="str">
        <f>IF(OR(P15="",P15&lt;&gt;"Storage"),"",SUMIFS('Background (from TC)'!$X$4:$X$1048576,'Background (from TC)'!$D$4:$D$1048576,P$15,'Background (from TC)'!$E$4:$E$1048576,P$16,'Background (from TC)'!$O$4:$O$1048576,P$17))</f>
        <v/>
      </c>
      <c r="Q51" s="55" t="str">
        <f>IF(OR(Q15="",Q15&lt;&gt;"Storage"),"",SUMIFS('Background (from TC)'!$X$4:$X$1048576,'Background (from TC)'!$D$4:$D$1048576,Q$15,'Background (from TC)'!$E$4:$E$1048576,Q$16,'Background (from TC)'!$O$4:$O$1048576,Q$17))</f>
        <v/>
      </c>
      <c r="R51" s="55" t="str">
        <f>IF(OR(R15="",R15&lt;&gt;"Storage"),"",SUMIFS('Background (from TC)'!$X$4:$X$1048576,'Background (from TC)'!$D$4:$D$1048576,R$15,'Background (from TC)'!$E$4:$E$1048576,R$16,'Background (from TC)'!$O$4:$O$1048576,R$17))</f>
        <v/>
      </c>
      <c r="S51" s="55" t="str">
        <f>IF(OR(S15="",S15&lt;&gt;"Storage"),"",SUMIFS('Background (from TC)'!$X$4:$X$1048576,'Background (from TC)'!$D$4:$D$1048576,S$15,'Background (from TC)'!$E$4:$E$1048576,S$16,'Background (from TC)'!$O$4:$O$1048576,S$17))</f>
        <v/>
      </c>
      <c r="T51" s="55" t="str">
        <f>IF(OR(T15="",T15&lt;&gt;"Storage"),"",SUMIFS('Background (from TC)'!$X$4:$X$1048576,'Background (from TC)'!$D$4:$D$1048576,T$15,'Background (from TC)'!$E$4:$E$1048576,T$16,'Background (from TC)'!$O$4:$O$1048576,T$17))</f>
        <v/>
      </c>
      <c r="U51" s="55" t="str">
        <f>IF(OR(U15="",U15&lt;&gt;"Storage"),"",SUMIFS('Background (from TC)'!$X$4:$X$1048576,'Background (from TC)'!$D$4:$D$1048576,U$15,'Background (from TC)'!$E$4:$E$1048576,U$16,'Background (from TC)'!$O$4:$O$1048576,U$17))</f>
        <v/>
      </c>
      <c r="V51" s="55" t="str">
        <f>IF(OR(V15="",V15&lt;&gt;"Storage"),"",SUMIFS('Background (from TC)'!$X$4:$X$1048576,'Background (from TC)'!$D$4:$D$1048576,V$15,'Background (from TC)'!$E$4:$E$1048576,V$16,'Background (from TC)'!$O$4:$O$1048576,V$17))</f>
        <v/>
      </c>
      <c r="W51" s="55" t="str">
        <f>IF(OR(W15="",W15&lt;&gt;"Storage"),"",SUMIFS('Background (from TC)'!$X$4:$X$1048576,'Background (from TC)'!$D$4:$D$1048576,W$15,'Background (from TC)'!$E$4:$E$1048576,W$16,'Background (from TC)'!$O$4:$O$1048576,W$17))</f>
        <v/>
      </c>
      <c r="X51" s="55" t="str">
        <f>IF(OR(X15="",X15&lt;&gt;"Storage"),"",SUMIFS('Background (from TC)'!$X$4:$X$1048576,'Background (from TC)'!$D$4:$D$1048576,X$15,'Background (from TC)'!$E$4:$E$1048576,X$16,'Background (from TC)'!$O$4:$O$1048576,X$17))</f>
        <v/>
      </c>
      <c r="Y51" s="55" t="str">
        <f>IF(OR(Y15="",Y15&lt;&gt;"Storage"),"",SUMIFS('Background (from TC)'!$X$4:$X$1048576,'Background (from TC)'!$D$4:$D$1048576,Y$15,'Background (from TC)'!$E$4:$E$1048576,Y$16,'Background (from TC)'!$O$4:$O$1048576,Y$17))</f>
        <v/>
      </c>
      <c r="Z51" s="55" t="str">
        <f>IF(OR(Z15="",Z15&lt;&gt;"Storage"),"",SUMIFS('Background (from TC)'!$X$4:$X$1048576,'Background (from TC)'!$D$4:$D$1048576,Z$15,'Background (from TC)'!$E$4:$E$1048576,Z$16,'Background (from TC)'!$O$4:$O$1048576,Z$17))</f>
        <v/>
      </c>
    </row>
    <row r="52" spans="2:26" ht="15.75" thickBot="1">
      <c r="B52" s="279" t="s">
        <v>72</v>
      </c>
      <c r="C52" s="55" t="str">
        <f>IF(C51="","",C51/C$18)</f>
        <v/>
      </c>
      <c r="D52" s="55" t="str">
        <f t="shared" ref="D52:Z52" si="7">IF(D51="","",D51/D$18)</f>
        <v/>
      </c>
      <c r="E52" s="55" t="str">
        <f t="shared" si="7"/>
        <v/>
      </c>
      <c r="F52" s="55" t="str">
        <f t="shared" si="7"/>
        <v/>
      </c>
      <c r="G52" s="55" t="str">
        <f t="shared" si="7"/>
        <v/>
      </c>
      <c r="H52" s="55" t="str">
        <f t="shared" si="7"/>
        <v/>
      </c>
      <c r="I52" s="55" t="str">
        <f t="shared" si="7"/>
        <v/>
      </c>
      <c r="J52" s="55" t="str">
        <f t="shared" si="7"/>
        <v/>
      </c>
      <c r="K52" s="55" t="str">
        <f t="shared" si="7"/>
        <v/>
      </c>
      <c r="L52" s="55" t="str">
        <f t="shared" si="7"/>
        <v/>
      </c>
      <c r="M52" s="55" t="str">
        <f t="shared" si="7"/>
        <v/>
      </c>
      <c r="N52" s="55" t="str">
        <f t="shared" si="7"/>
        <v/>
      </c>
      <c r="O52" s="55" t="str">
        <f t="shared" si="7"/>
        <v/>
      </c>
      <c r="P52" s="55" t="str">
        <f t="shared" si="7"/>
        <v/>
      </c>
      <c r="Q52" s="55" t="str">
        <f t="shared" si="7"/>
        <v/>
      </c>
      <c r="R52" s="55" t="str">
        <f t="shared" si="7"/>
        <v/>
      </c>
      <c r="S52" s="55" t="str">
        <f t="shared" si="7"/>
        <v/>
      </c>
      <c r="T52" s="55" t="str">
        <f t="shared" si="7"/>
        <v/>
      </c>
      <c r="U52" s="55" t="str">
        <f t="shared" si="7"/>
        <v/>
      </c>
      <c r="V52" s="55" t="str">
        <f t="shared" si="7"/>
        <v/>
      </c>
      <c r="W52" s="55" t="str">
        <f t="shared" si="7"/>
        <v/>
      </c>
      <c r="X52" s="55" t="str">
        <f t="shared" si="7"/>
        <v/>
      </c>
      <c r="Y52" s="55" t="str">
        <f t="shared" si="7"/>
        <v/>
      </c>
      <c r="Z52" s="55" t="str">
        <f t="shared" si="7"/>
        <v/>
      </c>
    </row>
    <row r="53" spans="2:26" ht="15.75" thickBot="1">
      <c r="B53" s="290" t="s">
        <v>43</v>
      </c>
      <c r="C53" s="294" t="str">
        <f t="shared" ref="C53:Z53" si="8">IF(C16="","",IF(C49&gt;C52,"Exceeding maximum possible annual cycles. Please revise",""))</f>
        <v/>
      </c>
      <c r="D53" s="258" t="str">
        <f t="shared" si="8"/>
        <v/>
      </c>
      <c r="E53" s="258" t="str">
        <f t="shared" si="8"/>
        <v/>
      </c>
      <c r="F53" s="258" t="str">
        <f t="shared" si="8"/>
        <v/>
      </c>
      <c r="G53" s="258" t="str">
        <f t="shared" si="8"/>
        <v/>
      </c>
      <c r="H53" s="258" t="str">
        <f t="shared" si="8"/>
        <v/>
      </c>
      <c r="I53" s="258" t="str">
        <f t="shared" si="8"/>
        <v/>
      </c>
      <c r="J53" s="258" t="str">
        <f t="shared" si="8"/>
        <v/>
      </c>
      <c r="K53" s="258" t="str">
        <f t="shared" si="8"/>
        <v/>
      </c>
      <c r="L53" s="258" t="str">
        <f t="shared" si="8"/>
        <v/>
      </c>
      <c r="M53" s="258" t="str">
        <f t="shared" si="8"/>
        <v/>
      </c>
      <c r="N53" s="258" t="str">
        <f t="shared" si="8"/>
        <v/>
      </c>
      <c r="O53" s="258" t="str">
        <f t="shared" si="8"/>
        <v/>
      </c>
      <c r="P53" s="258" t="str">
        <f t="shared" si="8"/>
        <v/>
      </c>
      <c r="Q53" s="258" t="str">
        <f t="shared" si="8"/>
        <v/>
      </c>
      <c r="R53" s="258" t="str">
        <f t="shared" si="8"/>
        <v/>
      </c>
      <c r="S53" s="258" t="str">
        <f t="shared" si="8"/>
        <v/>
      </c>
      <c r="T53" s="258" t="str">
        <f t="shared" si="8"/>
        <v/>
      </c>
      <c r="U53" s="258" t="str">
        <f t="shared" si="8"/>
        <v/>
      </c>
      <c r="V53" s="258" t="str">
        <f t="shared" si="8"/>
        <v/>
      </c>
      <c r="W53" s="258" t="str">
        <f t="shared" si="8"/>
        <v/>
      </c>
      <c r="X53" s="258" t="str">
        <f t="shared" si="8"/>
        <v/>
      </c>
      <c r="Y53" s="258" t="str">
        <f t="shared" si="8"/>
        <v/>
      </c>
      <c r="Z53" s="259" t="str">
        <f t="shared" si="8"/>
        <v/>
      </c>
    </row>
    <row r="54" spans="2:26" ht="15.75">
      <c r="B54" s="271"/>
    </row>
    <row r="55" spans="2:26" ht="15.75">
      <c r="B55" s="286" t="s">
        <v>73</v>
      </c>
    </row>
    <row r="56" spans="2:26">
      <c r="B56" s="278" t="s">
        <v>74</v>
      </c>
      <c r="C56" s="19" t="s">
        <v>46</v>
      </c>
      <c r="D56" s="19" t="s">
        <v>46</v>
      </c>
      <c r="E56" s="19" t="s">
        <v>46</v>
      </c>
      <c r="F56" s="19" t="s">
        <v>46</v>
      </c>
      <c r="G56" s="19" t="s">
        <v>46</v>
      </c>
      <c r="H56" s="19" t="s">
        <v>46</v>
      </c>
      <c r="I56" s="19" t="s">
        <v>46</v>
      </c>
      <c r="J56" s="19" t="s">
        <v>46</v>
      </c>
      <c r="K56" s="19" t="s">
        <v>46</v>
      </c>
      <c r="L56" s="19" t="s">
        <v>46</v>
      </c>
      <c r="M56" s="19" t="s">
        <v>46</v>
      </c>
      <c r="N56" s="19" t="s">
        <v>46</v>
      </c>
      <c r="O56" s="19" t="s">
        <v>46</v>
      </c>
      <c r="P56" s="19" t="s">
        <v>46</v>
      </c>
    </row>
    <row r="57" spans="2:26">
      <c r="B57" s="278" t="s">
        <v>75</v>
      </c>
      <c r="C57" s="43">
        <v>40</v>
      </c>
      <c r="D57" s="43">
        <v>60</v>
      </c>
      <c r="E57" s="43"/>
      <c r="F57" s="43"/>
      <c r="G57" s="43"/>
      <c r="H57" s="43">
        <v>4</v>
      </c>
      <c r="I57" s="43"/>
      <c r="J57" s="43"/>
      <c r="K57" s="43"/>
      <c r="L57" s="43"/>
      <c r="M57" s="43"/>
      <c r="N57" s="43"/>
      <c r="O57" s="43"/>
      <c r="P57" s="43"/>
      <c r="Q57" s="43"/>
      <c r="R57" s="43"/>
      <c r="S57" s="43"/>
      <c r="T57" s="43"/>
      <c r="U57" s="43"/>
      <c r="V57" s="43"/>
      <c r="W57" s="43"/>
      <c r="X57" s="43"/>
      <c r="Y57" s="43"/>
      <c r="Z57" s="43"/>
    </row>
    <row r="58" spans="2:26">
      <c r="B58" s="278" t="s">
        <v>76</v>
      </c>
      <c r="C58" s="43">
        <f>IF(C56="","",IF(C56="User defined",C57,SUMIFS('Background (from TC)'!$M$4:$M$1048576,'Background (from TC)'!$D$4:$D$1048576,C$15,'Background (from TC)'!$E$4:$E$1048576,C$16,'Background (from TC)'!$O$4:$O$1048576,C$17)*C29))</f>
        <v>3.7177777777777781</v>
      </c>
      <c r="D58" s="43">
        <f>IF(D56="","",IF(D56="User defined",D57,SUMIFS('Background (from TC)'!$M$4:$M$1048576,'Background (from TC)'!$D$4:$D$1048576,D$15,'Background (from TC)'!$E$4:$E$1048576,D$16,'Background (from TC)'!$O$4:$O$1048576,D$17)*D29))</f>
        <v>3.7177777777777781</v>
      </c>
      <c r="E58" s="43">
        <f>IF(E56="","",IF(E56="User defined",E57,SUMIFS('Background (from TC)'!$M$4:$M$1048576,'Background (from TC)'!$D$4:$D$1048576,E$15,'Background (from TC)'!$E$4:$E$1048576,E$16,'Background (from TC)'!$O$4:$O$1048576,E$17)*E29))</f>
        <v>10.890499999999999</v>
      </c>
      <c r="F58" s="43">
        <f>IF(F56="","",IF(F56="User defined",F57,SUMIFS('Background (from TC)'!$M$4:$M$1048576,'Background (from TC)'!$D$4:$D$1048576,F$15,'Background (from TC)'!$E$4:$E$1048576,F$16,'Background (from TC)'!$O$4:$O$1048576,F$17)*F29))</f>
        <v>15.690889326563717</v>
      </c>
      <c r="G58" s="43">
        <f>IF(G56="","",IF(G56="User defined",G57,SUMIFS('Background (from TC)'!$M$4:$M$1048576,'Background (from TC)'!$D$4:$D$1048576,G$15,'Background (from TC)'!$E$4:$E$1048576,G$16,'Background (from TC)'!$O$4:$O$1048576,G$17)*G29))</f>
        <v>1.0833342000000008</v>
      </c>
      <c r="H58" s="43">
        <f>IF(H56="","",IF(H56="User defined",H57,SUMIFS('Background (from TC)'!$M$4:$M$1048576,'Background (from TC)'!$D$4:$D$1048576,H$15,'Background (from TC)'!$E$4:$E$1048576,H$16,'Background (from TC)'!$O$4:$O$1048576,H$17)*H29))</f>
        <v>1.0833342000000008</v>
      </c>
      <c r="I58" s="43">
        <f>IF(I56="","",IF(I56="User defined",I57,SUMIFS('Background (from TC)'!$M$4:$M$1048576,'Background (from TC)'!$D$4:$D$1048576,I$15,'Background (from TC)'!$E$4:$E$1048576,I$16,'Background (from TC)'!$O$4:$O$1048576,I$17)*I29))</f>
        <v>4.666666666666667</v>
      </c>
      <c r="J58" s="43">
        <f>IF(J56="","",IF(J56="User defined",J57,SUMIFS('Background (from TC)'!$M$4:$M$1048576,'Background (from TC)'!$D$4:$D$1048576,J$15,'Background (from TC)'!$E$4:$E$1048576,J$16,'Background (from TC)'!$O$4:$O$1048576,J$17)*J29))</f>
        <v>0</v>
      </c>
      <c r="K58" s="43">
        <f>IF(K56="","",IF(K56="User defined",K57,SUMIFS('Background (from TC)'!$M$4:$M$1048576,'Background (from TC)'!$D$4:$D$1048576,K$15,'Background (from TC)'!$E$4:$E$1048576,K$16,'Background (from TC)'!$O$4:$O$1048576,K$17)*K29))</f>
        <v>0</v>
      </c>
      <c r="L58" s="43">
        <f>IF(L56="","",IF(L56="User defined",L57,SUMIFS('Background (from TC)'!$M$4:$M$1048576,'Background (from TC)'!$D$4:$D$1048576,L$15,'Background (from TC)'!$E$4:$E$1048576,L$16,'Background (from TC)'!$O$4:$O$1048576,L$17)*L29))</f>
        <v>0</v>
      </c>
      <c r="M58" s="43">
        <f>IF(M56="","",IF(M56="User defined",M57,SUMIFS('Background (from TC)'!$M$4:$M$1048576,'Background (from TC)'!$D$4:$D$1048576,M$15,'Background (from TC)'!$E$4:$E$1048576,M$16,'Background (from TC)'!$O$4:$O$1048576,M$17)*M29))</f>
        <v>0</v>
      </c>
      <c r="N58" s="43">
        <f>IF(N56="","",IF(N56="User defined",N57,SUMIFS('Background (from TC)'!$M$4:$M$1048576,'Background (from TC)'!$D$4:$D$1048576,N$15,'Background (from TC)'!$E$4:$E$1048576,N$16,'Background (from TC)'!$O$4:$O$1048576,N$17)*N29))</f>
        <v>0</v>
      </c>
      <c r="O58" s="43">
        <f>IF(O56="","",IF(O56="User defined",O57,SUMIFS('Background (from TC)'!$M$4:$M$1048576,'Background (from TC)'!$D$4:$D$1048576,O$15,'Background (from TC)'!$E$4:$E$1048576,O$16,'Background (from TC)'!$O$4:$O$1048576,O$17)*O29))</f>
        <v>0</v>
      </c>
      <c r="P58" s="43">
        <f>IF(P56="","",IF(P56="User defined",P57,SUMIFS('Background (from TC)'!$M$4:$M$1048576,'Background (from TC)'!$D$4:$D$1048576,P$15,'Background (from TC)'!$E$4:$E$1048576,P$16,'Background (from TC)'!$O$4:$O$1048576,P$17)*P29))</f>
        <v>0</v>
      </c>
      <c r="Q58" s="43" t="str">
        <f>IF(Q56="","",IF(Q56="User defined",Q57,SUMIFS('Background (from TC)'!$M$4:$M$1048576,'Background (from TC)'!$D$4:$D$1048576,Q$15,'Background (from TC)'!$E$4:$E$1048576,Q$16,'Background (from TC)'!$O$4:$O$1048576,Q$17)*Q29))</f>
        <v/>
      </c>
      <c r="R58" s="43" t="str">
        <f>IF(R56="","",IF(R56="User defined",R57,SUMIFS('Background (from TC)'!$M$4:$M$1048576,'Background (from TC)'!$D$4:$D$1048576,R$15,'Background (from TC)'!$E$4:$E$1048576,R$16,'Background (from TC)'!$O$4:$O$1048576,R$17)*R29))</f>
        <v/>
      </c>
      <c r="S58" s="43" t="str">
        <f>IF(S56="","",IF(S56="User defined",S57,SUMIFS('Background (from TC)'!$M$4:$M$1048576,'Background (from TC)'!$D$4:$D$1048576,S$15,'Background (from TC)'!$E$4:$E$1048576,S$16,'Background (from TC)'!$O$4:$O$1048576,S$17)*S29))</f>
        <v/>
      </c>
      <c r="T58" s="43" t="str">
        <f>IF(T56="","",IF(T56="User defined",T57,SUMIFS('Background (from TC)'!$M$4:$M$1048576,'Background (from TC)'!$D$4:$D$1048576,T$15,'Background (from TC)'!$E$4:$E$1048576,T$16,'Background (from TC)'!$O$4:$O$1048576,T$17)*T29))</f>
        <v/>
      </c>
      <c r="U58" s="43" t="str">
        <f>IF(U56="","",IF(U56="User defined",U57,SUMIFS('Background (from TC)'!$M$4:$M$1048576,'Background (from TC)'!$D$4:$D$1048576,U$15,'Background (from TC)'!$E$4:$E$1048576,U$16,'Background (from TC)'!$O$4:$O$1048576,U$17)*U29))</f>
        <v/>
      </c>
      <c r="V58" s="43" t="str">
        <f>IF(V56="","",IF(V56="User defined",V57,SUMIFS('Background (from TC)'!$M$4:$M$1048576,'Background (from TC)'!$D$4:$D$1048576,V$15,'Background (from TC)'!$E$4:$E$1048576,V$16,'Background (from TC)'!$O$4:$O$1048576,V$17)*V29))</f>
        <v/>
      </c>
      <c r="W58" s="43" t="str">
        <f>IF(W56="","",IF(W56="User defined",W57,SUMIFS('Background (from TC)'!$M$4:$M$1048576,'Background (from TC)'!$D$4:$D$1048576,W$15,'Background (from TC)'!$E$4:$E$1048576,W$16,'Background (from TC)'!$O$4:$O$1048576,W$17)*W29))</f>
        <v/>
      </c>
      <c r="X58" s="43" t="str">
        <f>IF(X56="","",IF(X56="User defined",X57,SUMIFS('Background (from TC)'!$M$4:$M$1048576,'Background (from TC)'!$D$4:$D$1048576,X$15,'Background (from TC)'!$E$4:$E$1048576,X$16,'Background (from TC)'!$O$4:$O$1048576,X$17)*X29))</f>
        <v/>
      </c>
      <c r="Y58" s="43" t="str">
        <f>IF(Y56="","",IF(Y56="User defined",Y57,SUMIFS('Background (from TC)'!$M$4:$M$1048576,'Background (from TC)'!$D$4:$D$1048576,Y$15,'Background (from TC)'!$E$4:$E$1048576,Y$16,'Background (from TC)'!$O$4:$O$1048576,Y$17)*Y29))</f>
        <v/>
      </c>
      <c r="Z58" s="43" t="str">
        <f>IF(Z56="","",IF(Z56="User defined",Z57,SUMIFS('Background (from TC)'!$M$4:$M$1048576,'Background (from TC)'!$D$4:$D$1048576,Z$15,'Background (from TC)'!$E$4:$E$1048576,Z$16,'Background (from TC)'!$O$4:$O$1048576,Z$17)*Z29))</f>
        <v/>
      </c>
    </row>
    <row r="59" spans="2:26" ht="30">
      <c r="B59" s="280" t="s">
        <v>77</v>
      </c>
      <c r="C59" s="41">
        <f>IFERROR(IF(C15="","",SUMIFS('Background (from TC)'!$S$4:$S$1048576,'Background (from TC)'!$D$4:$D$1048576,C$15,'Background (from TC)'!$E$4:$E$1048576,C$16,'Background (from TC)'!$O$4:$O$1048576,C$17)),"")</f>
        <v>0.38</v>
      </c>
      <c r="D59" s="41">
        <f>IFERROR(IF(D15="","",SUMIFS('Background (from TC)'!$S$4:$S$1048576,'Background (from TC)'!$D$4:$D$1048576,D$15,'Background (from TC)'!$E$4:$E$1048576,D$16,'Background (from TC)'!$O$4:$O$1048576,D$17)),"")</f>
        <v>0.41</v>
      </c>
      <c r="E59" s="41">
        <f>IFERROR(IF(E15="","",SUMIFS('Background (from TC)'!$S$4:$S$1048576,'Background (from TC)'!$D$4:$D$1048576,E$15,'Background (from TC)'!$E$4:$E$1048576,E$16,'Background (from TC)'!$O$4:$O$1048576,E$17)),"")</f>
        <v>0.59</v>
      </c>
      <c r="F59" s="41">
        <f>IFERROR(IF(F15="","",SUMIFS('Background (from TC)'!$S$4:$S$1048576,'Background (from TC)'!$D$4:$D$1048576,F$15,'Background (from TC)'!$E$4:$E$1048576,F$16,'Background (from TC)'!$O$4:$O$1048576,F$17)),"")</f>
        <v>0.46</v>
      </c>
      <c r="G59" s="41">
        <f>IFERROR(IF(G15="","",SUMIFS('Background (from TC)'!$S$4:$S$1048576,'Background (from TC)'!$D$4:$D$1048576,G$15,'Background (from TC)'!$E$4:$E$1048576,G$16,'Background (from TC)'!$O$4:$O$1048576,G$17)),"")</f>
        <v>0.36</v>
      </c>
      <c r="H59" s="41">
        <f>IFERROR(IF(H15="","",SUMIFS('Background (from TC)'!$S$4:$S$1048576,'Background (from TC)'!$D$4:$D$1048576,H$15,'Background (from TC)'!$E$4:$E$1048576,H$16,'Background (from TC)'!$O$4:$O$1048576,H$17)),"")</f>
        <v>0.27</v>
      </c>
      <c r="I59" s="41">
        <f>IFERROR(IF(I15="","",SUMIFS('Background (from TC)'!$S$4:$S$1048576,'Background (from TC)'!$D$4:$D$1048576,I$15,'Background (from TC)'!$E$4:$E$1048576,I$16,'Background (from TC)'!$O$4:$O$1048576,I$17)),"")</f>
        <v>0.31</v>
      </c>
      <c r="J59" s="41">
        <f>IFERROR(IF(J15="","",SUMIFS('Background (from TC)'!$S$4:$S$1048576,'Background (from TC)'!$D$4:$D$1048576,J$15,'Background (from TC)'!$E$4:$E$1048576,J$16,'Background (from TC)'!$O$4:$O$1048576,J$17)),"")</f>
        <v>0.16</v>
      </c>
      <c r="K59" s="41">
        <f>IFERROR(IF(K15="","",SUMIFS('Background (from TC)'!$S$4:$S$1048576,'Background (from TC)'!$D$4:$D$1048576,K$15,'Background (from TC)'!$E$4:$E$1048576,K$16,'Background (from TC)'!$O$4:$O$1048576,K$17)),"")</f>
        <v>0.95</v>
      </c>
      <c r="L59" s="41">
        <f>IFERROR(IF(L15="","",SUMIFS('Background (from TC)'!$S$4:$S$1048576,'Background (from TC)'!$D$4:$D$1048576,L$15,'Background (from TC)'!$E$4:$E$1048576,L$16,'Background (from TC)'!$O$4:$O$1048576,L$17)),"")</f>
        <v>0</v>
      </c>
      <c r="M59" s="41">
        <f>IFERROR(IF(M15="","",SUMIFS('Background (from TC)'!$S$4:$S$1048576,'Background (from TC)'!$D$4:$D$1048576,M$15,'Background (from TC)'!$E$4:$E$1048576,M$16,'Background (from TC)'!$O$4:$O$1048576,M$17)),"")</f>
        <v>0</v>
      </c>
      <c r="N59" s="41">
        <f>IFERROR(IF(N15="","",SUMIFS('Background (from TC)'!$S$4:$S$1048576,'Background (from TC)'!$D$4:$D$1048576,N$15,'Background (from TC)'!$E$4:$E$1048576,N$16,'Background (from TC)'!$O$4:$O$1048576,N$17)),"")</f>
        <v>0</v>
      </c>
      <c r="O59" s="41">
        <f>IFERROR(IF(O15="","",SUMIFS('Background (from TC)'!$S$4:$S$1048576,'Background (from TC)'!$D$4:$D$1048576,O$15,'Background (from TC)'!$E$4:$E$1048576,O$16,'Background (from TC)'!$O$4:$O$1048576,O$17)),"")</f>
        <v>0</v>
      </c>
      <c r="P59" s="41">
        <f>IFERROR(IF(P15="","",SUMIFS('Background (from TC)'!$S$4:$S$1048576,'Background (from TC)'!$D$4:$D$1048576,P$15,'Background (from TC)'!$E$4:$E$1048576,P$16,'Background (from TC)'!$O$4:$O$1048576,P$17)),"")</f>
        <v>0</v>
      </c>
      <c r="Q59" s="41" t="str">
        <f>IFERROR(IF(Q15="","",SUMIFS('Background (from TC)'!$S$4:$S$1048576,'Background (from TC)'!$D$4:$D$1048576,Q$15,'Background (from TC)'!$E$4:$E$1048576,Q$16,'Background (from TC)'!$O$4:$O$1048576,Q$17)),"")</f>
        <v/>
      </c>
      <c r="R59" s="41" t="str">
        <f>IFERROR(IF(R15="","",SUMIFS('Background (from TC)'!$S$4:$S$1048576,'Background (from TC)'!$D$4:$D$1048576,R$15,'Background (from TC)'!$E$4:$E$1048576,R$16,'Background (from TC)'!$O$4:$O$1048576,R$17)),"")</f>
        <v/>
      </c>
      <c r="S59" s="41" t="str">
        <f>IFERROR(IF(S15="","",SUMIFS('Background (from TC)'!$S$4:$S$1048576,'Background (from TC)'!$D$4:$D$1048576,S$15,'Background (from TC)'!$E$4:$E$1048576,S$16,'Background (from TC)'!$O$4:$O$1048576,S$17)),"")</f>
        <v/>
      </c>
      <c r="T59" s="41" t="str">
        <f>IFERROR(IF(T15="","",SUMIFS('Background (from TC)'!$S$4:$S$1048576,'Background (from TC)'!$D$4:$D$1048576,T$15,'Background (from TC)'!$E$4:$E$1048576,T$16,'Background (from TC)'!$O$4:$O$1048576,T$17)),"")</f>
        <v/>
      </c>
      <c r="U59" s="41" t="str">
        <f>IFERROR(IF(U15="","",SUMIFS('Background (from TC)'!$S$4:$S$1048576,'Background (from TC)'!$D$4:$D$1048576,U$15,'Background (from TC)'!$E$4:$E$1048576,U$16,'Background (from TC)'!$O$4:$O$1048576,U$17)),"")</f>
        <v/>
      </c>
      <c r="V59" s="41" t="str">
        <f>IFERROR(IF(V15="","",SUMIFS('Background (from TC)'!$S$4:$S$1048576,'Background (from TC)'!$D$4:$D$1048576,V$15,'Background (from TC)'!$E$4:$E$1048576,V$16,'Background (from TC)'!$O$4:$O$1048576,V$17)),"")</f>
        <v/>
      </c>
      <c r="W59" s="41" t="str">
        <f>IFERROR(IF(W15="","",SUMIFS('Background (from TC)'!$S$4:$S$1048576,'Background (from TC)'!$D$4:$D$1048576,W$15,'Background (from TC)'!$E$4:$E$1048576,W$16,'Background (from TC)'!$O$4:$O$1048576,W$17)),"")</f>
        <v/>
      </c>
      <c r="X59" s="41" t="str">
        <f>IFERROR(IF(X15="","",SUMIFS('Background (from TC)'!$S$4:$S$1048576,'Background (from TC)'!$D$4:$D$1048576,X$15,'Background (from TC)'!$E$4:$E$1048576,X$16,'Background (from TC)'!$O$4:$O$1048576,X$17)),"")</f>
        <v/>
      </c>
      <c r="Y59" s="41" t="str">
        <f>IFERROR(IF(Y15="","",SUMIFS('Background (from TC)'!$S$4:$S$1048576,'Background (from TC)'!$D$4:$D$1048576,Y$15,'Background (from TC)'!$E$4:$E$1048576,Y$16,'Background (from TC)'!$O$4:$O$1048576,Y$17)),"")</f>
        <v/>
      </c>
      <c r="Z59" s="41" t="str">
        <f>IFERROR(IF(Z15="","",SUMIFS('Background (from TC)'!$S$4:$S$1048576,'Background (from TC)'!$D$4:$D$1048576,Z$15,'Background (from TC)'!$E$4:$E$1048576,Z$16,'Background (from TC)'!$O$4:$O$1048576,Z$17)),"")</f>
        <v/>
      </c>
    </row>
    <row r="60" spans="2:26" ht="15.75" thickBot="1">
      <c r="B60" s="281" t="s">
        <v>78</v>
      </c>
      <c r="C60" s="43">
        <f>IF(C56="","",IFERROR(C58*3.6/C59,0))</f>
        <v>35.221052631578949</v>
      </c>
      <c r="D60" s="43">
        <f t="shared" ref="D60:Z60" si="9">IF(D56="","",IFERROR(D58*3.6/D59,0))</f>
        <v>32.643902439024394</v>
      </c>
      <c r="E60" s="43">
        <f t="shared" si="9"/>
        <v>66.450508474576267</v>
      </c>
      <c r="F60" s="43">
        <f t="shared" si="9"/>
        <v>122.79826429484649</v>
      </c>
      <c r="G60" s="43">
        <f t="shared" si="9"/>
        <v>10.833342000000009</v>
      </c>
      <c r="H60" s="43">
        <f t="shared" si="9"/>
        <v>14.444456000000011</v>
      </c>
      <c r="I60" s="43">
        <f t="shared" si="9"/>
        <v>54.193548387096776</v>
      </c>
      <c r="J60" s="43">
        <f t="shared" si="9"/>
        <v>0</v>
      </c>
      <c r="K60" s="43">
        <f t="shared" si="9"/>
        <v>0</v>
      </c>
      <c r="L60" s="43">
        <f t="shared" si="9"/>
        <v>0</v>
      </c>
      <c r="M60" s="43">
        <f t="shared" si="9"/>
        <v>0</v>
      </c>
      <c r="N60" s="43">
        <f t="shared" si="9"/>
        <v>0</v>
      </c>
      <c r="O60" s="43">
        <f t="shared" si="9"/>
        <v>0</v>
      </c>
      <c r="P60" s="43">
        <f t="shared" si="9"/>
        <v>0</v>
      </c>
      <c r="Q60" s="43" t="str">
        <f t="shared" si="9"/>
        <v/>
      </c>
      <c r="R60" s="43" t="str">
        <f t="shared" si="9"/>
        <v/>
      </c>
      <c r="S60" s="43" t="str">
        <f t="shared" si="9"/>
        <v/>
      </c>
      <c r="T60" s="43" t="str">
        <f t="shared" si="9"/>
        <v/>
      </c>
      <c r="U60" s="43" t="str">
        <f t="shared" si="9"/>
        <v/>
      </c>
      <c r="V60" s="43" t="str">
        <f t="shared" si="9"/>
        <v/>
      </c>
      <c r="W60" s="43" t="str">
        <f t="shared" si="9"/>
        <v/>
      </c>
      <c r="X60" s="43" t="str">
        <f t="shared" si="9"/>
        <v/>
      </c>
      <c r="Y60" s="43" t="str">
        <f t="shared" si="9"/>
        <v/>
      </c>
      <c r="Z60" s="43" t="str">
        <f t="shared" si="9"/>
        <v/>
      </c>
    </row>
    <row r="61" spans="2:26" ht="15.75" thickBot="1">
      <c r="B61" s="273" t="s">
        <v>43</v>
      </c>
      <c r="C61" s="258" t="str">
        <f t="shared" ref="C61:Z61" si="10">IF(OR(AND(C56="User defined",C57=""),AND(C15="Storage",C58="")),"Insert value above","")</f>
        <v/>
      </c>
      <c r="D61" s="258" t="str">
        <f t="shared" si="10"/>
        <v/>
      </c>
      <c r="E61" s="258" t="str">
        <f t="shared" si="10"/>
        <v/>
      </c>
      <c r="F61" s="258" t="str">
        <f t="shared" si="10"/>
        <v/>
      </c>
      <c r="G61" s="258" t="str">
        <f t="shared" si="10"/>
        <v/>
      </c>
      <c r="H61" s="258" t="str">
        <f t="shared" si="10"/>
        <v/>
      </c>
      <c r="I61" s="258" t="str">
        <f t="shared" si="10"/>
        <v/>
      </c>
      <c r="J61" s="258" t="str">
        <f t="shared" si="10"/>
        <v/>
      </c>
      <c r="K61" s="258" t="str">
        <f t="shared" si="10"/>
        <v/>
      </c>
      <c r="L61" s="258" t="str">
        <f t="shared" si="10"/>
        <v/>
      </c>
      <c r="M61" s="258" t="str">
        <f t="shared" si="10"/>
        <v/>
      </c>
      <c r="N61" s="258" t="str">
        <f t="shared" si="10"/>
        <v/>
      </c>
      <c r="O61" s="258" t="str">
        <f t="shared" si="10"/>
        <v/>
      </c>
      <c r="P61" s="258" t="str">
        <f t="shared" si="10"/>
        <v/>
      </c>
      <c r="Q61" s="258" t="str">
        <f t="shared" si="10"/>
        <v/>
      </c>
      <c r="R61" s="258" t="str">
        <f t="shared" si="10"/>
        <v/>
      </c>
      <c r="S61" s="258" t="str">
        <f t="shared" si="10"/>
        <v/>
      </c>
      <c r="T61" s="258" t="str">
        <f t="shared" si="10"/>
        <v/>
      </c>
      <c r="U61" s="258" t="str">
        <f t="shared" si="10"/>
        <v/>
      </c>
      <c r="V61" s="258" t="str">
        <f t="shared" si="10"/>
        <v/>
      </c>
      <c r="W61" s="258" t="str">
        <f t="shared" si="10"/>
        <v/>
      </c>
      <c r="X61" s="258" t="str">
        <f t="shared" si="10"/>
        <v/>
      </c>
      <c r="Y61" s="258" t="str">
        <f t="shared" si="10"/>
        <v/>
      </c>
      <c r="Z61" s="259" t="str">
        <f t="shared" si="10"/>
        <v/>
      </c>
    </row>
    <row r="62" spans="2:26">
      <c r="F62"/>
    </row>
    <row r="63" spans="2:26" ht="15.75">
      <c r="B63" s="286" t="s">
        <v>79</v>
      </c>
      <c r="F63"/>
    </row>
    <row r="64" spans="2:26">
      <c r="B64" s="279" t="s">
        <v>80</v>
      </c>
      <c r="F64"/>
      <c r="G64"/>
      <c r="H64"/>
      <c r="I64"/>
      <c r="J64"/>
      <c r="K64"/>
      <c r="L64"/>
      <c r="M64"/>
      <c r="N64"/>
      <c r="O64"/>
      <c r="P64"/>
      <c r="Q64"/>
      <c r="R64"/>
      <c r="S64"/>
      <c r="T64"/>
      <c r="U64"/>
      <c r="V64"/>
      <c r="W64"/>
      <c r="X64"/>
      <c r="Y64"/>
      <c r="Z64"/>
    </row>
    <row r="66" spans="1:27" ht="15.75">
      <c r="B66" s="286" t="s">
        <v>81</v>
      </c>
    </row>
    <row r="67" spans="1:27">
      <c r="B67" s="282" t="s">
        <v>82</v>
      </c>
      <c r="C67" s="19" t="s">
        <v>83</v>
      </c>
      <c r="D67" s="19" t="s">
        <v>83</v>
      </c>
      <c r="E67" s="19" t="s">
        <v>83</v>
      </c>
      <c r="F67" s="19" t="s">
        <v>83</v>
      </c>
      <c r="G67" s="19" t="s">
        <v>83</v>
      </c>
      <c r="H67" s="19" t="s">
        <v>83</v>
      </c>
      <c r="I67" s="19" t="s">
        <v>83</v>
      </c>
      <c r="J67" s="19" t="s">
        <v>83</v>
      </c>
      <c r="K67" s="19" t="s">
        <v>83</v>
      </c>
      <c r="L67" s="19" t="s">
        <v>83</v>
      </c>
      <c r="M67" s="19" t="s">
        <v>83</v>
      </c>
      <c r="N67" s="19" t="s">
        <v>83</v>
      </c>
      <c r="O67" s="19" t="s">
        <v>83</v>
      </c>
      <c r="P67" s="19" t="s">
        <v>83</v>
      </c>
      <c r="Q67" s="19" t="s">
        <v>83</v>
      </c>
      <c r="R67" s="19" t="s">
        <v>83</v>
      </c>
      <c r="S67" s="19" t="s">
        <v>83</v>
      </c>
      <c r="T67" s="19" t="s">
        <v>83</v>
      </c>
      <c r="U67" s="19" t="s">
        <v>84</v>
      </c>
      <c r="V67" s="19" t="s">
        <v>84</v>
      </c>
      <c r="W67" s="19" t="s">
        <v>84</v>
      </c>
      <c r="X67" s="19" t="s">
        <v>84</v>
      </c>
      <c r="Y67" s="19" t="s">
        <v>84</v>
      </c>
      <c r="Z67" s="19" t="s">
        <v>84</v>
      </c>
    </row>
    <row r="68" spans="1:27">
      <c r="B68" s="278" t="s">
        <v>85</v>
      </c>
      <c r="C68" s="19">
        <v>125</v>
      </c>
      <c r="D68" s="19">
        <v>125</v>
      </c>
      <c r="E68" s="19">
        <v>125</v>
      </c>
      <c r="F68" s="19">
        <v>125</v>
      </c>
      <c r="G68" s="19">
        <v>125</v>
      </c>
      <c r="H68" s="19">
        <v>125</v>
      </c>
      <c r="I68" s="19">
        <v>125</v>
      </c>
      <c r="J68" s="19">
        <v>125</v>
      </c>
      <c r="K68" s="19">
        <v>125</v>
      </c>
      <c r="L68" s="19">
        <v>125</v>
      </c>
      <c r="M68" s="19">
        <v>125</v>
      </c>
      <c r="N68" s="19">
        <v>125</v>
      </c>
      <c r="O68" s="19">
        <v>125</v>
      </c>
      <c r="P68" s="19">
        <v>125</v>
      </c>
      <c r="Q68" s="19">
        <v>125</v>
      </c>
      <c r="R68" s="19">
        <v>125</v>
      </c>
      <c r="S68" s="19">
        <v>125</v>
      </c>
      <c r="T68" s="19">
        <v>125</v>
      </c>
      <c r="U68" s="19">
        <v>125</v>
      </c>
      <c r="V68" s="19">
        <v>125</v>
      </c>
      <c r="W68" s="19">
        <v>125</v>
      </c>
      <c r="X68" s="19">
        <v>125</v>
      </c>
      <c r="Y68" s="19">
        <v>125</v>
      </c>
      <c r="Z68" s="19">
        <v>125</v>
      </c>
    </row>
    <row r="69" spans="1:27">
      <c r="B69" s="278" t="s">
        <v>86</v>
      </c>
      <c r="C69" s="19" t="s">
        <v>46</v>
      </c>
      <c r="D69" s="19" t="s">
        <v>46</v>
      </c>
      <c r="E69" s="19" t="s">
        <v>46</v>
      </c>
      <c r="F69" s="19" t="s">
        <v>46</v>
      </c>
      <c r="G69" s="19" t="s">
        <v>46</v>
      </c>
      <c r="H69" s="19" t="s">
        <v>46</v>
      </c>
      <c r="I69" s="19" t="s">
        <v>46</v>
      </c>
      <c r="J69" s="19" t="s">
        <v>46</v>
      </c>
      <c r="K69" s="19" t="s">
        <v>46</v>
      </c>
      <c r="L69" s="19" t="s">
        <v>46</v>
      </c>
      <c r="M69" s="19" t="s">
        <v>46</v>
      </c>
      <c r="N69" s="19" t="s">
        <v>46</v>
      </c>
      <c r="O69" s="19" t="s">
        <v>46</v>
      </c>
      <c r="P69" s="19" t="s">
        <v>46</v>
      </c>
      <c r="Q69" s="19" t="s">
        <v>46</v>
      </c>
      <c r="R69" s="19" t="s">
        <v>46</v>
      </c>
      <c r="S69" s="19" t="s">
        <v>46</v>
      </c>
      <c r="T69" s="19" t="s">
        <v>46</v>
      </c>
    </row>
    <row r="70" spans="1:27">
      <c r="B70" s="278" t="s">
        <v>87</v>
      </c>
      <c r="C70" s="521">
        <f>IF(C15="","",IF(C79=0,0,SUMIFS('Background (from TC)'!$L:$L,'Background (from TC)'!$D:$D,C15,'Background (from TC)'!$E:$E,C16,'Background (from TC)'!$O:$O,C17)/1000*3.6/C59))</f>
        <v>1.008</v>
      </c>
      <c r="D70" s="521">
        <f>IF(D15="","",IF(D79=0,0,SUMIFS('Background (from TC)'!$L:$L,'Background (from TC)'!$D:$D,D15,'Background (from TC)'!$E:$E,D16,'Background (from TC)'!$O:$O,D17)/1000*3.6/D59))</f>
        <v>0.49873170731707317</v>
      </c>
      <c r="E70" s="521">
        <f>IF(E15="","",IF(E79=0,0,SUMIFS('Background (from TC)'!$L:$L,'Background (from TC)'!$D:$D,E15,'Background (from TC)'!$E:$E,E16,'Background (from TC)'!$O:$O,E17)/1000*3.6/E59))</f>
        <v>0.34657627118644069</v>
      </c>
      <c r="F70" s="521">
        <f>IF(F15="","",IF(F79=0,0,SUMIFS('Background (from TC)'!$L:$L,'Background (from TC)'!$D:$D,F15,'Background (from TC)'!$E:$E,F16,'Background (from TC)'!$O:$O,F17)/1000*3.6/F59))</f>
        <v>0.61043478260869566</v>
      </c>
      <c r="G70" s="521">
        <f>IF(G15="","",IF(G79=0,0,SUMIFS('Background (from TC)'!$L:$L,'Background (from TC)'!$D:$D,G15,'Background (from TC)'!$E:$E,G16,'Background (from TC)'!$O:$O,G17)/1000*3.6/G59))</f>
        <v>0</v>
      </c>
      <c r="H70" s="521">
        <f>IF(H15="","",IF(H79=0,0,SUMIFS('Background (from TC)'!$L:$L,'Background (from TC)'!$D:$D,H15,'Background (from TC)'!$E:$E,H16,'Background (from TC)'!$O:$O,H17)/1000*3.6/H59))</f>
        <v>0</v>
      </c>
      <c r="I70" s="521">
        <f>IF(I15="","",IF(I79=0,0,SUMIFS('Background (from TC)'!$L:$L,'Background (from TC)'!$D:$D,I15,'Background (from TC)'!$E:$E,I16,'Background (from TC)'!$O:$O,I17)/1000*3.6/I59))</f>
        <v>0</v>
      </c>
      <c r="J70" s="521">
        <f>IF(J15="","",IF(J79=0,0,SUMIFS('Background (from TC)'!$L:$L,'Background (from TC)'!$D:$D,J15,'Background (from TC)'!$E:$E,J16,'Background (from TC)'!$O:$O,J17)/1000*3.6/J59))</f>
        <v>0</v>
      </c>
      <c r="K70" s="521">
        <f>IF(K15="","",IF(K79=0,0,SUMIFS('Background (from TC)'!$L:$L,'Background (from TC)'!$D:$D,K15,'Background (from TC)'!$E:$E,K16,'Background (from TC)'!$O:$O,K17)/1000*3.6/K59))</f>
        <v>0</v>
      </c>
      <c r="L70" s="521">
        <f>IF(L15="","",IF(L79=0,0,SUMIFS('Background (from TC)'!$L:$L,'Background (from TC)'!$D:$D,L15,'Background (from TC)'!$E:$E,L16,'Background (from TC)'!$O:$O,L17)/1000*3.6/L59))</f>
        <v>0</v>
      </c>
      <c r="M70" s="521">
        <f>IF(M15="","",IF(M79=0,0,SUMIFS('Background (from TC)'!$L:$L,'Background (from TC)'!$D:$D,M15,'Background (from TC)'!$E:$E,M16,'Background (from TC)'!$O:$O,M17)/1000*3.6/M59))</f>
        <v>0</v>
      </c>
      <c r="N70" s="521">
        <f>IF(N15="","",IF(N79=0,0,SUMIFS('Background (from TC)'!$L:$L,'Background (from TC)'!$D:$D,N15,'Background (from TC)'!$E:$E,N16,'Background (from TC)'!$O:$O,N17)/1000*3.6/N59))</f>
        <v>0</v>
      </c>
      <c r="O70" s="521">
        <f>IF(O15="","",IF(O79=0,0,SUMIFS('Background (from TC)'!$L:$L,'Background (from TC)'!$D:$D,O15,'Background (from TC)'!$E:$E,O16,'Background (from TC)'!$O:$O,O17)/1000*3.6/O59))</f>
        <v>0</v>
      </c>
      <c r="P70" s="521">
        <f>IF(P15="","",IF(P79=0,0,SUMIFS('Background (from TC)'!$L:$L,'Background (from TC)'!$D:$D,P15,'Background (from TC)'!$E:$E,P16,'Background (from TC)'!$O:$O,P17)/1000*3.6/P59))</f>
        <v>0</v>
      </c>
      <c r="Q70" s="521" t="str">
        <f>IF(Q15="","",IF(Q79=0,0,SUMIFS('Background (from TC)'!$L:$L,'Background (from TC)'!$D:$D,Q15,'Background (from TC)'!$E:$E,Q16,'Background (from TC)'!$O:$O,Q17)/1000*3.6/Q59))</f>
        <v/>
      </c>
      <c r="R70" s="521" t="str">
        <f>IF(R15="","",IF(R79=0,0,SUMIFS('Background (from TC)'!$L:$L,'Background (from TC)'!$D:$D,R15,'Background (from TC)'!$E:$E,R16,'Background (from TC)'!$O:$O,R17)/1000*3.6/R59))</f>
        <v/>
      </c>
      <c r="S70" s="521" t="str">
        <f>IF(S15="","",IF(S79=0,0,SUMIFS('Background (from TC)'!$L:$L,'Background (from TC)'!$D:$D,S15,'Background (from TC)'!$E:$E,S16,'Background (from TC)'!$O:$O,S17)/1000*3.6/S59))</f>
        <v/>
      </c>
      <c r="T70" s="521" t="str">
        <f>IF(T15="","",IF(T79=0,0,SUMIFS('Background (from TC)'!$L:$L,'Background (from TC)'!$D:$D,T15,'Background (from TC)'!$E:$E,T16,'Background (from TC)'!$O:$O,T17)/1000*3.6/T59))</f>
        <v/>
      </c>
      <c r="U70" s="521" t="str">
        <f>IF(U15="","",IF(U79=0,0,SUMIFS('Background (from TC)'!$L:$L,'Background (from TC)'!$D:$D,U15,'Background (from TC)'!$E:$E,U16,'Background (from TC)'!$O:$O,U17)/1000*3.6/U59))</f>
        <v/>
      </c>
      <c r="V70" s="521" t="str">
        <f>IF(V15="","",IF(V79=0,0,SUMIFS('Background (from TC)'!$L:$L,'Background (from TC)'!$D:$D,V15,'Background (from TC)'!$E:$E,V16,'Background (from TC)'!$O:$O,V17)/1000*3.6/V59))</f>
        <v/>
      </c>
      <c r="W70" s="521" t="str">
        <f>IF(W15="","",IF(W79=0,0,SUMIFS('Background (from TC)'!$L:$L,'Background (from TC)'!$D:$D,W15,'Background (from TC)'!$E:$E,W16,'Background (from TC)'!$O:$O,W17)/1000*3.6/W59))</f>
        <v/>
      </c>
      <c r="X70" s="521" t="str">
        <f>IF(X15="","",IF(X79=0,0,SUMIFS('Background (from TC)'!$L:$L,'Background (from TC)'!$D:$D,X15,'Background (from TC)'!$E:$E,X16,'Background (from TC)'!$O:$O,X17)/1000*3.6/X59))</f>
        <v/>
      </c>
      <c r="Y70" s="521" t="str">
        <f>IF(Y15="","",IF(Y79=0,0,SUMIFS('Background (from TC)'!$L:$L,'Background (from TC)'!$D:$D,Y15,'Background (from TC)'!$E:$E,Y16,'Background (from TC)'!$O:$O,Y17)/1000*3.6/Y59))</f>
        <v/>
      </c>
      <c r="Z70" s="521" t="str">
        <f>IF(Z15="","",IF(Z79=0,0,SUMIFS('Background (from TC)'!$L:$L,'Background (from TC)'!$D:$D,Z15,'Background (from TC)'!$E:$E,Z16,'Background (from TC)'!$O:$O,Z17)/1000*3.6/Z59))</f>
        <v/>
      </c>
    </row>
    <row r="71" spans="1:27">
      <c r="B71" s="278" t="s">
        <v>88</v>
      </c>
      <c r="C71" s="56">
        <v>1.0900000000000001</v>
      </c>
      <c r="D71" s="56">
        <v>2.09</v>
      </c>
      <c r="E71" s="56">
        <v>3.09</v>
      </c>
      <c r="F71" s="56">
        <v>4.09</v>
      </c>
      <c r="G71" s="56">
        <v>5.09</v>
      </c>
      <c r="H71" s="56">
        <v>6.09</v>
      </c>
      <c r="I71" s="56">
        <v>7.09</v>
      </c>
      <c r="J71" s="56">
        <v>1.25</v>
      </c>
      <c r="K71" s="56"/>
      <c r="L71" s="56">
        <v>10.09</v>
      </c>
      <c r="M71" s="56">
        <v>11.09</v>
      </c>
      <c r="N71" s="56">
        <v>12.09</v>
      </c>
      <c r="O71" s="56">
        <v>13.09</v>
      </c>
      <c r="P71" s="56">
        <v>14.09</v>
      </c>
      <c r="Q71" s="56">
        <v>15.09</v>
      </c>
      <c r="R71" s="56">
        <v>16.09</v>
      </c>
      <c r="S71" s="56">
        <v>17.09</v>
      </c>
      <c r="T71" s="56">
        <v>18.09</v>
      </c>
      <c r="U71" s="56">
        <v>19.09</v>
      </c>
      <c r="V71" s="56">
        <v>20.09</v>
      </c>
      <c r="W71" s="56">
        <v>21.09</v>
      </c>
      <c r="X71" s="56">
        <v>22.09</v>
      </c>
      <c r="Y71" s="56">
        <v>23.09</v>
      </c>
      <c r="Z71" s="56">
        <v>24.09</v>
      </c>
    </row>
    <row r="72" spans="1:27">
      <c r="B72" s="279" t="s">
        <v>89</v>
      </c>
      <c r="C72" s="18">
        <f>IF(C69="User defined",C71,C70)</f>
        <v>1.008</v>
      </c>
      <c r="D72" s="18">
        <f>IF(D69="User defined",D71,D70)</f>
        <v>0.49873170731707317</v>
      </c>
      <c r="E72" s="18">
        <f t="shared" ref="E72:Z72" si="11">IF(E69="User defined",E71,E70)</f>
        <v>0.34657627118644069</v>
      </c>
      <c r="F72" s="18">
        <f t="shared" si="11"/>
        <v>0.61043478260869566</v>
      </c>
      <c r="G72" s="18">
        <f t="shared" si="11"/>
        <v>0</v>
      </c>
      <c r="H72" s="18">
        <f t="shared" si="11"/>
        <v>0</v>
      </c>
      <c r="I72" s="18">
        <f t="shared" si="11"/>
        <v>0</v>
      </c>
      <c r="J72" s="18">
        <f t="shared" si="11"/>
        <v>0</v>
      </c>
      <c r="K72" s="18">
        <f t="shared" si="11"/>
        <v>0</v>
      </c>
      <c r="L72" s="18">
        <f t="shared" si="11"/>
        <v>0</v>
      </c>
      <c r="M72" s="18">
        <f t="shared" si="11"/>
        <v>0</v>
      </c>
      <c r="N72" s="18">
        <f t="shared" si="11"/>
        <v>0</v>
      </c>
      <c r="O72" s="18">
        <f t="shared" si="11"/>
        <v>0</v>
      </c>
      <c r="P72" s="18">
        <f t="shared" si="11"/>
        <v>0</v>
      </c>
      <c r="Q72" s="18" t="str">
        <f t="shared" si="11"/>
        <v/>
      </c>
      <c r="R72" s="18" t="str">
        <f t="shared" si="11"/>
        <v/>
      </c>
      <c r="S72" s="18" t="str">
        <f t="shared" si="11"/>
        <v/>
      </c>
      <c r="T72" s="18" t="str">
        <f t="shared" si="11"/>
        <v/>
      </c>
      <c r="U72" s="18" t="str">
        <f t="shared" si="11"/>
        <v/>
      </c>
      <c r="V72" s="18" t="str">
        <f t="shared" si="11"/>
        <v/>
      </c>
      <c r="W72" s="18" t="str">
        <f t="shared" si="11"/>
        <v/>
      </c>
      <c r="X72" s="18" t="str">
        <f t="shared" si="11"/>
        <v/>
      </c>
      <c r="Y72" s="18" t="str">
        <f t="shared" si="11"/>
        <v/>
      </c>
      <c r="Z72" s="18" t="str">
        <f t="shared" si="11"/>
        <v/>
      </c>
    </row>
    <row r="73" spans="1:27">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7" ht="15.75">
      <c r="B74" s="286" t="s">
        <v>90</v>
      </c>
    </row>
    <row r="75" spans="1:27" s="19" customFormat="1">
      <c r="A75"/>
      <c r="B75" s="278" t="s">
        <v>91</v>
      </c>
      <c r="C75" s="19" t="s">
        <v>84</v>
      </c>
      <c r="D75" s="19" t="s">
        <v>84</v>
      </c>
      <c r="E75" s="19" t="s">
        <v>84</v>
      </c>
      <c r="F75" s="19" t="s">
        <v>84</v>
      </c>
      <c r="G75" s="19" t="s">
        <v>84</v>
      </c>
      <c r="H75" s="19" t="s">
        <v>84</v>
      </c>
      <c r="I75" s="19" t="s">
        <v>84</v>
      </c>
      <c r="J75" s="19" t="s">
        <v>84</v>
      </c>
      <c r="K75" s="19" t="s">
        <v>84</v>
      </c>
      <c r="L75" s="19" t="s">
        <v>84</v>
      </c>
      <c r="M75" s="19" t="s">
        <v>84</v>
      </c>
      <c r="N75" s="19" t="s">
        <v>84</v>
      </c>
      <c r="O75" s="19" t="s">
        <v>84</v>
      </c>
      <c r="P75" s="19" t="s">
        <v>84</v>
      </c>
      <c r="Q75" s="19" t="s">
        <v>84</v>
      </c>
      <c r="R75" s="19" t="s">
        <v>84</v>
      </c>
      <c r="S75" s="19" t="s">
        <v>84</v>
      </c>
      <c r="T75" s="19" t="s">
        <v>84</v>
      </c>
      <c r="U75" s="19" t="s">
        <v>84</v>
      </c>
      <c r="V75" s="19" t="s">
        <v>84</v>
      </c>
      <c r="W75" s="19" t="s">
        <v>84</v>
      </c>
      <c r="X75" s="19" t="s">
        <v>84</v>
      </c>
      <c r="Y75" s="19" t="s">
        <v>84</v>
      </c>
      <c r="Z75" s="19" t="s">
        <v>84</v>
      </c>
      <c r="AA75" s="276"/>
    </row>
    <row r="76" spans="1:27">
      <c r="B76" s="278" t="s">
        <v>92</v>
      </c>
      <c r="C76" s="35">
        <f>IF(C$15="","",IF(C75="No",0,IF(C15="Storage",
(SUMIFS('Background (from TC)'!$AB$4:$AB$1048576,'Background (from TC)'!$D$4:$D$1048576,C$15,'Background (from TC)'!$E$4:$E$1048576,C$16,'Background (from TC)'!$O$4:$O$1048576,C$17)*C42+SUMIFS('Background (from TC)'!$AC$4:$AC$1048576,'Background (from TC)'!$D$4:$D$1048576,C$15,'Background (from TC)'!$E$4:$E$1048576,C$16,'Background (from TC)'!$O$4:$O$1048576,C$17)*C43/SUMIFS('Background (from TC)'!$S$4:$S$1048576,'Background (from TC)'!$D$4:$D$1048576,C$15,'Background (from TC)'!$E$4:$E$1048576,C$16,'Background (from TC)'!$O$4:$O$1048576,C$17)+SUMIFS('Background (from TC)'!$AD$4:$AD$1048576,'Background (from TC)'!$D$4:$D$1048576,C$15,'Background (from TC)'!$E$4:$E$1048576,C$16,'Background (from TC)'!$O$4:$O$1048576,C$17)*C42),
SUMIFS('Background (from TC)'!$G$4:$G$1048576,'Background (from TC)'!$D$4:$D$1048576,C$15,'Background (from TC)'!$E$4:$E$1048576,C$16,'Background (from TC)'!$O$4:$O$1048576,C$17)))*C29)</f>
        <v>1.55</v>
      </c>
      <c r="D76" s="35">
        <f>IF(D$15="","",IF(D75="No",0,IF(D15="Storage",
(SUMIFS('Background (from TC)'!$AB$4:$AB$1048576,'Background (from TC)'!$D$4:$D$1048576,D$15,'Background (from TC)'!$E$4:$E$1048576,D$16,'Background (from TC)'!$O$4:$O$1048576,D$17)*D42+SUMIFS('Background (from TC)'!$AC$4:$AC$1048576,'Background (from TC)'!$D$4:$D$1048576,D$15,'Background (from TC)'!$E$4:$E$1048576,D$16,'Background (from TC)'!$O$4:$O$1048576,D$17)*D43/SUMIFS('Background (from TC)'!$S$4:$S$1048576,'Background (from TC)'!$D$4:$D$1048576,D$15,'Background (from TC)'!$E$4:$E$1048576,D$16,'Background (from TC)'!$O$4:$O$1048576,D$17)+SUMIFS('Background (from TC)'!$AD$4:$AD$1048576,'Background (from TC)'!$D$4:$D$1048576,D$15,'Background (from TC)'!$E$4:$E$1048576,D$16,'Background (from TC)'!$O$4:$O$1048576,D$17)*D42),
SUMIFS('Background (from TC)'!$G$4:$G$1048576,'Background (from TC)'!$D$4:$D$1048576,D$15,'Background (from TC)'!$E$4:$E$1048576,D$16,'Background (from TC)'!$O$4:$O$1048576,D$17)))*D29)</f>
        <v>2.5100000000000002</v>
      </c>
      <c r="E76" s="35">
        <f>IF(E$15="","",IF(E75="No",0,IF(E15="Storage",
(SUMIFS('Background (from TC)'!$AB$4:$AB$1048576,'Background (from TC)'!$D$4:$D$1048576,E$15,'Background (from TC)'!$E$4:$E$1048576,E$16,'Background (from TC)'!$O$4:$O$1048576,E$17)*E42+SUMIFS('Background (from TC)'!$AC$4:$AC$1048576,'Background (from TC)'!$D$4:$D$1048576,E$15,'Background (from TC)'!$E$4:$E$1048576,E$16,'Background (from TC)'!$O$4:$O$1048576,E$17)*E43/SUMIFS('Background (from TC)'!$S$4:$S$1048576,'Background (from TC)'!$D$4:$D$1048576,E$15,'Background (from TC)'!$E$4:$E$1048576,E$16,'Background (from TC)'!$O$4:$O$1048576,E$17)+SUMIFS('Background (from TC)'!$AD$4:$AD$1048576,'Background (from TC)'!$D$4:$D$1048576,E$15,'Background (from TC)'!$E$4:$E$1048576,E$16,'Background (from TC)'!$O$4:$O$1048576,E$17)*E42),
SUMIFS('Background (from TC)'!$G$4:$G$1048576,'Background (from TC)'!$D$4:$D$1048576,E$15,'Background (from TC)'!$E$4:$E$1048576,E$16,'Background (from TC)'!$O$4:$O$1048576,E$17)))*E29)</f>
        <v>1.026</v>
      </c>
      <c r="F76" s="35">
        <f>IF(F$15="","",IF(F75="No",0,IF(F15="Storage",
(SUMIFS('Background (from TC)'!$AB$4:$AB$1048576,'Background (from TC)'!$D$4:$D$1048576,F$15,'Background (from TC)'!$E$4:$E$1048576,F$16,'Background (from TC)'!$O$4:$O$1048576,F$17)*F42+SUMIFS('Background (from TC)'!$AC$4:$AC$1048576,'Background (from TC)'!$D$4:$D$1048576,F$15,'Background (from TC)'!$E$4:$E$1048576,F$16,'Background (from TC)'!$O$4:$O$1048576,F$17)*F43/SUMIFS('Background (from TC)'!$S$4:$S$1048576,'Background (from TC)'!$D$4:$D$1048576,F$15,'Background (from TC)'!$E$4:$E$1048576,F$16,'Background (from TC)'!$O$4:$O$1048576,F$17)+SUMIFS('Background (from TC)'!$AD$4:$AD$1048576,'Background (from TC)'!$D$4:$D$1048576,F$15,'Background (from TC)'!$E$4:$E$1048576,F$16,'Background (from TC)'!$O$4:$O$1048576,F$17)*F42),
SUMIFS('Background (from TC)'!$G$4:$G$1048576,'Background (from TC)'!$D$4:$D$1048576,F$15,'Background (from TC)'!$E$4:$E$1048576,F$16,'Background (from TC)'!$O$4:$O$1048576,F$17)))*F29)</f>
        <v>0.91200000000000003</v>
      </c>
      <c r="G76" s="35">
        <f>IF(G$15="","",IF(G75="No",0,IF(G15="Storage",
(SUMIFS('Background (from TC)'!$AB$4:$AB$1048576,'Background (from TC)'!$D$4:$D$1048576,G$15,'Background (from TC)'!$E$4:$E$1048576,G$16,'Background (from TC)'!$O$4:$O$1048576,G$17)*G42+SUMIFS('Background (from TC)'!$AC$4:$AC$1048576,'Background (from TC)'!$D$4:$D$1048576,G$15,'Background (from TC)'!$E$4:$E$1048576,G$16,'Background (from TC)'!$O$4:$O$1048576,G$17)*G43/SUMIFS('Background (from TC)'!$S$4:$S$1048576,'Background (from TC)'!$D$4:$D$1048576,G$15,'Background (from TC)'!$E$4:$E$1048576,G$16,'Background (from TC)'!$O$4:$O$1048576,G$17)+SUMIFS('Background (from TC)'!$AD$4:$AD$1048576,'Background (from TC)'!$D$4:$D$1048576,G$15,'Background (from TC)'!$E$4:$E$1048576,G$16,'Background (from TC)'!$O$4:$O$1048576,G$17)*G42),
SUMIFS('Background (from TC)'!$G$4:$G$1048576,'Background (from TC)'!$D$4:$D$1048576,G$15,'Background (from TC)'!$E$4:$E$1048576,G$16,'Background (from TC)'!$O$4:$O$1048576,G$17)))*G29)</f>
        <v>7.9</v>
      </c>
      <c r="H76" s="35">
        <f>IF(H$15="","",IF(H75="No",0,IF(H15="Storage",
(SUMIFS('Background (from TC)'!$AB$4:$AB$1048576,'Background (from TC)'!$D$4:$D$1048576,H$15,'Background (from TC)'!$E$4:$E$1048576,H$16,'Background (from TC)'!$O$4:$O$1048576,H$17)*H42+SUMIFS('Background (from TC)'!$AC$4:$AC$1048576,'Background (from TC)'!$D$4:$D$1048576,H$15,'Background (from TC)'!$E$4:$E$1048576,H$16,'Background (from TC)'!$O$4:$O$1048576,H$17)*H43/SUMIFS('Background (from TC)'!$S$4:$S$1048576,'Background (from TC)'!$D$4:$D$1048576,H$15,'Background (from TC)'!$E$4:$E$1048576,H$16,'Background (from TC)'!$O$4:$O$1048576,H$17)+SUMIFS('Background (from TC)'!$AD$4:$AD$1048576,'Background (from TC)'!$D$4:$D$1048576,H$15,'Background (from TC)'!$E$4:$E$1048576,H$16,'Background (from TC)'!$O$4:$O$1048576,H$17)*H42),
SUMIFS('Background (from TC)'!$G$4:$G$1048576,'Background (from TC)'!$D$4:$D$1048576,H$15,'Background (from TC)'!$E$4:$E$1048576,H$16,'Background (from TC)'!$O$4:$O$1048576,H$17)))*H29)</f>
        <v>9.6</v>
      </c>
      <c r="I76" s="35">
        <f>IF(I$15="","",IF(I75="No",0,IF(I15="Storage",
(SUMIFS('Background (from TC)'!$AB$4:$AB$1048576,'Background (from TC)'!$D$4:$D$1048576,I$15,'Background (from TC)'!$E$4:$E$1048576,I$16,'Background (from TC)'!$O$4:$O$1048576,I$17)*I42+SUMIFS('Background (from TC)'!$AC$4:$AC$1048576,'Background (from TC)'!$D$4:$D$1048576,I$15,'Background (from TC)'!$E$4:$E$1048576,I$16,'Background (from TC)'!$O$4:$O$1048576,I$17)*I43/SUMIFS('Background (from TC)'!$S$4:$S$1048576,'Background (from TC)'!$D$4:$D$1048576,I$15,'Background (from TC)'!$E$4:$E$1048576,I$16,'Background (from TC)'!$O$4:$O$1048576,I$17)+SUMIFS('Background (from TC)'!$AD$4:$AD$1048576,'Background (from TC)'!$D$4:$D$1048576,I$15,'Background (from TC)'!$E$4:$E$1048576,I$16,'Background (from TC)'!$O$4:$O$1048576,I$17)*I42),
SUMIFS('Background (from TC)'!$G$4:$G$1048576,'Background (from TC)'!$D$4:$D$1048576,I$15,'Background (from TC)'!$E$4:$E$1048576,I$16,'Background (from TC)'!$O$4:$O$1048576,I$17)))*I29)</f>
        <v>2.0747999999999998</v>
      </c>
      <c r="J76" s="35">
        <f>IF(J$15="","",IF(J75="No",0,IF(J15="Storage",
(SUMIFS('Background (from TC)'!$AB$4:$AB$1048576,'Background (from TC)'!$D$4:$D$1048576,J$15,'Background (from TC)'!$E$4:$E$1048576,J$16,'Background (from TC)'!$O$4:$O$1048576,J$17)*J42+SUMIFS('Background (from TC)'!$AC$4:$AC$1048576,'Background (from TC)'!$D$4:$D$1048576,J$15,'Background (from TC)'!$E$4:$E$1048576,J$16,'Background (from TC)'!$O$4:$O$1048576,J$17)*J43/SUMIFS('Background (from TC)'!$S$4:$S$1048576,'Background (from TC)'!$D$4:$D$1048576,J$15,'Background (from TC)'!$E$4:$E$1048576,J$16,'Background (from TC)'!$O$4:$O$1048576,J$17)+SUMIFS('Background (from TC)'!$AD$4:$AD$1048576,'Background (from TC)'!$D$4:$D$1048576,J$15,'Background (from TC)'!$E$4:$E$1048576,J$16,'Background (from TC)'!$O$4:$O$1048576,J$17)*J42),
SUMIFS('Background (from TC)'!$G$4:$G$1048576,'Background (from TC)'!$D$4:$D$1048576,J$15,'Background (from TC)'!$E$4:$E$1048576,J$16,'Background (from TC)'!$O$4:$O$1048576,J$17)))*J29)</f>
        <v>4.4000000000000004</v>
      </c>
      <c r="K76" s="35">
        <f>IF(K$15="","",IF(K75="No",0,IF(K15="Storage",
(SUMIFS('Background (from TC)'!$AB$4:$AB$1048576,'Background (from TC)'!$D$4:$D$1048576,K$15,'Background (from TC)'!$E$4:$E$1048576,K$16,'Background (from TC)'!$O$4:$O$1048576,K$17)*K42+SUMIFS('Background (from TC)'!$AC$4:$AC$1048576,'Background (from TC)'!$D$4:$D$1048576,K$15,'Background (from TC)'!$E$4:$E$1048576,K$16,'Background (from TC)'!$O$4:$O$1048576,K$17)*K43/SUMIFS('Background (from TC)'!$S$4:$S$1048576,'Background (from TC)'!$D$4:$D$1048576,K$15,'Background (from TC)'!$E$4:$E$1048576,K$16,'Background (from TC)'!$O$4:$O$1048576,K$17)+SUMIFS('Background (from TC)'!$AD$4:$AD$1048576,'Background (from TC)'!$D$4:$D$1048576,K$15,'Background (from TC)'!$E$4:$E$1048576,K$16,'Background (from TC)'!$O$4:$O$1048576,K$17)*K42),
SUMIFS('Background (from TC)'!$G$4:$G$1048576,'Background (from TC)'!$D$4:$D$1048576,K$15,'Background (from TC)'!$E$4:$E$1048576,K$16,'Background (from TC)'!$O$4:$O$1048576,K$17)))*K29)</f>
        <v>2.1120000000000001</v>
      </c>
      <c r="L76" s="35">
        <f>IF(L$15="","",IF(L75="No",0,IF(L15="Storage",
(SUMIFS('Background (from TC)'!$AB$4:$AB$1048576,'Background (from TC)'!$D$4:$D$1048576,L$15,'Background (from TC)'!$E$4:$E$1048576,L$16,'Background (from TC)'!$O$4:$O$1048576,L$17)*L42+SUMIFS('Background (from TC)'!$AC$4:$AC$1048576,'Background (from TC)'!$D$4:$D$1048576,L$15,'Background (from TC)'!$E$4:$E$1048576,L$16,'Background (from TC)'!$O$4:$O$1048576,L$17)*L43/SUMIFS('Background (from TC)'!$S$4:$S$1048576,'Background (from TC)'!$D$4:$D$1048576,L$15,'Background (from TC)'!$E$4:$E$1048576,L$16,'Background (from TC)'!$O$4:$O$1048576,L$17)+SUMIFS('Background (from TC)'!$AD$4:$AD$1048576,'Background (from TC)'!$D$4:$D$1048576,L$15,'Background (from TC)'!$E$4:$E$1048576,L$16,'Background (from TC)'!$O$4:$O$1048576,L$17)*L42),
SUMIFS('Background (from TC)'!$G$4:$G$1048576,'Background (from TC)'!$D$4:$D$1048576,L$15,'Background (from TC)'!$E$4:$E$1048576,L$16,'Background (from TC)'!$O$4:$O$1048576,L$17)))*L29)</f>
        <v>0.67199999999999993</v>
      </c>
      <c r="M76" s="35">
        <f>IF(M$15="","",IF(M75="No",0,IF(M15="Storage",
(SUMIFS('Background (from TC)'!$AB$4:$AB$1048576,'Background (from TC)'!$D$4:$D$1048576,M$15,'Background (from TC)'!$E$4:$E$1048576,M$16,'Background (from TC)'!$O$4:$O$1048576,M$17)*M42+SUMIFS('Background (from TC)'!$AC$4:$AC$1048576,'Background (from TC)'!$D$4:$D$1048576,M$15,'Background (from TC)'!$E$4:$E$1048576,M$16,'Background (from TC)'!$O$4:$O$1048576,M$17)*M43/SUMIFS('Background (from TC)'!$S$4:$S$1048576,'Background (from TC)'!$D$4:$D$1048576,M$15,'Background (from TC)'!$E$4:$E$1048576,M$16,'Background (from TC)'!$O$4:$O$1048576,M$17)+SUMIFS('Background (from TC)'!$AD$4:$AD$1048576,'Background (from TC)'!$D$4:$D$1048576,M$15,'Background (from TC)'!$E$4:$E$1048576,M$16,'Background (from TC)'!$O$4:$O$1048576,M$17)*M42),
SUMIFS('Background (from TC)'!$G$4:$G$1048576,'Background (from TC)'!$D$4:$D$1048576,M$15,'Background (from TC)'!$E$4:$E$1048576,M$16,'Background (from TC)'!$O$4:$O$1048576,M$17)))*M29)</f>
        <v>0.73919999999999997</v>
      </c>
      <c r="N76" s="35">
        <f>IF(N$15="","",IF(N75="No",0,IF(N15="Storage",
(SUMIFS('Background (from TC)'!$AB$4:$AB$1048576,'Background (from TC)'!$D$4:$D$1048576,N$15,'Background (from TC)'!$E$4:$E$1048576,N$16,'Background (from TC)'!$O$4:$O$1048576,N$17)*N42+SUMIFS('Background (from TC)'!$AC$4:$AC$1048576,'Background (from TC)'!$D$4:$D$1048576,N$15,'Background (from TC)'!$E$4:$E$1048576,N$16,'Background (from TC)'!$O$4:$O$1048576,N$17)*N43/SUMIFS('Background (from TC)'!$S$4:$S$1048576,'Background (from TC)'!$D$4:$D$1048576,N$15,'Background (from TC)'!$E$4:$E$1048576,N$16,'Background (from TC)'!$O$4:$O$1048576,N$17)+SUMIFS('Background (from TC)'!$AD$4:$AD$1048576,'Background (from TC)'!$D$4:$D$1048576,N$15,'Background (from TC)'!$E$4:$E$1048576,N$16,'Background (from TC)'!$O$4:$O$1048576,N$17)*N42),
SUMIFS('Background (from TC)'!$G$4:$G$1048576,'Background (from TC)'!$D$4:$D$1048576,N$15,'Background (from TC)'!$E$4:$E$1048576,N$16,'Background (from TC)'!$O$4:$O$1048576,N$17)))*N29)</f>
        <v>1.2</v>
      </c>
      <c r="O76" s="35">
        <f>IF(O$15="","",IF(O75="No",0,IF(O15="Storage",
(SUMIFS('Background (from TC)'!$AB$4:$AB$1048576,'Background (from TC)'!$D$4:$D$1048576,O$15,'Background (from TC)'!$E$4:$E$1048576,O$16,'Background (from TC)'!$O$4:$O$1048576,O$17)*O42+SUMIFS('Background (from TC)'!$AC$4:$AC$1048576,'Background (from TC)'!$D$4:$D$1048576,O$15,'Background (from TC)'!$E$4:$E$1048576,O$16,'Background (from TC)'!$O$4:$O$1048576,O$17)*O43/SUMIFS('Background (from TC)'!$S$4:$S$1048576,'Background (from TC)'!$D$4:$D$1048576,O$15,'Background (from TC)'!$E$4:$E$1048576,O$16,'Background (from TC)'!$O$4:$O$1048576,O$17)+SUMIFS('Background (from TC)'!$AD$4:$AD$1048576,'Background (from TC)'!$D$4:$D$1048576,O$15,'Background (from TC)'!$E$4:$E$1048576,O$16,'Background (from TC)'!$O$4:$O$1048576,O$17)*O42),
SUMIFS('Background (from TC)'!$G$4:$G$1048576,'Background (from TC)'!$D$4:$D$1048576,O$15,'Background (from TC)'!$E$4:$E$1048576,O$16,'Background (from TC)'!$O$4:$O$1048576,O$17)))*O29)</f>
        <v>3.5669999999999997</v>
      </c>
      <c r="P76" s="35">
        <f>IF(P$15="","",IF(P75="No",0,IF(P15="Storage",
(SUMIFS('Background (from TC)'!$AB$4:$AB$1048576,'Background (from TC)'!$D$4:$D$1048576,P$15,'Background (from TC)'!$E$4:$E$1048576,P$16,'Background (from TC)'!$O$4:$O$1048576,P$17)*P42+SUMIFS('Background (from TC)'!$AC$4:$AC$1048576,'Background (from TC)'!$D$4:$D$1048576,P$15,'Background (from TC)'!$E$4:$E$1048576,P$16,'Background (from TC)'!$O$4:$O$1048576,P$17)*P43/SUMIFS('Background (from TC)'!$S$4:$S$1048576,'Background (from TC)'!$D$4:$D$1048576,P$15,'Background (from TC)'!$E$4:$E$1048576,P$16,'Background (from TC)'!$O$4:$O$1048576,P$17)+SUMIFS('Background (from TC)'!$AD$4:$AD$1048576,'Background (from TC)'!$D$4:$D$1048576,P$15,'Background (from TC)'!$E$4:$E$1048576,P$16,'Background (from TC)'!$O$4:$O$1048576,P$17)*P42),
SUMIFS('Background (from TC)'!$G$4:$G$1048576,'Background (from TC)'!$D$4:$D$1048576,P$15,'Background (from TC)'!$E$4:$E$1048576,P$16,'Background (from TC)'!$O$4:$O$1048576,P$17)))*P29)</f>
        <v>4</v>
      </c>
      <c r="Q76" s="35" t="str">
        <f>IF(Q$15="","",IF(Q75="No",0,IF(Q15="Storage",
(SUMIFS('Background (from TC)'!$AB$4:$AB$1048576,'Background (from TC)'!$D$4:$D$1048576,Q$15,'Background (from TC)'!$E$4:$E$1048576,Q$16,'Background (from TC)'!$O$4:$O$1048576,Q$17)*Q42+SUMIFS('Background (from TC)'!$AC$4:$AC$1048576,'Background (from TC)'!$D$4:$D$1048576,Q$15,'Background (from TC)'!$E$4:$E$1048576,Q$16,'Background (from TC)'!$O$4:$O$1048576,Q$17)*Q43/SUMIFS('Background (from TC)'!$S$4:$S$1048576,'Background (from TC)'!$D$4:$D$1048576,Q$15,'Background (from TC)'!$E$4:$E$1048576,Q$16,'Background (from TC)'!$O$4:$O$1048576,Q$17)+SUMIFS('Background (from TC)'!$AD$4:$AD$1048576,'Background (from TC)'!$D$4:$D$1048576,Q$15,'Background (from TC)'!$E$4:$E$1048576,Q$16,'Background (from TC)'!$O$4:$O$1048576,Q$17)*Q42),
SUMIFS('Background (from TC)'!$G$4:$G$1048576,'Background (from TC)'!$D$4:$D$1048576,Q$15,'Background (from TC)'!$E$4:$E$1048576,Q$16,'Background (from TC)'!$O$4:$O$1048576,Q$17)))*Q29)</f>
        <v/>
      </c>
      <c r="R76" s="35" t="str">
        <f>IF(R$15="","",IF(R75="No",0,IF(R15="Storage",
(SUMIFS('Background (from TC)'!$AB$4:$AB$1048576,'Background (from TC)'!$D$4:$D$1048576,R$15,'Background (from TC)'!$E$4:$E$1048576,R$16,'Background (from TC)'!$O$4:$O$1048576,R$17)*R42+SUMIFS('Background (from TC)'!$AC$4:$AC$1048576,'Background (from TC)'!$D$4:$D$1048576,R$15,'Background (from TC)'!$E$4:$E$1048576,R$16,'Background (from TC)'!$O$4:$O$1048576,R$17)*R43/SUMIFS('Background (from TC)'!$S$4:$S$1048576,'Background (from TC)'!$D$4:$D$1048576,R$15,'Background (from TC)'!$E$4:$E$1048576,R$16,'Background (from TC)'!$O$4:$O$1048576,R$17)+SUMIFS('Background (from TC)'!$AD$4:$AD$1048576,'Background (from TC)'!$D$4:$D$1048576,R$15,'Background (from TC)'!$E$4:$E$1048576,R$16,'Background (from TC)'!$O$4:$O$1048576,R$17)*R42),
SUMIFS('Background (from TC)'!$G$4:$G$1048576,'Background (from TC)'!$D$4:$D$1048576,R$15,'Background (from TC)'!$E$4:$E$1048576,R$16,'Background (from TC)'!$O$4:$O$1048576,R$17)))*R29)</f>
        <v/>
      </c>
      <c r="S76" s="35" t="str">
        <f>IF(S$15="","",IF(S75="No",0,IF(S15="Storage",
(SUMIFS('Background (from TC)'!$AB$4:$AB$1048576,'Background (from TC)'!$D$4:$D$1048576,S$15,'Background (from TC)'!$E$4:$E$1048576,S$16,'Background (from TC)'!$O$4:$O$1048576,S$17)*S42+SUMIFS('Background (from TC)'!$AC$4:$AC$1048576,'Background (from TC)'!$D$4:$D$1048576,S$15,'Background (from TC)'!$E$4:$E$1048576,S$16,'Background (from TC)'!$O$4:$O$1048576,S$17)*S43/SUMIFS('Background (from TC)'!$S$4:$S$1048576,'Background (from TC)'!$D$4:$D$1048576,S$15,'Background (from TC)'!$E$4:$E$1048576,S$16,'Background (from TC)'!$O$4:$O$1048576,S$17)+SUMIFS('Background (from TC)'!$AD$4:$AD$1048576,'Background (from TC)'!$D$4:$D$1048576,S$15,'Background (from TC)'!$E$4:$E$1048576,S$16,'Background (from TC)'!$O$4:$O$1048576,S$17)*S42),
SUMIFS('Background (from TC)'!$G$4:$G$1048576,'Background (from TC)'!$D$4:$D$1048576,S$15,'Background (from TC)'!$E$4:$E$1048576,S$16,'Background (from TC)'!$O$4:$O$1048576,S$17)))*S29)</f>
        <v/>
      </c>
      <c r="T76" s="35" t="str">
        <f>IF(T$15="","",IF(T75="No",0,IF(T15="Storage",
(SUMIFS('Background (from TC)'!$AB$4:$AB$1048576,'Background (from TC)'!$D$4:$D$1048576,T$15,'Background (from TC)'!$E$4:$E$1048576,T$16,'Background (from TC)'!$O$4:$O$1048576,T$17)*T42+SUMIFS('Background (from TC)'!$AC$4:$AC$1048576,'Background (from TC)'!$D$4:$D$1048576,T$15,'Background (from TC)'!$E$4:$E$1048576,T$16,'Background (from TC)'!$O$4:$O$1048576,T$17)*T43/SUMIFS('Background (from TC)'!$S$4:$S$1048576,'Background (from TC)'!$D$4:$D$1048576,T$15,'Background (from TC)'!$E$4:$E$1048576,T$16,'Background (from TC)'!$O$4:$O$1048576,T$17)+SUMIFS('Background (from TC)'!$AD$4:$AD$1048576,'Background (from TC)'!$D$4:$D$1048576,T$15,'Background (from TC)'!$E$4:$E$1048576,T$16,'Background (from TC)'!$O$4:$O$1048576,T$17)*T42),
SUMIFS('Background (from TC)'!$G$4:$G$1048576,'Background (from TC)'!$D$4:$D$1048576,T$15,'Background (from TC)'!$E$4:$E$1048576,T$16,'Background (from TC)'!$O$4:$O$1048576,T$17)))*T29)</f>
        <v/>
      </c>
      <c r="U76" s="35" t="str">
        <f>IF(U$15="","",IF(U75="No",0,IF(U15="Storage",
(SUMIFS('Background (from TC)'!$AB$4:$AB$1048576,'Background (from TC)'!$D$4:$D$1048576,U$15,'Background (from TC)'!$E$4:$E$1048576,U$16,'Background (from TC)'!$O$4:$O$1048576,U$17)*U42+SUMIFS('Background (from TC)'!$AC$4:$AC$1048576,'Background (from TC)'!$D$4:$D$1048576,U$15,'Background (from TC)'!$E$4:$E$1048576,U$16,'Background (from TC)'!$O$4:$O$1048576,U$17)*U43/SUMIFS('Background (from TC)'!$S$4:$S$1048576,'Background (from TC)'!$D$4:$D$1048576,U$15,'Background (from TC)'!$E$4:$E$1048576,U$16,'Background (from TC)'!$O$4:$O$1048576,U$17)+SUMIFS('Background (from TC)'!$AD$4:$AD$1048576,'Background (from TC)'!$D$4:$D$1048576,U$15,'Background (from TC)'!$E$4:$E$1048576,U$16,'Background (from TC)'!$O$4:$O$1048576,U$17)*U42),
SUMIFS('Background (from TC)'!$G$4:$G$1048576,'Background (from TC)'!$D$4:$D$1048576,U$15,'Background (from TC)'!$E$4:$E$1048576,U$16,'Background (from TC)'!$O$4:$O$1048576,U$17)))*U29)</f>
        <v/>
      </c>
      <c r="V76" s="35" t="str">
        <f>IF(V$15="","",IF(V75="No",0,IF(V15="Storage",
(SUMIFS('Background (from TC)'!$AB$4:$AB$1048576,'Background (from TC)'!$D$4:$D$1048576,V$15,'Background (from TC)'!$E$4:$E$1048576,V$16,'Background (from TC)'!$O$4:$O$1048576,V$17)*V42+SUMIFS('Background (from TC)'!$AC$4:$AC$1048576,'Background (from TC)'!$D$4:$D$1048576,V$15,'Background (from TC)'!$E$4:$E$1048576,V$16,'Background (from TC)'!$O$4:$O$1048576,V$17)*V43/SUMIFS('Background (from TC)'!$S$4:$S$1048576,'Background (from TC)'!$D$4:$D$1048576,V$15,'Background (from TC)'!$E$4:$E$1048576,V$16,'Background (from TC)'!$O$4:$O$1048576,V$17)+SUMIFS('Background (from TC)'!$AD$4:$AD$1048576,'Background (from TC)'!$D$4:$D$1048576,V$15,'Background (from TC)'!$E$4:$E$1048576,V$16,'Background (from TC)'!$O$4:$O$1048576,V$17)*V42),
SUMIFS('Background (from TC)'!$G$4:$G$1048576,'Background (from TC)'!$D$4:$D$1048576,V$15,'Background (from TC)'!$E$4:$E$1048576,V$16,'Background (from TC)'!$O$4:$O$1048576,V$17)))*V29)</f>
        <v/>
      </c>
      <c r="W76" s="35" t="str">
        <f>IF(W$15="","",IF(W75="No",0,IF(W15="Storage",
(SUMIFS('Background (from TC)'!$AB$4:$AB$1048576,'Background (from TC)'!$D$4:$D$1048576,W$15,'Background (from TC)'!$E$4:$E$1048576,W$16,'Background (from TC)'!$O$4:$O$1048576,W$17)*W42+SUMIFS('Background (from TC)'!$AC$4:$AC$1048576,'Background (from TC)'!$D$4:$D$1048576,W$15,'Background (from TC)'!$E$4:$E$1048576,W$16,'Background (from TC)'!$O$4:$O$1048576,W$17)*W43/SUMIFS('Background (from TC)'!$S$4:$S$1048576,'Background (from TC)'!$D$4:$D$1048576,W$15,'Background (from TC)'!$E$4:$E$1048576,W$16,'Background (from TC)'!$O$4:$O$1048576,W$17)+SUMIFS('Background (from TC)'!$AD$4:$AD$1048576,'Background (from TC)'!$D$4:$D$1048576,W$15,'Background (from TC)'!$E$4:$E$1048576,W$16,'Background (from TC)'!$O$4:$O$1048576,W$17)*W42),
SUMIFS('Background (from TC)'!$G$4:$G$1048576,'Background (from TC)'!$D$4:$D$1048576,W$15,'Background (from TC)'!$E$4:$E$1048576,W$16,'Background (from TC)'!$O$4:$O$1048576,W$17)))*W29)</f>
        <v/>
      </c>
      <c r="X76" s="35" t="str">
        <f>IF(X$15="","",IF(X75="No",0,IF(X15="Storage",
(SUMIFS('Background (from TC)'!$AB$4:$AB$1048576,'Background (from TC)'!$D$4:$D$1048576,X$15,'Background (from TC)'!$E$4:$E$1048576,X$16,'Background (from TC)'!$O$4:$O$1048576,X$17)*X42+SUMIFS('Background (from TC)'!$AC$4:$AC$1048576,'Background (from TC)'!$D$4:$D$1048576,X$15,'Background (from TC)'!$E$4:$E$1048576,X$16,'Background (from TC)'!$O$4:$O$1048576,X$17)*X43/SUMIFS('Background (from TC)'!$S$4:$S$1048576,'Background (from TC)'!$D$4:$D$1048576,X$15,'Background (from TC)'!$E$4:$E$1048576,X$16,'Background (from TC)'!$O$4:$O$1048576,X$17)+SUMIFS('Background (from TC)'!$AD$4:$AD$1048576,'Background (from TC)'!$D$4:$D$1048576,X$15,'Background (from TC)'!$E$4:$E$1048576,X$16,'Background (from TC)'!$O$4:$O$1048576,X$17)*X42),
SUMIFS('Background (from TC)'!$G$4:$G$1048576,'Background (from TC)'!$D$4:$D$1048576,X$15,'Background (from TC)'!$E$4:$E$1048576,X$16,'Background (from TC)'!$O$4:$O$1048576,X$17)))*X29)</f>
        <v/>
      </c>
      <c r="Y76" s="35" t="str">
        <f>IF(Y$15="","",IF(Y75="No",0,IF(Y15="Storage",
(SUMIFS('Background (from TC)'!$AB$4:$AB$1048576,'Background (from TC)'!$D$4:$D$1048576,Y$15,'Background (from TC)'!$E$4:$E$1048576,Y$16,'Background (from TC)'!$O$4:$O$1048576,Y$17)*Y42+SUMIFS('Background (from TC)'!$AC$4:$AC$1048576,'Background (from TC)'!$D$4:$D$1048576,Y$15,'Background (from TC)'!$E$4:$E$1048576,Y$16,'Background (from TC)'!$O$4:$O$1048576,Y$17)*Y43/SUMIFS('Background (from TC)'!$S$4:$S$1048576,'Background (from TC)'!$D$4:$D$1048576,Y$15,'Background (from TC)'!$E$4:$E$1048576,Y$16,'Background (from TC)'!$O$4:$O$1048576,Y$17)+SUMIFS('Background (from TC)'!$AD$4:$AD$1048576,'Background (from TC)'!$D$4:$D$1048576,Y$15,'Background (from TC)'!$E$4:$E$1048576,Y$16,'Background (from TC)'!$O$4:$O$1048576,Y$17)*Y42),
SUMIFS('Background (from TC)'!$G$4:$G$1048576,'Background (from TC)'!$D$4:$D$1048576,Y$15,'Background (from TC)'!$E$4:$E$1048576,Y$16,'Background (from TC)'!$O$4:$O$1048576,Y$17)))*Y29)</f>
        <v/>
      </c>
      <c r="Z76" s="35" t="str">
        <f>IF(Z$15="","",IF(Z75="No",0,IF(Z15="Storage",
(SUMIFS('Background (from TC)'!$AB$4:$AB$1048576,'Background (from TC)'!$D$4:$D$1048576,Z$15,'Background (from TC)'!$E$4:$E$1048576,Z$16,'Background (from TC)'!$O$4:$O$1048576,Z$17)*Z42+SUMIFS('Background (from TC)'!$AC$4:$AC$1048576,'Background (from TC)'!$D$4:$D$1048576,Z$15,'Background (from TC)'!$E$4:$E$1048576,Z$16,'Background (from TC)'!$O$4:$O$1048576,Z$17)*Z43/SUMIFS('Background (from TC)'!$S$4:$S$1048576,'Background (from TC)'!$D$4:$D$1048576,Z$15,'Background (from TC)'!$E$4:$E$1048576,Z$16,'Background (from TC)'!$O$4:$O$1048576,Z$17)+SUMIFS('Background (from TC)'!$AD$4:$AD$1048576,'Background (from TC)'!$D$4:$D$1048576,Z$15,'Background (from TC)'!$E$4:$E$1048576,Z$16,'Background (from TC)'!$O$4:$O$1048576,Z$17)*Z42),
SUMIFS('Background (from TC)'!$G$4:$G$1048576,'Background (from TC)'!$D$4:$D$1048576,Z$15,'Background (from TC)'!$E$4:$E$1048576,Z$16,'Background (from TC)'!$O$4:$O$1048576,Z$17)))*Z29)</f>
        <v/>
      </c>
    </row>
    <row r="77" spans="1:27">
      <c r="B77" s="278" t="s">
        <v>93</v>
      </c>
      <c r="C77" s="35">
        <f>IF(C$15="","",SUMIFS('Background (from TC)'!$H$4:$H$1048576,'Background (from TC)'!$D$4:$D$1048576,C$15,'Background (from TC)'!$E$4:$E$1048576,C$16,'Background (from TC)'!$O$4:$O$1048576,C$17)*C29)</f>
        <v>45.6</v>
      </c>
      <c r="D77" s="35">
        <f>IF(D$15="","",SUMIFS('Background (from TC)'!$H$4:$H$1048576,'Background (from TC)'!$D$4:$D$1048576,D$15,'Background (from TC)'!$E$4:$E$1048576,D$16,'Background (from TC)'!$O$4:$O$1048576,D$17)*D29)</f>
        <v>66.3</v>
      </c>
      <c r="E77" s="35">
        <f>IF(E$15="","",SUMIFS('Background (from TC)'!$H$4:$H$1048576,'Background (from TC)'!$D$4:$D$1048576,E$15,'Background (from TC)'!$E$4:$E$1048576,E$16,'Background (from TC)'!$O$4:$O$1048576,E$17)*E29)</f>
        <v>26</v>
      </c>
      <c r="F77" s="35">
        <f>IF(F$15="","",SUMIFS('Background (from TC)'!$H$4:$H$1048576,'Background (from TC)'!$D$4:$D$1048576,F$15,'Background (from TC)'!$E$4:$E$1048576,F$16,'Background (from TC)'!$O$4:$O$1048576,F$17)*F29)</f>
        <v>9.1199999999999992</v>
      </c>
      <c r="G77" s="35">
        <f>IF(G$15="","",SUMIFS('Background (from TC)'!$H$4:$H$1048576,'Background (from TC)'!$D$4:$D$1048576,G$15,'Background (from TC)'!$E$4:$E$1048576,G$16,'Background (from TC)'!$O$4:$O$1048576,G$17)*G29)</f>
        <v>120</v>
      </c>
      <c r="H77" s="35">
        <f>IF(H$15="","",SUMIFS('Background (from TC)'!$H$4:$H$1048576,'Background (from TC)'!$D$4:$D$1048576,H$15,'Background (from TC)'!$E$4:$E$1048576,H$16,'Background (from TC)'!$O$4:$O$1048576,H$17)*H29)</f>
        <v>110</v>
      </c>
      <c r="I77" s="35">
        <f>IF(I$15="","",SUMIFS('Background (from TC)'!$H$4:$H$1048576,'Background (from TC)'!$D$4:$D$1048576,I$15,'Background (from TC)'!$E$4:$E$1048576,I$16,'Background (from TC)'!$O$4:$O$1048576,I$17)*I29)</f>
        <v>49.7</v>
      </c>
      <c r="J77" s="35">
        <f>IF(J$15="","",SUMIFS('Background (from TC)'!$H$4:$H$1048576,'Background (from TC)'!$D$4:$D$1048576,J$15,'Background (from TC)'!$E$4:$E$1048576,J$16,'Background (from TC)'!$O$4:$O$1048576,J$17)*J29)</f>
        <v>110</v>
      </c>
      <c r="K77" s="35">
        <f>IF(K$15="","",SUMIFS('Background (from TC)'!$H$4:$H$1048576,'Background (from TC)'!$D$4:$D$1048576,K$15,'Background (from TC)'!$E$4:$E$1048576,K$16,'Background (from TC)'!$O$4:$O$1048576,K$17)*K29)</f>
        <v>41</v>
      </c>
      <c r="L77" s="35">
        <f>IF(L$15="","",SUMIFS('Background (from TC)'!$H$4:$H$1048576,'Background (from TC)'!$D$4:$D$1048576,L$15,'Background (from TC)'!$E$4:$E$1048576,L$16,'Background (from TC)'!$O$4:$O$1048576,L$17)*L29)</f>
        <v>6.8</v>
      </c>
      <c r="M77" s="35">
        <f>IF(M$15="","",SUMIFS('Background (from TC)'!$H$4:$H$1048576,'Background (from TC)'!$D$4:$D$1048576,M$15,'Background (from TC)'!$E$4:$E$1048576,M$16,'Background (from TC)'!$O$4:$O$1048576,M$17)*M29)</f>
        <v>7.5</v>
      </c>
      <c r="N77" s="35">
        <f>IF(N$15="","",SUMIFS('Background (from TC)'!$H$4:$H$1048576,'Background (from TC)'!$D$4:$D$1048576,N$15,'Background (from TC)'!$E$4:$E$1048576,N$16,'Background (from TC)'!$O$4:$O$1048576,N$17)*N29)</f>
        <v>36</v>
      </c>
      <c r="O77" s="35">
        <f>IF(O$15="","",SUMIFS('Background (from TC)'!$H$4:$H$1048576,'Background (from TC)'!$D$4:$D$1048576,O$15,'Background (from TC)'!$E$4:$E$1048576,O$16,'Background (from TC)'!$O$4:$O$1048576,O$17)*O29)</f>
        <v>99.791047286134429</v>
      </c>
      <c r="P77" s="35">
        <f>IF(P$15="","",SUMIFS('Background (from TC)'!$H$4:$H$1048576,'Background (from TC)'!$D$4:$D$1048576,P$15,'Background (from TC)'!$E$4:$E$1048576,P$16,'Background (from TC)'!$O$4:$O$1048576,P$17)*P29)</f>
        <v>125</v>
      </c>
      <c r="Q77" s="35" t="str">
        <f>IF(Q$15="","",SUMIFS('Background (from TC)'!$H$4:$H$1048576,'Background (from TC)'!$D$4:$D$1048576,Q$15,'Background (from TC)'!$E$4:$E$1048576,Q$16,'Background (from TC)'!$O$4:$O$1048576,Q$17)*Q29)</f>
        <v/>
      </c>
      <c r="R77" s="35" t="str">
        <f>IF(R$15="","",SUMIFS('Background (from TC)'!$H$4:$H$1048576,'Background (from TC)'!$D$4:$D$1048576,R$15,'Background (from TC)'!$E$4:$E$1048576,R$16,'Background (from TC)'!$O$4:$O$1048576,R$17)*R29)</f>
        <v/>
      </c>
      <c r="S77" s="35" t="str">
        <f>IF(S$15="","",SUMIFS('Background (from TC)'!$H$4:$H$1048576,'Background (from TC)'!$D$4:$D$1048576,S$15,'Background (from TC)'!$E$4:$E$1048576,S$16,'Background (from TC)'!$O$4:$O$1048576,S$17)*S29)</f>
        <v/>
      </c>
      <c r="T77" s="35" t="str">
        <f>IF(T$15="","",SUMIFS('Background (from TC)'!$H$4:$H$1048576,'Background (from TC)'!$D$4:$D$1048576,T$15,'Background (from TC)'!$E$4:$E$1048576,T$16,'Background (from TC)'!$O$4:$O$1048576,T$17)*T29)</f>
        <v/>
      </c>
      <c r="U77" s="35" t="str">
        <f>IF(U$15="","",SUMIFS('Background (from TC)'!$H$4:$H$1048576,'Background (from TC)'!$D$4:$D$1048576,U$15,'Background (from TC)'!$E$4:$E$1048576,U$16,'Background (from TC)'!$O$4:$O$1048576,U$17)*U29)</f>
        <v/>
      </c>
      <c r="V77" s="35" t="str">
        <f>IF(V$15="","",SUMIFS('Background (from TC)'!$H$4:$H$1048576,'Background (from TC)'!$D$4:$D$1048576,V$15,'Background (from TC)'!$E$4:$E$1048576,V$16,'Background (from TC)'!$O$4:$O$1048576,V$17)*V29)</f>
        <v/>
      </c>
      <c r="W77" s="35" t="str">
        <f>IF(W$15="","",SUMIFS('Background (from TC)'!$H$4:$H$1048576,'Background (from TC)'!$D$4:$D$1048576,W$15,'Background (from TC)'!$E$4:$E$1048576,W$16,'Background (from TC)'!$O$4:$O$1048576,W$17)*W29)</f>
        <v/>
      </c>
      <c r="X77" s="35" t="str">
        <f>IF(X$15="","",SUMIFS('Background (from TC)'!$H$4:$H$1048576,'Background (from TC)'!$D$4:$D$1048576,X$15,'Background (from TC)'!$E$4:$E$1048576,X$16,'Background (from TC)'!$O$4:$O$1048576,X$17)*X29)</f>
        <v/>
      </c>
      <c r="Y77" s="35" t="str">
        <f>IF(Y$15="","",SUMIFS('Background (from TC)'!$H$4:$H$1048576,'Background (from TC)'!$D$4:$D$1048576,Y$15,'Background (from TC)'!$E$4:$E$1048576,Y$16,'Background (from TC)'!$O$4:$O$1048576,Y$17)*Y29)</f>
        <v/>
      </c>
      <c r="Z77" s="35" t="str">
        <f>IF(Z$15="","",SUMIFS('Background (from TC)'!$H$4:$H$1048576,'Background (from TC)'!$D$4:$D$1048576,Z$15,'Background (from TC)'!$E$4:$E$1048576,Z$16,'Background (from TC)'!$O$4:$O$1048576,Z$17)*Z29)</f>
        <v/>
      </c>
    </row>
    <row r="78" spans="1:27">
      <c r="B78" s="278" t="s">
        <v>94</v>
      </c>
      <c r="C78" s="1074">
        <f>IF(C$15="","",SUMIFS('Background (from TC)'!$I$4:$I$1048576,'Background (from TC)'!$D$4:$D$1048576,C$15,'Background (from TC)'!$E$4:$E$1048576,C$16,'Background (from TC)'!$O$4:$O$1048576,C$17)*C29)</f>
        <v>1.35</v>
      </c>
      <c r="D78" s="1074">
        <f>IF(D$15="","",SUMIFS('Background (from TC)'!$I$4:$I$1048576,'Background (from TC)'!$D$4:$D$1048576,D$15,'Background (from TC)'!$E$4:$E$1048576,D$16,'Background (from TC)'!$O$4:$O$1048576,D$17)*D29)</f>
        <v>13.3</v>
      </c>
      <c r="E78" s="1074">
        <f>IF(E$15="","",SUMIFS('Background (from TC)'!$I$4:$I$1048576,'Background (from TC)'!$D$4:$D$1048576,E$15,'Background (from TC)'!$E$4:$E$1048576,E$16,'Background (from TC)'!$O$4:$O$1048576,E$17)*E29)</f>
        <v>2.5</v>
      </c>
      <c r="F78" s="1074">
        <f>IF(F$15="","",SUMIFS('Background (from TC)'!$I$4:$I$1048576,'Background (from TC)'!$D$4:$D$1048576,F$15,'Background (from TC)'!$E$4:$E$1048576,F$16,'Background (from TC)'!$O$4:$O$1048576,F$17)*F29)</f>
        <v>6.84</v>
      </c>
      <c r="G78" s="1074">
        <f>IF(G$15="","",SUMIFS('Background (from TC)'!$I$4:$I$1048576,'Background (from TC)'!$D$4:$D$1048576,G$15,'Background (from TC)'!$E$4:$E$1048576,G$16,'Background (from TC)'!$O$4:$O$1048576,G$17)*G29)</f>
        <v>2.2999999999999998</v>
      </c>
      <c r="H78" s="1074">
        <f>IF(H$15="","",SUMIFS('Background (from TC)'!$I$4:$I$1048576,'Background (from TC)'!$D$4:$D$1048576,H$15,'Background (from TC)'!$E$4:$E$1048576,H$16,'Background (from TC)'!$O$4:$O$1048576,H$17)*H29)</f>
        <v>2.2000000000000002</v>
      </c>
      <c r="I78" s="1074">
        <f>IF(I$15="","",SUMIFS('Background (from TC)'!$I$4:$I$1048576,'Background (from TC)'!$D$4:$D$1048576,I$15,'Background (from TC)'!$E$4:$E$1048576,I$16,'Background (from TC)'!$O$4:$O$1048576,I$17)*I29)</f>
        <v>3.1280000000000001</v>
      </c>
      <c r="J78" s="1074">
        <f>IF(J$15="","",SUMIFS('Background (from TC)'!$I$4:$I$1048576,'Background (from TC)'!$D$4:$D$1048576,J$15,'Background (from TC)'!$E$4:$E$1048576,J$16,'Background (from TC)'!$O$4:$O$1048576,J$17)*J29)</f>
        <v>0.27</v>
      </c>
      <c r="K78" s="1074">
        <f>IF(K$15="","",SUMIFS('Background (from TC)'!$I$4:$I$1048576,'Background (from TC)'!$D$4:$D$1048576,K$15,'Background (from TC)'!$E$4:$E$1048576,K$16,'Background (from TC)'!$O$4:$O$1048576,K$17)*K29)</f>
        <v>0.71</v>
      </c>
      <c r="L78" s="1074">
        <f>IF(L$15="","",SUMIFS('Background (from TC)'!$I$4:$I$1048576,'Background (from TC)'!$D$4:$D$1048576,L$15,'Background (from TC)'!$E$4:$E$1048576,L$16,'Background (from TC)'!$O$4:$O$1048576,L$17)*L29)</f>
        <v>0</v>
      </c>
      <c r="M78" s="1074">
        <f>IF(M$15="","",SUMIFS('Background (from TC)'!$I$4:$I$1048576,'Background (from TC)'!$D$4:$D$1048576,M$15,'Background (from TC)'!$E$4:$E$1048576,M$16,'Background (from TC)'!$O$4:$O$1048576,M$17)*M29)</f>
        <v>0</v>
      </c>
      <c r="N78" s="1074">
        <f>IF(N$15="","",SUMIFS('Background (from TC)'!$I$4:$I$1048576,'Background (from TC)'!$D$4:$D$1048576,N$15,'Background (from TC)'!$E$4:$E$1048576,N$16,'Background (from TC)'!$O$4:$O$1048576,N$17)*N29)</f>
        <v>0</v>
      </c>
      <c r="O78" s="1074">
        <f>IF(O$15="","",SUMIFS('Background (from TC)'!$I$4:$I$1048576,'Background (from TC)'!$D$4:$D$1048576,O$15,'Background (from TC)'!$E$4:$E$1048576,O$16,'Background (from TC)'!$O$4:$O$1048576,O$17)*O29)</f>
        <v>4.8</v>
      </c>
      <c r="P78" s="1074">
        <f>IF(P$15="","",SUMIFS('Background (from TC)'!$I$4:$I$1048576,'Background (from TC)'!$D$4:$D$1048576,P$15,'Background (from TC)'!$E$4:$E$1048576,P$16,'Background (from TC)'!$O$4:$O$1048576,P$17)*P29)</f>
        <v>0</v>
      </c>
      <c r="Q78" s="1074" t="str">
        <f>IF(Q$15="","",SUMIFS('Background (from TC)'!$I$4:$I$1048576,'Background (from TC)'!$D$4:$D$1048576,Q$15,'Background (from TC)'!$E$4:$E$1048576,Q$16,'Background (from TC)'!$O$4:$O$1048576,Q$17)*Q29)</f>
        <v/>
      </c>
      <c r="R78" s="1074" t="str">
        <f>IF(R$15="","",SUMIFS('Background (from TC)'!$I$4:$I$1048576,'Background (from TC)'!$D$4:$D$1048576,R$15,'Background (from TC)'!$E$4:$E$1048576,R$16,'Background (from TC)'!$O$4:$O$1048576,R$17)*R29)</f>
        <v/>
      </c>
      <c r="S78" s="1074" t="str">
        <f>IF(S$15="","",SUMIFS('Background (from TC)'!$I$4:$I$1048576,'Background (from TC)'!$D$4:$D$1048576,S$15,'Background (from TC)'!$E$4:$E$1048576,S$16,'Background (from TC)'!$O$4:$O$1048576,S$17)*S29)</f>
        <v/>
      </c>
      <c r="T78" s="1074" t="str">
        <f>IF(T$15="","",SUMIFS('Background (from TC)'!$I$4:$I$1048576,'Background (from TC)'!$D$4:$D$1048576,T$15,'Background (from TC)'!$E$4:$E$1048576,T$16,'Background (from TC)'!$O$4:$O$1048576,T$17)*T29)</f>
        <v/>
      </c>
      <c r="U78" s="1074" t="str">
        <f>IF(U$15="","",SUMIFS('Background (from TC)'!$I$4:$I$1048576,'Background (from TC)'!$D$4:$D$1048576,U$15,'Background (from TC)'!$E$4:$E$1048576,U$16,'Background (from TC)'!$O$4:$O$1048576,U$17)*U29)</f>
        <v/>
      </c>
      <c r="V78" s="1074" t="str">
        <f>IF(V$15="","",SUMIFS('Background (from TC)'!$I$4:$I$1048576,'Background (from TC)'!$D$4:$D$1048576,V$15,'Background (from TC)'!$E$4:$E$1048576,V$16,'Background (from TC)'!$O$4:$O$1048576,V$17)*V29)</f>
        <v/>
      </c>
      <c r="W78" s="1074" t="str">
        <f>IF(W$15="","",SUMIFS('Background (from TC)'!$I$4:$I$1048576,'Background (from TC)'!$D$4:$D$1048576,W$15,'Background (from TC)'!$E$4:$E$1048576,W$16,'Background (from TC)'!$O$4:$O$1048576,W$17)*W29)</f>
        <v/>
      </c>
      <c r="X78" s="1074" t="str">
        <f>IF(X$15="","",SUMIFS('Background (from TC)'!$I$4:$I$1048576,'Background (from TC)'!$D$4:$D$1048576,X$15,'Background (from TC)'!$E$4:$E$1048576,X$16,'Background (from TC)'!$O$4:$O$1048576,X$17)*X29)</f>
        <v/>
      </c>
      <c r="Y78" s="1074" t="str">
        <f>IF(Y$15="","",SUMIFS('Background (from TC)'!$I$4:$I$1048576,'Background (from TC)'!$D$4:$D$1048576,Y$15,'Background (from TC)'!$E$4:$E$1048576,Y$16,'Background (from TC)'!$O$4:$O$1048576,Y$17)*Y29)</f>
        <v/>
      </c>
      <c r="Z78" s="1074" t="str">
        <f>IF(Z$15="","",SUMIFS('Background (from TC)'!$I$4:$I$1048576,'Background (from TC)'!$D$4:$D$1048576,Z$15,'Background (from TC)'!$E$4:$E$1048576,Z$16,'Background (from TC)'!$O$4:$O$1048576,Z$17)*Z29)</f>
        <v/>
      </c>
    </row>
    <row r="79" spans="1:27">
      <c r="B79" s="278" t="s">
        <v>78</v>
      </c>
      <c r="C79" s="35">
        <f t="shared" ref="C79:Z79" si="12">IF(C$15="","",IF(C60="",0,C60))</f>
        <v>35.221052631578949</v>
      </c>
      <c r="D79" s="35">
        <f t="shared" si="12"/>
        <v>32.643902439024394</v>
      </c>
      <c r="E79" s="35">
        <f t="shared" si="12"/>
        <v>66.450508474576267</v>
      </c>
      <c r="F79" s="35">
        <f t="shared" si="12"/>
        <v>122.79826429484649</v>
      </c>
      <c r="G79" s="35">
        <f t="shared" si="12"/>
        <v>10.833342000000009</v>
      </c>
      <c r="H79" s="35">
        <f t="shared" si="12"/>
        <v>14.444456000000011</v>
      </c>
      <c r="I79" s="35">
        <f t="shared" si="12"/>
        <v>54.193548387096776</v>
      </c>
      <c r="J79" s="35">
        <f t="shared" si="12"/>
        <v>0</v>
      </c>
      <c r="K79" s="35">
        <f t="shared" si="12"/>
        <v>0</v>
      </c>
      <c r="L79" s="35">
        <f t="shared" si="12"/>
        <v>0</v>
      </c>
      <c r="M79" s="35">
        <f t="shared" si="12"/>
        <v>0</v>
      </c>
      <c r="N79" s="35">
        <f t="shared" si="12"/>
        <v>0</v>
      </c>
      <c r="O79" s="35">
        <f t="shared" si="12"/>
        <v>0</v>
      </c>
      <c r="P79" s="35">
        <f t="shared" si="12"/>
        <v>0</v>
      </c>
      <c r="Q79" s="35" t="str">
        <f t="shared" si="12"/>
        <v/>
      </c>
      <c r="R79" s="35" t="str">
        <f t="shared" si="12"/>
        <v/>
      </c>
      <c r="S79" s="35" t="str">
        <f t="shared" si="12"/>
        <v/>
      </c>
      <c r="T79" s="35" t="str">
        <f t="shared" si="12"/>
        <v/>
      </c>
      <c r="U79" s="35" t="str">
        <f t="shared" si="12"/>
        <v/>
      </c>
      <c r="V79" s="35" t="str">
        <f t="shared" si="12"/>
        <v/>
      </c>
      <c r="W79" s="35" t="str">
        <f t="shared" si="12"/>
        <v/>
      </c>
      <c r="X79" s="35" t="str">
        <f t="shared" si="12"/>
        <v/>
      </c>
      <c r="Y79" s="35" t="str">
        <f t="shared" si="12"/>
        <v/>
      </c>
      <c r="Z79" s="35" t="str">
        <f t="shared" si="12"/>
        <v/>
      </c>
    </row>
    <row r="80" spans="1:27">
      <c r="B80" s="278" t="s">
        <v>95</v>
      </c>
      <c r="C80" s="35">
        <f>IF(C$15="","",SUMIFS('Background (from TC)'!$J$4:$J$1048576,'Background (from TC)'!$D$4:$D$1048576,C$15,'Background (from TC)'!$E$4:$E$1048576,C$16,'Background (from TC)'!$O$4:$O$1048576,C$17)*C29*C64)</f>
        <v>0</v>
      </c>
      <c r="D80" s="35">
        <f>IF(D$15="","",SUMIFS('Background (from TC)'!$J$4:$J$1048576,'Background (from TC)'!$D$4:$D$1048576,D$15,'Background (from TC)'!$E$4:$E$1048576,D$16,'Background (from TC)'!$O$4:$O$1048576,D$17)*D29*D64)</f>
        <v>0</v>
      </c>
      <c r="E80" s="35">
        <f>IF(E$15="","",SUMIFS('Background (from TC)'!$J$4:$J$1048576,'Background (from TC)'!$D$4:$D$1048576,E$15,'Background (from TC)'!$E$4:$E$1048576,E$16,'Background (from TC)'!$O$4:$O$1048576,E$17)*E29*E64)</f>
        <v>0</v>
      </c>
      <c r="F80" s="35">
        <f>IF(F$15="","",SUMIFS('Background (from TC)'!$J$4:$J$1048576,'Background (from TC)'!$D$4:$D$1048576,F$15,'Background (from TC)'!$E$4:$E$1048576,F$16,'Background (from TC)'!$O$4:$O$1048576,F$17)*F29*F64)</f>
        <v>0</v>
      </c>
      <c r="G80" s="35">
        <f>IF(G$15="","",SUMIFS('Background (from TC)'!$J$4:$J$1048576,'Background (from TC)'!$D$4:$D$1048576,G$15,'Background (from TC)'!$E$4:$E$1048576,G$16,'Background (from TC)'!$O$4:$O$1048576,G$17)*G29*G64)</f>
        <v>0</v>
      </c>
      <c r="H80" s="35">
        <f>IF(H$15="","",SUMIFS('Background (from TC)'!$J$4:$J$1048576,'Background (from TC)'!$D$4:$D$1048576,H$15,'Background (from TC)'!$E$4:$E$1048576,H$16,'Background (from TC)'!$O$4:$O$1048576,H$17)*H29*H64)</f>
        <v>0</v>
      </c>
      <c r="I80" s="35">
        <f>IF(I$15="","",SUMIFS('Background (from TC)'!$J$4:$J$1048576,'Background (from TC)'!$D$4:$D$1048576,I$15,'Background (from TC)'!$E$4:$E$1048576,I$16,'Background (from TC)'!$O$4:$O$1048576,I$17)*I29*I64)</f>
        <v>0</v>
      </c>
      <c r="J80" s="35">
        <f>IF(J$15="","",SUMIFS('Background (from TC)'!$J$4:$J$1048576,'Background (from TC)'!$D$4:$D$1048576,J$15,'Background (from TC)'!$E$4:$E$1048576,J$16,'Background (from TC)'!$O$4:$O$1048576,J$17)*J29*J64)</f>
        <v>0</v>
      </c>
      <c r="K80" s="35">
        <f>IF(K$15="","",SUMIFS('Background (from TC)'!$J$4:$J$1048576,'Background (from TC)'!$D$4:$D$1048576,K$15,'Background (from TC)'!$E$4:$E$1048576,K$16,'Background (from TC)'!$O$4:$O$1048576,K$17)*K29*K64)</f>
        <v>0</v>
      </c>
      <c r="L80" s="35">
        <f>IF(L$15="","",SUMIFS('Background (from TC)'!$J$4:$J$1048576,'Background (from TC)'!$D$4:$D$1048576,L$15,'Background (from TC)'!$E$4:$E$1048576,L$16,'Background (from TC)'!$O$4:$O$1048576,L$17)*L29*L64)</f>
        <v>0</v>
      </c>
      <c r="M80" s="35">
        <f>IF(M$15="","",SUMIFS('Background (from TC)'!$J$4:$J$1048576,'Background (from TC)'!$D$4:$D$1048576,M$15,'Background (from TC)'!$E$4:$E$1048576,M$16,'Background (from TC)'!$O$4:$O$1048576,M$17)*M29*M64)</f>
        <v>0</v>
      </c>
      <c r="N80" s="35">
        <f>IF(N$15="","",SUMIFS('Background (from TC)'!$J$4:$J$1048576,'Background (from TC)'!$D$4:$D$1048576,N$15,'Background (from TC)'!$E$4:$E$1048576,N$16,'Background (from TC)'!$O$4:$O$1048576,N$17)*N29*N64)</f>
        <v>0</v>
      </c>
      <c r="O80" s="35">
        <f>IF(O$15="","",SUMIFS('Background (from TC)'!$J$4:$J$1048576,'Background (from TC)'!$D$4:$D$1048576,O$15,'Background (from TC)'!$E$4:$E$1048576,O$16,'Background (from TC)'!$O$4:$O$1048576,O$17)*O29*O64)</f>
        <v>0</v>
      </c>
      <c r="P80" s="35">
        <f>IF(P$15="","",SUMIFS('Background (from TC)'!$J$4:$J$1048576,'Background (from TC)'!$D$4:$D$1048576,P$15,'Background (from TC)'!$E$4:$E$1048576,P$16,'Background (from TC)'!$O$4:$O$1048576,P$17)*P29*P64)</f>
        <v>0</v>
      </c>
      <c r="Q80" s="35" t="str">
        <f>IF(Q$15="","",SUMIFS('Background (from TC)'!$J$4:$J$1048576,'Background (from TC)'!$D$4:$D$1048576,Q$15,'Background (from TC)'!$E$4:$E$1048576,Q$16,'Background (from TC)'!$O$4:$O$1048576,Q$17)*Q29*Q64)</f>
        <v/>
      </c>
      <c r="R80" s="35" t="str">
        <f>IF(R$15="","",SUMIFS('Background (from TC)'!$J$4:$J$1048576,'Background (from TC)'!$D$4:$D$1048576,R$15,'Background (from TC)'!$E$4:$E$1048576,R$16,'Background (from TC)'!$O$4:$O$1048576,R$17)*R29*R64)</f>
        <v/>
      </c>
      <c r="S80" s="35" t="str">
        <f>IF(S$15="","",SUMIFS('Background (from TC)'!$J$4:$J$1048576,'Background (from TC)'!$D$4:$D$1048576,S$15,'Background (from TC)'!$E$4:$E$1048576,S$16,'Background (from TC)'!$O$4:$O$1048576,S$17)*S29*S64)</f>
        <v/>
      </c>
      <c r="T80" s="35" t="str">
        <f>IF(T$15="","",SUMIFS('Background (from TC)'!$J$4:$J$1048576,'Background (from TC)'!$D$4:$D$1048576,T$15,'Background (from TC)'!$E$4:$E$1048576,T$16,'Background (from TC)'!$O$4:$O$1048576,T$17)*T29*T64)</f>
        <v/>
      </c>
      <c r="U80" s="35" t="str">
        <f>IF(U$15="","",SUMIFS('Background (from TC)'!$J$4:$J$1048576,'Background (from TC)'!$D$4:$D$1048576,U$15,'Background (from TC)'!$E$4:$E$1048576,U$16,'Background (from TC)'!$O$4:$O$1048576,U$17)*U29*U64)</f>
        <v/>
      </c>
      <c r="V80" s="35" t="str">
        <f>IF(V$15="","",SUMIFS('Background (from TC)'!$J$4:$J$1048576,'Background (from TC)'!$D$4:$D$1048576,V$15,'Background (from TC)'!$E$4:$E$1048576,V$16,'Background (from TC)'!$O$4:$O$1048576,V$17)*V29*V64)</f>
        <v/>
      </c>
      <c r="W80" s="35" t="str">
        <f>IF(W$15="","",SUMIFS('Background (from TC)'!$J$4:$J$1048576,'Background (from TC)'!$D$4:$D$1048576,W$15,'Background (from TC)'!$E$4:$E$1048576,W$16,'Background (from TC)'!$O$4:$O$1048576,W$17)*W29*W64)</f>
        <v/>
      </c>
      <c r="X80" s="35" t="str">
        <f>IF(X$15="","",SUMIFS('Background (from TC)'!$J$4:$J$1048576,'Background (from TC)'!$D$4:$D$1048576,X$15,'Background (from TC)'!$E$4:$E$1048576,X$16,'Background (from TC)'!$O$4:$O$1048576,X$17)*X29*X64)</f>
        <v/>
      </c>
      <c r="Y80" s="35" t="str">
        <f>IF(Y$15="","",SUMIFS('Background (from TC)'!$J$4:$J$1048576,'Background (from TC)'!$D$4:$D$1048576,Y$15,'Background (from TC)'!$E$4:$E$1048576,Y$16,'Background (from TC)'!$O$4:$O$1048576,Y$17)*Y29*Y64)</f>
        <v/>
      </c>
      <c r="Z80" s="35" t="str">
        <f>IF(Z$15="","",SUMIFS('Background (from TC)'!$J$4:$J$1048576,'Background (from TC)'!$D$4:$D$1048576,Z$15,'Background (from TC)'!$E$4:$E$1048576,Z$16,'Background (from TC)'!$O$4:$O$1048576,Z$17)*Z29*Z64)</f>
        <v/>
      </c>
    </row>
    <row r="81" spans="2:26">
      <c r="B81" s="278" t="s">
        <v>96</v>
      </c>
      <c r="C81" s="35">
        <f>IF(C$15="","",SUMIFS('Background (from TC)'!$N$4:$N$1048576,'Background (from TC)'!$D$4:$D$1048576,C$15,'Background (from TC)'!$E$4:$E$1048576,C$16,'Background (from TC)'!$O$4:$O$1048576,C$17))</f>
        <v>0</v>
      </c>
      <c r="D81" s="35">
        <f>IF(D$15="","",SUMIFS('Background (from TC)'!$N$4:$N$1048576,'Background (from TC)'!$D$4:$D$1048576,D$15,'Background (from TC)'!$E$4:$E$1048576,D$16,'Background (from TC)'!$O$4:$O$1048576,D$17))</f>
        <v>0</v>
      </c>
      <c r="E81" s="35">
        <f>IF(E$15="","",SUMIFS('Background (from TC)'!$N$4:$N$1048576,'Background (from TC)'!$D$4:$D$1048576,E$15,'Background (from TC)'!$E$4:$E$1048576,E$16,'Background (from TC)'!$O$4:$O$1048576,E$17))</f>
        <v>0</v>
      </c>
      <c r="F81" s="35">
        <f>IF(F$15="","",SUMIFS('Background (from TC)'!$N$4:$N$1048576,'Background (from TC)'!$D$4:$D$1048576,F$15,'Background (from TC)'!$E$4:$E$1048576,F$16,'Background (from TC)'!$O$4:$O$1048576,F$17))</f>
        <v>0</v>
      </c>
      <c r="G81" s="35">
        <f>IF(G$15="","",SUMIFS('Background (from TC)'!$N$4:$N$1048576,'Background (from TC)'!$D$4:$D$1048576,G$15,'Background (from TC)'!$E$4:$E$1048576,G$16,'Background (from TC)'!$O$4:$O$1048576,G$17))</f>
        <v>0</v>
      </c>
      <c r="H81" s="35">
        <f>IF(H$15="","",SUMIFS('Background (from TC)'!$N$4:$N$1048576,'Background (from TC)'!$D$4:$D$1048576,H$15,'Background (from TC)'!$E$4:$E$1048576,H$16,'Background (from TC)'!$O$4:$O$1048576,H$17))</f>
        <v>0</v>
      </c>
      <c r="I81" s="35">
        <f>IF(I$15="","",SUMIFS('Background (from TC)'!$N$4:$N$1048576,'Background (from TC)'!$D$4:$D$1048576,I$15,'Background (from TC)'!$E$4:$E$1048576,I$16,'Background (from TC)'!$O$4:$O$1048576,I$17))</f>
        <v>0</v>
      </c>
      <c r="J81" s="35">
        <f>IF(J$15="","",SUMIFS('Background (from TC)'!$N$4:$N$1048576,'Background (from TC)'!$D$4:$D$1048576,J$15,'Background (from TC)'!$E$4:$E$1048576,J$16,'Background (from TC)'!$O$4:$O$1048576,J$17))</f>
        <v>0.3</v>
      </c>
      <c r="K81" s="35">
        <f>IF(K$15="","",SUMIFS('Background (from TC)'!$N$4:$N$1048576,'Background (from TC)'!$D$4:$D$1048576,K$15,'Background (from TC)'!$E$4:$E$1048576,K$16,'Background (from TC)'!$O$4:$O$1048576,K$17))</f>
        <v>0</v>
      </c>
      <c r="L81" s="35">
        <f>IF(L$15="","",SUMIFS('Background (from TC)'!$N$4:$N$1048576,'Background (from TC)'!$D$4:$D$1048576,L$15,'Background (from TC)'!$E$4:$E$1048576,L$16,'Background (from TC)'!$O$4:$O$1048576,L$17))</f>
        <v>0</v>
      </c>
      <c r="M81" s="35">
        <f>IF(M$15="","",SUMIFS('Background (from TC)'!$N$4:$N$1048576,'Background (from TC)'!$D$4:$D$1048576,M$15,'Background (from TC)'!$E$4:$E$1048576,M$16,'Background (from TC)'!$O$4:$O$1048576,M$17))</f>
        <v>0</v>
      </c>
      <c r="N81" s="35">
        <f>IF(N$15="","",SUMIFS('Background (from TC)'!$N$4:$N$1048576,'Background (from TC)'!$D$4:$D$1048576,N$15,'Background (from TC)'!$E$4:$E$1048576,N$16,'Background (from TC)'!$O$4:$O$1048576,N$17))</f>
        <v>0</v>
      </c>
      <c r="O81" s="35">
        <f>IF(O$15="","",SUMIFS('Background (from TC)'!$N$4:$N$1048576,'Background (from TC)'!$D$4:$D$1048576,O$15,'Background (from TC)'!$E$4:$E$1048576,O$16,'Background (from TC)'!$O$4:$O$1048576,O$17))</f>
        <v>0</v>
      </c>
      <c r="P81" s="35">
        <f>IF(P$15="","",SUMIFS('Background (from TC)'!$N$4:$N$1048576,'Background (from TC)'!$D$4:$D$1048576,P$15,'Background (from TC)'!$E$4:$E$1048576,P$16,'Background (from TC)'!$O$4:$O$1048576,P$17))</f>
        <v>0</v>
      </c>
      <c r="Q81" s="35" t="str">
        <f>IF(Q$15="","",SUMIFS('Background (from TC)'!$N$4:$N$1048576,'Background (from TC)'!$D$4:$D$1048576,Q$15,'Background (from TC)'!$E$4:$E$1048576,Q$16,'Background (from TC)'!$O$4:$O$1048576,Q$17))</f>
        <v/>
      </c>
      <c r="R81" s="35" t="str">
        <f>IF(R$15="","",SUMIFS('Background (from TC)'!$N$4:$N$1048576,'Background (from TC)'!$D$4:$D$1048576,R$15,'Background (from TC)'!$E$4:$E$1048576,R$16,'Background (from TC)'!$O$4:$O$1048576,R$17))</f>
        <v/>
      </c>
      <c r="S81" s="35" t="str">
        <f>IF(S$15="","",SUMIFS('Background (from TC)'!$N$4:$N$1048576,'Background (from TC)'!$D$4:$D$1048576,S$15,'Background (from TC)'!$E$4:$E$1048576,S$16,'Background (from TC)'!$O$4:$O$1048576,S$17))</f>
        <v/>
      </c>
      <c r="T81" s="35" t="str">
        <f>IF(T$15="","",SUMIFS('Background (from TC)'!$N$4:$N$1048576,'Background (from TC)'!$D$4:$D$1048576,T$15,'Background (from TC)'!$E$4:$E$1048576,T$16,'Background (from TC)'!$O$4:$O$1048576,T$17))</f>
        <v/>
      </c>
      <c r="U81" s="35" t="str">
        <f>IF(U$15="","",SUMIFS('Background (from TC)'!$N$4:$N$1048576,'Background (from TC)'!$D$4:$D$1048576,U$15,'Background (from TC)'!$E$4:$E$1048576,U$16,'Background (from TC)'!$O$4:$O$1048576,U$17))</f>
        <v/>
      </c>
      <c r="V81" s="35" t="str">
        <f>IF(V$15="","",SUMIFS('Background (from TC)'!$N$4:$N$1048576,'Background (from TC)'!$D$4:$D$1048576,V$15,'Background (from TC)'!$E$4:$E$1048576,V$16,'Background (from TC)'!$O$4:$O$1048576,V$17))</f>
        <v/>
      </c>
      <c r="W81" s="35" t="str">
        <f>IF(W$15="","",SUMIFS('Background (from TC)'!$N$4:$N$1048576,'Background (from TC)'!$D$4:$D$1048576,W$15,'Background (from TC)'!$E$4:$E$1048576,W$16,'Background (from TC)'!$O$4:$O$1048576,W$17))</f>
        <v/>
      </c>
      <c r="X81" s="35" t="str">
        <f>IF(X$15="","",SUMIFS('Background (from TC)'!$N$4:$N$1048576,'Background (from TC)'!$D$4:$D$1048576,X$15,'Background (from TC)'!$E$4:$E$1048576,X$16,'Background (from TC)'!$O$4:$O$1048576,X$17))</f>
        <v/>
      </c>
      <c r="Y81" s="35" t="str">
        <f>IF(Y$15="","",SUMIFS('Background (from TC)'!$N$4:$N$1048576,'Background (from TC)'!$D$4:$D$1048576,Y$15,'Background (from TC)'!$E$4:$E$1048576,Y$16,'Background (from TC)'!$O$4:$O$1048576,Y$17))</f>
        <v/>
      </c>
      <c r="Z81" s="35" t="str">
        <f>IF(Z$15="","",SUMIFS('Background (from TC)'!$N$4:$N$1048576,'Background (from TC)'!$D$4:$D$1048576,Z$15,'Background (from TC)'!$E$4:$E$1048576,Z$16,'Background (from TC)'!$O$4:$O$1048576,Z$17))</f>
        <v/>
      </c>
    </row>
    <row r="82" spans="2:26">
      <c r="B82" s="278"/>
      <c r="C82" s="9"/>
      <c r="D82" s="9"/>
      <c r="E82" s="9"/>
      <c r="F82" s="1076"/>
      <c r="G82" s="1076"/>
      <c r="H82" s="1076"/>
      <c r="I82" s="1076"/>
      <c r="J82" s="1076"/>
      <c r="K82" s="1076"/>
      <c r="L82" s="1076"/>
      <c r="M82" s="1076"/>
      <c r="N82" s="1076"/>
      <c r="O82" s="1076"/>
      <c r="P82" s="1076"/>
      <c r="Q82" s="1076"/>
      <c r="R82" s="1076"/>
      <c r="S82" s="1076"/>
      <c r="T82" s="1076"/>
      <c r="U82" s="1076"/>
      <c r="V82" s="1076"/>
      <c r="W82" s="1076"/>
      <c r="X82" s="1076"/>
      <c r="Y82" s="1076"/>
      <c r="Z82" s="1076"/>
    </row>
    <row r="83" spans="2:26">
      <c r="B83" s="278" t="s">
        <v>97</v>
      </c>
      <c r="C83" s="9"/>
      <c r="D83" s="9"/>
      <c r="E83" s="9"/>
      <c r="F83" s="1076"/>
      <c r="G83" s="1076"/>
      <c r="H83" s="1076"/>
      <c r="I83" s="1076"/>
      <c r="J83" s="1076"/>
      <c r="K83" s="1076"/>
      <c r="L83" s="1076"/>
      <c r="M83" s="1076"/>
      <c r="N83" s="1076"/>
      <c r="O83" s="1076"/>
      <c r="P83" s="1076"/>
      <c r="Q83" s="1076"/>
      <c r="R83" s="1076"/>
      <c r="S83" s="1076"/>
      <c r="T83" s="1076"/>
      <c r="U83" s="1076"/>
      <c r="V83" s="1076"/>
      <c r="W83" s="1076"/>
      <c r="X83" s="1076"/>
      <c r="Y83" s="1076"/>
      <c r="Z83" s="1076"/>
    </row>
    <row r="84" spans="2:26">
      <c r="B84" s="278" t="s">
        <v>98</v>
      </c>
      <c r="C84" s="35">
        <f t="shared" ref="C84:Z84" si="13">IF(C15="","",C76*10^6*C25/IF(C15="Storage",C50,C34))</f>
        <v>23.488976398797512</v>
      </c>
      <c r="D84" s="35">
        <f t="shared" si="13"/>
        <v>38.03698758773016</v>
      </c>
      <c r="E84" s="35">
        <f t="shared" si="13"/>
        <v>22.606488413392277</v>
      </c>
      <c r="F84" s="35">
        <f t="shared" si="13"/>
        <v>20.094656367459802</v>
      </c>
      <c r="G84" s="35">
        <f t="shared" si="13"/>
        <v>113.22901755449746</v>
      </c>
      <c r="H84" s="35">
        <f t="shared" si="13"/>
        <v>140.24148262542104</v>
      </c>
      <c r="I84" s="35">
        <f t="shared" si="13"/>
        <v>45.715343235971048</v>
      </c>
      <c r="J84" s="35">
        <f t="shared" si="13"/>
        <v>66.602267738525853</v>
      </c>
      <c r="K84" s="35">
        <f t="shared" si="13"/>
        <v>47.679867397574832</v>
      </c>
      <c r="L84" s="35">
        <f t="shared" si="13"/>
        <v>38.726201182001894</v>
      </c>
      <c r="M84" s="35">
        <f t="shared" si="13"/>
        <v>41.477799687038875</v>
      </c>
      <c r="N84" s="35">
        <f t="shared" si="13"/>
        <v>46.480401409977553</v>
      </c>
      <c r="O84" s="35">
        <f t="shared" si="13"/>
        <v>116.74215676821706</v>
      </c>
      <c r="P84" s="35">
        <f t="shared" si="13"/>
        <v>138.76491171391942</v>
      </c>
      <c r="Q84" s="35" t="str">
        <f t="shared" si="13"/>
        <v/>
      </c>
      <c r="R84" s="35" t="str">
        <f t="shared" si="13"/>
        <v/>
      </c>
      <c r="S84" s="35" t="str">
        <f t="shared" si="13"/>
        <v/>
      </c>
      <c r="T84" s="35" t="str">
        <f t="shared" si="13"/>
        <v/>
      </c>
      <c r="U84" s="35" t="str">
        <f t="shared" si="13"/>
        <v/>
      </c>
      <c r="V84" s="35" t="str">
        <f t="shared" si="13"/>
        <v/>
      </c>
      <c r="W84" s="35" t="str">
        <f t="shared" si="13"/>
        <v/>
      </c>
      <c r="X84" s="35" t="str">
        <f t="shared" si="13"/>
        <v/>
      </c>
      <c r="Y84" s="35" t="str">
        <f t="shared" si="13"/>
        <v/>
      </c>
      <c r="Z84" s="35" t="str">
        <f t="shared" si="13"/>
        <v/>
      </c>
    </row>
    <row r="85" spans="2:26">
      <c r="B85" s="278" t="s">
        <v>99</v>
      </c>
      <c r="C85" s="35">
        <f t="shared" ref="C85:Z85" si="14">IF(C15="","",C77*10^3/IF(C15="Storage",C50,C34))</f>
        <v>6.5142857142857142</v>
      </c>
      <c r="D85" s="35">
        <f t="shared" si="14"/>
        <v>9.4714285714285715</v>
      </c>
      <c r="E85" s="35">
        <f t="shared" si="14"/>
        <v>5.2</v>
      </c>
      <c r="F85" s="35">
        <f t="shared" si="14"/>
        <v>1.8240000000000001</v>
      </c>
      <c r="G85" s="35">
        <f t="shared" si="14"/>
        <v>17.142857142857142</v>
      </c>
      <c r="H85" s="35">
        <f t="shared" si="14"/>
        <v>15.714285714285714</v>
      </c>
      <c r="I85" s="35">
        <f t="shared" si="14"/>
        <v>9.94</v>
      </c>
      <c r="J85" s="35">
        <f t="shared" si="14"/>
        <v>15.696347031963469</v>
      </c>
      <c r="K85" s="35">
        <f t="shared" si="14"/>
        <v>9.1771868564777499</v>
      </c>
      <c r="L85" s="35">
        <f t="shared" si="14"/>
        <v>3.6941464077142472</v>
      </c>
      <c r="M85" s="35">
        <f t="shared" si="14"/>
        <v>3.9672044432689764</v>
      </c>
      <c r="N85" s="35">
        <f t="shared" si="14"/>
        <v>13.14500305449425</v>
      </c>
      <c r="O85" s="35">
        <f t="shared" si="14"/>
        <v>30.78830287737086</v>
      </c>
      <c r="P85" s="35">
        <f t="shared" si="14"/>
        <v>39.361708023540942</v>
      </c>
      <c r="Q85" s="35" t="str">
        <f t="shared" si="14"/>
        <v/>
      </c>
      <c r="R85" s="35" t="str">
        <f t="shared" si="14"/>
        <v/>
      </c>
      <c r="S85" s="35" t="str">
        <f t="shared" si="14"/>
        <v/>
      </c>
      <c r="T85" s="35" t="str">
        <f t="shared" si="14"/>
        <v/>
      </c>
      <c r="U85" s="35" t="str">
        <f t="shared" si="14"/>
        <v/>
      </c>
      <c r="V85" s="35" t="str">
        <f t="shared" si="14"/>
        <v/>
      </c>
      <c r="W85" s="35" t="str">
        <f t="shared" si="14"/>
        <v/>
      </c>
      <c r="X85" s="35" t="str">
        <f t="shared" si="14"/>
        <v/>
      </c>
      <c r="Y85" s="35" t="str">
        <f t="shared" si="14"/>
        <v/>
      </c>
      <c r="Z85" s="35" t="str">
        <f t="shared" si="14"/>
        <v/>
      </c>
    </row>
    <row r="86" spans="2:26">
      <c r="B86" s="278" t="s">
        <v>100</v>
      </c>
      <c r="C86" s="1074">
        <f t="shared" ref="C86:Z86" si="15">IF(C15="","",C78)</f>
        <v>1.35</v>
      </c>
      <c r="D86" s="1074">
        <f t="shared" si="15"/>
        <v>13.3</v>
      </c>
      <c r="E86" s="1074">
        <f t="shared" si="15"/>
        <v>2.5</v>
      </c>
      <c r="F86" s="1074">
        <f t="shared" si="15"/>
        <v>6.84</v>
      </c>
      <c r="G86" s="1074">
        <f t="shared" si="15"/>
        <v>2.2999999999999998</v>
      </c>
      <c r="H86" s="1074">
        <f t="shared" si="15"/>
        <v>2.2000000000000002</v>
      </c>
      <c r="I86" s="1074">
        <f t="shared" si="15"/>
        <v>3.1280000000000001</v>
      </c>
      <c r="J86" s="1074">
        <f t="shared" si="15"/>
        <v>0.27</v>
      </c>
      <c r="K86" s="1074">
        <f t="shared" si="15"/>
        <v>0.71</v>
      </c>
      <c r="L86" s="1074">
        <f t="shared" si="15"/>
        <v>0</v>
      </c>
      <c r="M86" s="1074">
        <f t="shared" si="15"/>
        <v>0</v>
      </c>
      <c r="N86" s="1074">
        <f t="shared" si="15"/>
        <v>0</v>
      </c>
      <c r="O86" s="1074">
        <f t="shared" si="15"/>
        <v>4.8</v>
      </c>
      <c r="P86" s="1074">
        <f t="shared" si="15"/>
        <v>0</v>
      </c>
      <c r="Q86" s="1074" t="str">
        <f t="shared" si="15"/>
        <v/>
      </c>
      <c r="R86" s="1074" t="str">
        <f t="shared" si="15"/>
        <v/>
      </c>
      <c r="S86" s="1074" t="str">
        <f t="shared" si="15"/>
        <v/>
      </c>
      <c r="T86" s="1074" t="str">
        <f t="shared" si="15"/>
        <v/>
      </c>
      <c r="U86" s="1074" t="str">
        <f t="shared" si="15"/>
        <v/>
      </c>
      <c r="V86" s="1074" t="str">
        <f t="shared" si="15"/>
        <v/>
      </c>
      <c r="W86" s="1074" t="str">
        <f t="shared" si="15"/>
        <v/>
      </c>
      <c r="X86" s="1074" t="str">
        <f t="shared" si="15"/>
        <v/>
      </c>
      <c r="Y86" s="1074" t="str">
        <f t="shared" si="15"/>
        <v/>
      </c>
      <c r="Z86" s="1074" t="str">
        <f t="shared" si="15"/>
        <v/>
      </c>
    </row>
    <row r="87" spans="2:26">
      <c r="B87" s="278" t="s">
        <v>101</v>
      </c>
      <c r="C87" s="35">
        <f t="shared" ref="C87:Z87" si="16">IF(C15="","",C79)</f>
        <v>35.221052631578949</v>
      </c>
      <c r="D87" s="35">
        <f t="shared" si="16"/>
        <v>32.643902439024394</v>
      </c>
      <c r="E87" s="35">
        <f t="shared" si="16"/>
        <v>66.450508474576267</v>
      </c>
      <c r="F87" s="35">
        <f t="shared" si="16"/>
        <v>122.79826429484649</v>
      </c>
      <c r="G87" s="35">
        <f t="shared" si="16"/>
        <v>10.833342000000009</v>
      </c>
      <c r="H87" s="35">
        <f t="shared" si="16"/>
        <v>14.444456000000011</v>
      </c>
      <c r="I87" s="35">
        <f t="shared" si="16"/>
        <v>54.193548387096776</v>
      </c>
      <c r="J87" s="35">
        <f t="shared" si="16"/>
        <v>0</v>
      </c>
      <c r="K87" s="35">
        <f t="shared" si="16"/>
        <v>0</v>
      </c>
      <c r="L87" s="35">
        <f t="shared" si="16"/>
        <v>0</v>
      </c>
      <c r="M87" s="35">
        <f t="shared" si="16"/>
        <v>0</v>
      </c>
      <c r="N87" s="35">
        <f t="shared" si="16"/>
        <v>0</v>
      </c>
      <c r="O87" s="35">
        <f t="shared" si="16"/>
        <v>0</v>
      </c>
      <c r="P87" s="35">
        <f t="shared" si="16"/>
        <v>0</v>
      </c>
      <c r="Q87" s="35" t="str">
        <f t="shared" si="16"/>
        <v/>
      </c>
      <c r="R87" s="35" t="str">
        <f t="shared" si="16"/>
        <v/>
      </c>
      <c r="S87" s="35" t="str">
        <f t="shared" si="16"/>
        <v/>
      </c>
      <c r="T87" s="35" t="str">
        <f t="shared" si="16"/>
        <v/>
      </c>
      <c r="U87" s="35" t="str">
        <f t="shared" si="16"/>
        <v/>
      </c>
      <c r="V87" s="35" t="str">
        <f t="shared" si="16"/>
        <v/>
      </c>
      <c r="W87" s="35" t="str">
        <f t="shared" si="16"/>
        <v/>
      </c>
      <c r="X87" s="35" t="str">
        <f t="shared" si="16"/>
        <v/>
      </c>
      <c r="Y87" s="35" t="str">
        <f t="shared" si="16"/>
        <v/>
      </c>
      <c r="Z87" s="35" t="str">
        <f t="shared" si="16"/>
        <v/>
      </c>
    </row>
    <row r="88" spans="2:26">
      <c r="B88" s="278" t="s">
        <v>102</v>
      </c>
      <c r="C88" s="35">
        <f t="shared" ref="C88:Z88" si="17">IF(C15="","",C80/IF(C15="Storage",C50,C34))</f>
        <v>0</v>
      </c>
      <c r="D88" s="35">
        <f t="shared" si="17"/>
        <v>0</v>
      </c>
      <c r="E88" s="35">
        <f t="shared" si="17"/>
        <v>0</v>
      </c>
      <c r="F88" s="35">
        <f t="shared" si="17"/>
        <v>0</v>
      </c>
      <c r="G88" s="35">
        <f t="shared" si="17"/>
        <v>0</v>
      </c>
      <c r="H88" s="35">
        <f t="shared" si="17"/>
        <v>0</v>
      </c>
      <c r="I88" s="35">
        <f t="shared" si="17"/>
        <v>0</v>
      </c>
      <c r="J88" s="35">
        <f t="shared" si="17"/>
        <v>0</v>
      </c>
      <c r="K88" s="35">
        <f t="shared" si="17"/>
        <v>0</v>
      </c>
      <c r="L88" s="35">
        <f t="shared" si="17"/>
        <v>0</v>
      </c>
      <c r="M88" s="35">
        <f t="shared" si="17"/>
        <v>0</v>
      </c>
      <c r="N88" s="35">
        <f t="shared" si="17"/>
        <v>0</v>
      </c>
      <c r="O88" s="35">
        <f t="shared" si="17"/>
        <v>0</v>
      </c>
      <c r="P88" s="35">
        <f t="shared" si="17"/>
        <v>0</v>
      </c>
      <c r="Q88" s="35" t="str">
        <f t="shared" si="17"/>
        <v/>
      </c>
      <c r="R88" s="35" t="str">
        <f t="shared" si="17"/>
        <v/>
      </c>
      <c r="S88" s="35" t="str">
        <f t="shared" si="17"/>
        <v/>
      </c>
      <c r="T88" s="35" t="str">
        <f t="shared" si="17"/>
        <v/>
      </c>
      <c r="U88" s="35" t="str">
        <f t="shared" si="17"/>
        <v/>
      </c>
      <c r="V88" s="35" t="str">
        <f t="shared" si="17"/>
        <v/>
      </c>
      <c r="W88" s="35" t="str">
        <f t="shared" si="17"/>
        <v/>
      </c>
      <c r="X88" s="35" t="str">
        <f t="shared" si="17"/>
        <v/>
      </c>
      <c r="Y88" s="35" t="str">
        <f t="shared" si="17"/>
        <v/>
      </c>
      <c r="Z88" s="35" t="str">
        <f t="shared" si="17"/>
        <v/>
      </c>
    </row>
    <row r="89" spans="2:26">
      <c r="B89" s="278" t="s">
        <v>103</v>
      </c>
      <c r="C89" s="35">
        <f t="shared" ref="C89:Z89" si="18">IF(C15="","",C81*10^6*C25/IF(C15="Storage",C50,C34))</f>
        <v>0</v>
      </c>
      <c r="D89" s="35">
        <f t="shared" si="18"/>
        <v>0</v>
      </c>
      <c r="E89" s="35">
        <f t="shared" si="18"/>
        <v>0</v>
      </c>
      <c r="F89" s="35">
        <f t="shared" si="18"/>
        <v>0</v>
      </c>
      <c r="G89" s="35">
        <f t="shared" si="18"/>
        <v>0</v>
      </c>
      <c r="H89" s="35">
        <f t="shared" si="18"/>
        <v>0</v>
      </c>
      <c r="I89" s="35">
        <f t="shared" si="18"/>
        <v>0</v>
      </c>
      <c r="J89" s="35">
        <f t="shared" si="18"/>
        <v>4.5410637094449449</v>
      </c>
      <c r="K89" s="35">
        <f t="shared" si="18"/>
        <v>0</v>
      </c>
      <c r="L89" s="35">
        <f t="shared" si="18"/>
        <v>0</v>
      </c>
      <c r="M89" s="35">
        <f t="shared" si="18"/>
        <v>0</v>
      </c>
      <c r="N89" s="35">
        <f t="shared" si="18"/>
        <v>0</v>
      </c>
      <c r="O89" s="35">
        <f t="shared" si="18"/>
        <v>0</v>
      </c>
      <c r="P89" s="35">
        <f t="shared" si="18"/>
        <v>0</v>
      </c>
      <c r="Q89" s="35" t="str">
        <f t="shared" si="18"/>
        <v/>
      </c>
      <c r="R89" s="35" t="str">
        <f t="shared" si="18"/>
        <v/>
      </c>
      <c r="S89" s="35" t="str">
        <f t="shared" si="18"/>
        <v/>
      </c>
      <c r="T89" s="35" t="str">
        <f t="shared" si="18"/>
        <v/>
      </c>
      <c r="U89" s="35" t="str">
        <f t="shared" si="18"/>
        <v/>
      </c>
      <c r="V89" s="35" t="str">
        <f t="shared" si="18"/>
        <v/>
      </c>
      <c r="W89" s="35" t="str">
        <f t="shared" si="18"/>
        <v/>
      </c>
      <c r="X89" s="35" t="str">
        <f t="shared" si="18"/>
        <v/>
      </c>
      <c r="Y89" s="35" t="str">
        <f t="shared" si="18"/>
        <v/>
      </c>
      <c r="Z89" s="35" t="str">
        <f t="shared" si="18"/>
        <v/>
      </c>
    </row>
    <row r="90" spans="2:26">
      <c r="B90" s="278" t="s">
        <v>104</v>
      </c>
      <c r="C90" s="35">
        <f t="shared" ref="C90:Z90" si="19">IF(C15="","",IF(C67="Yes",C68*C72,0))</f>
        <v>0</v>
      </c>
      <c r="D90" s="35">
        <f t="shared" si="19"/>
        <v>0</v>
      </c>
      <c r="E90" s="35">
        <f t="shared" si="19"/>
        <v>0</v>
      </c>
      <c r="F90" s="35">
        <f t="shared" si="19"/>
        <v>0</v>
      </c>
      <c r="G90" s="35">
        <f t="shared" si="19"/>
        <v>0</v>
      </c>
      <c r="H90" s="35">
        <f t="shared" si="19"/>
        <v>0</v>
      </c>
      <c r="I90" s="35">
        <f t="shared" si="19"/>
        <v>0</v>
      </c>
      <c r="J90" s="35">
        <f t="shared" si="19"/>
        <v>0</v>
      </c>
      <c r="K90" s="35">
        <f t="shared" si="19"/>
        <v>0</v>
      </c>
      <c r="L90" s="35">
        <f t="shared" si="19"/>
        <v>0</v>
      </c>
      <c r="M90" s="35">
        <f t="shared" si="19"/>
        <v>0</v>
      </c>
      <c r="N90" s="35">
        <f t="shared" si="19"/>
        <v>0</v>
      </c>
      <c r="O90" s="35">
        <f t="shared" si="19"/>
        <v>0</v>
      </c>
      <c r="P90" s="35">
        <f t="shared" si="19"/>
        <v>0</v>
      </c>
      <c r="Q90" s="35" t="str">
        <f t="shared" si="19"/>
        <v/>
      </c>
      <c r="R90" s="35" t="str">
        <f t="shared" si="19"/>
        <v/>
      </c>
      <c r="S90" s="35" t="str">
        <f t="shared" si="19"/>
        <v/>
      </c>
      <c r="T90" s="35" t="str">
        <f t="shared" si="19"/>
        <v/>
      </c>
      <c r="U90" s="35" t="str">
        <f t="shared" si="19"/>
        <v/>
      </c>
      <c r="V90" s="35" t="str">
        <f t="shared" si="19"/>
        <v/>
      </c>
      <c r="W90" s="35" t="str">
        <f t="shared" si="19"/>
        <v/>
      </c>
      <c r="X90" s="35" t="str">
        <f t="shared" si="19"/>
        <v/>
      </c>
      <c r="Y90" s="35" t="str">
        <f t="shared" si="19"/>
        <v/>
      </c>
      <c r="Z90" s="35" t="str">
        <f t="shared" si="19"/>
        <v/>
      </c>
    </row>
    <row r="91" spans="2:26">
      <c r="B91" s="278"/>
      <c r="C91" s="18"/>
      <c r="D91" s="18"/>
      <c r="E91" s="18"/>
      <c r="F91" s="56"/>
      <c r="G91" s="56"/>
      <c r="H91" s="56"/>
      <c r="I91" s="56"/>
      <c r="J91" s="56"/>
      <c r="K91" s="56"/>
      <c r="L91" s="56"/>
      <c r="M91" s="56"/>
      <c r="N91" s="56"/>
      <c r="O91" s="56"/>
      <c r="P91" s="56"/>
      <c r="Q91" s="56"/>
      <c r="R91" s="56"/>
      <c r="S91" s="56"/>
      <c r="T91" s="56"/>
      <c r="U91" s="56"/>
      <c r="V91" s="56"/>
      <c r="W91" s="56"/>
      <c r="X91" s="56"/>
      <c r="Y91" s="56"/>
      <c r="Z91" s="56"/>
    </row>
    <row r="92" spans="2:26" ht="15.75" thickBot="1">
      <c r="B92" s="272" t="s">
        <v>105</v>
      </c>
      <c r="C92" s="408">
        <f>IF(C15="","",SUM(C84:C90))</f>
        <v>66.574314744662175</v>
      </c>
      <c r="D92" s="408">
        <f t="shared" ref="D92:Z92" si="20">IF(D15="","",SUM(D84:D90))</f>
        <v>93.452318598183126</v>
      </c>
      <c r="E92" s="408">
        <f t="shared" si="20"/>
        <v>96.75699688796854</v>
      </c>
      <c r="F92" s="408">
        <f t="shared" si="20"/>
        <v>151.55692066230628</v>
      </c>
      <c r="G92" s="408">
        <f t="shared" si="20"/>
        <v>143.50521669735463</v>
      </c>
      <c r="H92" s="408">
        <f t="shared" si="20"/>
        <v>172.60022433970676</v>
      </c>
      <c r="I92" s="408">
        <f t="shared" si="20"/>
        <v>112.97689162306781</v>
      </c>
      <c r="J92" s="408">
        <f t="shared" si="20"/>
        <v>87.10967847993426</v>
      </c>
      <c r="K92" s="408">
        <f t="shared" si="20"/>
        <v>57.567054254052586</v>
      </c>
      <c r="L92" s="408">
        <f t="shared" si="20"/>
        <v>42.420347589716144</v>
      </c>
      <c r="M92" s="408">
        <f t="shared" si="20"/>
        <v>45.445004130307851</v>
      </c>
      <c r="N92" s="408">
        <f t="shared" si="20"/>
        <v>59.625404464471799</v>
      </c>
      <c r="O92" s="408">
        <f t="shared" si="20"/>
        <v>152.33045964558792</v>
      </c>
      <c r="P92" s="408">
        <f t="shared" si="20"/>
        <v>178.12661973746037</v>
      </c>
      <c r="Q92" s="408" t="str">
        <f t="shared" si="20"/>
        <v/>
      </c>
      <c r="R92" s="408" t="str">
        <f t="shared" si="20"/>
        <v/>
      </c>
      <c r="S92" s="408" t="str">
        <f t="shared" si="20"/>
        <v/>
      </c>
      <c r="T92" s="79" t="str">
        <f t="shared" si="20"/>
        <v/>
      </c>
      <c r="U92" s="79" t="str">
        <f t="shared" si="20"/>
        <v/>
      </c>
      <c r="V92" s="79" t="str">
        <f t="shared" si="20"/>
        <v/>
      </c>
      <c r="W92" s="79" t="str">
        <f t="shared" si="20"/>
        <v/>
      </c>
      <c r="X92" s="79" t="str">
        <f t="shared" si="20"/>
        <v/>
      </c>
      <c r="Y92" s="79" t="str">
        <f t="shared" si="20"/>
        <v/>
      </c>
      <c r="Z92" s="79" t="str">
        <f t="shared" si="20"/>
        <v/>
      </c>
    </row>
    <row r="93" spans="2:26" ht="15.75" thickBot="1">
      <c r="B93" s="273" t="s">
        <v>43</v>
      </c>
      <c r="C93" s="59" t="str">
        <f>IF(ISERROR(C92),"Populate cells above","")</f>
        <v/>
      </c>
      <c r="D93" s="59" t="str">
        <f t="shared" ref="D93:Z93" si="21">IF(ISERROR(D92),"Populate cells above","")</f>
        <v/>
      </c>
      <c r="E93" s="59" t="str">
        <f t="shared" si="21"/>
        <v/>
      </c>
      <c r="F93" s="57" t="str">
        <f t="shared" si="21"/>
        <v/>
      </c>
      <c r="G93" s="57" t="str">
        <f t="shared" si="21"/>
        <v/>
      </c>
      <c r="H93" s="57" t="str">
        <f t="shared" si="21"/>
        <v/>
      </c>
      <c r="I93" s="57" t="str">
        <f t="shared" si="21"/>
        <v/>
      </c>
      <c r="J93" s="57" t="str">
        <f t="shared" si="21"/>
        <v/>
      </c>
      <c r="K93" s="57" t="str">
        <f t="shared" si="21"/>
        <v/>
      </c>
      <c r="L93" s="57" t="str">
        <f t="shared" si="21"/>
        <v/>
      </c>
      <c r="M93" s="57" t="str">
        <f t="shared" si="21"/>
        <v/>
      </c>
      <c r="N93" s="57" t="str">
        <f t="shared" si="21"/>
        <v/>
      </c>
      <c r="O93" s="57" t="str">
        <f t="shared" si="21"/>
        <v/>
      </c>
      <c r="P93" s="57" t="str">
        <f t="shared" si="21"/>
        <v/>
      </c>
      <c r="Q93" s="57" t="str">
        <f t="shared" si="21"/>
        <v/>
      </c>
      <c r="R93" s="57" t="str">
        <f t="shared" si="21"/>
        <v/>
      </c>
      <c r="S93" s="57" t="str">
        <f t="shared" si="21"/>
        <v/>
      </c>
      <c r="T93" s="57" t="str">
        <f t="shared" si="21"/>
        <v/>
      </c>
      <c r="U93" s="57" t="str">
        <f t="shared" si="21"/>
        <v/>
      </c>
      <c r="V93" s="57" t="str">
        <f t="shared" si="21"/>
        <v/>
      </c>
      <c r="W93" s="57" t="str">
        <f t="shared" si="21"/>
        <v/>
      </c>
      <c r="X93" s="57" t="str">
        <f t="shared" si="21"/>
        <v/>
      </c>
      <c r="Y93" s="57" t="str">
        <f t="shared" si="21"/>
        <v/>
      </c>
      <c r="Z93" s="58" t="str">
        <f t="shared" si="21"/>
        <v/>
      </c>
    </row>
    <row r="94" spans="2:26">
      <c r="B94" s="278" t="s">
        <v>106</v>
      </c>
      <c r="C94" t="str">
        <f>IF(C92="","",TEXT(C92,"#,#0")&amp;" $/MWh")</f>
        <v>67 $/MWh</v>
      </c>
      <c r="D94" t="str">
        <f t="shared" ref="D94:Z94" si="22">IF(D92="","",TEXT(D92,"#,#0")&amp;" $/MWh")</f>
        <v>93 $/MWh</v>
      </c>
      <c r="E94" t="str">
        <f t="shared" si="22"/>
        <v>97 $/MWh</v>
      </c>
      <c r="F94" t="str">
        <f t="shared" si="22"/>
        <v>152 $/MWh</v>
      </c>
      <c r="G94" t="str">
        <f t="shared" si="22"/>
        <v>144 $/MWh</v>
      </c>
      <c r="H94" t="str">
        <f t="shared" si="22"/>
        <v>173 $/MWh</v>
      </c>
      <c r="I94" t="str">
        <f t="shared" si="22"/>
        <v>113 $/MWh</v>
      </c>
      <c r="J94" t="str">
        <f t="shared" si="22"/>
        <v>87 $/MWh</v>
      </c>
      <c r="K94" t="str">
        <f t="shared" si="22"/>
        <v>58 $/MWh</v>
      </c>
      <c r="L94" t="str">
        <f t="shared" si="22"/>
        <v>42 $/MWh</v>
      </c>
      <c r="M94" t="str">
        <f t="shared" si="22"/>
        <v>45 $/MWh</v>
      </c>
      <c r="N94" t="str">
        <f t="shared" si="22"/>
        <v>60 $/MWh</v>
      </c>
      <c r="O94" t="str">
        <f t="shared" si="22"/>
        <v>152 $/MWh</v>
      </c>
      <c r="P94" t="str">
        <f t="shared" si="22"/>
        <v>178 $/MWh</v>
      </c>
      <c r="Q94" t="str">
        <f t="shared" si="22"/>
        <v/>
      </c>
      <c r="R94" t="str">
        <f t="shared" si="22"/>
        <v/>
      </c>
      <c r="S94" t="str">
        <f t="shared" si="22"/>
        <v/>
      </c>
      <c r="T94" t="str">
        <f t="shared" si="22"/>
        <v/>
      </c>
      <c r="U94" t="str">
        <f t="shared" si="22"/>
        <v/>
      </c>
      <c r="V94" t="str">
        <f t="shared" si="22"/>
        <v/>
      </c>
      <c r="W94" t="str">
        <f t="shared" si="22"/>
        <v/>
      </c>
      <c r="X94" t="str">
        <f t="shared" si="22"/>
        <v/>
      </c>
      <c r="Y94" t="str">
        <f t="shared" si="22"/>
        <v/>
      </c>
      <c r="Z94" t="str">
        <f t="shared" si="22"/>
        <v/>
      </c>
    </row>
    <row r="95" spans="2:26">
      <c r="B95" s="1"/>
    </row>
    <row r="98" spans="1:30">
      <c r="D98" s="54"/>
      <c r="E98" s="54"/>
    </row>
    <row r="99" spans="1:30" s="19" customFormat="1">
      <c r="A99"/>
      <c r="C99" s="11"/>
      <c r="D99"/>
      <c r="E99" s="54"/>
      <c r="AA99" s="39"/>
      <c r="AB99"/>
      <c r="AC99"/>
      <c r="AD99"/>
    </row>
    <row r="100" spans="1:30" s="19" customFormat="1">
      <c r="A100"/>
      <c r="C100" s="8"/>
      <c r="D100" s="8"/>
      <c r="E100" s="8"/>
      <c r="F100" s="8"/>
      <c r="G100" s="8"/>
      <c r="H100" s="8"/>
      <c r="I100" s="8"/>
      <c r="J100" s="8"/>
      <c r="K100" s="8"/>
      <c r="L100" s="8"/>
      <c r="T100" s="8"/>
      <c r="AA100" s="39"/>
      <c r="AB100"/>
      <c r="AC100"/>
      <c r="AD100"/>
    </row>
    <row r="101" spans="1:30">
      <c r="B101" s="63" t="s">
        <v>1005</v>
      </c>
      <c r="F101"/>
      <c r="G101"/>
      <c r="H101"/>
      <c r="I101"/>
      <c r="J101"/>
      <c r="K101"/>
      <c r="L101"/>
      <c r="T101"/>
    </row>
    <row r="102" spans="1:30">
      <c r="B102" s="390" t="str">
        <f>"LCOEs of Newly Invested Units: "&amp;C11</f>
        <v>LCOEs of Newly Invested Units: 2030</v>
      </c>
      <c r="E102" s="19"/>
    </row>
    <row r="103" spans="1:30" s="19" customFormat="1">
      <c r="A103"/>
      <c r="B103"/>
      <c r="C103" s="9"/>
      <c r="D103"/>
      <c r="AA103" s="39"/>
      <c r="AB103"/>
      <c r="AC103"/>
      <c r="AD103"/>
    </row>
    <row r="104" spans="1:30">
      <c r="C104" s="409"/>
      <c r="D104" s="409"/>
      <c r="E104" s="409"/>
      <c r="F104" s="409"/>
      <c r="G104" s="409"/>
      <c r="H104" s="409"/>
      <c r="I104" s="409"/>
      <c r="J104" s="409"/>
      <c r="K104" s="409"/>
      <c r="L104" s="409"/>
      <c r="T104" s="409"/>
    </row>
    <row r="105" spans="1:30" s="19" customFormat="1">
      <c r="A105"/>
      <c r="B105"/>
      <c r="C105" s="409"/>
      <c r="D105" s="409"/>
      <c r="E105" s="409"/>
      <c r="F105" s="409"/>
      <c r="G105" s="409"/>
      <c r="H105" s="409"/>
      <c r="I105" s="409"/>
      <c r="J105" s="409"/>
      <c r="K105" s="409"/>
      <c r="L105" s="409"/>
      <c r="T105" s="409"/>
      <c r="AA105" s="39"/>
      <c r="AB105"/>
      <c r="AC105"/>
      <c r="AD105"/>
    </row>
    <row r="106" spans="1:30">
      <c r="C106" s="409"/>
      <c r="D106" s="409"/>
      <c r="E106" s="409"/>
      <c r="F106" s="409"/>
      <c r="G106" s="409"/>
      <c r="H106" s="409"/>
      <c r="I106" s="409"/>
      <c r="J106" s="409"/>
      <c r="K106" s="409"/>
      <c r="L106" s="409"/>
      <c r="T106" s="409"/>
    </row>
    <row r="107" spans="1:30" s="19" customFormat="1">
      <c r="A107"/>
      <c r="B107"/>
      <c r="C107" s="409"/>
      <c r="D107" s="409"/>
      <c r="E107" s="409"/>
      <c r="F107" s="409"/>
      <c r="G107" s="409"/>
      <c r="H107" s="409"/>
      <c r="I107" s="409"/>
      <c r="J107" s="409"/>
      <c r="K107" s="409"/>
      <c r="L107" s="409"/>
      <c r="T107" s="409"/>
      <c r="AA107" s="39"/>
      <c r="AB107"/>
      <c r="AC107"/>
      <c r="AD107"/>
    </row>
    <row r="108" spans="1:30">
      <c r="C108" s="409"/>
      <c r="D108" s="409"/>
      <c r="E108" s="409"/>
      <c r="F108" s="409"/>
      <c r="G108" s="409"/>
      <c r="H108" s="409"/>
      <c r="I108" s="409"/>
      <c r="J108" s="409"/>
      <c r="K108" s="409"/>
      <c r="L108" s="409"/>
      <c r="T108" s="409"/>
    </row>
    <row r="109" spans="1:30">
      <c r="C109" s="409"/>
      <c r="D109" s="409"/>
      <c r="E109" s="409"/>
      <c r="F109" s="409"/>
      <c r="G109" s="409"/>
      <c r="H109" s="409"/>
      <c r="I109" s="409"/>
      <c r="J109" s="409"/>
      <c r="K109" s="409"/>
      <c r="L109" s="409"/>
      <c r="T109" s="409"/>
    </row>
    <row r="110" spans="1:30" s="19" customFormat="1">
      <c r="A110"/>
      <c r="B110"/>
      <c r="C110" s="409"/>
      <c r="D110" s="409"/>
      <c r="E110" s="409"/>
      <c r="F110" s="409"/>
      <c r="G110" s="409"/>
      <c r="H110" s="409"/>
      <c r="I110" s="409"/>
      <c r="J110" s="409"/>
      <c r="K110" s="409"/>
      <c r="L110" s="409"/>
      <c r="T110" s="409"/>
      <c r="AA110" s="39"/>
      <c r="AB110"/>
      <c r="AC110"/>
      <c r="AD110"/>
    </row>
    <row r="111" spans="1:30">
      <c r="C111" s="409"/>
      <c r="D111" s="409"/>
      <c r="E111" s="409"/>
      <c r="F111" s="409"/>
      <c r="G111" s="409"/>
      <c r="H111" s="409"/>
      <c r="I111" s="409"/>
      <c r="J111" s="409"/>
      <c r="K111" s="409"/>
      <c r="L111" s="409"/>
      <c r="T111" s="409"/>
    </row>
    <row r="112" spans="1:30">
      <c r="C112" s="8"/>
      <c r="D112" s="8"/>
      <c r="E112" s="8"/>
      <c r="F112" s="8"/>
      <c r="G112" s="8"/>
      <c r="H112" s="8"/>
      <c r="I112" s="8"/>
      <c r="J112" s="8"/>
      <c r="K112" s="8"/>
    </row>
    <row r="113" spans="3:11">
      <c r="C113" s="409"/>
      <c r="D113" s="409"/>
      <c r="E113" s="409"/>
      <c r="F113" s="409"/>
      <c r="G113" s="409"/>
      <c r="H113" s="409"/>
      <c r="I113" s="409"/>
      <c r="J113" s="409"/>
      <c r="K113" s="409"/>
    </row>
  </sheetData>
  <mergeCells count="1">
    <mergeCell ref="A11:A14"/>
  </mergeCells>
  <conditionalFormatting sqref="C32:Y32">
    <cfRule type="expression" dxfId="218" priority="54">
      <formula>NOT(ISBLANK(C$15))</formula>
    </cfRule>
  </conditionalFormatting>
  <conditionalFormatting sqref="C15:Z15">
    <cfRule type="notContainsBlanks" dxfId="217" priority="6">
      <formula>LEN(TRIM(C15))&gt;0</formula>
    </cfRule>
  </conditionalFormatting>
  <conditionalFormatting sqref="C16:Z17">
    <cfRule type="expression" dxfId="216" priority="1">
      <formula>NOT(ISBLANK(C$15))</formula>
    </cfRule>
  </conditionalFormatting>
  <conditionalFormatting sqref="C18:Z18">
    <cfRule type="notContainsBlanks" dxfId="215" priority="39">
      <formula>LEN(TRIM(C18))&gt;0</formula>
    </cfRule>
  </conditionalFormatting>
  <conditionalFormatting sqref="C19:Z19">
    <cfRule type="containsText" dxfId="214" priority="7" operator="containsText" text="Technology unavailable in this year. Please revise">
      <formula>NOT(ISERROR(SEARCH("Technology unavailable in this year. Please revise",C19)))</formula>
    </cfRule>
  </conditionalFormatting>
  <conditionalFormatting sqref="C19:Z20">
    <cfRule type="containsText" dxfId="213" priority="43" operator="containsText" text="Incompatible combination of Fuel and Technology">
      <formula>NOT(ISERROR(SEARCH("Incompatible combination of Fuel and Technology",C19)))</formula>
    </cfRule>
  </conditionalFormatting>
  <conditionalFormatting sqref="C22:Z22">
    <cfRule type="expression" dxfId="212" priority="58">
      <formula>NOT(ISBLANK(C$15))</formula>
    </cfRule>
  </conditionalFormatting>
  <conditionalFormatting sqref="C23:Z23">
    <cfRule type="expression" dxfId="211" priority="59">
      <formula>C22="Generic"</formula>
    </cfRule>
    <cfRule type="expression" dxfId="210" priority="57">
      <formula>C22="User defined"</formula>
    </cfRule>
  </conditionalFormatting>
  <conditionalFormatting sqref="C24:Z25">
    <cfRule type="notContainsBlanks" dxfId="209" priority="55">
      <formula>LEN(TRIM(C24))&gt;0</formula>
    </cfRule>
  </conditionalFormatting>
  <conditionalFormatting sqref="C26:Z27 C30:Z30">
    <cfRule type="containsText" dxfId="208" priority="52" operator="containsText" text="Value should be between 0 and 1">
      <formula>NOT(ISERROR(SEARCH("Value should be between 0 and 1",C26)))</formula>
    </cfRule>
    <cfRule type="containsText" dxfId="207" priority="56" operator="containsText" text="Insert value above">
      <formula>NOT(ISERROR(SEARCH("Insert value above",C26)))</formula>
    </cfRule>
  </conditionalFormatting>
  <conditionalFormatting sqref="C28:Z29">
    <cfRule type="notContainsBlanks" dxfId="206" priority="8">
      <formula>LEN(TRIM(C28))&gt;0</formula>
    </cfRule>
  </conditionalFormatting>
  <conditionalFormatting sqref="C32:Z32">
    <cfRule type="expression" dxfId="205" priority="45">
      <formula>C$15="Storage"</formula>
    </cfRule>
  </conditionalFormatting>
  <conditionalFormatting sqref="C33:Z33">
    <cfRule type="expression" dxfId="204" priority="3">
      <formula>C32="User defined"</formula>
    </cfRule>
    <cfRule type="expression" dxfId="203" priority="4">
      <formula>C32="Generic"</formula>
    </cfRule>
  </conditionalFormatting>
  <conditionalFormatting sqref="C33:Z34">
    <cfRule type="expression" dxfId="202" priority="2">
      <formula>C$15="Storage"</formula>
    </cfRule>
  </conditionalFormatting>
  <conditionalFormatting sqref="C34:Z34">
    <cfRule type="notContainsBlanks" dxfId="201" priority="53">
      <formula>LEN(TRIM(C34))&gt;0</formula>
    </cfRule>
  </conditionalFormatting>
  <conditionalFormatting sqref="C35:Z37">
    <cfRule type="containsText" dxfId="200" priority="51" operator="containsText" text="Insert value above">
      <formula>NOT(ISERROR(SEARCH("Insert value above",C35)))</formula>
    </cfRule>
    <cfRule type="containsText" dxfId="199" priority="50" operator="containsText" text="Value should be between 0 and 1">
      <formula>NOT(ISERROR(SEARCH("Value should be between 0 and 1",C35)))</formula>
    </cfRule>
    <cfRule type="containsText" dxfId="198" priority="35" operator="containsText" text="Absence of generic data, please switch to User Defined and insert FLHs">
      <formula>NOT(ISERROR(SEARCH("Absence of generic data, please switch to User Defined and insert FLHs",C35)))</formula>
    </cfRule>
  </conditionalFormatting>
  <conditionalFormatting sqref="C38:Z38">
    <cfRule type="expression" dxfId="197" priority="13">
      <formula>C$15="Storage"</formula>
    </cfRule>
  </conditionalFormatting>
  <conditionalFormatting sqref="C38:Z48">
    <cfRule type="expression" dxfId="196" priority="12">
      <formula>C$15&lt;&gt;"Storage"</formula>
    </cfRule>
  </conditionalFormatting>
  <conditionalFormatting sqref="C38:Z52">
    <cfRule type="expression" dxfId="195" priority="11">
      <formula>C$15=""</formula>
    </cfRule>
  </conditionalFormatting>
  <conditionalFormatting sqref="C39:Z41">
    <cfRule type="expression" dxfId="194" priority="37">
      <formula>C$38="User defined"</formula>
    </cfRule>
    <cfRule type="expression" dxfId="193" priority="49">
      <formula>C$38&lt;&gt;"User defined"</formula>
    </cfRule>
  </conditionalFormatting>
  <conditionalFormatting sqref="C42:Z46">
    <cfRule type="expression" dxfId="192" priority="36">
      <formula>C$38&lt;&gt;""</formula>
    </cfRule>
  </conditionalFormatting>
  <conditionalFormatting sqref="C45:Z48">
    <cfRule type="expression" dxfId="191" priority="48">
      <formula>C$38&lt;&gt;""</formula>
    </cfRule>
    <cfRule type="expression" dxfId="190" priority="38">
      <formula>C$38=""</formula>
    </cfRule>
  </conditionalFormatting>
  <conditionalFormatting sqref="C47:Z48">
    <cfRule type="expression" dxfId="189" priority="47">
      <formula>C$38="Generic"</formula>
    </cfRule>
    <cfRule type="expression" dxfId="188" priority="46">
      <formula>C$38="User defined"</formula>
    </cfRule>
  </conditionalFormatting>
  <conditionalFormatting sqref="C49:Z52">
    <cfRule type="expression" dxfId="187" priority="61">
      <formula>C$38=""</formula>
    </cfRule>
    <cfRule type="expression" dxfId="186" priority="62">
      <formula>C$15="Storage"</formula>
    </cfRule>
    <cfRule type="expression" dxfId="185" priority="63">
      <formula>C$15&lt;&gt;"Storage"</formula>
    </cfRule>
  </conditionalFormatting>
  <conditionalFormatting sqref="C53:Z53">
    <cfRule type="containsText" dxfId="184" priority="14" operator="containsText" text="Exceeding maximum possible annual cycles. Please revise">
      <formula>NOT(ISERROR(SEARCH("Exceeding maximum possible annual cycles. Please revise",C53)))</formula>
    </cfRule>
  </conditionalFormatting>
  <conditionalFormatting sqref="C56:Z56">
    <cfRule type="expression" dxfId="183" priority="60">
      <formula>NOT(ISBLANK(C$15))</formula>
    </cfRule>
  </conditionalFormatting>
  <conditionalFormatting sqref="C56:Z60">
    <cfRule type="expression" dxfId="182" priority="9">
      <formula>C$15=""</formula>
    </cfRule>
  </conditionalFormatting>
  <conditionalFormatting sqref="C57:Z57">
    <cfRule type="expression" dxfId="181" priority="34">
      <formula>C56&lt;&gt;"User Defined"</formula>
    </cfRule>
  </conditionalFormatting>
  <conditionalFormatting sqref="C57:Z58">
    <cfRule type="expression" dxfId="180" priority="30">
      <formula>C56="User defined"</formula>
    </cfRule>
  </conditionalFormatting>
  <conditionalFormatting sqref="C58:Z60">
    <cfRule type="expression" dxfId="179" priority="10">
      <formula>C$15&lt;&gt;""</formula>
    </cfRule>
  </conditionalFormatting>
  <conditionalFormatting sqref="C59:Z59">
    <cfRule type="expression" dxfId="178" priority="64">
      <formula>NOT(OR(C$15="Storage",C$56="User Defined"))</formula>
    </cfRule>
  </conditionalFormatting>
  <conditionalFormatting sqref="C61:Z61">
    <cfRule type="containsText" dxfId="177" priority="31" operator="containsText" text="Absence of generic data, please switch to User Defined and insert FLHs">
      <formula>NOT(ISERROR(SEARCH("Absence of generic data, please switch to User Defined and insert FLHs",C61)))</formula>
    </cfRule>
    <cfRule type="containsText" dxfId="176" priority="33" operator="containsText" text="Insert value above">
      <formula>NOT(ISERROR(SEARCH("Insert value above",C61)))</formula>
    </cfRule>
    <cfRule type="containsText" dxfId="175" priority="32" operator="containsText" text="Value should be between 0 and 1">
      <formula>NOT(ISERROR(SEARCH("Value should be between 0 and 1",C61)))</formula>
    </cfRule>
  </conditionalFormatting>
  <conditionalFormatting sqref="C64:Z64">
    <cfRule type="expression" dxfId="174" priority="69">
      <formula>C$15=""</formula>
    </cfRule>
  </conditionalFormatting>
  <conditionalFormatting sqref="C67:Z67">
    <cfRule type="expression" dxfId="173" priority="25">
      <formula>NOT(ISBLANK(C$15))</formula>
    </cfRule>
    <cfRule type="expression" dxfId="172" priority="24">
      <formula>AND(NOT(ISBLANK(C$15)),C67="Yes")</formula>
    </cfRule>
    <cfRule type="expression" dxfId="171" priority="23">
      <formula>AND(NOT(ISBLANK(C$15)),C67="No")</formula>
    </cfRule>
  </conditionalFormatting>
  <conditionalFormatting sqref="C67:Z68 C72:Z72">
    <cfRule type="expression" dxfId="170" priority="20">
      <formula>ISBLANK(C$15)</formula>
    </cfRule>
  </conditionalFormatting>
  <conditionalFormatting sqref="C68:Z68 C72:Z72">
    <cfRule type="expression" dxfId="169" priority="22">
      <formula>C$67="Yes"</formula>
    </cfRule>
    <cfRule type="expression" dxfId="168" priority="21">
      <formula>C$67="No"</formula>
    </cfRule>
  </conditionalFormatting>
  <conditionalFormatting sqref="C69:Z69">
    <cfRule type="expression" dxfId="167" priority="65">
      <formula>NOT(ISNUMBER(C$60))</formula>
    </cfRule>
    <cfRule type="expression" dxfId="166" priority="66">
      <formula>NOT(ISBLANK(C$15))</formula>
    </cfRule>
  </conditionalFormatting>
  <conditionalFormatting sqref="C69:Z71">
    <cfRule type="expression" dxfId="165" priority="15">
      <formula>C$15=""</formula>
    </cfRule>
    <cfRule type="expression" dxfId="164" priority="67">
      <formula>C$67="No"</formula>
    </cfRule>
    <cfRule type="expression" dxfId="163" priority="68">
      <formula>C$15="Storage"</formula>
    </cfRule>
  </conditionalFormatting>
  <conditionalFormatting sqref="C70:Z70">
    <cfRule type="expression" dxfId="162" priority="17">
      <formula>C69="User defined"</formula>
    </cfRule>
    <cfRule type="expression" dxfId="161" priority="16">
      <formula>C69&lt;&gt;"User defined"</formula>
    </cfRule>
  </conditionalFormatting>
  <conditionalFormatting sqref="C71:Z71">
    <cfRule type="expression" dxfId="160" priority="19">
      <formula>C69&lt;&gt;"User defined"</formula>
    </cfRule>
    <cfRule type="expression" dxfId="159" priority="18">
      <formula>C69="User defined"</formula>
    </cfRule>
  </conditionalFormatting>
  <conditionalFormatting sqref="C75:Z75">
    <cfRule type="expression" dxfId="158" priority="29">
      <formula>NOT(ISBLANK(C$15))</formula>
    </cfRule>
    <cfRule type="expression" dxfId="157" priority="28">
      <formula>AND(NOT(ISBLANK(C$15)),C75="Yes")</formula>
    </cfRule>
    <cfRule type="expression" dxfId="156" priority="27">
      <formula>AND(NOT(ISBLANK(C$15)),C75="No")</formula>
    </cfRule>
    <cfRule type="expression" dxfId="155" priority="26">
      <formula>ISBLANK(C$15)</formula>
    </cfRule>
  </conditionalFormatting>
  <conditionalFormatting sqref="C76:Z81 C84:Z90">
    <cfRule type="expression" dxfId="154" priority="41">
      <formula>NOT(ISBLANK(C$15))</formula>
    </cfRule>
  </conditionalFormatting>
  <conditionalFormatting sqref="C92:Z92">
    <cfRule type="expression" dxfId="153" priority="40">
      <formula>NOT(ISBLANK(C$15))</formula>
    </cfRule>
  </conditionalFormatting>
  <conditionalFormatting sqref="C93:Z93">
    <cfRule type="containsText" dxfId="152" priority="44" operator="containsText" text="Populate cells above">
      <formula>NOT(ISERROR(SEARCH("Populate cells above",C93)))</formula>
    </cfRule>
  </conditionalFormatting>
  <conditionalFormatting sqref="Z73">
    <cfRule type="expression" dxfId="151" priority="42">
      <formula>NOT(ISBLANK(Z$15))</formula>
    </cfRule>
  </conditionalFormatting>
  <dataValidations count="2">
    <dataValidation type="list" allowBlank="1" showInputMessage="1" showErrorMessage="1" sqref="C75:Z75 C67:Z67" xr:uid="{30C81C6D-0D85-4D56-949B-85339C056542}">
      <formula1>"Yes, No"</formula1>
    </dataValidation>
    <dataValidation type="list" allowBlank="1" showInputMessage="1" showErrorMessage="1" sqref="C22:Z22 C32:Y32 C69:Z69 C56:Z56 C38:Z38" xr:uid="{E9A7E4D4-72E7-49C8-B3AB-7ABEE5A4B20B}">
      <formula1>"Generic, User defined"</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70" id="{33E48D2E-4926-4CC7-83A2-F0B7F4A4A96E}">
            <xm:f>SUMIFS('Background (from TC)'!$J$4:$J$1048576,'Background (from TC)'!$D$4:$D$1048576,C$15,'Background (from TC)'!$E$4:$E$1048576,C$16,'Background (from TC)'!$O$4:$O$1048576,C$17)&gt;0</xm:f>
            <x14:dxf>
              <fill>
                <patternFill>
                  <bgColor theme="6" tint="0.79998168889431442"/>
                </patternFill>
              </fill>
            </x14:dxf>
          </x14:cfRule>
          <x14:cfRule type="expression" priority="71" id="{A9212FA7-C7BC-454D-A228-040F28D0BA95}">
            <xm:f>SUMIFS('Background (from TC)'!$J$4:$J$1048576,'Background (from TC)'!$D$4:$D$1048576,C$15,'Background (from TC)'!$E$4:$E$1048576,C$16,'Background (from TC)'!$O$4:$O$1048576,C$17)=0</xm:f>
            <x14:dxf>
              <font>
                <color theme="0" tint="-0.24994659260841701"/>
              </font>
              <fill>
                <patternFill>
                  <bgColor theme="0" tint="-0.24994659260841701"/>
                </patternFill>
              </fill>
            </x14:dxf>
          </x14:cfRule>
          <x14:cfRule type="expression" priority="72" id="{A93AFAB5-5692-485E-A642-1CE2C817A8B3}">
            <xm:f>SUMIFS('Background (from TC)'!$J$4:$J$1048576,'Background (from TC)'!$D$4:$D$1048576,C$15,'Background (from TC)'!$E$4:$E$1048576,C$16,'Background (from TC)'!$O$4:$O$1048576,C$17)=""</xm:f>
            <x14:dxf>
              <font>
                <color theme="0" tint="-0.24994659260841701"/>
              </font>
              <fill>
                <patternFill>
                  <bgColor theme="0" tint="-0.24994659260841701"/>
                </patternFill>
              </fill>
            </x14:dxf>
          </x14:cfRule>
          <xm:sqref>C64:Z64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9E4DEF9-AA98-4904-8750-230FE6C67FD7}">
          <x14:formula1>
            <xm:f>OFFSET('Background (from TC)'!$A$4,,,COUNTIF('Background (from TC)'!$A$4:$A$1048576,"?*"))</xm:f>
          </x14:formula1>
          <xm:sqref>C15:Z15</xm:sqref>
        </x14:dataValidation>
        <x14:dataValidation type="list" allowBlank="1" showInputMessage="1" showErrorMessage="1" xr:uid="{28E1D9B5-E335-436A-836A-7468455A35D1}">
          <x14:formula1>
            <xm:f>OFFSET('Background (from TC)'!$C$4,,,COUNTIF('Background (from TC)'!$C$4:$C$1048576,"&lt;&gt;"))</xm:f>
          </x14:formula1>
          <xm:sqref>C17:Z17</xm:sqref>
        </x14:dataValidation>
        <x14:dataValidation type="list" allowBlank="1" showInputMessage="1" showErrorMessage="1" xr:uid="{86FBBA33-1B36-4C10-A969-CC0546CD37D6}">
          <x14:formula1>
            <xm:f>OFFSET('Fuel - Technology Mapping'!$A$3,0,MATCH(C$15,'Fuel - Technology Mapping'!1:1,0)-1,1000000)</xm:f>
          </x14:formula1>
          <xm:sqref>C16:Z16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0CC043533314B8ABDD57C263009EB" ma:contentTypeVersion="16" ma:contentTypeDescription="Create a new document." ma:contentTypeScope="" ma:versionID="62c79c2542ff25f38213c1ce2fc8a0a7">
  <xsd:schema xmlns:xsd="http://www.w3.org/2001/XMLSchema" xmlns:xs="http://www.w3.org/2001/XMLSchema" xmlns:p="http://schemas.microsoft.com/office/2006/metadata/properties" xmlns:ns2="de349275-031a-497b-b31b-5e01c8ce5b37" xmlns:ns3="536f75cc-51ff-45bf-8536-10fddef03b6a" targetNamespace="http://schemas.microsoft.com/office/2006/metadata/properties" ma:root="true" ma:fieldsID="3ad80890215d76cfcdb51fff0310a595" ns2:_="" ns3:_="">
    <xsd:import namespace="de349275-031a-497b-b31b-5e01c8ce5b37"/>
    <xsd:import namespace="536f75cc-51ff-45bf-8536-10fddef03b6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349275-031a-497b-b31b-5e01c8ce5b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5959112-8ba4-468e-9b8d-f56441caa1a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6f75cc-51ff-45bf-8536-10fddef03b6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11c4cdd-c257-4a6b-8cc8-4059ec775eff}" ma:internalName="TaxCatchAll" ma:showField="CatchAllData" ma:web="536f75cc-51ff-45bf-8536-10fddef03b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e349275-031a-497b-b31b-5e01c8ce5b37">
      <Terms xmlns="http://schemas.microsoft.com/office/infopath/2007/PartnerControls"/>
    </lcf76f155ced4ddcb4097134ff3c332f>
    <TaxCatchAll xmlns="536f75cc-51ff-45bf-8536-10fddef03b6a" xsi:nil="true"/>
  </documentManagement>
</p:properties>
</file>

<file path=customXml/itemProps1.xml><?xml version="1.0" encoding="utf-8"?>
<ds:datastoreItem xmlns:ds="http://schemas.openxmlformats.org/officeDocument/2006/customXml" ds:itemID="{1498CF79-0B10-42BA-AEB7-CF47FF118C7E}">
  <ds:schemaRefs>
    <ds:schemaRef ds:uri="http://schemas.microsoft.com/sharepoint/v3/contenttype/forms"/>
  </ds:schemaRefs>
</ds:datastoreItem>
</file>

<file path=customXml/itemProps2.xml><?xml version="1.0" encoding="utf-8"?>
<ds:datastoreItem xmlns:ds="http://schemas.openxmlformats.org/officeDocument/2006/customXml" ds:itemID="{4ACD554C-DBE9-48F4-A3A3-0377AC7780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349275-031a-497b-b31b-5e01c8ce5b37"/>
    <ds:schemaRef ds:uri="536f75cc-51ff-45bf-8536-10fddef03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A33E9D-68CD-4FB1-8108-72F12C768823}">
  <ds:schemaRefs>
    <ds:schemaRef ds:uri="536f75cc-51ff-45bf-8536-10fddef03b6a"/>
    <ds:schemaRef ds:uri="http://www.w3.org/XML/1998/namespace"/>
    <ds:schemaRef ds:uri="http://schemas.microsoft.com/office/2006/documentManagement/types"/>
    <ds:schemaRef ds:uri="de349275-031a-497b-b31b-5e01c8ce5b37"/>
    <ds:schemaRef ds:uri="http://schemas.microsoft.com/office/infopath/2007/PartnerControls"/>
    <ds:schemaRef ds:uri="http://purl.org/dc/dcmitype/"/>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81</vt:i4>
      </vt:variant>
    </vt:vector>
  </HeadingPairs>
  <TitlesOfParts>
    <vt:vector size="135" baseType="lpstr">
      <vt:lpstr>Log</vt:lpstr>
      <vt:lpstr>User Guide</vt:lpstr>
      <vt:lpstr>Tool -&gt;</vt:lpstr>
      <vt:lpstr>LCOE-S Template</vt:lpstr>
      <vt:lpstr>Hybrid LCOE Tool</vt:lpstr>
      <vt:lpstr>Background (from TC)</vt:lpstr>
      <vt:lpstr>Illustrative Graphs -&gt;</vt:lpstr>
      <vt:lpstr>2023 LCOEs</vt:lpstr>
      <vt:lpstr>2030 LCOEs</vt:lpstr>
      <vt:lpstr>2050 LCOEs</vt:lpstr>
      <vt:lpstr>PV Coupled Li-ion 2050</vt:lpstr>
      <vt:lpstr>Fuel - Technology Mapping</vt:lpstr>
      <vt:lpstr>TC 2023 Data Sheets -&gt;</vt:lpstr>
      <vt:lpstr>Geothermal - large</vt:lpstr>
      <vt:lpstr>Geothermal - small</vt:lpstr>
      <vt:lpstr>Large hydro power plant</vt:lpstr>
      <vt:lpstr>Medium-small hydro power plant</vt:lpstr>
      <vt:lpstr>Mini-micro hydro power plant</vt:lpstr>
      <vt:lpstr>Ground-mounted PV</vt:lpstr>
      <vt:lpstr>Rooftop PV</vt:lpstr>
      <vt:lpstr>Industrial PV</vt:lpstr>
      <vt:lpstr>Floating PV</vt:lpstr>
      <vt:lpstr>Wind Onshore</vt:lpstr>
      <vt:lpstr>Small wind onshore</vt:lpstr>
      <vt:lpstr>Wind Offshore</vt:lpstr>
      <vt:lpstr>Wind offshore floating</vt:lpstr>
      <vt:lpstr>Tidal Impoundment</vt:lpstr>
      <vt:lpstr>Tidal Stream</vt:lpstr>
      <vt:lpstr>Coal Subcritical</vt:lpstr>
      <vt:lpstr>Coal Supercritical</vt:lpstr>
      <vt:lpstr>Coal Ultra supercritical</vt:lpstr>
      <vt:lpstr>IGCC (COAL)</vt:lpstr>
      <vt:lpstr>Ammonia co-firing (Coal) </vt:lpstr>
      <vt:lpstr>Biomass co-firing (Coal)</vt:lpstr>
      <vt:lpstr>Coal lifetime extension</vt:lpstr>
      <vt:lpstr>SCGT (GAS)</vt:lpstr>
      <vt:lpstr>CCGT (GAS)</vt:lpstr>
      <vt:lpstr>Hydrogen co-firing CCGT</vt:lpstr>
      <vt:lpstr>CCS - Supercritical coal</vt:lpstr>
      <vt:lpstr>CCS - IGCC (COAL)</vt:lpstr>
      <vt:lpstr>CCS - CCGT (GAS)</vt:lpstr>
      <vt:lpstr>Biomass power plant (small)</vt:lpstr>
      <vt:lpstr>MSW incineration</vt:lpstr>
      <vt:lpstr>Landfill</vt:lpstr>
      <vt:lpstr>Biogas power plant (small)</vt:lpstr>
      <vt:lpstr>Diesel power plant</vt:lpstr>
      <vt:lpstr>Nuclear PWR</vt:lpstr>
      <vt:lpstr>Nuclear SMR</vt:lpstr>
      <vt:lpstr>Utility-scale Lithium-ion</vt:lpstr>
      <vt:lpstr>Hydro pumped storage</vt:lpstr>
      <vt:lpstr>Fuel Cost Database -&gt;</vt:lpstr>
      <vt:lpstr>Fuel Costs</vt:lpstr>
      <vt:lpstr>Emissions Database -&gt;</vt:lpstr>
      <vt:lpstr>CO2 Emission Factors</vt:lpstr>
      <vt:lpstr>'Biogas power plant (small)'!_Toc319151884</vt:lpstr>
      <vt:lpstr>'Biomass power plant (small)'!_Toc319151884</vt:lpstr>
      <vt:lpstr>'CCGT (GAS)'!_Toc319151884</vt:lpstr>
      <vt:lpstr>'CCS - CCGT (GAS)'!_Toc319151884</vt:lpstr>
      <vt:lpstr>'CCS - Supercritical coal'!_Toc319151884</vt:lpstr>
      <vt:lpstr>'Coal Subcritical'!_Toc319151884</vt:lpstr>
      <vt:lpstr>'Coal Supercritical'!_Toc319151884</vt:lpstr>
      <vt:lpstr>'Coal Ultra supercritical'!_Toc319151884</vt:lpstr>
      <vt:lpstr>'Diesel power plant'!_Toc319151884</vt:lpstr>
      <vt:lpstr>'Floating PV'!_Toc319151884</vt:lpstr>
      <vt:lpstr>'Geothermal - large'!_Toc319151884</vt:lpstr>
      <vt:lpstr>'Geothermal - small'!_Toc319151884</vt:lpstr>
      <vt:lpstr>'Hydro pumped storage'!_Toc319151884</vt:lpstr>
      <vt:lpstr>'Industrial PV'!_Toc319151884</vt:lpstr>
      <vt:lpstr>Landfill!_Toc319151884</vt:lpstr>
      <vt:lpstr>'Large hydro power plant'!_Toc319151884</vt:lpstr>
      <vt:lpstr>'Medium-small hydro power plant'!_Toc319151884</vt:lpstr>
      <vt:lpstr>'Mini-micro hydro power plant'!_Toc319151884</vt:lpstr>
      <vt:lpstr>'MSW incineration'!_Toc319151884</vt:lpstr>
      <vt:lpstr>'Rooftop PV'!_Toc319151884</vt:lpstr>
      <vt:lpstr>'SCGT (GAS)'!_Toc319151884</vt:lpstr>
      <vt:lpstr>'Small wind onshore'!_Toc319151884</vt:lpstr>
      <vt:lpstr>'Tidal Impoundment'!_Toc319151884</vt:lpstr>
      <vt:lpstr>'Tidal Stream'!_Toc319151884</vt:lpstr>
      <vt:lpstr>'Utility-scale Lithium-ion'!_Toc319151884</vt:lpstr>
      <vt:lpstr>'Wind Offshore'!_Toc319151884</vt:lpstr>
      <vt:lpstr>'Wind Onshore'!_Toc319151884</vt:lpstr>
      <vt:lpstr>'Biogas power plant (small)'!_Toc423599101</vt:lpstr>
      <vt:lpstr>'Biomass power plant (small)'!_Toc423599101</vt:lpstr>
      <vt:lpstr>'CCGT (GAS)'!_Toc423599101</vt:lpstr>
      <vt:lpstr>'CCS - CCGT (GAS)'!_Toc423599101</vt:lpstr>
      <vt:lpstr>'CCS - Supercritical coal'!_Toc423599101</vt:lpstr>
      <vt:lpstr>'Coal Subcritical'!_Toc423599101</vt:lpstr>
      <vt:lpstr>'Coal Supercritical'!_Toc423599101</vt:lpstr>
      <vt:lpstr>'Coal Ultra supercritical'!_Toc423599101</vt:lpstr>
      <vt:lpstr>'Diesel power plant'!_Toc423599101</vt:lpstr>
      <vt:lpstr>'Floating PV'!_Toc423599101</vt:lpstr>
      <vt:lpstr>'Geothermal - large'!_Toc423599101</vt:lpstr>
      <vt:lpstr>'Geothermal - small'!_Toc423599101</vt:lpstr>
      <vt:lpstr>'Hydro pumped storage'!_Toc423599101</vt:lpstr>
      <vt:lpstr>'Industrial PV'!_Toc423599101</vt:lpstr>
      <vt:lpstr>Landfill!_Toc423599101</vt:lpstr>
      <vt:lpstr>'Large hydro power plant'!_Toc423599101</vt:lpstr>
      <vt:lpstr>'Medium-small hydro power plant'!_Toc423599101</vt:lpstr>
      <vt:lpstr>'Mini-micro hydro power plant'!_Toc423599101</vt:lpstr>
      <vt:lpstr>'MSW incineration'!_Toc423599101</vt:lpstr>
      <vt:lpstr>'Rooftop PV'!_Toc423599101</vt:lpstr>
      <vt:lpstr>'SCGT (GAS)'!_Toc423599101</vt:lpstr>
      <vt:lpstr>'Small wind onshore'!_Toc423599101</vt:lpstr>
      <vt:lpstr>'Tidal Impoundment'!_Toc423599101</vt:lpstr>
      <vt:lpstr>'Tidal Stream'!_Toc423599101</vt:lpstr>
      <vt:lpstr>'Utility-scale Lithium-ion'!_Toc423599101</vt:lpstr>
      <vt:lpstr>'Wind Offshore'!_Toc423599101</vt:lpstr>
      <vt:lpstr>'Wind Onshore'!_Toc423599101</vt:lpstr>
      <vt:lpstr>'Biogas power plant (small)'!Print_Area</vt:lpstr>
      <vt:lpstr>'Biomass power plant (small)'!Print_Area</vt:lpstr>
      <vt:lpstr>'CCGT (GAS)'!Print_Area</vt:lpstr>
      <vt:lpstr>'CCS - CCGT (GAS)'!Print_Area</vt:lpstr>
      <vt:lpstr>'CCS - Supercritical coal'!Print_Area</vt:lpstr>
      <vt:lpstr>'Coal Subcritical'!Print_Area</vt:lpstr>
      <vt:lpstr>'Coal Supercritical'!Print_Area</vt:lpstr>
      <vt:lpstr>'Coal Ultra supercritical'!Print_Area</vt:lpstr>
      <vt:lpstr>'Diesel power plant'!Print_Area</vt:lpstr>
      <vt:lpstr>'Floating PV'!Print_Area</vt:lpstr>
      <vt:lpstr>'Geothermal - large'!Print_Area</vt:lpstr>
      <vt:lpstr>'Geothermal - small'!Print_Area</vt:lpstr>
      <vt:lpstr>'Hydro pumped storage'!Print_Area</vt:lpstr>
      <vt:lpstr>'Industrial PV'!Print_Area</vt:lpstr>
      <vt:lpstr>Landfill!Print_Area</vt:lpstr>
      <vt:lpstr>'Large hydro power plant'!Print_Area</vt:lpstr>
      <vt:lpstr>'Medium-small hydro power plant'!Print_Area</vt:lpstr>
      <vt:lpstr>'Mini-micro hydro power plant'!Print_Area</vt:lpstr>
      <vt:lpstr>'MSW incineration'!Print_Area</vt:lpstr>
      <vt:lpstr>'Rooftop PV'!Print_Area</vt:lpstr>
      <vt:lpstr>'SCGT (GAS)'!Print_Area</vt:lpstr>
      <vt:lpstr>'Small wind onshore'!Print_Area</vt:lpstr>
      <vt:lpstr>'Tidal Impoundment'!Print_Area</vt:lpstr>
      <vt:lpstr>'Tidal Stream'!Print_Area</vt:lpstr>
      <vt:lpstr>'Utility-scale Lithium-ion'!Print_Area</vt:lpstr>
      <vt:lpstr>'Wind Offshore'!Print_Area</vt:lpstr>
      <vt:lpstr>'Wind Onshore'!Print_Area</vt:lpstr>
    </vt:vector>
  </TitlesOfParts>
  <Manager/>
  <Company>International Energy Agency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Konstantinos Athanasiou;Dimitrios Eleftheriou</dc:creator>
  <cp:keywords/>
  <dc:description/>
  <cp:lastModifiedBy>Konstantinos Athanasiou</cp:lastModifiedBy>
  <cp:revision/>
  <dcterms:created xsi:type="dcterms:W3CDTF">2008-03-25T10:08:51Z</dcterms:created>
  <dcterms:modified xsi:type="dcterms:W3CDTF">2024-03-25T14:02:55Z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0x010100B5DA09B2E2FA6F44B4C16C36E6FD6347</vt:lpwstr>
  </property>
  <property fmtid="{D5CDD505-2E9C-101B-9397-08002B2CF9AE}" pid="3" name="GDXtool_Dir001.0">
    <vt:lpwstr>PATH[K:\Balmorel\COREDATA_ID\data]NAME[Next to this workbook]</vt:lpwstr>
  </property>
  <property fmtid="{D5CDD505-2E9C-101B-9397-08002B2CF9AE}" pid="4" name="GDXtool_Dir001.Count">
    <vt:i4>1</vt:i4>
  </property>
  <property fmtid="{D5CDD505-2E9C-101B-9397-08002B2CF9AE}" pid="5" name="GDXtool_Dir002.0">
    <vt:lpwstr>PATH[K:\Balmorel\COREDATA_ID\]NAME[..\COREDATA_ID\]</vt:lpwstr>
  </property>
  <property fmtid="{D5CDD505-2E9C-101B-9397-08002B2CF9AE}" pid="6" name="GDXtool_Dir002.Count">
    <vt:i4>1</vt:i4>
  </property>
  <property fmtid="{D5CDD505-2E9C-101B-9397-08002B2CF9AE}" pid="7" name="GDXtool_Dir003.0">
    <vt:lpwstr>PATH[K:\Balmorel\0000_TestProject\Reference\]NAME[..\0000_TestProject\Reference\]</vt:lpwstr>
  </property>
  <property fmtid="{D5CDD505-2E9C-101B-9397-08002B2CF9AE}" pid="8" name="GDXtool_Dir003.Count">
    <vt:i4>1</vt:i4>
  </property>
  <property fmtid="{D5CDD505-2E9C-101B-9397-08002B2CF9AE}" pid="9" name="GDXtool_Dir004.0">
    <vt:lpwstr>PATH[K:\Balmorel\0000_TestProject\scenario\]NAME[..\0000_TestProject\scenario\]</vt:lpwstr>
  </property>
  <property fmtid="{D5CDD505-2E9C-101B-9397-08002B2CF9AE}" pid="10" name="GDXtool_Dir004.Count">
    <vt:i4>1</vt:i4>
  </property>
  <property fmtid="{D5CDD505-2E9C-101B-9397-08002B2CF9AE}" pid="11" name="GDXtool_Dir005.0">
    <vt:lpwstr>PATH[K:\Balmorel\0000_TestProject\Reference\Data\]NAME[..\0000_TestProject\Reference\Data\]</vt:lpwstr>
  </property>
  <property fmtid="{D5CDD505-2E9C-101B-9397-08002B2CF9AE}" pid="12" name="GDXtool_Dir005.Count">
    <vt:i4>1</vt:i4>
  </property>
  <property fmtid="{D5CDD505-2E9C-101B-9397-08002B2CF9AE}" pid="13" name="GDXtool_Dir006.0">
    <vt:lpwstr>PATH[K:\Balmorel\0000_TestProject\scenario\Data\]NAME[..\0000_TestProject\scenario\Data\]</vt:lpwstr>
  </property>
  <property fmtid="{D5CDD505-2E9C-101B-9397-08002B2CF9AE}" pid="14" name="GDXtool_Dir006.Count">
    <vt:i4>1</vt:i4>
  </property>
  <property fmtid="{D5CDD505-2E9C-101B-9397-08002B2CF9AE}" pid="15" name="GDXtool_Dir007.0">
    <vt:lpwstr>PATH[K:\Balmorel\1971_DOERS\Reference\]NAME[..\1971_DOERS\Reference\]</vt:lpwstr>
  </property>
  <property fmtid="{D5CDD505-2E9C-101B-9397-08002B2CF9AE}" pid="16" name="GDXtool_Dir007.Count">
    <vt:i4>1</vt:i4>
  </property>
  <property fmtid="{D5CDD505-2E9C-101B-9397-08002B2CF9AE}" pid="17" name="GDXtool_Dir008.0">
    <vt:lpwstr>PATH[K:\Balmorel\1971_DOERS\Baseline_SD_noTransInvest\]NAME[..\1971_DOERS\Baseline_SD_noTransInvest\]</vt:lpwstr>
  </property>
  <property fmtid="{D5CDD505-2E9C-101B-9397-08002B2CF9AE}" pid="18" name="GDXtool_Dir008.Count">
    <vt:i4>1</vt:i4>
  </property>
  <property fmtid="{D5CDD505-2E9C-101B-9397-08002B2CF9AE}" pid="19" name="GDXtool_Dir009.0">
    <vt:lpwstr>PATH[K:\Balmorel\1971_DOERS\Baseline_SD_TransInvest\]NAME[..\1971_DOERS\Baseline_SD_TransInvest\]</vt:lpwstr>
  </property>
  <property fmtid="{D5CDD505-2E9C-101B-9397-08002B2CF9AE}" pid="20" name="GDXtool_Dir009.Count">
    <vt:i4>1</vt:i4>
  </property>
  <property fmtid="{D5CDD505-2E9C-101B-9397-08002B2CF9AE}" pid="21" name="GDXtool_Dir010.0">
    <vt:lpwstr>PATH[K:\Balmorel\1971_DOERS\Baseline_SP_noTransInvest\]NAME[..\1971_DOERS\Baseline_SP_noTransInvest\]</vt:lpwstr>
  </property>
  <property fmtid="{D5CDD505-2E9C-101B-9397-08002B2CF9AE}" pid="22" name="GDXtool_Dir010.Count">
    <vt:i4>1</vt:i4>
  </property>
  <property fmtid="{D5CDD505-2E9C-101B-9397-08002B2CF9AE}" pid="23" name="GDXtool_Dir011.0">
    <vt:lpwstr>PATH[K:\Balmorel\1971_DOERS\Baseline_SP_TransInvest\]NAME[..\1971_DOERS\Baseline_SP_TransInvest\]</vt:lpwstr>
  </property>
  <property fmtid="{D5CDD505-2E9C-101B-9397-08002B2CF9AE}" pid="24" name="GDXtool_Dir011.Count">
    <vt:i4>1</vt:i4>
  </property>
  <property fmtid="{D5CDD505-2E9C-101B-9397-08002B2CF9AE}" pid="25" name="GDXtool_Dir012.0">
    <vt:lpwstr>PATH[K:\Balmorel\1971_DOERS\DOERS_Baseline_woP2X\]NAME[..\1971_DOERS\DOERS_Baseline_woP2X\]</vt:lpwstr>
  </property>
  <property fmtid="{D5CDD505-2E9C-101B-9397-08002B2CF9AE}" pid="26" name="GDXtool_Dir012.Count">
    <vt:i4>1</vt:i4>
  </property>
  <property fmtid="{D5CDD505-2E9C-101B-9397-08002B2CF9AE}" pid="27" name="GDXtool_Dir013.0">
    <vt:lpwstr>PATH[K:\Balmorel\1971_DOERS\ExportFix\]NAME[..\1971_DOERS\ExportFix\]</vt:lpwstr>
  </property>
  <property fmtid="{D5CDD505-2E9C-101B-9397-08002B2CF9AE}" pid="28" name="GDXtool_Dir013.Count">
    <vt:i4>1</vt:i4>
  </property>
  <property fmtid="{D5CDD505-2E9C-101B-9397-08002B2CF9AE}" pid="29" name="GDXtool_Dir014.0">
    <vt:lpwstr>PATH[K:\Balmorel\1971_DOERS\Scenarie_01_SD_NoTransInvest\]NAME[..\1971_DOERS\Scenarie_01_SD_NoTransInvest\]</vt:lpwstr>
  </property>
  <property fmtid="{D5CDD505-2E9C-101B-9397-08002B2CF9AE}" pid="30" name="GDXtool_Dir014.Count">
    <vt:i4>1</vt:i4>
  </property>
  <property fmtid="{D5CDD505-2E9C-101B-9397-08002B2CF9AE}" pid="31" name="GDXtool_Dir015.0">
    <vt:lpwstr>PATH[K:\Balmorel\1971_DOERS\Scenarie_01_SD_TransInvest\]NAME[..\1971_DOERS\Scenarie_01_SD_TransInvest\]</vt:lpwstr>
  </property>
  <property fmtid="{D5CDD505-2E9C-101B-9397-08002B2CF9AE}" pid="32" name="GDXtool_Dir015.Count">
    <vt:i4>1</vt:i4>
  </property>
  <property fmtid="{D5CDD505-2E9C-101B-9397-08002B2CF9AE}" pid="33" name="GDXtool_Dir016.0">
    <vt:lpwstr>PATH[K:\Balmorel\1971_DOERS\Scenarie_01_SP_NoTransInvest\]NAME[..\1971_DOERS\Scenarie_01_SP_NoTransInvest\]</vt:lpwstr>
  </property>
  <property fmtid="{D5CDD505-2E9C-101B-9397-08002B2CF9AE}" pid="34" name="GDXtool_Dir016.Count">
    <vt:i4>1</vt:i4>
  </property>
  <property fmtid="{D5CDD505-2E9C-101B-9397-08002B2CF9AE}" pid="35" name="GDXtool_Dir017.0">
    <vt:lpwstr>PATH[K:\Balmorel\1971_DOERS\Scenarie_01_SP_TransInvest\]NAME[..\1971_DOERS\Scenarie_01_SP_TransInvest\]</vt:lpwstr>
  </property>
  <property fmtid="{D5CDD505-2E9C-101B-9397-08002B2CF9AE}" pid="36" name="GDXtool_Dir017.Count">
    <vt:i4>1</vt:i4>
  </property>
  <property fmtid="{D5CDD505-2E9C-101B-9397-08002B2CF9AE}" pid="37" name="GDXtool_Dir018.0">
    <vt:lpwstr>PATH[K:\Balmorel\1971_DOERS\Scenarie_02_SD_NoTransInvest\]NAME[..\1971_DOERS\Scenarie_02_SD_NoTransInvest\]</vt:lpwstr>
  </property>
  <property fmtid="{D5CDD505-2E9C-101B-9397-08002B2CF9AE}" pid="38" name="GDXtool_Dir018.Count">
    <vt:i4>1</vt:i4>
  </property>
  <property fmtid="{D5CDD505-2E9C-101B-9397-08002B2CF9AE}" pid="39" name="GDXtool_Dir019.0">
    <vt:lpwstr>PATH[K:\Balmorel\1971_DOERS\Scenarie_02_SD_TransInvest\]NAME[..\1971_DOERS\Scenarie_02_SD_TransInvest\]</vt:lpwstr>
  </property>
  <property fmtid="{D5CDD505-2E9C-101B-9397-08002B2CF9AE}" pid="40" name="GDXtool_Dir019.Count">
    <vt:i4>1</vt:i4>
  </property>
  <property fmtid="{D5CDD505-2E9C-101B-9397-08002B2CF9AE}" pid="41" name="GDXtool_Dir020.0">
    <vt:lpwstr>PATH[K:\Balmorel\1971_DOERS\Scenarie_02_SP_NoTransInvest\]NAME[..\1971_DOERS\Scenarie_02_SP_NoTransInvest\]</vt:lpwstr>
  </property>
  <property fmtid="{D5CDD505-2E9C-101B-9397-08002B2CF9AE}" pid="42" name="GDXtool_Dir020.Count">
    <vt:i4>1</vt:i4>
  </property>
  <property fmtid="{D5CDD505-2E9C-101B-9397-08002B2CF9AE}" pid="43" name="GDXtool_Dir021.0">
    <vt:lpwstr>PATH[K:\Balmorel\1971_DOERS\Scenarie_02_SP_TransInvest\]NAME[..\1971_DOERS\Scenarie_02_SP_TransInvest\]</vt:lpwstr>
  </property>
  <property fmtid="{D5CDD505-2E9C-101B-9397-08002B2CF9AE}" pid="44" name="GDXtool_Dir021.Count">
    <vt:i4>1</vt:i4>
  </property>
  <property fmtid="{D5CDD505-2E9C-101B-9397-08002B2CF9AE}" pid="45" name="GDXtool_Dir022.0">
    <vt:lpwstr>PATH[K:\Balmorel\1971_DOERS\Scenarie_03_SD_NoTransInvest\]NAME[..\1971_DOERS\Scenarie_03_SD_NoTransInvest\]</vt:lpwstr>
  </property>
  <property fmtid="{D5CDD505-2E9C-101B-9397-08002B2CF9AE}" pid="46" name="GDXtool_Dir022.Count">
    <vt:i4>1</vt:i4>
  </property>
  <property fmtid="{D5CDD505-2E9C-101B-9397-08002B2CF9AE}" pid="47" name="GDXtool_Dir023.0">
    <vt:lpwstr>PATH[K:\Balmorel\1971_DOERS\Scenarie_03_SD_TransInvest\]NAME[..\1971_DOERS\Scenarie_03_SD_TransInvest\]</vt:lpwstr>
  </property>
  <property fmtid="{D5CDD505-2E9C-101B-9397-08002B2CF9AE}" pid="48" name="GDXtool_Dir023.Count">
    <vt:i4>1</vt:i4>
  </property>
  <property fmtid="{D5CDD505-2E9C-101B-9397-08002B2CF9AE}" pid="49" name="GDXtool_Dir024.0">
    <vt:lpwstr>PATH[K:\Balmorel\1971_DOERS\Scenarie_03_SP_NoTransInvest\]NAME[..\1971_DOERS\Scenarie_03_SP_NoTransInvest\]</vt:lpwstr>
  </property>
  <property fmtid="{D5CDD505-2E9C-101B-9397-08002B2CF9AE}" pid="50" name="GDXtool_Dir024.Count">
    <vt:i4>1</vt:i4>
  </property>
  <property fmtid="{D5CDD505-2E9C-101B-9397-08002B2CF9AE}" pid="51" name="GDXtool_Dir025.0">
    <vt:lpwstr>PATH[K:\Balmorel\1971_DOERS\Scenarie_03_SP_TransInvest\]NAME[..\1971_DOERS\Scenarie_03_SP_TransInvest\]</vt:lpwstr>
  </property>
  <property fmtid="{D5CDD505-2E9C-101B-9397-08002B2CF9AE}" pid="52" name="GDXtool_Dir025.Count">
    <vt:i4>1</vt:i4>
  </property>
  <property fmtid="{D5CDD505-2E9C-101B-9397-08002B2CF9AE}" pid="53" name="GDXtool_Dir026.0">
    <vt:lpwstr>PATH[K:\Balmorel\1971_DOERS\Scenarie_04_SD_NoTransInvest\]NAME[..\1971_DOERS\Scenarie_04_SD_NoTransInvest\]</vt:lpwstr>
  </property>
  <property fmtid="{D5CDD505-2E9C-101B-9397-08002B2CF9AE}" pid="54" name="GDXtool_Dir026.Count">
    <vt:i4>1</vt:i4>
  </property>
  <property fmtid="{D5CDD505-2E9C-101B-9397-08002B2CF9AE}" pid="55" name="GDXtool_Dir027.0">
    <vt:lpwstr>PATH[K:\Balmorel\1971_DOERS\Scenarie_04_SD_TransInvest\]NAME[..\1971_DOERS\Scenarie_04_SD_TransInvest\]</vt:lpwstr>
  </property>
  <property fmtid="{D5CDD505-2E9C-101B-9397-08002B2CF9AE}" pid="56" name="GDXtool_Dir027.Count">
    <vt:i4>1</vt:i4>
  </property>
  <property fmtid="{D5CDD505-2E9C-101B-9397-08002B2CF9AE}" pid="57" name="GDXtool_Dir028.0">
    <vt:lpwstr>PATH[K:\Balmorel\1971_DOERS\Scenarie_04_SP_NoTransInvest\]NAME[..\1971_DOERS\Scenarie_04_SP_NoTransInvest\]</vt:lpwstr>
  </property>
  <property fmtid="{D5CDD505-2E9C-101B-9397-08002B2CF9AE}" pid="58" name="GDXtool_Dir028.Count">
    <vt:i4>1</vt:i4>
  </property>
  <property fmtid="{D5CDD505-2E9C-101B-9397-08002B2CF9AE}" pid="59" name="GDXtool_Dir029.0">
    <vt:lpwstr>PATH[K:\Balmorel\1971_DOERS\Scenarie_04_SP_TransInvest\]NAME[..\1971_DOERS\Scenarie_04_SP_TransInvest\]</vt:lpwstr>
  </property>
  <property fmtid="{D5CDD505-2E9C-101B-9397-08002B2CF9AE}" pid="60" name="GDXtool_Dir029.Count">
    <vt:i4>1</vt:i4>
  </property>
  <property fmtid="{D5CDD505-2E9C-101B-9397-08002B2CF9AE}" pid="61" name="GDXtool_Dir030.0">
    <vt:lpwstr>PATH[K:\Balmorel\1971_DOERS\Scenarie_05_SD_NoTransInvest\]NAME[..\1971_DOERS\Scenarie_05_SD_NoTransInvest\]</vt:lpwstr>
  </property>
  <property fmtid="{D5CDD505-2E9C-101B-9397-08002B2CF9AE}" pid="62" name="GDXtool_Dir030.Count">
    <vt:i4>1</vt:i4>
  </property>
  <property fmtid="{D5CDD505-2E9C-101B-9397-08002B2CF9AE}" pid="63" name="GDXtool_Dir031.0">
    <vt:lpwstr>PATH[K:\Balmorel\1971_DOERS\Scenarie_05_SD_TransInvest\]NAME[..\1971_DOERS\Scenarie_05_SD_TransInvest\]</vt:lpwstr>
  </property>
  <property fmtid="{D5CDD505-2E9C-101B-9397-08002B2CF9AE}" pid="64" name="GDXtool_Dir031.Count">
    <vt:i4>1</vt:i4>
  </property>
  <property fmtid="{D5CDD505-2E9C-101B-9397-08002B2CF9AE}" pid="65" name="GDXtool_Dir032.0">
    <vt:lpwstr>PATH[K:\Balmorel\1971_DOERS\Scenarie_05_SP_NoTransInvest\]NAME[..\1971_DOERS\Scenarie_05_SP_NoTransInvest\]</vt:lpwstr>
  </property>
  <property fmtid="{D5CDD505-2E9C-101B-9397-08002B2CF9AE}" pid="66" name="GDXtool_Dir032.Count">
    <vt:i4>1</vt:i4>
  </property>
  <property fmtid="{D5CDD505-2E9C-101B-9397-08002B2CF9AE}" pid="67" name="GDXtool_Dir033.0">
    <vt:lpwstr>PATH[K:\Balmorel\1971_DOERS\Scenarie_05_SP_TransInvest\]NAME[..\1971_DOERS\Scenarie_05_SP_TransInvest\]</vt:lpwstr>
  </property>
  <property fmtid="{D5CDD505-2E9C-101B-9397-08002B2CF9AE}" pid="68" name="GDXtool_Dir033.Count">
    <vt:i4>1</vt:i4>
  </property>
  <property fmtid="{D5CDD505-2E9C-101B-9397-08002B2CF9AE}" pid="69" name="GDXtool_Dir034.0">
    <vt:lpwstr>PATH[K:\Balmorel\1971_DOERS\Scenarie_06_SD_NoTransInvest\]NAME[..\1971_DOERS\Scenarie_06_SD_NoTransInvest\]</vt:lpwstr>
  </property>
  <property fmtid="{D5CDD505-2E9C-101B-9397-08002B2CF9AE}" pid="70" name="GDXtool_Dir034.Count">
    <vt:i4>1</vt:i4>
  </property>
  <property fmtid="{D5CDD505-2E9C-101B-9397-08002B2CF9AE}" pid="71" name="GDXtool_Dir035.0">
    <vt:lpwstr>PATH[K:\Balmorel\1971_DOERS\Scenarie_06_SD_TransInvest\]NAME[..\1971_DOERS\Scenarie_06_SD_TransInvest\]</vt:lpwstr>
  </property>
  <property fmtid="{D5CDD505-2E9C-101B-9397-08002B2CF9AE}" pid="72" name="GDXtool_Dir035.Count">
    <vt:i4>1</vt:i4>
  </property>
  <property fmtid="{D5CDD505-2E9C-101B-9397-08002B2CF9AE}" pid="73" name="GDXtool_Dir036.0">
    <vt:lpwstr>PATH[K:\Balmorel\1971_DOERS\Scenarie_06_SP_NoTransInvest\]NAME[..\1971_DOERS\Scenarie_06_SP_NoTransInvest\]</vt:lpwstr>
  </property>
  <property fmtid="{D5CDD505-2E9C-101B-9397-08002B2CF9AE}" pid="74" name="GDXtool_Dir036.Count">
    <vt:i4>1</vt:i4>
  </property>
  <property fmtid="{D5CDD505-2E9C-101B-9397-08002B2CF9AE}" pid="75" name="GDXtool_Dir037.0">
    <vt:lpwstr>PATH[K:\Balmorel\1971_DOERS\Scenarie_06_SP_TransInvest\]NAME[..\1971_DOERS\Scenarie_06_SP_TransInvest\]</vt:lpwstr>
  </property>
  <property fmtid="{D5CDD505-2E9C-101B-9397-08002B2CF9AE}" pid="76" name="GDXtool_Dir037.Count">
    <vt:i4>1</vt:i4>
  </property>
  <property fmtid="{D5CDD505-2E9C-101B-9397-08002B2CF9AE}" pid="77" name="GDXtool_Dir038.0">
    <vt:lpwstr>PATH[K:\Balmorel\1971_DOERS\Scenarie_07_SD_NoTransInvest\]NAME[..\1971_DOERS\Scenarie_07_SD_NoTransInvest\]</vt:lpwstr>
  </property>
  <property fmtid="{D5CDD505-2E9C-101B-9397-08002B2CF9AE}" pid="78" name="GDXtool_Dir038.Count">
    <vt:i4>1</vt:i4>
  </property>
  <property fmtid="{D5CDD505-2E9C-101B-9397-08002B2CF9AE}" pid="79" name="GDXtool_Dir039.0">
    <vt:lpwstr>PATH[K:\Balmorel\1971_DOERS\Scenarie_07_SD_TransInvest\]NAME[..\1971_DOERS\Scenarie_07_SD_TransInvest\]</vt:lpwstr>
  </property>
  <property fmtid="{D5CDD505-2E9C-101B-9397-08002B2CF9AE}" pid="80" name="GDXtool_Dir039.Count">
    <vt:i4>1</vt:i4>
  </property>
  <property fmtid="{D5CDD505-2E9C-101B-9397-08002B2CF9AE}" pid="81" name="GDXtool_Dir040.0">
    <vt:lpwstr>PATH[K:\Balmorel\1971_DOERS\Scenarie_07_SP_NoTransInvest\]NAME[..\1971_DOERS\Scenarie_07_SP_NoTransInvest\]</vt:lpwstr>
  </property>
  <property fmtid="{D5CDD505-2E9C-101B-9397-08002B2CF9AE}" pid="82" name="GDXtool_Dir040.Count">
    <vt:i4>1</vt:i4>
  </property>
  <property fmtid="{D5CDD505-2E9C-101B-9397-08002B2CF9AE}" pid="83" name="GDXtool_Dir041.0">
    <vt:lpwstr>PATH[K:\Balmorel\1971_DOERS\Scenarie_07_SP_TransInvest\]NAME[..\1971_DOERS\Scenarie_07_SP_TransInvest\]</vt:lpwstr>
  </property>
  <property fmtid="{D5CDD505-2E9C-101B-9397-08002B2CF9AE}" pid="84" name="GDXtool_Dir041.Count">
    <vt:i4>1</vt:i4>
  </property>
  <property fmtid="{D5CDD505-2E9C-101B-9397-08002B2CF9AE}" pid="85" name="GDXtool_Dir042.0">
    <vt:lpwstr>PATH[K:\Balmorel\1971_DOERS\Scenarie_08_SD_NoTransInvest\]NAME[..\1971_DOERS\Scenarie_08_SD_NoTransInvest\]</vt:lpwstr>
  </property>
  <property fmtid="{D5CDD505-2E9C-101B-9397-08002B2CF9AE}" pid="86" name="GDXtool_Dir042.Count">
    <vt:i4>1</vt:i4>
  </property>
  <property fmtid="{D5CDD505-2E9C-101B-9397-08002B2CF9AE}" pid="87" name="GDXtool_Dir043.0">
    <vt:lpwstr>PATH[K:\Balmorel\1971_DOERS\Scenarie_08_SD_TransInvest\]NAME[..\1971_DOERS\Scenarie_08_SD_TransInvest\]</vt:lpwstr>
  </property>
  <property fmtid="{D5CDD505-2E9C-101B-9397-08002B2CF9AE}" pid="88" name="GDXtool_Dir043.Count">
    <vt:i4>1</vt:i4>
  </property>
  <property fmtid="{D5CDD505-2E9C-101B-9397-08002B2CF9AE}" pid="89" name="GDXtool_Dir044.0">
    <vt:lpwstr>PATH[K:\Balmorel\1971_DOERS\Scenarie_08_SP_NoTransInvest\]NAME[..\1971_DOERS\Scenarie_08_SP_NoTransInvest\]</vt:lpwstr>
  </property>
  <property fmtid="{D5CDD505-2E9C-101B-9397-08002B2CF9AE}" pid="90" name="GDXtool_Dir044.Count">
    <vt:i4>1</vt:i4>
  </property>
  <property fmtid="{D5CDD505-2E9C-101B-9397-08002B2CF9AE}" pid="91" name="GDXtool_Dir045.0">
    <vt:lpwstr>PATH[K:\Balmorel\1971_DOERS\Scenarie_08_SP_TransInvest\]NAME[..\1971_DOERS\Scenarie_08_SP_TransInvest\]</vt:lpwstr>
  </property>
  <property fmtid="{D5CDD505-2E9C-101B-9397-08002B2CF9AE}" pid="92" name="GDXtool_Dir045.Count">
    <vt:i4>1</vt:i4>
  </property>
  <property fmtid="{D5CDD505-2E9C-101B-9397-08002B2CF9AE}" pid="93" name="GDXtool_Dir046.0">
    <vt:lpwstr>PATH[K:\Balmorel\1971_DOERS\Scenarie_09_SD_NoTransInvest\]NAME[..\1971_DOERS\Scenarie_09_SD_NoTransInvest\]</vt:lpwstr>
  </property>
  <property fmtid="{D5CDD505-2E9C-101B-9397-08002B2CF9AE}" pid="94" name="GDXtool_Dir046.Count">
    <vt:i4>1</vt:i4>
  </property>
  <property fmtid="{D5CDD505-2E9C-101B-9397-08002B2CF9AE}" pid="95" name="GDXtool_Dir047.0">
    <vt:lpwstr>PATH[K:\Balmorel\1971_DOERS\Scenarie_09_SD_TransInvest\]NAME[..\1971_DOERS\Scenarie_09_SD_TransInvest\]</vt:lpwstr>
  </property>
  <property fmtid="{D5CDD505-2E9C-101B-9397-08002B2CF9AE}" pid="96" name="GDXtool_Dir047.Count">
    <vt:i4>1</vt:i4>
  </property>
  <property fmtid="{D5CDD505-2E9C-101B-9397-08002B2CF9AE}" pid="97" name="GDXtool_Dir048.0">
    <vt:lpwstr>PATH[K:\Balmorel\1971_DOERS\Scenarie_09_SP_NoTransInvest\]NAME[..\1971_DOERS\Scenarie_09_SP_NoTransInvest\]</vt:lpwstr>
  </property>
  <property fmtid="{D5CDD505-2E9C-101B-9397-08002B2CF9AE}" pid="98" name="GDXtool_Dir048.Count">
    <vt:i4>1</vt:i4>
  </property>
  <property fmtid="{D5CDD505-2E9C-101B-9397-08002B2CF9AE}" pid="99" name="GDXtool_Dir049.0">
    <vt:lpwstr>PATH[K:\Balmorel\1971_DOERS\Scenarie_09_SP_TransInvest\]NAME[..\1971_DOERS\Scenarie_09_SP_TransInvest\]</vt:lpwstr>
  </property>
  <property fmtid="{D5CDD505-2E9C-101B-9397-08002B2CF9AE}" pid="100" name="GDXtool_Dir049.Count">
    <vt:i4>1</vt:i4>
  </property>
  <property fmtid="{D5CDD505-2E9C-101B-9397-08002B2CF9AE}" pid="101" name="GDXtool_Dir050.0">
    <vt:lpwstr>PATH[K:\Balmorel\1971_DOERS\Scenarie_10_SD_NoTransInvest\]NAME[..\1971_DOERS\Scenarie_10_SD_NoTransInvest\]</vt:lpwstr>
  </property>
  <property fmtid="{D5CDD505-2E9C-101B-9397-08002B2CF9AE}" pid="102" name="GDXtool_Dir050.Count">
    <vt:i4>1</vt:i4>
  </property>
  <property fmtid="{D5CDD505-2E9C-101B-9397-08002B2CF9AE}" pid="103" name="GDXtool_Dir051.0">
    <vt:lpwstr>PATH[K:\Balmorel\1971_DOERS\Scenarie_10_SD_TransInvest\]NAME[..\1971_DOERS\Scenarie_10_SD_TransInvest\]</vt:lpwstr>
  </property>
  <property fmtid="{D5CDD505-2E9C-101B-9397-08002B2CF9AE}" pid="104" name="GDXtool_Dir051.Count">
    <vt:i4>1</vt:i4>
  </property>
  <property fmtid="{D5CDD505-2E9C-101B-9397-08002B2CF9AE}" pid="105" name="GDXtool_Dir052.0">
    <vt:lpwstr>PATH[K:\Balmorel\1971_DOERS\Scenarie_10_SP_NoTransInvest\]NAME[..\1971_DOERS\Scenarie_10_SP_NoTransInvest\]</vt:lpwstr>
  </property>
  <property fmtid="{D5CDD505-2E9C-101B-9397-08002B2CF9AE}" pid="106" name="GDXtool_Dir052.Count">
    <vt:i4>1</vt:i4>
  </property>
  <property fmtid="{D5CDD505-2E9C-101B-9397-08002B2CF9AE}" pid="107" name="GDXtool_Dir053.0">
    <vt:lpwstr>PATH[K:\Balmorel\1971_DOERS\Scenarie_10_SP_TransInvest\]NAME[..\1971_DOERS\Scenarie_10_SP_TransInvest\]</vt:lpwstr>
  </property>
  <property fmtid="{D5CDD505-2E9C-101B-9397-08002B2CF9AE}" pid="108" name="GDXtool_Dir053.Count">
    <vt:i4>1</vt:i4>
  </property>
  <property fmtid="{D5CDD505-2E9C-101B-9397-08002B2CF9AE}" pid="109" name="GDXtool_Dir054.0">
    <vt:lpwstr>PATH[K:\Balmorel\1971_DOERS\Arkiv\CO2_negativeudledninger\]NAME[..\1971_DOERS\Arkiv\CO2_negativeudledninger\]</vt:lpwstr>
  </property>
  <property fmtid="{D5CDD505-2E9C-101B-9397-08002B2CF9AE}" pid="110" name="GDXtool_Dir054.Count">
    <vt:i4>1</vt:i4>
  </property>
  <property fmtid="{D5CDD505-2E9C-101B-9397-08002B2CF9AE}" pid="111" name="GDXtool_Dir055.0">
    <vt:lpwstr>PATH[K:\Balmorel\1971_DOERS\Arkiv\CO2_red10\]NAME[..\1971_DOERS\Arkiv\CO2_red10\]</vt:lpwstr>
  </property>
  <property fmtid="{D5CDD505-2E9C-101B-9397-08002B2CF9AE}" pid="112" name="GDXtool_Dir055.Count">
    <vt:i4>1</vt:i4>
  </property>
  <property fmtid="{D5CDD505-2E9C-101B-9397-08002B2CF9AE}" pid="113" name="GDXtool_Dir056.0">
    <vt:lpwstr>PATH[K:\Balmorel\1971_DOERS\Arkiv\CO2_red100\]NAME[..\1971_DOERS\Arkiv\CO2_red100\]</vt:lpwstr>
  </property>
  <property fmtid="{D5CDD505-2E9C-101B-9397-08002B2CF9AE}" pid="114" name="GDXtool_Dir056.Count">
    <vt:i4>1</vt:i4>
  </property>
  <property fmtid="{D5CDD505-2E9C-101B-9397-08002B2CF9AE}" pid="115" name="GDXtool_Dir057.0">
    <vt:lpwstr>PATH[K:\Balmorel\1971_DOERS\Arkiv\CO2_red25\]NAME[..\1971_DOERS\Arkiv\CO2_red25\]</vt:lpwstr>
  </property>
  <property fmtid="{D5CDD505-2E9C-101B-9397-08002B2CF9AE}" pid="116" name="GDXtool_Dir057.Count">
    <vt:i4>1</vt:i4>
  </property>
  <property fmtid="{D5CDD505-2E9C-101B-9397-08002B2CF9AE}" pid="117" name="GDXtool_Dir058.0">
    <vt:lpwstr>PATH[K:\Balmorel\1971_DOERS\Arkiv\CO2_red50\]NAME[..\1971_DOERS\Arkiv\CO2_red50\]</vt:lpwstr>
  </property>
  <property fmtid="{D5CDD505-2E9C-101B-9397-08002B2CF9AE}" pid="118" name="GDXtool_Dir058.Count">
    <vt:i4>1</vt:i4>
  </property>
  <property fmtid="{D5CDD505-2E9C-101B-9397-08002B2CF9AE}" pid="119" name="GDXtool_Dir059.0">
    <vt:lpwstr>PATH[K:\Balmorel\1971_DOERS\Arkiv\CO2_red75\]NAME[..\1971_DOERS\Arkiv\CO2_red75\]</vt:lpwstr>
  </property>
  <property fmtid="{D5CDD505-2E9C-101B-9397-08002B2CF9AE}" pid="120" name="GDXtool_Dir059.Count">
    <vt:i4>1</vt:i4>
  </property>
  <property fmtid="{D5CDD505-2E9C-101B-9397-08002B2CF9AE}" pid="121" name="GDXtool_Dir060.0">
    <vt:lpwstr>PATH[K:\Balmorel\1971_DOERS\Arkiv\Scenarie_10\]NAME[..\1971_DOERS\Arkiv\Scenarie_10\]</vt:lpwstr>
  </property>
  <property fmtid="{D5CDD505-2E9C-101B-9397-08002B2CF9AE}" pid="122" name="GDXtool_Dir060.Count">
    <vt:i4>1</vt:i4>
  </property>
  <property fmtid="{D5CDD505-2E9C-101B-9397-08002B2CF9AE}" pid="123" name="GDXtool_Dir061.0">
    <vt:lpwstr>PATH[K:\Balmorel\1971_DOERS\Arkiv\Scenarie_11\]NAME[..\1971_DOERS\Arkiv\Scenarie_11\]</vt:lpwstr>
  </property>
  <property fmtid="{D5CDD505-2E9C-101B-9397-08002B2CF9AE}" pid="124" name="GDXtool_Dir061.Count">
    <vt:i4>1</vt:i4>
  </property>
  <property fmtid="{D5CDD505-2E9C-101B-9397-08002B2CF9AE}" pid="125" name="GDXtool_Dir062.0">
    <vt:lpwstr>PATH[K:\Balmorel\1971_DOERS\Arkiv\Scenarie_2\]NAME[..\1971_DOERS\Arkiv\Scenarie_2\]</vt:lpwstr>
  </property>
  <property fmtid="{D5CDD505-2E9C-101B-9397-08002B2CF9AE}" pid="126" name="GDXtool_Dir062.Count">
    <vt:i4>1</vt:i4>
  </property>
  <property fmtid="{D5CDD505-2E9C-101B-9397-08002B2CF9AE}" pid="127" name="GDXtool_Dir063.0">
    <vt:lpwstr>PATH[K:\Balmorel\1971_DOERS\Arkiv\Scenarie_3\]NAME[..\1971_DOERS\Arkiv\Scenarie_3\]</vt:lpwstr>
  </property>
  <property fmtid="{D5CDD505-2E9C-101B-9397-08002B2CF9AE}" pid="128" name="GDXtool_Dir063.Count">
    <vt:i4>1</vt:i4>
  </property>
  <property fmtid="{D5CDD505-2E9C-101B-9397-08002B2CF9AE}" pid="129" name="GDXtool_Dir064.0">
    <vt:lpwstr>PATH[K:\Balmorel\1971_DOERS\Arkiv\Scenarie_4\]NAME[..\1971_DOERS\Arkiv\Scenarie_4\]</vt:lpwstr>
  </property>
  <property fmtid="{D5CDD505-2E9C-101B-9397-08002B2CF9AE}" pid="130" name="GDXtool_Dir064.Count">
    <vt:i4>1</vt:i4>
  </property>
  <property fmtid="{D5CDD505-2E9C-101B-9397-08002B2CF9AE}" pid="131" name="GDXtool_Dir065.0">
    <vt:lpwstr>PATH[K:\Balmorel\1971_DOERS\Arkiv\Scenarie_5\]NAME[..\1971_DOERS\Arkiv\Scenarie_5\]</vt:lpwstr>
  </property>
  <property fmtid="{D5CDD505-2E9C-101B-9397-08002B2CF9AE}" pid="132" name="GDXtool_Dir065.Count">
    <vt:i4>1</vt:i4>
  </property>
  <property fmtid="{D5CDD505-2E9C-101B-9397-08002B2CF9AE}" pid="133" name="GDXtool_Dir066.0">
    <vt:lpwstr>PATH[K:\Balmorel\1971_DOERS\Arkiv\Scenarie_6\]NAME[..\1971_DOERS\Arkiv\Scenarie_6\]</vt:lpwstr>
  </property>
  <property fmtid="{D5CDD505-2E9C-101B-9397-08002B2CF9AE}" pid="134" name="GDXtool_Dir066.Count">
    <vt:i4>1</vt:i4>
  </property>
  <property fmtid="{D5CDD505-2E9C-101B-9397-08002B2CF9AE}" pid="135" name="GDXtool_Dir067.0">
    <vt:lpwstr>PATH[K:\Balmorel\1971_DOERS\Arkiv\Scenarie_7\]NAME[..\1971_DOERS\Arkiv\Scenarie_7\]</vt:lpwstr>
  </property>
  <property fmtid="{D5CDD505-2E9C-101B-9397-08002B2CF9AE}" pid="136" name="GDXtool_Dir067.Count">
    <vt:i4>1</vt:i4>
  </property>
  <property fmtid="{D5CDD505-2E9C-101B-9397-08002B2CF9AE}" pid="137" name="GDXtool_Dir068.0">
    <vt:lpwstr>PATH[K:\Balmorel\1971_DOERS\Arkiv\Scenarie_8\]NAME[..\1971_DOERS\Arkiv\Scenarie_8\]</vt:lpwstr>
  </property>
  <property fmtid="{D5CDD505-2E9C-101B-9397-08002B2CF9AE}" pid="138" name="GDXtool_Dir068.Count">
    <vt:i4>1</vt:i4>
  </property>
  <property fmtid="{D5CDD505-2E9C-101B-9397-08002B2CF9AE}" pid="139" name="GDXtool_Dir069.0">
    <vt:lpwstr>PATH[K:\Balmorel\1971_DOERS\Arkiv\Scenarie_9\]NAME[..\1971_DOERS\Arkiv\Scenarie_9\]</vt:lpwstr>
  </property>
  <property fmtid="{D5CDD505-2E9C-101B-9397-08002B2CF9AE}" pid="140" name="GDXtool_Dir069.Count">
    <vt:i4>1</vt:i4>
  </property>
  <property fmtid="{D5CDD505-2E9C-101B-9397-08002B2CF9AE}" pid="141" name="GDXtool_Dir070.0">
    <vt:lpwstr>PATH[K:\Balmorel\1971_DOERS\Arkiv\CO2_negativeudledninger\Data\]NAME[..\1971_DOERS\Arkiv\CO2_negativeudledninger\Data\]</vt:lpwstr>
  </property>
  <property fmtid="{D5CDD505-2E9C-101B-9397-08002B2CF9AE}" pid="142" name="GDXtool_Dir070.Count">
    <vt:i4>1</vt:i4>
  </property>
  <property fmtid="{D5CDD505-2E9C-101B-9397-08002B2CF9AE}" pid="143" name="GDXtool_Dir071.0">
    <vt:lpwstr>PATH[K:\Balmorel\1971_DOERS\Arkiv\CO2_red10\Data\]NAME[..\1971_DOERS\Arkiv\CO2_red10\Data\]</vt:lpwstr>
  </property>
  <property fmtid="{D5CDD505-2E9C-101B-9397-08002B2CF9AE}" pid="144" name="GDXtool_Dir071.Count">
    <vt:i4>1</vt:i4>
  </property>
  <property fmtid="{D5CDD505-2E9C-101B-9397-08002B2CF9AE}" pid="145" name="GDXtool_Dir072.0">
    <vt:lpwstr>PATH[K:\Balmorel\1971_DOERS\Arkiv\CO2_red100\Data\]NAME[..\1971_DOERS\Arkiv\CO2_red100\Data\]</vt:lpwstr>
  </property>
  <property fmtid="{D5CDD505-2E9C-101B-9397-08002B2CF9AE}" pid="146" name="GDXtool_Dir072.Count">
    <vt:i4>1</vt:i4>
  </property>
  <property fmtid="{D5CDD505-2E9C-101B-9397-08002B2CF9AE}" pid="147" name="GDXtool_Dir073.0">
    <vt:lpwstr>PATH[K:\Balmorel\1971_DOERS\Arkiv\CO2_red25\Data\]NAME[..\1971_DOERS\Arkiv\CO2_red25\Data\]</vt:lpwstr>
  </property>
  <property fmtid="{D5CDD505-2E9C-101B-9397-08002B2CF9AE}" pid="148" name="GDXtool_Dir073.Count">
    <vt:i4>1</vt:i4>
  </property>
  <property fmtid="{D5CDD505-2E9C-101B-9397-08002B2CF9AE}" pid="149" name="GDXtool_Dir074.0">
    <vt:lpwstr>PATH[K:\Balmorel\1971_DOERS\Arkiv\CO2_red50\Data\]NAME[..\1971_DOERS\Arkiv\CO2_red50\Data\]</vt:lpwstr>
  </property>
  <property fmtid="{D5CDD505-2E9C-101B-9397-08002B2CF9AE}" pid="150" name="GDXtool_Dir074.Count">
    <vt:i4>1</vt:i4>
  </property>
  <property fmtid="{D5CDD505-2E9C-101B-9397-08002B2CF9AE}" pid="151" name="GDXtool_Dir075.0">
    <vt:lpwstr>PATH[K:\Balmorel\1971_DOERS\Arkiv\CO2_red75\Data\]NAME[..\1971_DOERS\Arkiv\CO2_red75\Data\]</vt:lpwstr>
  </property>
  <property fmtid="{D5CDD505-2E9C-101B-9397-08002B2CF9AE}" pid="152" name="GDXtool_Dir075.Count">
    <vt:i4>1</vt:i4>
  </property>
  <property fmtid="{D5CDD505-2E9C-101B-9397-08002B2CF9AE}" pid="153" name="GDXtool_Dir076.0">
    <vt:lpwstr>PATH[K:\Balmorel\1971_DOERS\Arkiv\Scenarie_10\Data\]NAME[..\1971_DOERS\Arkiv\Scenarie_10\Data\]</vt:lpwstr>
  </property>
  <property fmtid="{D5CDD505-2E9C-101B-9397-08002B2CF9AE}" pid="154" name="GDXtool_Dir076.Count">
    <vt:i4>1</vt:i4>
  </property>
  <property fmtid="{D5CDD505-2E9C-101B-9397-08002B2CF9AE}" pid="155" name="GDXtool_Dir077.0">
    <vt:lpwstr>PATH[K:\Balmorel\1971_DOERS\Arkiv\Scenarie_11\Data\]NAME[..\1971_DOERS\Arkiv\Scenarie_11\Data\]</vt:lpwstr>
  </property>
  <property fmtid="{D5CDD505-2E9C-101B-9397-08002B2CF9AE}" pid="156" name="GDXtool_Dir077.Count">
    <vt:i4>1</vt:i4>
  </property>
  <property fmtid="{D5CDD505-2E9C-101B-9397-08002B2CF9AE}" pid="157" name="GDXtool_Dir078.0">
    <vt:lpwstr>PATH[K:\Balmorel\1971_DOERS\Arkiv\Scenarie_2\Data\]NAME[..\1971_DOERS\Arkiv\Scenarie_2\Data\]</vt:lpwstr>
  </property>
  <property fmtid="{D5CDD505-2E9C-101B-9397-08002B2CF9AE}" pid="158" name="GDXtool_Dir078.Count">
    <vt:i4>1</vt:i4>
  </property>
  <property fmtid="{D5CDD505-2E9C-101B-9397-08002B2CF9AE}" pid="159" name="GDXtool_Dir079.0">
    <vt:lpwstr>PATH[K:\Balmorel\1971_DOERS\Arkiv\Scenarie_3\Data\]NAME[..\1971_DOERS\Arkiv\Scenarie_3\Data\]</vt:lpwstr>
  </property>
  <property fmtid="{D5CDD505-2E9C-101B-9397-08002B2CF9AE}" pid="160" name="GDXtool_Dir079.Count">
    <vt:i4>1</vt:i4>
  </property>
  <property fmtid="{D5CDD505-2E9C-101B-9397-08002B2CF9AE}" pid="161" name="GDXtool_Dir080.0">
    <vt:lpwstr>PATH[K:\Balmorel\1971_DOERS\Arkiv\Scenarie_4\Data\]NAME[..\1971_DOERS\Arkiv\Scenarie_4\Data\]</vt:lpwstr>
  </property>
  <property fmtid="{D5CDD505-2E9C-101B-9397-08002B2CF9AE}" pid="162" name="GDXtool_Dir080.Count">
    <vt:i4>1</vt:i4>
  </property>
  <property fmtid="{D5CDD505-2E9C-101B-9397-08002B2CF9AE}" pid="163" name="GDXtool_Dir081.0">
    <vt:lpwstr>PATH[K:\Balmorel\1971_DOERS\Arkiv\Scenarie_5\Data\]NAME[..\1971_DOERS\Arkiv\Scenarie_5\Data\]</vt:lpwstr>
  </property>
  <property fmtid="{D5CDD505-2E9C-101B-9397-08002B2CF9AE}" pid="164" name="GDXtool_Dir081.Count">
    <vt:i4>1</vt:i4>
  </property>
  <property fmtid="{D5CDD505-2E9C-101B-9397-08002B2CF9AE}" pid="165" name="GDXtool_Dir082.0">
    <vt:lpwstr>PATH[K:\Balmorel\1971_DOERS\Arkiv\Scenarie_6\Data\]NAME[..\1971_DOERS\Arkiv\Scenarie_6\Data\]</vt:lpwstr>
  </property>
  <property fmtid="{D5CDD505-2E9C-101B-9397-08002B2CF9AE}" pid="166" name="GDXtool_Dir082.Count">
    <vt:i4>1</vt:i4>
  </property>
  <property fmtid="{D5CDD505-2E9C-101B-9397-08002B2CF9AE}" pid="167" name="GDXtool_Dir083.0">
    <vt:lpwstr>PATH[K:\Balmorel\1971_DOERS\Arkiv\Scenarie_7\Data\]NAME[..\1971_DOERS\Arkiv\Scenarie_7\Data\]</vt:lpwstr>
  </property>
  <property fmtid="{D5CDD505-2E9C-101B-9397-08002B2CF9AE}" pid="168" name="GDXtool_Dir083.Count">
    <vt:i4>1</vt:i4>
  </property>
  <property fmtid="{D5CDD505-2E9C-101B-9397-08002B2CF9AE}" pid="169" name="GDXtool_Dir084.0">
    <vt:lpwstr>PATH[K:\Balmorel\1971_DOERS\Arkiv\Scenarie_8\Data\]NAME[..\1971_DOERS\Arkiv\Scenarie_8\Data\]</vt:lpwstr>
  </property>
  <property fmtid="{D5CDD505-2E9C-101B-9397-08002B2CF9AE}" pid="170" name="GDXtool_Dir084.Count">
    <vt:i4>1</vt:i4>
  </property>
  <property fmtid="{D5CDD505-2E9C-101B-9397-08002B2CF9AE}" pid="171" name="GDXtool_Dir085.0">
    <vt:lpwstr>PATH[K:\Balmorel\1971_DOERS\Arkiv\Scenarie_9\Data\]NAME[..\1971_DOERS\Arkiv\Scenarie_9\Data\]</vt:lpwstr>
  </property>
  <property fmtid="{D5CDD505-2E9C-101B-9397-08002B2CF9AE}" pid="172" name="GDXtool_Dir085.Count">
    <vt:i4>1</vt:i4>
  </property>
  <property fmtid="{D5CDD505-2E9C-101B-9397-08002B2CF9AE}" pid="173" name="GDXtool_Dir086.0">
    <vt:lpwstr>PATH[K:\Balmorel\1971_DOERS\Baseline_SD_noTransInvest\Data\]NAME[..\1971_DOERS\Baseline_SD_noTransInvest\Data\]</vt:lpwstr>
  </property>
  <property fmtid="{D5CDD505-2E9C-101B-9397-08002B2CF9AE}" pid="174" name="GDXtool_Dir086.Count">
    <vt:i4>1</vt:i4>
  </property>
  <property fmtid="{D5CDD505-2E9C-101B-9397-08002B2CF9AE}" pid="175" name="GDXtool_Dir087.0">
    <vt:lpwstr>PATH[K:\Balmorel\1971_DOERS\Baseline_SD_TransInvest\Data\]NAME[..\1971_DOERS\Baseline_SD_TransInvest\Data\]</vt:lpwstr>
  </property>
  <property fmtid="{D5CDD505-2E9C-101B-9397-08002B2CF9AE}" pid="176" name="GDXtool_Dir087.Count">
    <vt:i4>1</vt:i4>
  </property>
  <property fmtid="{D5CDD505-2E9C-101B-9397-08002B2CF9AE}" pid="177" name="GDXtool_Dir088.0">
    <vt:lpwstr>PATH[K:\Balmorel\1971_DOERS\Baseline_SP_noTransInvest\Data\]NAME[..\1971_DOERS\Baseline_SP_noTransInvest\Data\]</vt:lpwstr>
  </property>
  <property fmtid="{D5CDD505-2E9C-101B-9397-08002B2CF9AE}" pid="178" name="GDXtool_Dir088.Count">
    <vt:i4>1</vt:i4>
  </property>
  <property fmtid="{D5CDD505-2E9C-101B-9397-08002B2CF9AE}" pid="179" name="GDXtool_Dir089.0">
    <vt:lpwstr>PATH[K:\Balmorel\1971_DOERS\Baseline_SP_TransInvest\Data\]NAME[..\1971_DOERS\Baseline_SP_TransInvest\Data\]</vt:lpwstr>
  </property>
  <property fmtid="{D5CDD505-2E9C-101B-9397-08002B2CF9AE}" pid="180" name="GDXtool_Dir089.Count">
    <vt:i4>1</vt:i4>
  </property>
  <property fmtid="{D5CDD505-2E9C-101B-9397-08002B2CF9AE}" pid="181" name="GDXtool_Dir090.0">
    <vt:lpwstr>PATH[K:\Balmorel\1971_DOERS\DOERS_Baseline_woP2X\Data\]NAME[..\1971_DOERS\DOERS_Baseline_woP2X\Data\]</vt:lpwstr>
  </property>
  <property fmtid="{D5CDD505-2E9C-101B-9397-08002B2CF9AE}" pid="182" name="GDXtool_Dir090.Count">
    <vt:i4>1</vt:i4>
  </property>
  <property fmtid="{D5CDD505-2E9C-101B-9397-08002B2CF9AE}" pid="183" name="GDXtool_Dir091.0">
    <vt:lpwstr>PATH[K:\Balmorel\1971_DOERS\Reference\Data\]NAME[..\1971_DOERS\Reference\Data\]</vt:lpwstr>
  </property>
  <property fmtid="{D5CDD505-2E9C-101B-9397-08002B2CF9AE}" pid="184" name="GDXtool_Dir091.Count">
    <vt:i4>1</vt:i4>
  </property>
  <property fmtid="{D5CDD505-2E9C-101B-9397-08002B2CF9AE}" pid="185" name="GDXtool_Dir092.0">
    <vt:lpwstr>PATH[K:\Balmorel\1971_DOERS\Scenarie_01_SD_NoTransInvest\Data\]NAME[..\1971_DOERS\Scenarie_01_SD_NoTransInvest\Data\]</vt:lpwstr>
  </property>
  <property fmtid="{D5CDD505-2E9C-101B-9397-08002B2CF9AE}" pid="186" name="GDXtool_Dir092.Count">
    <vt:i4>1</vt:i4>
  </property>
  <property fmtid="{D5CDD505-2E9C-101B-9397-08002B2CF9AE}" pid="187" name="GDXtool_Dir093.0">
    <vt:lpwstr>PATH[K:\Balmorel\1971_DOERS\Scenarie_01_SD_TransInvest\Data\]NAME[..\1971_DOERS\Scenarie_01_SD_TransInvest\Data\]</vt:lpwstr>
  </property>
  <property fmtid="{D5CDD505-2E9C-101B-9397-08002B2CF9AE}" pid="188" name="GDXtool_Dir093.Count">
    <vt:i4>1</vt:i4>
  </property>
  <property fmtid="{D5CDD505-2E9C-101B-9397-08002B2CF9AE}" pid="189" name="GDXtool_Dir094.0">
    <vt:lpwstr>PATH[K:\Balmorel\1971_DOERS\Scenarie_01_SP_NoTransInvest\Data\]NAME[..\1971_DOERS\Scenarie_01_SP_NoTransInvest\Data\]</vt:lpwstr>
  </property>
  <property fmtid="{D5CDD505-2E9C-101B-9397-08002B2CF9AE}" pid="190" name="GDXtool_Dir094.Count">
    <vt:i4>1</vt:i4>
  </property>
  <property fmtid="{D5CDD505-2E9C-101B-9397-08002B2CF9AE}" pid="191" name="GDXtool_Dir095.0">
    <vt:lpwstr>PATH[K:\Balmorel\1971_DOERS\Scenarie_01_SP_TransInvest\Data\]NAME[..\1971_DOERS\Scenarie_01_SP_TransInvest\Data\]</vt:lpwstr>
  </property>
  <property fmtid="{D5CDD505-2E9C-101B-9397-08002B2CF9AE}" pid="192" name="GDXtool_Dir095.Count">
    <vt:i4>1</vt:i4>
  </property>
  <property fmtid="{D5CDD505-2E9C-101B-9397-08002B2CF9AE}" pid="193" name="GDXtool_Dir096.0">
    <vt:lpwstr>PATH[K:\Balmorel\1971_DOERS\Scenarie_02_SD_NoTransInvest\Data\]NAME[..\1971_DOERS\Scenarie_02_SD_NoTransInvest\Data\]</vt:lpwstr>
  </property>
  <property fmtid="{D5CDD505-2E9C-101B-9397-08002B2CF9AE}" pid="194" name="GDXtool_Dir096.Count">
    <vt:i4>1</vt:i4>
  </property>
  <property fmtid="{D5CDD505-2E9C-101B-9397-08002B2CF9AE}" pid="195" name="GDXtool_Dir097.0">
    <vt:lpwstr>PATH[K:\Balmorel\1971_DOERS\Scenarie_02_SD_TransInvest\Data\]NAME[..\1971_DOERS\Scenarie_02_SD_TransInvest\Data\]</vt:lpwstr>
  </property>
  <property fmtid="{D5CDD505-2E9C-101B-9397-08002B2CF9AE}" pid="196" name="GDXtool_Dir097.Count">
    <vt:i4>1</vt:i4>
  </property>
  <property fmtid="{D5CDD505-2E9C-101B-9397-08002B2CF9AE}" pid="197" name="GDXtool_Dir098.0">
    <vt:lpwstr>PATH[K:\Balmorel\1971_DOERS\Scenarie_02_SP_NoTransInvest\Data\]NAME[..\1971_DOERS\Scenarie_02_SP_NoTransInvest\Data\]</vt:lpwstr>
  </property>
  <property fmtid="{D5CDD505-2E9C-101B-9397-08002B2CF9AE}" pid="198" name="GDXtool_Dir098.Count">
    <vt:i4>1</vt:i4>
  </property>
  <property fmtid="{D5CDD505-2E9C-101B-9397-08002B2CF9AE}" pid="199" name="GDXtool_Dir099.0">
    <vt:lpwstr>PATH[K:\Balmorel\1971_DOERS\Scenarie_02_SP_TransInvest\Data\]NAME[..\1971_DOERS\Scenarie_02_SP_TransInvest\Data\]</vt:lpwstr>
  </property>
  <property fmtid="{D5CDD505-2E9C-101B-9397-08002B2CF9AE}" pid="200" name="GDXtool_Dir099.Count">
    <vt:i4>1</vt:i4>
  </property>
  <property fmtid="{D5CDD505-2E9C-101B-9397-08002B2CF9AE}" pid="201" name="GDXtool_Dir100.0">
    <vt:lpwstr>PATH[K:\Balmorel\1971_DOERS\Scenarie_03_SD_NoTransInvest\Data\]NAME[..\1971_DOERS\Scenarie_03_SD_NoTransInvest\Data\]</vt:lpwstr>
  </property>
  <property fmtid="{D5CDD505-2E9C-101B-9397-08002B2CF9AE}" pid="202" name="GDXtool_Dir100.Count">
    <vt:i4>1</vt:i4>
  </property>
  <property fmtid="{D5CDD505-2E9C-101B-9397-08002B2CF9AE}" pid="203" name="GDXtool_Dir101.0">
    <vt:lpwstr>PATH[K:\Balmorel\1971_DOERS\Scenarie_03_SD_TransInvest\Data\]NAME[..\1971_DOERS\Scenarie_03_SD_TransInvest\Data\]</vt:lpwstr>
  </property>
  <property fmtid="{D5CDD505-2E9C-101B-9397-08002B2CF9AE}" pid="204" name="GDXtool_Dir101.Count">
    <vt:i4>1</vt:i4>
  </property>
  <property fmtid="{D5CDD505-2E9C-101B-9397-08002B2CF9AE}" pid="205" name="GDXtool_Dir102.0">
    <vt:lpwstr>PATH[K:\Balmorel\1971_DOERS\Scenarie_03_SP_NoTransInvest\Data\]NAME[..\1971_DOERS\Scenarie_03_SP_NoTransInvest\Data\]</vt:lpwstr>
  </property>
  <property fmtid="{D5CDD505-2E9C-101B-9397-08002B2CF9AE}" pid="206" name="GDXtool_Dir102.Count">
    <vt:i4>1</vt:i4>
  </property>
  <property fmtid="{D5CDD505-2E9C-101B-9397-08002B2CF9AE}" pid="207" name="GDXtool_Dir103.0">
    <vt:lpwstr>PATH[K:\Balmorel\1971_DOERS\Scenarie_03_SP_TransInvest\Data\]NAME[..\1971_DOERS\Scenarie_03_SP_TransInvest\Data\]</vt:lpwstr>
  </property>
  <property fmtid="{D5CDD505-2E9C-101B-9397-08002B2CF9AE}" pid="208" name="GDXtool_Dir103.Count">
    <vt:i4>1</vt:i4>
  </property>
  <property fmtid="{D5CDD505-2E9C-101B-9397-08002B2CF9AE}" pid="209" name="GDXtool_Dir104.0">
    <vt:lpwstr>PATH[K:\Balmorel\1971_DOERS\Scenarie_04_SD_NoTransInvest\Data\]NAME[..\1971_DOERS\Scenarie_04_SD_NoTransInvest\Data\]</vt:lpwstr>
  </property>
  <property fmtid="{D5CDD505-2E9C-101B-9397-08002B2CF9AE}" pid="210" name="GDXtool_Dir104.Count">
    <vt:i4>1</vt:i4>
  </property>
  <property fmtid="{D5CDD505-2E9C-101B-9397-08002B2CF9AE}" pid="211" name="GDXtool_Dir105.0">
    <vt:lpwstr>PATH[K:\Balmorel\1971_DOERS\Scenarie_04_SD_TransInvest\Data\]NAME[..\1971_DOERS\Scenarie_04_SD_TransInvest\Data\]</vt:lpwstr>
  </property>
  <property fmtid="{D5CDD505-2E9C-101B-9397-08002B2CF9AE}" pid="212" name="GDXtool_Dir105.Count">
    <vt:i4>1</vt:i4>
  </property>
  <property fmtid="{D5CDD505-2E9C-101B-9397-08002B2CF9AE}" pid="213" name="GDXtool_Dir106.0">
    <vt:lpwstr>PATH[K:\Balmorel\1971_DOERS\Scenarie_04_SP_NoTransInvest\Data\]NAME[..\1971_DOERS\Scenarie_04_SP_NoTransInvest\Data\]</vt:lpwstr>
  </property>
  <property fmtid="{D5CDD505-2E9C-101B-9397-08002B2CF9AE}" pid="214" name="GDXtool_Dir106.Count">
    <vt:i4>1</vt:i4>
  </property>
  <property fmtid="{D5CDD505-2E9C-101B-9397-08002B2CF9AE}" pid="215" name="GDXtool_Dir107.0">
    <vt:lpwstr>PATH[K:\Balmorel\1971_DOERS\Scenarie_04_SP_TransInvest\Data\]NAME[..\1971_DOERS\Scenarie_04_SP_TransInvest\Data\]</vt:lpwstr>
  </property>
  <property fmtid="{D5CDD505-2E9C-101B-9397-08002B2CF9AE}" pid="216" name="GDXtool_Dir107.Count">
    <vt:i4>1</vt:i4>
  </property>
  <property fmtid="{D5CDD505-2E9C-101B-9397-08002B2CF9AE}" pid="217" name="GDXtool_Dir108.0">
    <vt:lpwstr>PATH[K:\Balmorel\1971_DOERS\Scenarie_05_SD_NoTransInvest\Data\]NAME[..\1971_DOERS\Scenarie_05_SD_NoTransInvest\Data\]</vt:lpwstr>
  </property>
  <property fmtid="{D5CDD505-2E9C-101B-9397-08002B2CF9AE}" pid="218" name="GDXtool_Dir108.Count">
    <vt:i4>1</vt:i4>
  </property>
  <property fmtid="{D5CDD505-2E9C-101B-9397-08002B2CF9AE}" pid="219" name="GDXtool_Dir109.0">
    <vt:lpwstr>PATH[K:\Balmorel\1971_DOERS\Scenarie_05_SD_TransInvest\Data\]NAME[..\1971_DOERS\Scenarie_05_SD_TransInvest\Data\]</vt:lpwstr>
  </property>
  <property fmtid="{D5CDD505-2E9C-101B-9397-08002B2CF9AE}" pid="220" name="GDXtool_Dir109.Count">
    <vt:i4>1</vt:i4>
  </property>
  <property fmtid="{D5CDD505-2E9C-101B-9397-08002B2CF9AE}" pid="221" name="GDXtool_Dir110.0">
    <vt:lpwstr>PATH[K:\Balmorel\1971_DOERS\Scenarie_05_SP_NoTransInvest\Data\]NAME[..\1971_DOERS\Scenarie_05_SP_NoTransInvest\Data\]</vt:lpwstr>
  </property>
  <property fmtid="{D5CDD505-2E9C-101B-9397-08002B2CF9AE}" pid="222" name="GDXtool_Dir110.Count">
    <vt:i4>1</vt:i4>
  </property>
  <property fmtid="{D5CDD505-2E9C-101B-9397-08002B2CF9AE}" pid="223" name="GDXtool_Dir111.0">
    <vt:lpwstr>PATH[K:\Balmorel\1971_DOERS\Scenarie_05_SP_TransInvest\Data\]NAME[..\1971_DOERS\Scenarie_05_SP_TransInvest\Data\]</vt:lpwstr>
  </property>
  <property fmtid="{D5CDD505-2E9C-101B-9397-08002B2CF9AE}" pid="224" name="GDXtool_Dir111.Count">
    <vt:i4>1</vt:i4>
  </property>
  <property fmtid="{D5CDD505-2E9C-101B-9397-08002B2CF9AE}" pid="225" name="GDXtool_Dir112.0">
    <vt:lpwstr>PATH[K:\Balmorel\1971_DOERS\Scenarie_06_SD_NoTransInvest\Data\]NAME[..\1971_DOERS\Scenarie_06_SD_NoTransInvest\Data\]</vt:lpwstr>
  </property>
  <property fmtid="{D5CDD505-2E9C-101B-9397-08002B2CF9AE}" pid="226" name="GDXtool_Dir112.Count">
    <vt:i4>1</vt:i4>
  </property>
  <property fmtid="{D5CDD505-2E9C-101B-9397-08002B2CF9AE}" pid="227" name="GDXtool_Dir113.0">
    <vt:lpwstr>PATH[K:\Balmorel\1971_DOERS\Scenarie_06_SD_TransInvest\Data\]NAME[..\1971_DOERS\Scenarie_06_SD_TransInvest\Data\]</vt:lpwstr>
  </property>
  <property fmtid="{D5CDD505-2E9C-101B-9397-08002B2CF9AE}" pid="228" name="GDXtool_Dir113.Count">
    <vt:i4>1</vt:i4>
  </property>
  <property fmtid="{D5CDD505-2E9C-101B-9397-08002B2CF9AE}" pid="229" name="GDXtool_Dir114.0">
    <vt:lpwstr>PATH[K:\Balmorel\1971_DOERS\Scenarie_06_SP_NoTransInvest\Data\]NAME[..\1971_DOERS\Scenarie_06_SP_NoTransInvest\Data\]</vt:lpwstr>
  </property>
  <property fmtid="{D5CDD505-2E9C-101B-9397-08002B2CF9AE}" pid="230" name="GDXtool_Dir114.Count">
    <vt:i4>1</vt:i4>
  </property>
  <property fmtid="{D5CDD505-2E9C-101B-9397-08002B2CF9AE}" pid="231" name="GDXtool_Dir115.0">
    <vt:lpwstr>PATH[K:\Balmorel\1971_DOERS\Scenarie_06_SP_TransInvest\Data\]NAME[..\1971_DOERS\Scenarie_06_SP_TransInvest\Data\]</vt:lpwstr>
  </property>
  <property fmtid="{D5CDD505-2E9C-101B-9397-08002B2CF9AE}" pid="232" name="GDXtool_Dir115.Count">
    <vt:i4>1</vt:i4>
  </property>
  <property fmtid="{D5CDD505-2E9C-101B-9397-08002B2CF9AE}" pid="233" name="GDXtool_Dir116.0">
    <vt:lpwstr>PATH[K:\Balmorel\1971_DOERS\Scenarie_07_SD_NoTransInvest\Data\]NAME[..\1971_DOERS\Scenarie_07_SD_NoTransInvest\Data\]</vt:lpwstr>
  </property>
  <property fmtid="{D5CDD505-2E9C-101B-9397-08002B2CF9AE}" pid="234" name="GDXtool_Dir116.Count">
    <vt:i4>1</vt:i4>
  </property>
  <property fmtid="{D5CDD505-2E9C-101B-9397-08002B2CF9AE}" pid="235" name="GDXtool_Dir117.0">
    <vt:lpwstr>PATH[K:\Balmorel\1971_DOERS\Scenarie_07_SD_TransInvest\Data\]NAME[..\1971_DOERS\Scenarie_07_SD_TransInvest\Data\]</vt:lpwstr>
  </property>
  <property fmtid="{D5CDD505-2E9C-101B-9397-08002B2CF9AE}" pid="236" name="GDXtool_Dir117.Count">
    <vt:i4>1</vt:i4>
  </property>
  <property fmtid="{D5CDD505-2E9C-101B-9397-08002B2CF9AE}" pid="237" name="GDXtool_Dir118.0">
    <vt:lpwstr>PATH[K:\Balmorel\1971_DOERS\Scenarie_07_SP_NoTransInvest\Data\]NAME[..\1971_DOERS\Scenarie_07_SP_NoTransInvest\Data\]</vt:lpwstr>
  </property>
  <property fmtid="{D5CDD505-2E9C-101B-9397-08002B2CF9AE}" pid="238" name="GDXtool_Dir118.Count">
    <vt:i4>1</vt:i4>
  </property>
  <property fmtid="{D5CDD505-2E9C-101B-9397-08002B2CF9AE}" pid="239" name="GDXtool_Dir119.0">
    <vt:lpwstr>PATH[K:\Balmorel\1971_DOERS\Scenarie_07_SP_TransInvest\Data\]NAME[..\1971_DOERS\Scenarie_07_SP_TransInvest\Data\]</vt:lpwstr>
  </property>
  <property fmtid="{D5CDD505-2E9C-101B-9397-08002B2CF9AE}" pid="240" name="GDXtool_Dir119.Count">
    <vt:i4>1</vt:i4>
  </property>
  <property fmtid="{D5CDD505-2E9C-101B-9397-08002B2CF9AE}" pid="241" name="GDXtool_Dir120.0">
    <vt:lpwstr>PATH[K:\Balmorel\1971_DOERS\Scenarie_08_SD_NoTransInvest\Data\]NAME[..\1971_DOERS\Scenarie_08_SD_NoTransInvest\Data\]</vt:lpwstr>
  </property>
  <property fmtid="{D5CDD505-2E9C-101B-9397-08002B2CF9AE}" pid="242" name="GDXtool_Dir120.Count">
    <vt:i4>1</vt:i4>
  </property>
  <property fmtid="{D5CDD505-2E9C-101B-9397-08002B2CF9AE}" pid="243" name="GDXtool_Dir121.0">
    <vt:lpwstr>PATH[K:\Balmorel\1971_DOERS\Scenarie_08_SD_TransInvest\Data\]NAME[..\1971_DOERS\Scenarie_08_SD_TransInvest\Data\]</vt:lpwstr>
  </property>
  <property fmtid="{D5CDD505-2E9C-101B-9397-08002B2CF9AE}" pid="244" name="GDXtool_Dir121.Count">
    <vt:i4>1</vt:i4>
  </property>
  <property fmtid="{D5CDD505-2E9C-101B-9397-08002B2CF9AE}" pid="245" name="GDXtool_Dir122.0">
    <vt:lpwstr>PATH[K:\Balmorel\1971_DOERS\Scenarie_08_SP_NoTransInvest\Data\]NAME[..\1971_DOERS\Scenarie_08_SP_NoTransInvest\Data\]</vt:lpwstr>
  </property>
  <property fmtid="{D5CDD505-2E9C-101B-9397-08002B2CF9AE}" pid="246" name="GDXtool_Dir122.Count">
    <vt:i4>1</vt:i4>
  </property>
  <property fmtid="{D5CDD505-2E9C-101B-9397-08002B2CF9AE}" pid="247" name="GDXtool_Dir123.0">
    <vt:lpwstr>PATH[K:\Balmorel\1971_DOERS\Scenarie_08_SP_TransInvest\Data\]NAME[..\1971_DOERS\Scenarie_08_SP_TransInvest\Data\]</vt:lpwstr>
  </property>
  <property fmtid="{D5CDD505-2E9C-101B-9397-08002B2CF9AE}" pid="248" name="GDXtool_Dir123.Count">
    <vt:i4>1</vt:i4>
  </property>
  <property fmtid="{D5CDD505-2E9C-101B-9397-08002B2CF9AE}" pid="249" name="GDXtool_Dir124.0">
    <vt:lpwstr>PATH[K:\Balmorel\1971_DOERS\Scenarie_09_SD_NoTransInvest\Data\]NAME[..\1971_DOERS\Scenarie_09_SD_NoTransInvest\Data\]</vt:lpwstr>
  </property>
  <property fmtid="{D5CDD505-2E9C-101B-9397-08002B2CF9AE}" pid="250" name="GDXtool_Dir124.Count">
    <vt:i4>1</vt:i4>
  </property>
  <property fmtid="{D5CDD505-2E9C-101B-9397-08002B2CF9AE}" pid="251" name="GDXtool_Dir125.0">
    <vt:lpwstr>PATH[K:\Balmorel\1971_DOERS\Scenarie_09_SD_TransInvest\Data\]NAME[..\1971_DOERS\Scenarie_09_SD_TransInvest\Data\]</vt:lpwstr>
  </property>
  <property fmtid="{D5CDD505-2E9C-101B-9397-08002B2CF9AE}" pid="252" name="GDXtool_Dir125.Count">
    <vt:i4>1</vt:i4>
  </property>
  <property fmtid="{D5CDD505-2E9C-101B-9397-08002B2CF9AE}" pid="253" name="GDXtool_Dir126.0">
    <vt:lpwstr>PATH[K:\Balmorel\1971_DOERS\Scenarie_09_SP_NoTransInvest\Data\]NAME[..\1971_DOERS\Scenarie_09_SP_NoTransInvest\Data\]</vt:lpwstr>
  </property>
  <property fmtid="{D5CDD505-2E9C-101B-9397-08002B2CF9AE}" pid="254" name="GDXtool_Dir126.Count">
    <vt:i4>1</vt:i4>
  </property>
  <property fmtid="{D5CDD505-2E9C-101B-9397-08002B2CF9AE}" pid="255" name="GDXtool_Dir127.0">
    <vt:lpwstr>PATH[K:\Balmorel\1971_DOERS\Scenarie_09_SP_TransInvest\Data\]NAME[..\1971_DOERS\Scenarie_09_SP_TransInvest\Data\]</vt:lpwstr>
  </property>
  <property fmtid="{D5CDD505-2E9C-101B-9397-08002B2CF9AE}" pid="256" name="GDXtool_Dir127.Count">
    <vt:i4>1</vt:i4>
  </property>
  <property fmtid="{D5CDD505-2E9C-101B-9397-08002B2CF9AE}" pid="257" name="GDXtool_Dir128.0">
    <vt:lpwstr>PATH[K:\Balmorel\1971_DOERS\Scenarie_10_SD_NoTransInvest\Data\]NAME[..\1971_DOERS\Scenarie_10_SD_NoTransInvest\Data\]</vt:lpwstr>
  </property>
  <property fmtid="{D5CDD505-2E9C-101B-9397-08002B2CF9AE}" pid="258" name="GDXtool_Dir128.Count">
    <vt:i4>1</vt:i4>
  </property>
  <property fmtid="{D5CDD505-2E9C-101B-9397-08002B2CF9AE}" pid="259" name="GDXtool_Dir129.0">
    <vt:lpwstr>PATH[K:\Balmorel\1971_DOERS\Scenarie_10_SD_TransInvest\Data\]NAME[..\1971_DOERS\Scenarie_10_SD_TransInvest\Data\]</vt:lpwstr>
  </property>
  <property fmtid="{D5CDD505-2E9C-101B-9397-08002B2CF9AE}" pid="260" name="GDXtool_Dir129.Count">
    <vt:i4>1</vt:i4>
  </property>
  <property fmtid="{D5CDD505-2E9C-101B-9397-08002B2CF9AE}" pid="261" name="GDXtool_Dir130.0">
    <vt:lpwstr>PATH[K:\Balmorel\1971_DOERS\Scenarie_10_SP_NoTransInvest\Data\]NAME[..\1971_DOERS\Scenarie_10_SP_NoTransInvest\Data\]</vt:lpwstr>
  </property>
  <property fmtid="{D5CDD505-2E9C-101B-9397-08002B2CF9AE}" pid="262" name="GDXtool_Dir130.Count">
    <vt:i4>1</vt:i4>
  </property>
  <property fmtid="{D5CDD505-2E9C-101B-9397-08002B2CF9AE}" pid="263" name="GDXtool_Dir131.0">
    <vt:lpwstr>PATH[K:\Balmorel\1971_DOERS\Scenarie_10_SP_TransInvest\Data\]NAME[..\1971_DOERS\Scenarie_10_SP_TransInvest\Data\]</vt:lpwstr>
  </property>
  <property fmtid="{D5CDD505-2E9C-101B-9397-08002B2CF9AE}" pid="264" name="GDXtool_Dir131.Count">
    <vt:i4>1</vt:i4>
  </property>
  <property fmtid="{D5CDD505-2E9C-101B-9397-08002B2CF9AE}" pid="265" name="GDXtool_Dir132.0">
    <vt:lpwstr>PATH[K:\Balmorel\1971_DOERS_final\Reference\]NAME[..\1971_DOERS_final\Reference\]</vt:lpwstr>
  </property>
  <property fmtid="{D5CDD505-2E9C-101B-9397-08002B2CF9AE}" pid="266" name="GDXtool_Dir132.Count">
    <vt:i4>1</vt:i4>
  </property>
  <property fmtid="{D5CDD505-2E9C-101B-9397-08002B2CF9AE}" pid="267" name="GDXtool_Dir133.0">
    <vt:lpwstr>PATH[K:\Balmorel\1971_DOERS_final\Baseline_SD\]NAME[..\1971_DOERS_final\Baseline_SD\]</vt:lpwstr>
  </property>
  <property fmtid="{D5CDD505-2E9C-101B-9397-08002B2CF9AE}" pid="268" name="GDXtool_Dir133.Count">
    <vt:i4>1</vt:i4>
  </property>
  <property fmtid="{D5CDD505-2E9C-101B-9397-08002B2CF9AE}" pid="269" name="GDXtool_Dir134.0">
    <vt:lpwstr>PATH[K:\Balmorel\1971_DOERS_final\Baseline_SD30\]NAME[..\1971_DOERS_final\Baseline_SD30\]</vt:lpwstr>
  </property>
  <property fmtid="{D5CDD505-2E9C-101B-9397-08002B2CF9AE}" pid="270" name="GDXtool_Dir134.Count">
    <vt:i4>1</vt:i4>
  </property>
  <property fmtid="{D5CDD505-2E9C-101B-9397-08002B2CF9AE}" pid="271" name="GDXtool_Dir135.0">
    <vt:lpwstr>PATH[K:\Balmorel\1971_DOERS_final\Baseline_SD50\]NAME[..\1971_DOERS_final\Baseline_SD50\]</vt:lpwstr>
  </property>
  <property fmtid="{D5CDD505-2E9C-101B-9397-08002B2CF9AE}" pid="272" name="GDXtool_Dir135.Count">
    <vt:i4>1</vt:i4>
  </property>
  <property fmtid="{D5CDD505-2E9C-101B-9397-08002B2CF9AE}" pid="273" name="GDXtool_Dir136.0">
    <vt:lpwstr>PATH[K:\Balmorel\1971_DOERS_final\Baseline_SP\]NAME[..\1971_DOERS_final\Baseline_SP\]</vt:lpwstr>
  </property>
  <property fmtid="{D5CDD505-2E9C-101B-9397-08002B2CF9AE}" pid="274" name="GDXtool_Dir136.Count">
    <vt:i4>1</vt:i4>
  </property>
  <property fmtid="{D5CDD505-2E9C-101B-9397-08002B2CF9AE}" pid="275" name="GDXtool_Dir137.0">
    <vt:lpwstr>PATH[K:\Balmorel\1971_DOERS_final\Baseline_SP30\]NAME[..\1971_DOERS_final\Baseline_SP30\]</vt:lpwstr>
  </property>
  <property fmtid="{D5CDD505-2E9C-101B-9397-08002B2CF9AE}" pid="276" name="GDXtool_Dir137.Count">
    <vt:i4>1</vt:i4>
  </property>
  <property fmtid="{D5CDD505-2E9C-101B-9397-08002B2CF9AE}" pid="277" name="GDXtool_Dir138.0">
    <vt:lpwstr>PATH[K:\Balmorel\1971_DOERS_final\Baseline_SP50\]NAME[..\1971_DOERS_final\Baseline_SP50\]</vt:lpwstr>
  </property>
  <property fmtid="{D5CDD505-2E9C-101B-9397-08002B2CF9AE}" pid="278" name="GDXtool_Dir138.Count">
    <vt:i4>1</vt:i4>
  </property>
  <property fmtid="{D5CDD505-2E9C-101B-9397-08002B2CF9AE}" pid="279" name="GDXtool_Dir139.0">
    <vt:lpwstr>PATH[K:\Balmorel\1971_DOERS_final\Scenarie_01_SD\]NAME[..\1971_DOERS_final\Scenarie_01_SD\]</vt:lpwstr>
  </property>
  <property fmtid="{D5CDD505-2E9C-101B-9397-08002B2CF9AE}" pid="280" name="GDXtool_Dir139.Count">
    <vt:i4>1</vt:i4>
  </property>
  <property fmtid="{D5CDD505-2E9C-101B-9397-08002B2CF9AE}" pid="281" name="GDXtool_Dir140.0">
    <vt:lpwstr>PATH[K:\Balmorel\1971_DOERS_final\Scenarie_01_SD30\]NAME[..\1971_DOERS_final\Scenarie_01_SD30\]</vt:lpwstr>
  </property>
  <property fmtid="{D5CDD505-2E9C-101B-9397-08002B2CF9AE}" pid="282" name="GDXtool_Dir140.Count">
    <vt:i4>1</vt:i4>
  </property>
  <property fmtid="{D5CDD505-2E9C-101B-9397-08002B2CF9AE}" pid="283" name="GDXtool_Dir141.0">
    <vt:lpwstr>PATH[K:\Balmorel\1971_DOERS_final\Scenarie_01_SD50\]NAME[..\1971_DOERS_final\Scenarie_01_SD50\]</vt:lpwstr>
  </property>
  <property fmtid="{D5CDD505-2E9C-101B-9397-08002B2CF9AE}" pid="284" name="GDXtool_Dir141.Count">
    <vt:i4>1</vt:i4>
  </property>
  <property fmtid="{D5CDD505-2E9C-101B-9397-08002B2CF9AE}" pid="285" name="GDXtool_Dir142.0">
    <vt:lpwstr>PATH[K:\Balmorel\1971_DOERS_final\Scenarie_01_SP\]NAME[..\1971_DOERS_final\Scenarie_01_SP\]</vt:lpwstr>
  </property>
  <property fmtid="{D5CDD505-2E9C-101B-9397-08002B2CF9AE}" pid="286" name="GDXtool_Dir142.Count">
    <vt:i4>1</vt:i4>
  </property>
  <property fmtid="{D5CDD505-2E9C-101B-9397-08002B2CF9AE}" pid="287" name="GDXtool_Dir143.0">
    <vt:lpwstr>PATH[K:\Balmorel\1971_DOERS_final\Scenarie_01_SP30\]NAME[..\1971_DOERS_final\Scenarie_01_SP30\]</vt:lpwstr>
  </property>
  <property fmtid="{D5CDD505-2E9C-101B-9397-08002B2CF9AE}" pid="288" name="GDXtool_Dir143.Count">
    <vt:i4>1</vt:i4>
  </property>
  <property fmtid="{D5CDD505-2E9C-101B-9397-08002B2CF9AE}" pid="289" name="GDXtool_Dir144.0">
    <vt:lpwstr>PATH[K:\Balmorel\1971_DOERS_final\Scenarie_01_SP50\]NAME[..\1971_DOERS_final\Scenarie_01_SP50\]</vt:lpwstr>
  </property>
  <property fmtid="{D5CDD505-2E9C-101B-9397-08002B2CF9AE}" pid="290" name="GDXtool_Dir144.Count">
    <vt:i4>1</vt:i4>
  </property>
  <property fmtid="{D5CDD505-2E9C-101B-9397-08002B2CF9AE}" pid="291" name="GDXtool_Dir145.0">
    <vt:lpwstr>PATH[K:\Balmorel\1971_DOERS_final\Scenarie_02_SD\]NAME[..\1971_DOERS_final\Scenarie_02_SD\]</vt:lpwstr>
  </property>
  <property fmtid="{D5CDD505-2E9C-101B-9397-08002B2CF9AE}" pid="292" name="GDXtool_Dir145.Count">
    <vt:i4>1</vt:i4>
  </property>
  <property fmtid="{D5CDD505-2E9C-101B-9397-08002B2CF9AE}" pid="293" name="GDXtool_Dir146.0">
    <vt:lpwstr>PATH[K:\Balmorel\1971_DOERS_final\Scenarie_02_SD30\]NAME[..\1971_DOERS_final\Scenarie_02_SD30\]</vt:lpwstr>
  </property>
  <property fmtid="{D5CDD505-2E9C-101B-9397-08002B2CF9AE}" pid="294" name="GDXtool_Dir146.Count">
    <vt:i4>1</vt:i4>
  </property>
  <property fmtid="{D5CDD505-2E9C-101B-9397-08002B2CF9AE}" pid="295" name="GDXtool_Dir147.0">
    <vt:lpwstr>PATH[K:\Balmorel\1971_DOERS_final\Scenarie_02_SD50\]NAME[..\1971_DOERS_final\Scenarie_02_SD50\]</vt:lpwstr>
  </property>
  <property fmtid="{D5CDD505-2E9C-101B-9397-08002B2CF9AE}" pid="296" name="GDXtool_Dir147.Count">
    <vt:i4>1</vt:i4>
  </property>
  <property fmtid="{D5CDD505-2E9C-101B-9397-08002B2CF9AE}" pid="297" name="GDXtool_Dir148.0">
    <vt:lpwstr>PATH[K:\Balmorel\1971_DOERS_final\Scenarie_02_SP\]NAME[..\1971_DOERS_final\Scenarie_02_SP\]</vt:lpwstr>
  </property>
  <property fmtid="{D5CDD505-2E9C-101B-9397-08002B2CF9AE}" pid="298" name="GDXtool_Dir148.Count">
    <vt:i4>1</vt:i4>
  </property>
  <property fmtid="{D5CDD505-2E9C-101B-9397-08002B2CF9AE}" pid="299" name="GDXtool_Dir149.0">
    <vt:lpwstr>PATH[K:\Balmorel\1971_DOERS_final\Scenarie_02_SP30\]NAME[..\1971_DOERS_final\Scenarie_02_SP30\]</vt:lpwstr>
  </property>
  <property fmtid="{D5CDD505-2E9C-101B-9397-08002B2CF9AE}" pid="300" name="GDXtool_Dir149.Count">
    <vt:i4>1</vt:i4>
  </property>
  <property fmtid="{D5CDD505-2E9C-101B-9397-08002B2CF9AE}" pid="301" name="GDXtool_Dir150.0">
    <vt:lpwstr>PATH[K:\Balmorel\1971_DOERS_final\Scenarie_02_SP50\]NAME[..\1971_DOERS_final\Scenarie_02_SP50\]</vt:lpwstr>
  </property>
  <property fmtid="{D5CDD505-2E9C-101B-9397-08002B2CF9AE}" pid="302" name="GDXtool_Dir150.Count">
    <vt:i4>1</vt:i4>
  </property>
  <property fmtid="{D5CDD505-2E9C-101B-9397-08002B2CF9AE}" pid="303" name="GDXtool_Dir151.0">
    <vt:lpwstr>PATH[K:\Balmorel\1971_DOERS_final\Scenarie_03_SD\]NAME[..\1971_DOERS_final\Scenarie_03_SD\]</vt:lpwstr>
  </property>
  <property fmtid="{D5CDD505-2E9C-101B-9397-08002B2CF9AE}" pid="304" name="GDXtool_Dir151.Count">
    <vt:i4>1</vt:i4>
  </property>
  <property fmtid="{D5CDD505-2E9C-101B-9397-08002B2CF9AE}" pid="305" name="GDXtool_Dir152.0">
    <vt:lpwstr>PATH[K:\Balmorel\1971_DOERS_final\Scenarie_03_SD30\]NAME[..\1971_DOERS_final\Scenarie_03_SD30\]</vt:lpwstr>
  </property>
  <property fmtid="{D5CDD505-2E9C-101B-9397-08002B2CF9AE}" pid="306" name="GDXtool_Dir152.Count">
    <vt:i4>1</vt:i4>
  </property>
  <property fmtid="{D5CDD505-2E9C-101B-9397-08002B2CF9AE}" pid="307" name="GDXtool_Dir153.0">
    <vt:lpwstr>PATH[K:\Balmorel\1971_DOERS_final\Scenarie_03_SD50\]NAME[..\1971_DOERS_final\Scenarie_03_SD50\]</vt:lpwstr>
  </property>
  <property fmtid="{D5CDD505-2E9C-101B-9397-08002B2CF9AE}" pid="308" name="GDXtool_Dir153.Count">
    <vt:i4>1</vt:i4>
  </property>
  <property fmtid="{D5CDD505-2E9C-101B-9397-08002B2CF9AE}" pid="309" name="GDXtool_Dir154.0">
    <vt:lpwstr>PATH[K:\Balmorel\1971_DOERS_final\Scenarie_03_SP\]NAME[..\1971_DOERS_final\Scenarie_03_SP\]</vt:lpwstr>
  </property>
  <property fmtid="{D5CDD505-2E9C-101B-9397-08002B2CF9AE}" pid="310" name="GDXtool_Dir154.Count">
    <vt:i4>1</vt:i4>
  </property>
  <property fmtid="{D5CDD505-2E9C-101B-9397-08002B2CF9AE}" pid="311" name="GDXtool_Dir155.0">
    <vt:lpwstr>PATH[K:\Balmorel\1971_DOERS_final\Scenarie_03_SP30\]NAME[..\1971_DOERS_final\Scenarie_03_SP30\]</vt:lpwstr>
  </property>
  <property fmtid="{D5CDD505-2E9C-101B-9397-08002B2CF9AE}" pid="312" name="GDXtool_Dir155.Count">
    <vt:i4>1</vt:i4>
  </property>
  <property fmtid="{D5CDD505-2E9C-101B-9397-08002B2CF9AE}" pid="313" name="GDXtool_Dir156.0">
    <vt:lpwstr>PATH[K:\Balmorel\1971_DOERS_final\Scenarie_03_SP50\]NAME[..\1971_DOERS_final\Scenarie_03_SP50\]</vt:lpwstr>
  </property>
  <property fmtid="{D5CDD505-2E9C-101B-9397-08002B2CF9AE}" pid="314" name="GDXtool_Dir156.Count">
    <vt:i4>1</vt:i4>
  </property>
  <property fmtid="{D5CDD505-2E9C-101B-9397-08002B2CF9AE}" pid="315" name="GDXtool_Dir157.0">
    <vt:lpwstr>PATH[K:\Balmorel\1971_DOERS_final\Scenarie_04_SD\]NAME[..\1971_DOERS_final\Scenarie_04_SD\]</vt:lpwstr>
  </property>
  <property fmtid="{D5CDD505-2E9C-101B-9397-08002B2CF9AE}" pid="316" name="GDXtool_Dir157.Count">
    <vt:i4>1</vt:i4>
  </property>
  <property fmtid="{D5CDD505-2E9C-101B-9397-08002B2CF9AE}" pid="317" name="GDXtool_Dir158.0">
    <vt:lpwstr>PATH[K:\Balmorel\1971_DOERS_final\Scenarie_04_SD30\]NAME[..\1971_DOERS_final\Scenarie_04_SD30\]</vt:lpwstr>
  </property>
  <property fmtid="{D5CDD505-2E9C-101B-9397-08002B2CF9AE}" pid="318" name="GDXtool_Dir158.Count">
    <vt:i4>1</vt:i4>
  </property>
  <property fmtid="{D5CDD505-2E9C-101B-9397-08002B2CF9AE}" pid="319" name="GDXtool_Dir159.0">
    <vt:lpwstr>PATH[K:\Balmorel\1971_DOERS_final\Scenarie_04_SD50\]NAME[..\1971_DOERS_final\Scenarie_04_SD50\]</vt:lpwstr>
  </property>
  <property fmtid="{D5CDD505-2E9C-101B-9397-08002B2CF9AE}" pid="320" name="GDXtool_Dir159.Count">
    <vt:i4>1</vt:i4>
  </property>
  <property fmtid="{D5CDD505-2E9C-101B-9397-08002B2CF9AE}" pid="321" name="GDXtool_Dir160.0">
    <vt:lpwstr>PATH[K:\Balmorel\1971_DOERS_final\Scenarie_04_SP\]NAME[..\1971_DOERS_final\Scenarie_04_SP\]</vt:lpwstr>
  </property>
  <property fmtid="{D5CDD505-2E9C-101B-9397-08002B2CF9AE}" pid="322" name="GDXtool_Dir160.Count">
    <vt:i4>1</vt:i4>
  </property>
  <property fmtid="{D5CDD505-2E9C-101B-9397-08002B2CF9AE}" pid="323" name="GDXtool_Dir161.0">
    <vt:lpwstr>PATH[K:\Balmorel\1971_DOERS_final\Scenarie_04_SP30\]NAME[..\1971_DOERS_final\Scenarie_04_SP30\]</vt:lpwstr>
  </property>
  <property fmtid="{D5CDD505-2E9C-101B-9397-08002B2CF9AE}" pid="324" name="GDXtool_Dir161.Count">
    <vt:i4>1</vt:i4>
  </property>
  <property fmtid="{D5CDD505-2E9C-101B-9397-08002B2CF9AE}" pid="325" name="GDXtool_Dir162.0">
    <vt:lpwstr>PATH[K:\Balmorel\1971_DOERS_final\Scenarie_04_SP50\]NAME[..\1971_DOERS_final\Scenarie_04_SP50\]</vt:lpwstr>
  </property>
  <property fmtid="{D5CDD505-2E9C-101B-9397-08002B2CF9AE}" pid="326" name="GDXtool_Dir162.Count">
    <vt:i4>1</vt:i4>
  </property>
  <property fmtid="{D5CDD505-2E9C-101B-9397-08002B2CF9AE}" pid="327" name="GDXtool_Dir163.0">
    <vt:lpwstr>PATH[K:\Balmorel\1971_DOERS_final\Scenarie_05_SD\]NAME[..\1971_DOERS_final\Scenarie_05_SD\]</vt:lpwstr>
  </property>
  <property fmtid="{D5CDD505-2E9C-101B-9397-08002B2CF9AE}" pid="328" name="GDXtool_Dir163.Count">
    <vt:i4>1</vt:i4>
  </property>
  <property fmtid="{D5CDD505-2E9C-101B-9397-08002B2CF9AE}" pid="329" name="GDXtool_Dir164.0">
    <vt:lpwstr>PATH[K:\Balmorel\1971_DOERS_final\Scenarie_05_SD30\]NAME[..\1971_DOERS_final\Scenarie_05_SD30\]</vt:lpwstr>
  </property>
  <property fmtid="{D5CDD505-2E9C-101B-9397-08002B2CF9AE}" pid="330" name="GDXtool_Dir164.Count">
    <vt:i4>1</vt:i4>
  </property>
  <property fmtid="{D5CDD505-2E9C-101B-9397-08002B2CF9AE}" pid="331" name="GDXtool_Dir165.0">
    <vt:lpwstr>PATH[K:\Balmorel\1971_DOERS_final\Scenarie_05_SD50\]NAME[..\1971_DOERS_final\Scenarie_05_SD50\]</vt:lpwstr>
  </property>
  <property fmtid="{D5CDD505-2E9C-101B-9397-08002B2CF9AE}" pid="332" name="GDXtool_Dir165.Count">
    <vt:i4>1</vt:i4>
  </property>
  <property fmtid="{D5CDD505-2E9C-101B-9397-08002B2CF9AE}" pid="333" name="GDXtool_Dir166.0">
    <vt:lpwstr>PATH[K:\Balmorel\1971_DOERS_final\Scenarie_05_SP\]NAME[..\1971_DOERS_final\Scenarie_05_SP\]</vt:lpwstr>
  </property>
  <property fmtid="{D5CDD505-2E9C-101B-9397-08002B2CF9AE}" pid="334" name="GDXtool_Dir166.Count">
    <vt:i4>1</vt:i4>
  </property>
  <property fmtid="{D5CDD505-2E9C-101B-9397-08002B2CF9AE}" pid="335" name="GDXtool_Dir167.0">
    <vt:lpwstr>PATH[K:\Balmorel\1971_DOERS_final\Scenarie_05_SP30\]NAME[..\1971_DOERS_final\Scenarie_05_SP30\]</vt:lpwstr>
  </property>
  <property fmtid="{D5CDD505-2E9C-101B-9397-08002B2CF9AE}" pid="336" name="GDXtool_Dir167.Count">
    <vt:i4>1</vt:i4>
  </property>
  <property fmtid="{D5CDD505-2E9C-101B-9397-08002B2CF9AE}" pid="337" name="GDXtool_Dir168.0">
    <vt:lpwstr>PATH[K:\Balmorel\1971_DOERS_final\Scenarie_05_SP50\]NAME[..\1971_DOERS_final\Scenarie_05_SP50\]</vt:lpwstr>
  </property>
  <property fmtid="{D5CDD505-2E9C-101B-9397-08002B2CF9AE}" pid="338" name="GDXtool_Dir168.Count">
    <vt:i4>1</vt:i4>
  </property>
  <property fmtid="{D5CDD505-2E9C-101B-9397-08002B2CF9AE}" pid="339" name="GDXtool_Dir169.0">
    <vt:lpwstr>PATH[K:\Balmorel\1971_DOERS_final\Scenarie_06_SD\]NAME[..\1971_DOERS_final\Scenarie_06_SD\]</vt:lpwstr>
  </property>
  <property fmtid="{D5CDD505-2E9C-101B-9397-08002B2CF9AE}" pid="340" name="GDXtool_Dir169.Count">
    <vt:i4>1</vt:i4>
  </property>
  <property fmtid="{D5CDD505-2E9C-101B-9397-08002B2CF9AE}" pid="341" name="GDXtool_Dir170.0">
    <vt:lpwstr>PATH[K:\Balmorel\1971_DOERS_final\Scenarie_06_SD30\]NAME[..\1971_DOERS_final\Scenarie_06_SD30\]</vt:lpwstr>
  </property>
  <property fmtid="{D5CDD505-2E9C-101B-9397-08002B2CF9AE}" pid="342" name="GDXtool_Dir170.Count">
    <vt:i4>1</vt:i4>
  </property>
  <property fmtid="{D5CDD505-2E9C-101B-9397-08002B2CF9AE}" pid="343" name="GDXtool_Dir171.0">
    <vt:lpwstr>PATH[K:\Balmorel\1971_DOERS_final\Scenarie_06_SD50\]NAME[..\1971_DOERS_final\Scenarie_06_SD50\]</vt:lpwstr>
  </property>
  <property fmtid="{D5CDD505-2E9C-101B-9397-08002B2CF9AE}" pid="344" name="GDXtool_Dir171.Count">
    <vt:i4>1</vt:i4>
  </property>
  <property fmtid="{D5CDD505-2E9C-101B-9397-08002B2CF9AE}" pid="345" name="GDXtool_Dir172.0">
    <vt:lpwstr>PATH[K:\Balmorel\1971_DOERS_final\Scenarie_06_SP\]NAME[..\1971_DOERS_final\Scenarie_06_SP\]</vt:lpwstr>
  </property>
  <property fmtid="{D5CDD505-2E9C-101B-9397-08002B2CF9AE}" pid="346" name="GDXtool_Dir172.Count">
    <vt:i4>1</vt:i4>
  </property>
  <property fmtid="{D5CDD505-2E9C-101B-9397-08002B2CF9AE}" pid="347" name="GDXtool_Dir173.0">
    <vt:lpwstr>PATH[K:\Balmorel\1971_DOERS_final\Scenarie_06_SP30\]NAME[..\1971_DOERS_final\Scenarie_06_SP30\]</vt:lpwstr>
  </property>
  <property fmtid="{D5CDD505-2E9C-101B-9397-08002B2CF9AE}" pid="348" name="GDXtool_Dir173.Count">
    <vt:i4>1</vt:i4>
  </property>
  <property fmtid="{D5CDD505-2E9C-101B-9397-08002B2CF9AE}" pid="349" name="GDXtool_Dir174.0">
    <vt:lpwstr>PATH[K:\Balmorel\1971_DOERS_final\Scenarie_06_SP50\]NAME[..\1971_DOERS_final\Scenarie_06_SP50\]</vt:lpwstr>
  </property>
  <property fmtid="{D5CDD505-2E9C-101B-9397-08002B2CF9AE}" pid="350" name="GDXtool_Dir174.Count">
    <vt:i4>1</vt:i4>
  </property>
  <property fmtid="{D5CDD505-2E9C-101B-9397-08002B2CF9AE}" pid="351" name="GDXtool_Dir175.0">
    <vt:lpwstr>PATH[K:\Balmorel\1971_DOERS_final\Scenarie_07_SD\]NAME[..\1971_DOERS_final\Scenarie_07_SD\]</vt:lpwstr>
  </property>
  <property fmtid="{D5CDD505-2E9C-101B-9397-08002B2CF9AE}" pid="352" name="GDXtool_Dir175.Count">
    <vt:i4>1</vt:i4>
  </property>
  <property fmtid="{D5CDD505-2E9C-101B-9397-08002B2CF9AE}" pid="353" name="GDXtool_Dir176.0">
    <vt:lpwstr>PATH[K:\Balmorel\1971_DOERS_final\Scenarie_07_SD30\]NAME[..\1971_DOERS_final\Scenarie_07_SD30\]</vt:lpwstr>
  </property>
  <property fmtid="{D5CDD505-2E9C-101B-9397-08002B2CF9AE}" pid="354" name="GDXtool_Dir176.Count">
    <vt:i4>1</vt:i4>
  </property>
  <property fmtid="{D5CDD505-2E9C-101B-9397-08002B2CF9AE}" pid="355" name="GDXtool_Dir177.0">
    <vt:lpwstr>PATH[K:\Balmorel\1971_DOERS_final\Scenarie_07_SD50\]NAME[..\1971_DOERS_final\Scenarie_07_SD50\]</vt:lpwstr>
  </property>
  <property fmtid="{D5CDD505-2E9C-101B-9397-08002B2CF9AE}" pid="356" name="GDXtool_Dir177.Count">
    <vt:i4>1</vt:i4>
  </property>
  <property fmtid="{D5CDD505-2E9C-101B-9397-08002B2CF9AE}" pid="357" name="GDXtool_Dir178.0">
    <vt:lpwstr>PATH[K:\Balmorel\1971_DOERS_final\Scenarie_07_SP\]NAME[..\1971_DOERS_final\Scenarie_07_SP\]</vt:lpwstr>
  </property>
  <property fmtid="{D5CDD505-2E9C-101B-9397-08002B2CF9AE}" pid="358" name="GDXtool_Dir178.Count">
    <vt:i4>1</vt:i4>
  </property>
  <property fmtid="{D5CDD505-2E9C-101B-9397-08002B2CF9AE}" pid="359" name="GDXtool_Dir179.0">
    <vt:lpwstr>PATH[K:\Balmorel\1971_DOERS_final\Scenarie_07_SP30\]NAME[..\1971_DOERS_final\Scenarie_07_SP30\]</vt:lpwstr>
  </property>
  <property fmtid="{D5CDD505-2E9C-101B-9397-08002B2CF9AE}" pid="360" name="GDXtool_Dir179.Count">
    <vt:i4>1</vt:i4>
  </property>
  <property fmtid="{D5CDD505-2E9C-101B-9397-08002B2CF9AE}" pid="361" name="GDXtool_Dir180.0">
    <vt:lpwstr>PATH[K:\Balmorel\1971_DOERS_final\Scenarie_07_SP50\]NAME[..\1971_DOERS_final\Scenarie_07_SP50\]</vt:lpwstr>
  </property>
  <property fmtid="{D5CDD505-2E9C-101B-9397-08002B2CF9AE}" pid="362" name="GDXtool_Dir180.Count">
    <vt:i4>1</vt:i4>
  </property>
  <property fmtid="{D5CDD505-2E9C-101B-9397-08002B2CF9AE}" pid="363" name="GDXtool_Dir181.0">
    <vt:lpwstr>PATH[K:\Balmorel\1971_DOERS_final\Scenarie_08_SD\]NAME[..\1971_DOERS_final\Scenarie_08_SD\]</vt:lpwstr>
  </property>
  <property fmtid="{D5CDD505-2E9C-101B-9397-08002B2CF9AE}" pid="364" name="GDXtool_Dir181.Count">
    <vt:i4>1</vt:i4>
  </property>
  <property fmtid="{D5CDD505-2E9C-101B-9397-08002B2CF9AE}" pid="365" name="GDXtool_Dir182.0">
    <vt:lpwstr>PATH[K:\Balmorel\1971_DOERS_final\Scenarie_08_SD30\]NAME[..\1971_DOERS_final\Scenarie_08_SD30\]</vt:lpwstr>
  </property>
  <property fmtid="{D5CDD505-2E9C-101B-9397-08002B2CF9AE}" pid="366" name="GDXtool_Dir182.Count">
    <vt:i4>1</vt:i4>
  </property>
  <property fmtid="{D5CDD505-2E9C-101B-9397-08002B2CF9AE}" pid="367" name="GDXtool_Dir183.0">
    <vt:lpwstr>PATH[K:\Balmorel\1971_DOERS_final\Scenarie_08_SD50\]NAME[..\1971_DOERS_final\Scenarie_08_SD50\]</vt:lpwstr>
  </property>
  <property fmtid="{D5CDD505-2E9C-101B-9397-08002B2CF9AE}" pid="368" name="GDXtool_Dir183.Count">
    <vt:i4>1</vt:i4>
  </property>
  <property fmtid="{D5CDD505-2E9C-101B-9397-08002B2CF9AE}" pid="369" name="GDXtool_Dir184.0">
    <vt:lpwstr>PATH[K:\Balmorel\1971_DOERS_final\Scenarie_08_SP\]NAME[..\1971_DOERS_final\Scenarie_08_SP\]</vt:lpwstr>
  </property>
  <property fmtid="{D5CDD505-2E9C-101B-9397-08002B2CF9AE}" pid="370" name="GDXtool_Dir184.Count">
    <vt:i4>1</vt:i4>
  </property>
  <property fmtid="{D5CDD505-2E9C-101B-9397-08002B2CF9AE}" pid="371" name="GDXtool_Dir185.0">
    <vt:lpwstr>PATH[K:\Balmorel\1971_DOERS_final\Scenarie_08_SP30\]NAME[..\1971_DOERS_final\Scenarie_08_SP30\]</vt:lpwstr>
  </property>
  <property fmtid="{D5CDD505-2E9C-101B-9397-08002B2CF9AE}" pid="372" name="GDXtool_Dir185.Count">
    <vt:i4>1</vt:i4>
  </property>
  <property fmtid="{D5CDD505-2E9C-101B-9397-08002B2CF9AE}" pid="373" name="GDXtool_Dir186.0">
    <vt:lpwstr>PATH[K:\Balmorel\1971_DOERS_final\Scenarie_08_SP50\]NAME[..\1971_DOERS_final\Scenarie_08_SP50\]</vt:lpwstr>
  </property>
  <property fmtid="{D5CDD505-2E9C-101B-9397-08002B2CF9AE}" pid="374" name="GDXtool_Dir186.Count">
    <vt:i4>1</vt:i4>
  </property>
  <property fmtid="{D5CDD505-2E9C-101B-9397-08002B2CF9AE}" pid="375" name="GDXtool_Dir187.0">
    <vt:lpwstr>PATH[K:\Balmorel\1971_DOERS_final\Scenarie_09_SD\]NAME[..\1971_DOERS_final\Scenarie_09_SD\]</vt:lpwstr>
  </property>
  <property fmtid="{D5CDD505-2E9C-101B-9397-08002B2CF9AE}" pid="376" name="GDXtool_Dir187.Count">
    <vt:i4>1</vt:i4>
  </property>
  <property fmtid="{D5CDD505-2E9C-101B-9397-08002B2CF9AE}" pid="377" name="GDXtool_Dir188.0">
    <vt:lpwstr>PATH[K:\Balmorel\1971_DOERS_final\Scenarie_09_SD30\]NAME[..\1971_DOERS_final\Scenarie_09_SD30\]</vt:lpwstr>
  </property>
  <property fmtid="{D5CDD505-2E9C-101B-9397-08002B2CF9AE}" pid="378" name="GDXtool_Dir188.Count">
    <vt:i4>1</vt:i4>
  </property>
  <property fmtid="{D5CDD505-2E9C-101B-9397-08002B2CF9AE}" pid="379" name="GDXtool_Dir189.0">
    <vt:lpwstr>PATH[K:\Balmorel\1971_DOERS_final\Scenarie_09_SD50\]NAME[..\1971_DOERS_final\Scenarie_09_SD50\]</vt:lpwstr>
  </property>
  <property fmtid="{D5CDD505-2E9C-101B-9397-08002B2CF9AE}" pid="380" name="GDXtool_Dir189.Count">
    <vt:i4>1</vt:i4>
  </property>
  <property fmtid="{D5CDD505-2E9C-101B-9397-08002B2CF9AE}" pid="381" name="GDXtool_Dir190.0">
    <vt:lpwstr>PATH[K:\Balmorel\1971_DOERS_final\Scenarie_09_SP\]NAME[..\1971_DOERS_final\Scenarie_09_SP\]</vt:lpwstr>
  </property>
  <property fmtid="{D5CDD505-2E9C-101B-9397-08002B2CF9AE}" pid="382" name="GDXtool_Dir190.Count">
    <vt:i4>1</vt:i4>
  </property>
  <property fmtid="{D5CDD505-2E9C-101B-9397-08002B2CF9AE}" pid="383" name="GDXtool_Dir191.0">
    <vt:lpwstr>PATH[K:\Balmorel\1971_DOERS_final\Scenarie_09_SP30\]NAME[..\1971_DOERS_final\Scenarie_09_SP30\]</vt:lpwstr>
  </property>
  <property fmtid="{D5CDD505-2E9C-101B-9397-08002B2CF9AE}" pid="384" name="GDXtool_Dir191.Count">
    <vt:i4>1</vt:i4>
  </property>
  <property fmtid="{D5CDD505-2E9C-101B-9397-08002B2CF9AE}" pid="385" name="GDXtool_Dir192.0">
    <vt:lpwstr>PATH[K:\Balmorel\1971_DOERS_final\Scenarie_09_SP50\]NAME[..\1971_DOERS_final\Scenarie_09_SP50\]</vt:lpwstr>
  </property>
  <property fmtid="{D5CDD505-2E9C-101B-9397-08002B2CF9AE}" pid="386" name="GDXtool_Dir192.Count">
    <vt:i4>1</vt:i4>
  </property>
  <property fmtid="{D5CDD505-2E9C-101B-9397-08002B2CF9AE}" pid="387" name="GDXtool_Dir193.0">
    <vt:lpwstr>PATH[K:\Balmorel\1971_DOERS_final\Scenarie_10_SD\]NAME[..\1971_DOERS_final\Scenarie_10_SD\]</vt:lpwstr>
  </property>
  <property fmtid="{D5CDD505-2E9C-101B-9397-08002B2CF9AE}" pid="388" name="GDXtool_Dir193.Count">
    <vt:i4>1</vt:i4>
  </property>
  <property fmtid="{D5CDD505-2E9C-101B-9397-08002B2CF9AE}" pid="389" name="GDXtool_Dir194.0">
    <vt:lpwstr>PATH[K:\Balmorel\1971_DOERS_final\Scenarie_10_SD30\]NAME[..\1971_DOERS_final\Scenarie_10_SD30\]</vt:lpwstr>
  </property>
  <property fmtid="{D5CDD505-2E9C-101B-9397-08002B2CF9AE}" pid="390" name="GDXtool_Dir194.Count">
    <vt:i4>1</vt:i4>
  </property>
  <property fmtid="{D5CDD505-2E9C-101B-9397-08002B2CF9AE}" pid="391" name="GDXtool_Dir195.0">
    <vt:lpwstr>PATH[K:\Balmorel\1971_DOERS_final\Scenarie_10_SD50\]NAME[..\1971_DOERS_final\Scenarie_10_SD50\]</vt:lpwstr>
  </property>
  <property fmtid="{D5CDD505-2E9C-101B-9397-08002B2CF9AE}" pid="392" name="GDXtool_Dir195.Count">
    <vt:i4>1</vt:i4>
  </property>
  <property fmtid="{D5CDD505-2E9C-101B-9397-08002B2CF9AE}" pid="393" name="GDXtool_Dir196.0">
    <vt:lpwstr>PATH[K:\Balmorel\1971_DOERS_final\Scenarie_10_SP\]NAME[..\1971_DOERS_final\Scenarie_10_SP\]</vt:lpwstr>
  </property>
  <property fmtid="{D5CDD505-2E9C-101B-9397-08002B2CF9AE}" pid="394" name="GDXtool_Dir196.Count">
    <vt:i4>1</vt:i4>
  </property>
  <property fmtid="{D5CDD505-2E9C-101B-9397-08002B2CF9AE}" pid="395" name="GDXtool_Dir197.0">
    <vt:lpwstr>PATH[K:\Balmorel\1971_DOERS_final\Scenarie_10_SP30\]NAME[..\1971_DOERS_final\Scenarie_10_SP30\]</vt:lpwstr>
  </property>
  <property fmtid="{D5CDD505-2E9C-101B-9397-08002B2CF9AE}" pid="396" name="GDXtool_Dir197.Count">
    <vt:i4>1</vt:i4>
  </property>
  <property fmtid="{D5CDD505-2E9C-101B-9397-08002B2CF9AE}" pid="397" name="GDXtool_Dir198.0">
    <vt:lpwstr>PATH[K:\Balmorel\1971_DOERS_final\Scenarie_10_SP50\]NAME[..\1971_DOERS_final\Scenarie_10_SP50\]</vt:lpwstr>
  </property>
  <property fmtid="{D5CDD505-2E9C-101B-9397-08002B2CF9AE}" pid="398" name="GDXtool_Dir198.Count">
    <vt:i4>1</vt:i4>
  </property>
  <property fmtid="{D5CDD505-2E9C-101B-9397-08002B2CF9AE}" pid="399" name="GDXtool_Dir199.0">
    <vt:lpwstr>PATH[K:\Balmorel\1971_DOERS_final\Arkiv\Baseline_SD30_old\]NAME[..\1971_DOERS_final\Arkiv\Baseline_SD30_old\]</vt:lpwstr>
  </property>
  <property fmtid="{D5CDD505-2E9C-101B-9397-08002B2CF9AE}" pid="400" name="GDXtool_Dir199.Count">
    <vt:i4>1</vt:i4>
  </property>
  <property fmtid="{D5CDD505-2E9C-101B-9397-08002B2CF9AE}" pid="401" name="GDXtool_Dir200.0">
    <vt:lpwstr>PATH[K:\Balmorel\1971_DOERS_final\Arkiv\Baseline_SD50_old\]NAME[..\1971_DOERS_final\Arkiv\Baseline_SD50_old\]</vt:lpwstr>
  </property>
  <property fmtid="{D5CDD505-2E9C-101B-9397-08002B2CF9AE}" pid="402" name="GDXtool_Dir200.Count">
    <vt:i4>1</vt:i4>
  </property>
  <property fmtid="{D5CDD505-2E9C-101B-9397-08002B2CF9AE}" pid="403" name="GDXtool_Dir201.0">
    <vt:lpwstr>PATH[K:\Balmorel\1971_DOERS_final\Arkiv\Baseline_SP30_old\]NAME[..\1971_DOERS_final\Arkiv\Baseline_SP30_old\]</vt:lpwstr>
  </property>
  <property fmtid="{D5CDD505-2E9C-101B-9397-08002B2CF9AE}" pid="404" name="GDXtool_Dir201.Count">
    <vt:i4>1</vt:i4>
  </property>
  <property fmtid="{D5CDD505-2E9C-101B-9397-08002B2CF9AE}" pid="405" name="GDXtool_Dir202.0">
    <vt:lpwstr>PATH[K:\Balmorel\1971_DOERS_final\Arkiv\Baseline_SP50_old\]NAME[..\1971_DOERS_final\Arkiv\Baseline_SP50_old\]</vt:lpwstr>
  </property>
  <property fmtid="{D5CDD505-2E9C-101B-9397-08002B2CF9AE}" pid="406" name="GDXtool_Dir202.Count">
    <vt:i4>1</vt:i4>
  </property>
  <property fmtid="{D5CDD505-2E9C-101B-9397-08002B2CF9AE}" pid="407" name="GDXtool_Dir203.0">
    <vt:lpwstr>PATH[K:\Balmorel\1971_DOERS_final\Arkiv\ExportFix\]NAME[..\1971_DOERS_final\Arkiv\ExportFix\]</vt:lpwstr>
  </property>
  <property fmtid="{D5CDD505-2E9C-101B-9397-08002B2CF9AE}" pid="408" name="GDXtool_Dir203.Count">
    <vt:i4>1</vt:i4>
  </property>
  <property fmtid="{D5CDD505-2E9C-101B-9397-08002B2CF9AE}" pid="409" name="GDXtool_Dir204.0">
    <vt:lpwstr>PATH[K:\Balmorel\1971_DOERS_final\Arkiv\Baseline_SD30_old\Data\]NAME[..\1971_DOERS_final\Arkiv\Baseline_SD30_old\Data\]</vt:lpwstr>
  </property>
  <property fmtid="{D5CDD505-2E9C-101B-9397-08002B2CF9AE}" pid="410" name="GDXtool_Dir204.Count">
    <vt:i4>1</vt:i4>
  </property>
  <property fmtid="{D5CDD505-2E9C-101B-9397-08002B2CF9AE}" pid="411" name="GDXtool_Dir205.0">
    <vt:lpwstr>PATH[K:\Balmorel\1971_DOERS_final\Arkiv\Baseline_SD50_old\Data\]NAME[..\1971_DOERS_final\Arkiv\Baseline_SD50_old\Data\]</vt:lpwstr>
  </property>
  <property fmtid="{D5CDD505-2E9C-101B-9397-08002B2CF9AE}" pid="412" name="GDXtool_Dir205.Count">
    <vt:i4>1</vt:i4>
  </property>
  <property fmtid="{D5CDD505-2E9C-101B-9397-08002B2CF9AE}" pid="413" name="GDXtool_Dir206.0">
    <vt:lpwstr>PATH[K:\Balmorel\1971_DOERS_final\Arkiv\Baseline_SP30_old\Data\]NAME[..\1971_DOERS_final\Arkiv\Baseline_SP30_old\Data\]</vt:lpwstr>
  </property>
  <property fmtid="{D5CDD505-2E9C-101B-9397-08002B2CF9AE}" pid="414" name="GDXtool_Dir206.Count">
    <vt:i4>1</vt:i4>
  </property>
  <property fmtid="{D5CDD505-2E9C-101B-9397-08002B2CF9AE}" pid="415" name="GDXtool_Dir207.0">
    <vt:lpwstr>PATH[K:\Balmorel\1971_DOERS_final\Arkiv\Baseline_SP50_old\Data\]NAME[..\1971_DOERS_final\Arkiv\Baseline_SP50_old\Data\]</vt:lpwstr>
  </property>
  <property fmtid="{D5CDD505-2E9C-101B-9397-08002B2CF9AE}" pid="416" name="GDXtool_Dir207.Count">
    <vt:i4>1</vt:i4>
  </property>
  <property fmtid="{D5CDD505-2E9C-101B-9397-08002B2CF9AE}" pid="417" name="GDXtool_Dir208.0">
    <vt:lpwstr>PATH[K:\Balmorel\1971_DOERS_final\Baseline_SD\Data\]NAME[..\1971_DOERS_final\Baseline_SD\Data\]</vt:lpwstr>
  </property>
  <property fmtid="{D5CDD505-2E9C-101B-9397-08002B2CF9AE}" pid="418" name="GDXtool_Dir208.Count">
    <vt:i4>1</vt:i4>
  </property>
  <property fmtid="{D5CDD505-2E9C-101B-9397-08002B2CF9AE}" pid="419" name="GDXtool_Dir209.0">
    <vt:lpwstr>PATH[K:\Balmorel\1971_DOERS_final\Baseline_SD30\Data\]NAME[..\1971_DOERS_final\Baseline_SD30\Data\]</vt:lpwstr>
  </property>
  <property fmtid="{D5CDD505-2E9C-101B-9397-08002B2CF9AE}" pid="420" name="GDXtool_Dir209.Count">
    <vt:i4>1</vt:i4>
  </property>
  <property fmtid="{D5CDD505-2E9C-101B-9397-08002B2CF9AE}" pid="421" name="GDXtool_Dir210.0">
    <vt:lpwstr>PATH[K:\Balmorel\1971_DOERS_final\Baseline_SD50\Data\]NAME[..\1971_DOERS_final\Baseline_SD50\Data\]</vt:lpwstr>
  </property>
  <property fmtid="{D5CDD505-2E9C-101B-9397-08002B2CF9AE}" pid="422" name="GDXtool_Dir210.Count">
    <vt:i4>1</vt:i4>
  </property>
  <property fmtid="{D5CDD505-2E9C-101B-9397-08002B2CF9AE}" pid="423" name="GDXtool_Dir211.0">
    <vt:lpwstr>PATH[K:\Balmorel\1971_DOERS_final\Baseline_SP\Data\]NAME[..\1971_DOERS_final\Baseline_SP\Data\]</vt:lpwstr>
  </property>
  <property fmtid="{D5CDD505-2E9C-101B-9397-08002B2CF9AE}" pid="424" name="GDXtool_Dir211.Count">
    <vt:i4>1</vt:i4>
  </property>
  <property fmtid="{D5CDD505-2E9C-101B-9397-08002B2CF9AE}" pid="425" name="GDXtool_Dir212.0">
    <vt:lpwstr>PATH[K:\Balmorel\1971_DOERS_final\Baseline_SP30\Data\]NAME[..\1971_DOERS_final\Baseline_SP30\Data\]</vt:lpwstr>
  </property>
  <property fmtid="{D5CDD505-2E9C-101B-9397-08002B2CF9AE}" pid="426" name="GDXtool_Dir212.Count">
    <vt:i4>1</vt:i4>
  </property>
  <property fmtid="{D5CDD505-2E9C-101B-9397-08002B2CF9AE}" pid="427" name="GDXtool_Dir213.0">
    <vt:lpwstr>PATH[K:\Balmorel\1971_DOERS_final\Baseline_SP50\Data\]NAME[..\1971_DOERS_final\Baseline_SP50\Data\]</vt:lpwstr>
  </property>
  <property fmtid="{D5CDD505-2E9C-101B-9397-08002B2CF9AE}" pid="428" name="GDXtool_Dir213.Count">
    <vt:i4>1</vt:i4>
  </property>
  <property fmtid="{D5CDD505-2E9C-101B-9397-08002B2CF9AE}" pid="429" name="GDXtool_Dir214.0">
    <vt:lpwstr>PATH[K:\Balmorel\1971_DOERS_final\Reference\Data\]NAME[..\1971_DOERS_final\Reference\Data\]</vt:lpwstr>
  </property>
  <property fmtid="{D5CDD505-2E9C-101B-9397-08002B2CF9AE}" pid="430" name="GDXtool_Dir214.Count">
    <vt:i4>1</vt:i4>
  </property>
  <property fmtid="{D5CDD505-2E9C-101B-9397-08002B2CF9AE}" pid="431" name="GDXtool_Dir215.0">
    <vt:lpwstr>PATH[K:\Balmorel\1971_DOERS_final\Scenarie_01_SD\Data\]NAME[..\1971_DOERS_final\Scenarie_01_SD\Data\]</vt:lpwstr>
  </property>
  <property fmtid="{D5CDD505-2E9C-101B-9397-08002B2CF9AE}" pid="432" name="GDXtool_Dir215.Count">
    <vt:i4>1</vt:i4>
  </property>
  <property fmtid="{D5CDD505-2E9C-101B-9397-08002B2CF9AE}" pid="433" name="GDXtool_Dir216.0">
    <vt:lpwstr>PATH[K:\Balmorel\1971_DOERS_final\Scenarie_01_SD30\Data\]NAME[..\1971_DOERS_final\Scenarie_01_SD30\Data\]</vt:lpwstr>
  </property>
  <property fmtid="{D5CDD505-2E9C-101B-9397-08002B2CF9AE}" pid="434" name="GDXtool_Dir216.Count">
    <vt:i4>1</vt:i4>
  </property>
  <property fmtid="{D5CDD505-2E9C-101B-9397-08002B2CF9AE}" pid="435" name="GDXtool_Dir217.0">
    <vt:lpwstr>PATH[K:\Balmorel\1971_DOERS_final\Scenarie_01_SD50\Data\]NAME[..\1971_DOERS_final\Scenarie_01_SD50\Data\]</vt:lpwstr>
  </property>
  <property fmtid="{D5CDD505-2E9C-101B-9397-08002B2CF9AE}" pid="436" name="GDXtool_Dir217.Count">
    <vt:i4>1</vt:i4>
  </property>
  <property fmtid="{D5CDD505-2E9C-101B-9397-08002B2CF9AE}" pid="437" name="GDXtool_Dir218.0">
    <vt:lpwstr>PATH[K:\Balmorel\1971_DOERS_final\Scenarie_01_SP\Data\]NAME[..\1971_DOERS_final\Scenarie_01_SP\Data\]</vt:lpwstr>
  </property>
  <property fmtid="{D5CDD505-2E9C-101B-9397-08002B2CF9AE}" pid="438" name="GDXtool_Dir218.Count">
    <vt:i4>1</vt:i4>
  </property>
  <property fmtid="{D5CDD505-2E9C-101B-9397-08002B2CF9AE}" pid="439" name="GDXtool_Dir219.0">
    <vt:lpwstr>PATH[K:\Balmorel\1971_DOERS_final\Scenarie_01_SP30\Data\]NAME[..\1971_DOERS_final\Scenarie_01_SP30\Data\]</vt:lpwstr>
  </property>
  <property fmtid="{D5CDD505-2E9C-101B-9397-08002B2CF9AE}" pid="440" name="GDXtool_Dir219.Count">
    <vt:i4>1</vt:i4>
  </property>
  <property fmtid="{D5CDD505-2E9C-101B-9397-08002B2CF9AE}" pid="441" name="GDXtool_Dir220.0">
    <vt:lpwstr>PATH[K:\Balmorel\1971_DOERS_final\Scenarie_01_SP50\Data\]NAME[..\1971_DOERS_final\Scenarie_01_SP50\Data\]</vt:lpwstr>
  </property>
  <property fmtid="{D5CDD505-2E9C-101B-9397-08002B2CF9AE}" pid="442" name="GDXtool_Dir220.Count">
    <vt:i4>1</vt:i4>
  </property>
  <property fmtid="{D5CDD505-2E9C-101B-9397-08002B2CF9AE}" pid="443" name="GDXtool_Dir221.0">
    <vt:lpwstr>PATH[K:\Balmorel\1971_DOERS_final\Scenarie_02_SD\Data\]NAME[..\1971_DOERS_final\Scenarie_02_SD\Data\]</vt:lpwstr>
  </property>
  <property fmtid="{D5CDD505-2E9C-101B-9397-08002B2CF9AE}" pid="444" name="GDXtool_Dir221.Count">
    <vt:i4>1</vt:i4>
  </property>
  <property fmtid="{D5CDD505-2E9C-101B-9397-08002B2CF9AE}" pid="445" name="GDXtool_Dir222.0">
    <vt:lpwstr>PATH[K:\Balmorel\1971_DOERS_final\Scenarie_02_SD30\Data\]NAME[..\1971_DOERS_final\Scenarie_02_SD30\Data\]</vt:lpwstr>
  </property>
  <property fmtid="{D5CDD505-2E9C-101B-9397-08002B2CF9AE}" pid="446" name="GDXtool_Dir222.Count">
    <vt:i4>1</vt:i4>
  </property>
  <property fmtid="{D5CDD505-2E9C-101B-9397-08002B2CF9AE}" pid="447" name="GDXtool_Dir223.0">
    <vt:lpwstr>PATH[K:\Balmorel\1971_DOERS_final\Scenarie_02_SD50\Data\]NAME[..\1971_DOERS_final\Scenarie_02_SD50\Data\]</vt:lpwstr>
  </property>
  <property fmtid="{D5CDD505-2E9C-101B-9397-08002B2CF9AE}" pid="448" name="GDXtool_Dir223.Count">
    <vt:i4>1</vt:i4>
  </property>
  <property fmtid="{D5CDD505-2E9C-101B-9397-08002B2CF9AE}" pid="449" name="GDXtool_Dir224.0">
    <vt:lpwstr>PATH[K:\Balmorel\1971_DOERS_final\Scenarie_02_SP\Data\]NAME[..\1971_DOERS_final\Scenarie_02_SP\Data\]</vt:lpwstr>
  </property>
  <property fmtid="{D5CDD505-2E9C-101B-9397-08002B2CF9AE}" pid="450" name="GDXtool_Dir224.Count">
    <vt:i4>1</vt:i4>
  </property>
  <property fmtid="{D5CDD505-2E9C-101B-9397-08002B2CF9AE}" pid="451" name="GDXtool_Dir225.0">
    <vt:lpwstr>PATH[K:\Balmorel\1971_DOERS_final\Scenarie_02_SP30\Data\]NAME[..\1971_DOERS_final\Scenarie_02_SP30\Data\]</vt:lpwstr>
  </property>
  <property fmtid="{D5CDD505-2E9C-101B-9397-08002B2CF9AE}" pid="452" name="GDXtool_Dir225.Count">
    <vt:i4>1</vt:i4>
  </property>
  <property fmtid="{D5CDD505-2E9C-101B-9397-08002B2CF9AE}" pid="453" name="GDXtool_Dir226.0">
    <vt:lpwstr>PATH[K:\Balmorel\1971_DOERS_final\Scenarie_02_SP50\Data\]NAME[..\1971_DOERS_final\Scenarie_02_SP50\Data\]</vt:lpwstr>
  </property>
  <property fmtid="{D5CDD505-2E9C-101B-9397-08002B2CF9AE}" pid="454" name="GDXtool_Dir226.Count">
    <vt:i4>1</vt:i4>
  </property>
  <property fmtid="{D5CDD505-2E9C-101B-9397-08002B2CF9AE}" pid="455" name="GDXtool_Dir227.0">
    <vt:lpwstr>PATH[K:\Balmorel\1971_DOERS_final\Scenarie_03_SD\Data\]NAME[..\1971_DOERS_final\Scenarie_03_SD\Data\]</vt:lpwstr>
  </property>
  <property fmtid="{D5CDD505-2E9C-101B-9397-08002B2CF9AE}" pid="456" name="GDXtool_Dir227.Count">
    <vt:i4>1</vt:i4>
  </property>
  <property fmtid="{D5CDD505-2E9C-101B-9397-08002B2CF9AE}" pid="457" name="GDXtool_Dir228.0">
    <vt:lpwstr>PATH[K:\Balmorel\1971_DOERS_final\Scenarie_03_SD30\Data\]NAME[..\1971_DOERS_final\Scenarie_03_SD30\Data\]</vt:lpwstr>
  </property>
  <property fmtid="{D5CDD505-2E9C-101B-9397-08002B2CF9AE}" pid="458" name="GDXtool_Dir228.Count">
    <vt:i4>1</vt:i4>
  </property>
  <property fmtid="{D5CDD505-2E9C-101B-9397-08002B2CF9AE}" pid="459" name="GDXtool_Dir229.0">
    <vt:lpwstr>PATH[K:\Balmorel\1971_DOERS_final\Scenarie_03_SD50\Data\]NAME[..\1971_DOERS_final\Scenarie_03_SD50\Data\]</vt:lpwstr>
  </property>
  <property fmtid="{D5CDD505-2E9C-101B-9397-08002B2CF9AE}" pid="460" name="GDXtool_Dir229.Count">
    <vt:i4>1</vt:i4>
  </property>
  <property fmtid="{D5CDD505-2E9C-101B-9397-08002B2CF9AE}" pid="461" name="GDXtool_Dir230.0">
    <vt:lpwstr>PATH[K:\Balmorel\1971_DOERS_final\Scenarie_03_SP\Data\]NAME[..\1971_DOERS_final\Scenarie_03_SP\Data\]</vt:lpwstr>
  </property>
  <property fmtid="{D5CDD505-2E9C-101B-9397-08002B2CF9AE}" pid="462" name="GDXtool_Dir230.Count">
    <vt:i4>1</vt:i4>
  </property>
  <property fmtid="{D5CDD505-2E9C-101B-9397-08002B2CF9AE}" pid="463" name="GDXtool_Dir231.0">
    <vt:lpwstr>PATH[K:\Balmorel\1971_DOERS_final\Scenarie_03_SP30\Data\]NAME[..\1971_DOERS_final\Scenarie_03_SP30\Data\]</vt:lpwstr>
  </property>
  <property fmtid="{D5CDD505-2E9C-101B-9397-08002B2CF9AE}" pid="464" name="GDXtool_Dir231.Count">
    <vt:i4>1</vt:i4>
  </property>
  <property fmtid="{D5CDD505-2E9C-101B-9397-08002B2CF9AE}" pid="465" name="GDXtool_Dir232.0">
    <vt:lpwstr>PATH[K:\Balmorel\1971_DOERS_final\Scenarie_03_SP50\Data\]NAME[..\1971_DOERS_final\Scenarie_03_SP50\Data\]</vt:lpwstr>
  </property>
  <property fmtid="{D5CDD505-2E9C-101B-9397-08002B2CF9AE}" pid="466" name="GDXtool_Dir232.Count">
    <vt:i4>1</vt:i4>
  </property>
  <property fmtid="{D5CDD505-2E9C-101B-9397-08002B2CF9AE}" pid="467" name="GDXtool_Dir233.0">
    <vt:lpwstr>PATH[K:\Balmorel\1971_DOERS_final\Scenarie_04_SD\Data\]NAME[..\1971_DOERS_final\Scenarie_04_SD\Data\]</vt:lpwstr>
  </property>
  <property fmtid="{D5CDD505-2E9C-101B-9397-08002B2CF9AE}" pid="468" name="GDXtool_Dir233.Count">
    <vt:i4>1</vt:i4>
  </property>
  <property fmtid="{D5CDD505-2E9C-101B-9397-08002B2CF9AE}" pid="469" name="GDXtool_Dir234.0">
    <vt:lpwstr>PATH[K:\Balmorel\1971_DOERS_final\Scenarie_04_SD30\Data\]NAME[..\1971_DOERS_final\Scenarie_04_SD30\Data\]</vt:lpwstr>
  </property>
  <property fmtid="{D5CDD505-2E9C-101B-9397-08002B2CF9AE}" pid="470" name="GDXtool_Dir234.Count">
    <vt:i4>1</vt:i4>
  </property>
  <property fmtid="{D5CDD505-2E9C-101B-9397-08002B2CF9AE}" pid="471" name="GDXtool_Dir235.0">
    <vt:lpwstr>PATH[K:\Balmorel\1971_DOERS_final\Scenarie_04_SD50\Data\]NAME[..\1971_DOERS_final\Scenarie_04_SD50\Data\]</vt:lpwstr>
  </property>
  <property fmtid="{D5CDD505-2E9C-101B-9397-08002B2CF9AE}" pid="472" name="GDXtool_Dir235.Count">
    <vt:i4>1</vt:i4>
  </property>
  <property fmtid="{D5CDD505-2E9C-101B-9397-08002B2CF9AE}" pid="473" name="GDXtool_Dir236.0">
    <vt:lpwstr>PATH[K:\Balmorel\1971_DOERS_final\Scenarie_04_SP\Data\]NAME[..\1971_DOERS_final\Scenarie_04_SP\Data\]</vt:lpwstr>
  </property>
  <property fmtid="{D5CDD505-2E9C-101B-9397-08002B2CF9AE}" pid="474" name="GDXtool_Dir236.Count">
    <vt:i4>1</vt:i4>
  </property>
  <property fmtid="{D5CDD505-2E9C-101B-9397-08002B2CF9AE}" pid="475" name="GDXtool_Dir237.0">
    <vt:lpwstr>PATH[K:\Balmorel\1971_DOERS_final\Scenarie_04_SP30\Data\]NAME[..\1971_DOERS_final\Scenarie_04_SP30\Data\]</vt:lpwstr>
  </property>
  <property fmtid="{D5CDD505-2E9C-101B-9397-08002B2CF9AE}" pid="476" name="GDXtool_Dir237.Count">
    <vt:i4>1</vt:i4>
  </property>
  <property fmtid="{D5CDD505-2E9C-101B-9397-08002B2CF9AE}" pid="477" name="GDXtool_Dir238.0">
    <vt:lpwstr>PATH[K:\Balmorel\1971_DOERS_final\Scenarie_04_SP50\Data\]NAME[..\1971_DOERS_final\Scenarie_04_SP50\Data\]</vt:lpwstr>
  </property>
  <property fmtid="{D5CDD505-2E9C-101B-9397-08002B2CF9AE}" pid="478" name="GDXtool_Dir238.Count">
    <vt:i4>1</vt:i4>
  </property>
  <property fmtid="{D5CDD505-2E9C-101B-9397-08002B2CF9AE}" pid="479" name="GDXtool_Dir239.0">
    <vt:lpwstr>PATH[K:\Balmorel\1971_DOERS_final\Scenarie_05_SD\Data\]NAME[..\1971_DOERS_final\Scenarie_05_SD\Data\]</vt:lpwstr>
  </property>
  <property fmtid="{D5CDD505-2E9C-101B-9397-08002B2CF9AE}" pid="480" name="GDXtool_Dir239.Count">
    <vt:i4>1</vt:i4>
  </property>
  <property fmtid="{D5CDD505-2E9C-101B-9397-08002B2CF9AE}" pid="481" name="GDXtool_Dir240.0">
    <vt:lpwstr>PATH[K:\Balmorel\1971_DOERS_final\Scenarie_05_SD30\Data\]NAME[..\1971_DOERS_final\Scenarie_05_SD30\Data\]</vt:lpwstr>
  </property>
  <property fmtid="{D5CDD505-2E9C-101B-9397-08002B2CF9AE}" pid="482" name="GDXtool_Dir240.Count">
    <vt:i4>1</vt:i4>
  </property>
  <property fmtid="{D5CDD505-2E9C-101B-9397-08002B2CF9AE}" pid="483" name="GDXtool_Dir241.0">
    <vt:lpwstr>PATH[K:\Balmorel\1971_DOERS_final\Scenarie_05_SD50\Data\]NAME[..\1971_DOERS_final\Scenarie_05_SD50\Data\]</vt:lpwstr>
  </property>
  <property fmtid="{D5CDD505-2E9C-101B-9397-08002B2CF9AE}" pid="484" name="GDXtool_Dir241.Count">
    <vt:i4>1</vt:i4>
  </property>
  <property fmtid="{D5CDD505-2E9C-101B-9397-08002B2CF9AE}" pid="485" name="GDXtool_Dir242.0">
    <vt:lpwstr>PATH[K:\Balmorel\1971_DOERS_final\Scenarie_05_SP\Data\]NAME[..\1971_DOERS_final\Scenarie_05_SP\Data\]</vt:lpwstr>
  </property>
  <property fmtid="{D5CDD505-2E9C-101B-9397-08002B2CF9AE}" pid="486" name="GDXtool_Dir242.Count">
    <vt:i4>1</vt:i4>
  </property>
  <property fmtid="{D5CDD505-2E9C-101B-9397-08002B2CF9AE}" pid="487" name="GDXtool_Dir243.0">
    <vt:lpwstr>PATH[K:\Balmorel\1971_DOERS_final\Scenarie_05_SP30\Data\]NAME[..\1971_DOERS_final\Scenarie_05_SP30\Data\]</vt:lpwstr>
  </property>
  <property fmtid="{D5CDD505-2E9C-101B-9397-08002B2CF9AE}" pid="488" name="GDXtool_Dir243.Count">
    <vt:i4>1</vt:i4>
  </property>
  <property fmtid="{D5CDD505-2E9C-101B-9397-08002B2CF9AE}" pid="489" name="GDXtool_Dir244.0">
    <vt:lpwstr>PATH[K:\Balmorel\1971_DOERS_final\Scenarie_05_SP50\Data\]NAME[..\1971_DOERS_final\Scenarie_05_SP50\Data\]</vt:lpwstr>
  </property>
  <property fmtid="{D5CDD505-2E9C-101B-9397-08002B2CF9AE}" pid="490" name="GDXtool_Dir244.Count">
    <vt:i4>1</vt:i4>
  </property>
  <property fmtid="{D5CDD505-2E9C-101B-9397-08002B2CF9AE}" pid="491" name="GDXtool_Dir245.0">
    <vt:lpwstr>PATH[K:\Balmorel\1971_DOERS_final\Scenarie_06_SD\Data\]NAME[..\1971_DOERS_final\Scenarie_06_SD\Data\]</vt:lpwstr>
  </property>
  <property fmtid="{D5CDD505-2E9C-101B-9397-08002B2CF9AE}" pid="492" name="GDXtool_Dir245.Count">
    <vt:i4>1</vt:i4>
  </property>
  <property fmtid="{D5CDD505-2E9C-101B-9397-08002B2CF9AE}" pid="493" name="GDXtool_Dir246.0">
    <vt:lpwstr>PATH[K:\Balmorel\1971_DOERS_final\Scenarie_06_SD30\Data\]NAME[..\1971_DOERS_final\Scenarie_06_SD30\Data\]</vt:lpwstr>
  </property>
  <property fmtid="{D5CDD505-2E9C-101B-9397-08002B2CF9AE}" pid="494" name="GDXtool_Dir246.Count">
    <vt:i4>1</vt:i4>
  </property>
  <property fmtid="{D5CDD505-2E9C-101B-9397-08002B2CF9AE}" pid="495" name="GDXtool_Dir247.0">
    <vt:lpwstr>PATH[K:\Balmorel\1971_DOERS_final\Scenarie_06_SD50\Data\]NAME[..\1971_DOERS_final\Scenarie_06_SD50\Data\]</vt:lpwstr>
  </property>
  <property fmtid="{D5CDD505-2E9C-101B-9397-08002B2CF9AE}" pid="496" name="GDXtool_Dir247.Count">
    <vt:i4>1</vt:i4>
  </property>
  <property fmtid="{D5CDD505-2E9C-101B-9397-08002B2CF9AE}" pid="497" name="GDXtool_Dir248.0">
    <vt:lpwstr>PATH[K:\Balmorel\1971_DOERS_final\Scenarie_06_SP\Data\]NAME[..\1971_DOERS_final\Scenarie_06_SP\Data\]</vt:lpwstr>
  </property>
  <property fmtid="{D5CDD505-2E9C-101B-9397-08002B2CF9AE}" pid="498" name="GDXtool_Dir248.Count">
    <vt:i4>1</vt:i4>
  </property>
  <property fmtid="{D5CDD505-2E9C-101B-9397-08002B2CF9AE}" pid="499" name="GDXtool_Dir249.0">
    <vt:lpwstr>PATH[K:\Balmorel\1971_DOERS_final\Scenarie_06_SP30\Data\]NAME[..\1971_DOERS_final\Scenarie_06_SP30\Data\]</vt:lpwstr>
  </property>
  <property fmtid="{D5CDD505-2E9C-101B-9397-08002B2CF9AE}" pid="500" name="GDXtool_Dir249.Count">
    <vt:i4>1</vt:i4>
  </property>
  <property fmtid="{D5CDD505-2E9C-101B-9397-08002B2CF9AE}" pid="501" name="GDXtool_Dir250.0">
    <vt:lpwstr>PATH[K:\Balmorel\1971_DOERS_final\Scenarie_06_SP50\Data\]NAME[..\1971_DOERS_final\Scenarie_06_SP50\Data\]</vt:lpwstr>
  </property>
  <property fmtid="{D5CDD505-2E9C-101B-9397-08002B2CF9AE}" pid="502" name="GDXtool_Dir250.Count">
    <vt:i4>1</vt:i4>
  </property>
  <property fmtid="{D5CDD505-2E9C-101B-9397-08002B2CF9AE}" pid="503" name="GDXtool_Dir251.0">
    <vt:lpwstr>PATH[K:\Balmorel\1971_DOERS_final\Scenarie_07_SD\Data\]NAME[..\1971_DOERS_final\Scenarie_07_SD\Data\]</vt:lpwstr>
  </property>
  <property fmtid="{D5CDD505-2E9C-101B-9397-08002B2CF9AE}" pid="504" name="GDXtool_Dir251.Count">
    <vt:i4>1</vt:i4>
  </property>
  <property fmtid="{D5CDD505-2E9C-101B-9397-08002B2CF9AE}" pid="505" name="GDXtool_Dir252.0">
    <vt:lpwstr>PATH[K:\Balmorel\1971_DOERS_final\Scenarie_07_SD30\Data\]NAME[..\1971_DOERS_final\Scenarie_07_SD30\Data\]</vt:lpwstr>
  </property>
  <property fmtid="{D5CDD505-2E9C-101B-9397-08002B2CF9AE}" pid="506" name="GDXtool_Dir252.Count">
    <vt:i4>1</vt:i4>
  </property>
  <property fmtid="{D5CDD505-2E9C-101B-9397-08002B2CF9AE}" pid="507" name="GDXtool_Dir253.0">
    <vt:lpwstr>PATH[K:\Balmorel\1971_DOERS_final\Scenarie_07_SD50\Data\]NAME[..\1971_DOERS_final\Scenarie_07_SD50\Data\]</vt:lpwstr>
  </property>
  <property fmtid="{D5CDD505-2E9C-101B-9397-08002B2CF9AE}" pid="508" name="GDXtool_Dir253.Count">
    <vt:i4>1</vt:i4>
  </property>
  <property fmtid="{D5CDD505-2E9C-101B-9397-08002B2CF9AE}" pid="509" name="GDXtool_Dir254.0">
    <vt:lpwstr>PATH[K:\Balmorel\1971_DOERS_final\Scenarie_07_SP\Data\]NAME[..\1971_DOERS_final\Scenarie_07_SP\Data\]</vt:lpwstr>
  </property>
  <property fmtid="{D5CDD505-2E9C-101B-9397-08002B2CF9AE}" pid="510" name="GDXtool_Dir254.Count">
    <vt:i4>1</vt:i4>
  </property>
  <property fmtid="{D5CDD505-2E9C-101B-9397-08002B2CF9AE}" pid="511" name="GDXtool_Dir255.0">
    <vt:lpwstr>PATH[K:\Balmorel\1971_DOERS_final\Scenarie_07_SP30\Data\]NAME[..\1971_DOERS_final\Scenarie_07_SP30\Data\]</vt:lpwstr>
  </property>
  <property fmtid="{D5CDD505-2E9C-101B-9397-08002B2CF9AE}" pid="512" name="GDXtool_Dir255.Count">
    <vt:i4>1</vt:i4>
  </property>
  <property fmtid="{D5CDD505-2E9C-101B-9397-08002B2CF9AE}" pid="513" name="GDXtool_Dir256.0">
    <vt:lpwstr>PATH[K:\Balmorel\1971_DOERS_final\Scenarie_07_SP50\Data\]NAME[..\1971_DOERS_final\Scenarie_07_SP50\Data\]</vt:lpwstr>
  </property>
  <property fmtid="{D5CDD505-2E9C-101B-9397-08002B2CF9AE}" pid="514" name="GDXtool_Dir256.Count">
    <vt:i4>1</vt:i4>
  </property>
  <property fmtid="{D5CDD505-2E9C-101B-9397-08002B2CF9AE}" pid="515" name="GDXtool_Dir257.0">
    <vt:lpwstr>PATH[K:\Balmorel\1971_DOERS_final\Scenarie_08_SD\Data\]NAME[..\1971_DOERS_final\Scenarie_08_SD\Data\]</vt:lpwstr>
  </property>
  <property fmtid="{D5CDD505-2E9C-101B-9397-08002B2CF9AE}" pid="516" name="GDXtool_Dir257.Count">
    <vt:i4>1</vt:i4>
  </property>
  <property fmtid="{D5CDD505-2E9C-101B-9397-08002B2CF9AE}" pid="517" name="GDXtool_Dir258.0">
    <vt:lpwstr>PATH[K:\Balmorel\1971_DOERS_final\Scenarie_08_SD30\Data\]NAME[..\1971_DOERS_final\Scenarie_08_SD30\Data\]</vt:lpwstr>
  </property>
  <property fmtid="{D5CDD505-2E9C-101B-9397-08002B2CF9AE}" pid="518" name="GDXtool_Dir258.Count">
    <vt:i4>1</vt:i4>
  </property>
  <property fmtid="{D5CDD505-2E9C-101B-9397-08002B2CF9AE}" pid="519" name="GDXtool_Dir259.0">
    <vt:lpwstr>PATH[K:\Balmorel\1971_DOERS_final\Scenarie_08_SD50\Data\]NAME[..\1971_DOERS_final\Scenarie_08_SD50\Data\]</vt:lpwstr>
  </property>
  <property fmtid="{D5CDD505-2E9C-101B-9397-08002B2CF9AE}" pid="520" name="GDXtool_Dir259.Count">
    <vt:i4>1</vt:i4>
  </property>
  <property fmtid="{D5CDD505-2E9C-101B-9397-08002B2CF9AE}" pid="521" name="GDXtool_Dir260.0">
    <vt:lpwstr>PATH[K:\Balmorel\1971_DOERS_final\Scenarie_08_SP\Data\]NAME[..\1971_DOERS_final\Scenarie_08_SP\Data\]</vt:lpwstr>
  </property>
  <property fmtid="{D5CDD505-2E9C-101B-9397-08002B2CF9AE}" pid="522" name="GDXtool_Dir260.Count">
    <vt:i4>1</vt:i4>
  </property>
  <property fmtid="{D5CDD505-2E9C-101B-9397-08002B2CF9AE}" pid="523" name="GDXtool_Dir261.0">
    <vt:lpwstr>PATH[K:\Balmorel\1971_DOERS_final\Scenarie_08_SP30\Data\]NAME[..\1971_DOERS_final\Scenarie_08_SP30\Data\]</vt:lpwstr>
  </property>
  <property fmtid="{D5CDD505-2E9C-101B-9397-08002B2CF9AE}" pid="524" name="GDXtool_Dir261.Count">
    <vt:i4>1</vt:i4>
  </property>
  <property fmtid="{D5CDD505-2E9C-101B-9397-08002B2CF9AE}" pid="525" name="GDXtool_Dir262.0">
    <vt:lpwstr>PATH[K:\Balmorel\1971_DOERS_final\Scenarie_08_SP50\Data\]NAME[..\1971_DOERS_final\Scenarie_08_SP50\Data\]</vt:lpwstr>
  </property>
  <property fmtid="{D5CDD505-2E9C-101B-9397-08002B2CF9AE}" pid="526" name="GDXtool_Dir262.Count">
    <vt:i4>1</vt:i4>
  </property>
  <property fmtid="{D5CDD505-2E9C-101B-9397-08002B2CF9AE}" pid="527" name="GDXtool_Dir263.0">
    <vt:lpwstr>PATH[K:\Balmorel\1971_DOERS_final\Scenarie_09_SD\Data\]NAME[..\1971_DOERS_final\Scenarie_09_SD\Data\]</vt:lpwstr>
  </property>
  <property fmtid="{D5CDD505-2E9C-101B-9397-08002B2CF9AE}" pid="528" name="GDXtool_Dir263.Count">
    <vt:i4>1</vt:i4>
  </property>
  <property fmtid="{D5CDD505-2E9C-101B-9397-08002B2CF9AE}" pid="529" name="GDXtool_Dir264.0">
    <vt:lpwstr>PATH[K:\Balmorel\1971_DOERS_final\Scenarie_09_SD30\Data\]NAME[..\1971_DOERS_final\Scenarie_09_SD30\Data\]</vt:lpwstr>
  </property>
  <property fmtid="{D5CDD505-2E9C-101B-9397-08002B2CF9AE}" pid="530" name="GDXtool_Dir264.Count">
    <vt:i4>1</vt:i4>
  </property>
  <property fmtid="{D5CDD505-2E9C-101B-9397-08002B2CF9AE}" pid="531" name="GDXtool_Dir265.0">
    <vt:lpwstr>PATH[K:\Balmorel\1971_DOERS_final\Scenarie_09_SD50\Data\]NAME[..\1971_DOERS_final\Scenarie_09_SD50\Data\]</vt:lpwstr>
  </property>
  <property fmtid="{D5CDD505-2E9C-101B-9397-08002B2CF9AE}" pid="532" name="GDXtool_Dir265.Count">
    <vt:i4>1</vt:i4>
  </property>
  <property fmtid="{D5CDD505-2E9C-101B-9397-08002B2CF9AE}" pid="533" name="GDXtool_Dir266.0">
    <vt:lpwstr>PATH[K:\Balmorel\1971_DOERS_final\Scenarie_09_SP\Data\]NAME[..\1971_DOERS_final\Scenarie_09_SP\Data\]</vt:lpwstr>
  </property>
  <property fmtid="{D5CDD505-2E9C-101B-9397-08002B2CF9AE}" pid="534" name="GDXtool_Dir266.Count">
    <vt:i4>1</vt:i4>
  </property>
  <property fmtid="{D5CDD505-2E9C-101B-9397-08002B2CF9AE}" pid="535" name="GDXtool_Dir267.0">
    <vt:lpwstr>PATH[K:\Balmorel\1971_DOERS_final\Scenarie_09_SP30\Data\]NAME[..\1971_DOERS_final\Scenarie_09_SP30\Data\]</vt:lpwstr>
  </property>
  <property fmtid="{D5CDD505-2E9C-101B-9397-08002B2CF9AE}" pid="536" name="GDXtool_Dir267.Count">
    <vt:i4>1</vt:i4>
  </property>
  <property fmtid="{D5CDD505-2E9C-101B-9397-08002B2CF9AE}" pid="537" name="GDXtool_Dir268.0">
    <vt:lpwstr>PATH[K:\Balmorel\1971_DOERS_final\Scenarie_09_SP50\Data\]NAME[..\1971_DOERS_final\Scenarie_09_SP50\Data\]</vt:lpwstr>
  </property>
  <property fmtid="{D5CDD505-2E9C-101B-9397-08002B2CF9AE}" pid="538" name="GDXtool_Dir268.Count">
    <vt:i4>1</vt:i4>
  </property>
  <property fmtid="{D5CDD505-2E9C-101B-9397-08002B2CF9AE}" pid="539" name="GDXtool_Dir269.0">
    <vt:lpwstr>PATH[K:\Balmorel\1971_DOERS_final\Scenarie_10_SD\Data\]NAME[..\1971_DOERS_final\Scenarie_10_SD\Data\]</vt:lpwstr>
  </property>
  <property fmtid="{D5CDD505-2E9C-101B-9397-08002B2CF9AE}" pid="540" name="GDXtool_Dir269.Count">
    <vt:i4>1</vt:i4>
  </property>
  <property fmtid="{D5CDD505-2E9C-101B-9397-08002B2CF9AE}" pid="541" name="GDXtool_Dir270.0">
    <vt:lpwstr>PATH[K:\Balmorel\1971_DOERS_final\Scenarie_10_SD30\Data\]NAME[..\1971_DOERS_final\Scenarie_10_SD30\Data\]</vt:lpwstr>
  </property>
  <property fmtid="{D5CDD505-2E9C-101B-9397-08002B2CF9AE}" pid="542" name="GDXtool_Dir270.Count">
    <vt:i4>1</vt:i4>
  </property>
  <property fmtid="{D5CDD505-2E9C-101B-9397-08002B2CF9AE}" pid="543" name="GDXtool_Dir271.0">
    <vt:lpwstr>PATH[K:\Balmorel\1971_DOERS_final\Scenarie_10_SD50\Data\]NAME[..\1971_DOERS_final\Scenarie_10_SD50\Data\]</vt:lpwstr>
  </property>
  <property fmtid="{D5CDD505-2E9C-101B-9397-08002B2CF9AE}" pid="544" name="GDXtool_Dir271.Count">
    <vt:i4>1</vt:i4>
  </property>
  <property fmtid="{D5CDD505-2E9C-101B-9397-08002B2CF9AE}" pid="545" name="GDXtool_Dir272.0">
    <vt:lpwstr>PATH[K:\Balmorel\1971_DOERS_final\Scenarie_10_SP\Data\]NAME[..\1971_DOERS_final\Scenarie_10_SP\Data\]</vt:lpwstr>
  </property>
  <property fmtid="{D5CDD505-2E9C-101B-9397-08002B2CF9AE}" pid="546" name="GDXtool_Dir272.Count">
    <vt:i4>1</vt:i4>
  </property>
  <property fmtid="{D5CDD505-2E9C-101B-9397-08002B2CF9AE}" pid="547" name="GDXtool_Dir273.0">
    <vt:lpwstr>PATH[K:\Balmorel\1971_DOERS_final\Scenarie_10_SP30\Data\]NAME[..\1971_DOERS_final\Scenarie_10_SP30\Data\]</vt:lpwstr>
  </property>
  <property fmtid="{D5CDD505-2E9C-101B-9397-08002B2CF9AE}" pid="548" name="GDXtool_Dir273.Count">
    <vt:i4>1</vt:i4>
  </property>
  <property fmtid="{D5CDD505-2E9C-101B-9397-08002B2CF9AE}" pid="549" name="GDXtool_Dir274.0">
    <vt:lpwstr>PATH[K:\Balmorel\1971_DOERS_final\Scenarie_10_SP50\Data\]NAME[..\1971_DOERS_final\Scenarie_10_SP50\Data\]</vt:lpwstr>
  </property>
  <property fmtid="{D5CDD505-2E9C-101B-9397-08002B2CF9AE}" pid="550" name="GDXtool_Dir274.Count">
    <vt:i4>1</vt:i4>
  </property>
  <property fmtid="{D5CDD505-2E9C-101B-9397-08002B2CF9AE}" pid="551" name="GDXtool_Dir275.0">
    <vt:lpwstr>PATH[K:\Balmorel\1971_DOERS_InvestRestrict\Reference\]NAME[..\1971_DOERS_InvestRestrict\Reference\]</vt:lpwstr>
  </property>
  <property fmtid="{D5CDD505-2E9C-101B-9397-08002B2CF9AE}" pid="552" name="GDXtool_Dir275.Count">
    <vt:i4>1</vt:i4>
  </property>
  <property fmtid="{D5CDD505-2E9C-101B-9397-08002B2CF9AE}" pid="553" name="GDXtool_Dir276.0">
    <vt:lpwstr>PATH[K:\Balmorel\1971_DOERS_InvestRestrict\Reference\Data\]NAME[..\1971_DOERS_InvestRestrict\Reference\Data\]</vt:lpwstr>
  </property>
  <property fmtid="{D5CDD505-2E9C-101B-9397-08002B2CF9AE}" pid="554" name="GDXtool_Dir276.Count">
    <vt:i4>1</vt:i4>
  </property>
  <property fmtid="{D5CDD505-2E9C-101B-9397-08002B2CF9AE}" pid="555" name="GDXtool_Dir277.0">
    <vt:lpwstr>PATH[K:\Balmorel\1971_test\Reference\]NAME[..\1971_test\Reference\]</vt:lpwstr>
  </property>
  <property fmtid="{D5CDD505-2E9C-101B-9397-08002B2CF9AE}" pid="556" name="GDXtool_Dir277.Count">
    <vt:i4>1</vt:i4>
  </property>
  <property fmtid="{D5CDD505-2E9C-101B-9397-08002B2CF9AE}" pid="557" name="GDXtool_Dir278.0">
    <vt:lpwstr>PATH[K:\Balmorel\1971_test\Baseline_SD_30\]NAME[..\1971_test\Baseline_SD_30\]</vt:lpwstr>
  </property>
  <property fmtid="{D5CDD505-2E9C-101B-9397-08002B2CF9AE}" pid="558" name="GDXtool_Dir278.Count">
    <vt:i4>1</vt:i4>
  </property>
  <property fmtid="{D5CDD505-2E9C-101B-9397-08002B2CF9AE}" pid="559" name="GDXtool_Dir279.0">
    <vt:lpwstr>PATH[K:\Balmorel\1971_test\Baseline_SD_50\]NAME[..\1971_test\Baseline_SD_50\]</vt:lpwstr>
  </property>
  <property fmtid="{D5CDD505-2E9C-101B-9397-08002B2CF9AE}" pid="560" name="GDXtool_Dir279.Count">
    <vt:i4>1</vt:i4>
  </property>
  <property fmtid="{D5CDD505-2E9C-101B-9397-08002B2CF9AE}" pid="561" name="GDXtool_Dir280.0">
    <vt:lpwstr>PATH[K:\Balmorel\1971_test\Baseline_SP_30\]NAME[..\1971_test\Baseline_SP_30\]</vt:lpwstr>
  </property>
  <property fmtid="{D5CDD505-2E9C-101B-9397-08002B2CF9AE}" pid="562" name="GDXtool_Dir280.Count">
    <vt:i4>1</vt:i4>
  </property>
  <property fmtid="{D5CDD505-2E9C-101B-9397-08002B2CF9AE}" pid="563" name="GDXtool_Dir281.0">
    <vt:lpwstr>PATH[K:\Balmorel\1971_test\Baseline_SP_50\]NAME[..\1971_test\Baseline_SP_50\]</vt:lpwstr>
  </property>
  <property fmtid="{D5CDD505-2E9C-101B-9397-08002B2CF9AE}" pid="564" name="GDXtool_Dir281.Count">
    <vt:i4>1</vt:i4>
  </property>
  <property fmtid="{D5CDD505-2E9C-101B-9397-08002B2CF9AE}" pid="565" name="GDXtool_Dir282.0">
    <vt:lpwstr>PATH[K:\Balmorel\1971_test\Scenarie_01_SD_30\]NAME[..\1971_test\Scenarie_01_SD_30\]</vt:lpwstr>
  </property>
  <property fmtid="{D5CDD505-2E9C-101B-9397-08002B2CF9AE}" pid="566" name="GDXtool_Dir282.Count">
    <vt:i4>1</vt:i4>
  </property>
  <property fmtid="{D5CDD505-2E9C-101B-9397-08002B2CF9AE}" pid="567" name="GDXtool_Dir283.0">
    <vt:lpwstr>PATH[K:\Balmorel\1971_test\Scenarie_01_SD_50\]NAME[..\1971_test\Scenarie_01_SD_50\]</vt:lpwstr>
  </property>
  <property fmtid="{D5CDD505-2E9C-101B-9397-08002B2CF9AE}" pid="568" name="GDXtool_Dir283.Count">
    <vt:i4>1</vt:i4>
  </property>
  <property fmtid="{D5CDD505-2E9C-101B-9397-08002B2CF9AE}" pid="569" name="GDXtool_Dir284.0">
    <vt:lpwstr>PATH[K:\Balmorel\1971_test\Scenarie_01_SD_50_fjernDecomRefurb\]NAME[..\1971_test\Scenarie_01_SD_50_fjernDecomRefurb\]</vt:lpwstr>
  </property>
  <property fmtid="{D5CDD505-2E9C-101B-9397-08002B2CF9AE}" pid="570" name="GDXtool_Dir284.Count">
    <vt:i4>1</vt:i4>
  </property>
  <property fmtid="{D5CDD505-2E9C-101B-9397-08002B2CF9AE}" pid="571" name="GDXtool_Dir285.0">
    <vt:lpwstr>PATH[K:\Balmorel\1971_test\Scenarie_01_SD_50_fjernFseason\]NAME[..\1971_test\Scenarie_01_SD_50_fjernFseason\]</vt:lpwstr>
  </property>
  <property fmtid="{D5CDD505-2E9C-101B-9397-08002B2CF9AE}" pid="572" name="GDXtool_Dir285.Count">
    <vt:i4>1</vt:i4>
  </property>
  <property fmtid="{D5CDD505-2E9C-101B-9397-08002B2CF9AE}" pid="573" name="GDXtool_Dir286.0">
    <vt:lpwstr>PATH[K:\Balmorel\1971_test\Scenarie_01_SD_50_fjernFseason_eksVand\]NAME[..\1971_test\Scenarie_01_SD_50_fjernFseason_eksVand\]</vt:lpwstr>
  </property>
  <property fmtid="{D5CDD505-2E9C-101B-9397-08002B2CF9AE}" pid="574" name="GDXtool_Dir286.Count">
    <vt:i4>1</vt:i4>
  </property>
  <property fmtid="{D5CDD505-2E9C-101B-9397-08002B2CF9AE}" pid="575" name="GDXtool_Dir287.0">
    <vt:lpwstr>PATH[K:\Balmorel\1971_test\Scenarie_01_SD_50_fjernOpts\]NAME[..\1971_test\Scenarie_01_SD_50_fjernOpts\]</vt:lpwstr>
  </property>
  <property fmtid="{D5CDD505-2E9C-101B-9397-08002B2CF9AE}" pid="576" name="GDXtool_Dir287.Count">
    <vt:i4>1</vt:i4>
  </property>
  <property fmtid="{D5CDD505-2E9C-101B-9397-08002B2CF9AE}" pid="577" name="GDXtool_Dir288.0">
    <vt:lpwstr>PATH[K:\Balmorel\1971_test\Scenarie_01_SD_50_fjernRefurbFseason\]NAME[..\1971_test\Scenarie_01_SD_50_fjernRefurbFseason\]</vt:lpwstr>
  </property>
  <property fmtid="{D5CDD505-2E9C-101B-9397-08002B2CF9AE}" pid="578" name="GDXtool_Dir288.Count">
    <vt:i4>1</vt:i4>
  </property>
  <property fmtid="{D5CDD505-2E9C-101B-9397-08002B2CF9AE}" pid="579" name="GDXtool_Dir289.0">
    <vt:lpwstr>PATH[K:\Balmorel\1971_test\Scenarie_01_SD_50_fjernRefurbFseason_eksVand\]NAME[..\1971_test\Scenarie_01_SD_50_fjernRefurbFseason_eksVand\]</vt:lpwstr>
  </property>
  <property fmtid="{D5CDD505-2E9C-101B-9397-08002B2CF9AE}" pid="580" name="GDXtool_Dir289.Count">
    <vt:i4>1</vt:i4>
  </property>
  <property fmtid="{D5CDD505-2E9C-101B-9397-08002B2CF9AE}" pid="581" name="GDXtool_Dir290.0">
    <vt:lpwstr>PATH[K:\Balmorel\1971_test\Scenarie_01_SP_30\]NAME[..\1971_test\Scenarie_01_SP_30\]</vt:lpwstr>
  </property>
  <property fmtid="{D5CDD505-2E9C-101B-9397-08002B2CF9AE}" pid="582" name="GDXtool_Dir290.Count">
    <vt:i4>1</vt:i4>
  </property>
  <property fmtid="{D5CDD505-2E9C-101B-9397-08002B2CF9AE}" pid="583" name="GDXtool_Dir291.0">
    <vt:lpwstr>PATH[K:\Balmorel\1971_test\Scenarie_01_SP_50\]NAME[..\1971_test\Scenarie_01_SP_50\]</vt:lpwstr>
  </property>
  <property fmtid="{D5CDD505-2E9C-101B-9397-08002B2CF9AE}" pid="584" name="GDXtool_Dir291.Count">
    <vt:i4>1</vt:i4>
  </property>
  <property fmtid="{D5CDD505-2E9C-101B-9397-08002B2CF9AE}" pid="585" name="GDXtool_Dir292.0">
    <vt:lpwstr>PATH[K:\Balmorel\1971_test\Scenarie_02_SD_30\]NAME[..\1971_test\Scenarie_02_SD_30\]</vt:lpwstr>
  </property>
  <property fmtid="{D5CDD505-2E9C-101B-9397-08002B2CF9AE}" pid="586" name="GDXtool_Dir292.Count">
    <vt:i4>1</vt:i4>
  </property>
  <property fmtid="{D5CDD505-2E9C-101B-9397-08002B2CF9AE}" pid="587" name="GDXtool_Dir293.0">
    <vt:lpwstr>PATH[K:\Balmorel\1971_test\Scenarie_02_SD_50\]NAME[..\1971_test\Scenarie_02_SD_50\]</vt:lpwstr>
  </property>
  <property fmtid="{D5CDD505-2E9C-101B-9397-08002B2CF9AE}" pid="588" name="GDXtool_Dir293.Count">
    <vt:i4>1</vt:i4>
  </property>
  <property fmtid="{D5CDD505-2E9C-101B-9397-08002B2CF9AE}" pid="589" name="GDXtool_Dir294.0">
    <vt:lpwstr>PATH[K:\Balmorel\1971_test\Scenarie_02_SD_50_fjernDecomRefurb\]NAME[..\1971_test\Scenarie_02_SD_50_fjernDecomRefurb\]</vt:lpwstr>
  </property>
  <property fmtid="{D5CDD505-2E9C-101B-9397-08002B2CF9AE}" pid="590" name="GDXtool_Dir294.Count">
    <vt:i4>1</vt:i4>
  </property>
  <property fmtid="{D5CDD505-2E9C-101B-9397-08002B2CF9AE}" pid="591" name="GDXtool_Dir295.0">
    <vt:lpwstr>PATH[K:\Balmorel\1971_test\Scenarie_02_SD_50_fjernFseason\]NAME[..\1971_test\Scenarie_02_SD_50_fjernFseason\]</vt:lpwstr>
  </property>
  <property fmtid="{D5CDD505-2E9C-101B-9397-08002B2CF9AE}" pid="592" name="GDXtool_Dir295.Count">
    <vt:i4>1</vt:i4>
  </property>
  <property fmtid="{D5CDD505-2E9C-101B-9397-08002B2CF9AE}" pid="593" name="GDXtool_Dir296.0">
    <vt:lpwstr>PATH[K:\Balmorel\1971_test\Scenarie_02_SD_50_fjernFseason_eksVand\]NAME[..\1971_test\Scenarie_02_SD_50_fjernFseason_eksVand\]</vt:lpwstr>
  </property>
  <property fmtid="{D5CDD505-2E9C-101B-9397-08002B2CF9AE}" pid="594" name="GDXtool_Dir296.Count">
    <vt:i4>1</vt:i4>
  </property>
  <property fmtid="{D5CDD505-2E9C-101B-9397-08002B2CF9AE}" pid="595" name="GDXtool_Dir297.0">
    <vt:lpwstr>PATH[K:\Balmorel\1971_test\Scenarie_02_SD_50_fjernOpts\]NAME[..\1971_test\Scenarie_02_SD_50_fjernOpts\]</vt:lpwstr>
  </property>
  <property fmtid="{D5CDD505-2E9C-101B-9397-08002B2CF9AE}" pid="596" name="GDXtool_Dir297.Count">
    <vt:i4>1</vt:i4>
  </property>
  <property fmtid="{D5CDD505-2E9C-101B-9397-08002B2CF9AE}" pid="597" name="GDXtool_Dir298.0">
    <vt:lpwstr>PATH[K:\Balmorel\1971_test\Scenarie_02_SD_50_fjernRefurbFseason\]NAME[..\1971_test\Scenarie_02_SD_50_fjernRefurbFseason\]</vt:lpwstr>
  </property>
  <property fmtid="{D5CDD505-2E9C-101B-9397-08002B2CF9AE}" pid="598" name="GDXtool_Dir298.Count">
    <vt:i4>1</vt:i4>
  </property>
  <property fmtid="{D5CDD505-2E9C-101B-9397-08002B2CF9AE}" pid="599" name="GDXtool_Dir299.0">
    <vt:lpwstr>PATH[K:\Balmorel\1971_test\Scenarie_02_SD_50_fjernRefurbFseason_eksVand\]NAME[..\1971_test\Scenarie_02_SD_50_fjernRefurbFseason_eksVand\]</vt:lpwstr>
  </property>
  <property fmtid="{D5CDD505-2E9C-101B-9397-08002B2CF9AE}" pid="600" name="GDXtool_Dir299.Count">
    <vt:i4>1</vt:i4>
  </property>
  <property fmtid="{D5CDD505-2E9C-101B-9397-08002B2CF9AE}" pid="601" name="GDXtool_Dir300.0">
    <vt:lpwstr>PATH[K:\Balmorel\1971_test\Scenarie_02_SP_30\]NAME[..\1971_test\Scenarie_02_SP_30\]</vt:lpwstr>
  </property>
  <property fmtid="{D5CDD505-2E9C-101B-9397-08002B2CF9AE}" pid="602" name="GDXtool_Dir300.Count">
    <vt:i4>1</vt:i4>
  </property>
  <property fmtid="{D5CDD505-2E9C-101B-9397-08002B2CF9AE}" pid="603" name="GDXtool_Dir301.0">
    <vt:lpwstr>PATH[K:\Balmorel\1971_test\Scenarie_02_SP_50\]NAME[..\1971_test\Scenarie_02_SP_50\]</vt:lpwstr>
  </property>
  <property fmtid="{D5CDD505-2E9C-101B-9397-08002B2CF9AE}" pid="604" name="GDXtool_Dir301.Count">
    <vt:i4>1</vt:i4>
  </property>
  <property fmtid="{D5CDD505-2E9C-101B-9397-08002B2CF9AE}" pid="605" name="GDXtool_Dir302.0">
    <vt:lpwstr>PATH[K:\Balmorel\1971_test\Scenarie_03_SD_30\]NAME[..\1971_test\Scenarie_03_SD_30\]</vt:lpwstr>
  </property>
  <property fmtid="{D5CDD505-2E9C-101B-9397-08002B2CF9AE}" pid="606" name="GDXtool_Dir302.Count">
    <vt:i4>1</vt:i4>
  </property>
  <property fmtid="{D5CDD505-2E9C-101B-9397-08002B2CF9AE}" pid="607" name="GDXtool_Dir303.0">
    <vt:lpwstr>PATH[K:\Balmorel\1971_test\Scenarie_03_SD_50\]NAME[..\1971_test\Scenarie_03_SD_50\]</vt:lpwstr>
  </property>
  <property fmtid="{D5CDD505-2E9C-101B-9397-08002B2CF9AE}" pid="608" name="GDXtool_Dir303.Count">
    <vt:i4>1</vt:i4>
  </property>
  <property fmtid="{D5CDD505-2E9C-101B-9397-08002B2CF9AE}" pid="609" name="GDXtool_Dir304.0">
    <vt:lpwstr>PATH[K:\Balmorel\1971_test\Scenarie_03_SP_30\]NAME[..\1971_test\Scenarie_03_SP_30\]</vt:lpwstr>
  </property>
  <property fmtid="{D5CDD505-2E9C-101B-9397-08002B2CF9AE}" pid="610" name="GDXtool_Dir304.Count">
    <vt:i4>1</vt:i4>
  </property>
  <property fmtid="{D5CDD505-2E9C-101B-9397-08002B2CF9AE}" pid="611" name="GDXtool_Dir305.0">
    <vt:lpwstr>PATH[K:\Balmorel\1971_test\Scenarie_03_SP_50\]NAME[..\1971_test\Scenarie_03_SP_50\]</vt:lpwstr>
  </property>
  <property fmtid="{D5CDD505-2E9C-101B-9397-08002B2CF9AE}" pid="612" name="GDXtool_Dir305.Count">
    <vt:i4>1</vt:i4>
  </property>
  <property fmtid="{D5CDD505-2E9C-101B-9397-08002B2CF9AE}" pid="613" name="GDXtool_Dir306.0">
    <vt:lpwstr>PATH[K:\Balmorel\1971_test\Scenarie_04_SD_30\]NAME[..\1971_test\Scenarie_04_SD_30\]</vt:lpwstr>
  </property>
  <property fmtid="{D5CDD505-2E9C-101B-9397-08002B2CF9AE}" pid="614" name="GDXtool_Dir306.Count">
    <vt:i4>1</vt:i4>
  </property>
  <property fmtid="{D5CDD505-2E9C-101B-9397-08002B2CF9AE}" pid="615" name="GDXtool_Dir307.0">
    <vt:lpwstr>PATH[K:\Balmorel\1971_test\Scenarie_04_SD_50\]NAME[..\1971_test\Scenarie_04_SD_50\]</vt:lpwstr>
  </property>
  <property fmtid="{D5CDD505-2E9C-101B-9397-08002B2CF9AE}" pid="616" name="GDXtool_Dir307.Count">
    <vt:i4>1</vt:i4>
  </property>
  <property fmtid="{D5CDD505-2E9C-101B-9397-08002B2CF9AE}" pid="617" name="GDXtool_Dir308.0">
    <vt:lpwstr>PATH[K:\Balmorel\1971_test\Scenarie_04_SP_30\]NAME[..\1971_test\Scenarie_04_SP_30\]</vt:lpwstr>
  </property>
  <property fmtid="{D5CDD505-2E9C-101B-9397-08002B2CF9AE}" pid="618" name="GDXtool_Dir308.Count">
    <vt:i4>1</vt:i4>
  </property>
  <property fmtid="{D5CDD505-2E9C-101B-9397-08002B2CF9AE}" pid="619" name="GDXtool_Dir309.0">
    <vt:lpwstr>PATH[K:\Balmorel\1971_test\Scenarie_04_SP_50\]NAME[..\1971_test\Scenarie_04_SP_50\]</vt:lpwstr>
  </property>
  <property fmtid="{D5CDD505-2E9C-101B-9397-08002B2CF9AE}" pid="620" name="GDXtool_Dir309.Count">
    <vt:i4>1</vt:i4>
  </property>
  <property fmtid="{D5CDD505-2E9C-101B-9397-08002B2CF9AE}" pid="621" name="GDXtool_Dir310.0">
    <vt:lpwstr>PATH[K:\Balmorel\1971_test\Scenarie_05_SD_30\]NAME[..\1971_test\Scenarie_05_SD_30\]</vt:lpwstr>
  </property>
  <property fmtid="{D5CDD505-2E9C-101B-9397-08002B2CF9AE}" pid="622" name="GDXtool_Dir310.Count">
    <vt:i4>1</vt:i4>
  </property>
  <property fmtid="{D5CDD505-2E9C-101B-9397-08002B2CF9AE}" pid="623" name="GDXtool_Dir311.0">
    <vt:lpwstr>PATH[K:\Balmorel\1971_test\Scenarie_05_SD_50\]NAME[..\1971_test\Scenarie_05_SD_50\]</vt:lpwstr>
  </property>
  <property fmtid="{D5CDD505-2E9C-101B-9397-08002B2CF9AE}" pid="624" name="GDXtool_Dir311.Count">
    <vt:i4>1</vt:i4>
  </property>
  <property fmtid="{D5CDD505-2E9C-101B-9397-08002B2CF9AE}" pid="625" name="GDXtool_Dir312.0">
    <vt:lpwstr>PATH[K:\Balmorel\1971_test\Scenarie_05_SP_30\]NAME[..\1971_test\Scenarie_05_SP_30\]</vt:lpwstr>
  </property>
  <property fmtid="{D5CDD505-2E9C-101B-9397-08002B2CF9AE}" pid="626" name="GDXtool_Dir312.Count">
    <vt:i4>1</vt:i4>
  </property>
  <property fmtid="{D5CDD505-2E9C-101B-9397-08002B2CF9AE}" pid="627" name="GDXtool_Dir313.0">
    <vt:lpwstr>PATH[K:\Balmorel\1971_test\Scenarie_05_SP_50\]NAME[..\1971_test\Scenarie_05_SP_50\]</vt:lpwstr>
  </property>
  <property fmtid="{D5CDD505-2E9C-101B-9397-08002B2CF9AE}" pid="628" name="GDXtool_Dir313.Count">
    <vt:i4>1</vt:i4>
  </property>
  <property fmtid="{D5CDD505-2E9C-101B-9397-08002B2CF9AE}" pid="629" name="GDXtool_Dir314.0">
    <vt:lpwstr>PATH[K:\Balmorel\1971_test\Scenarie_06_SD_30\]NAME[..\1971_test\Scenarie_06_SD_30\]</vt:lpwstr>
  </property>
  <property fmtid="{D5CDD505-2E9C-101B-9397-08002B2CF9AE}" pid="630" name="GDXtool_Dir314.Count">
    <vt:i4>1</vt:i4>
  </property>
  <property fmtid="{D5CDD505-2E9C-101B-9397-08002B2CF9AE}" pid="631" name="GDXtool_Dir315.0">
    <vt:lpwstr>PATH[K:\Balmorel\1971_test\Scenarie_06_SD_50\]NAME[..\1971_test\Scenarie_06_SD_50\]</vt:lpwstr>
  </property>
  <property fmtid="{D5CDD505-2E9C-101B-9397-08002B2CF9AE}" pid="632" name="GDXtool_Dir315.Count">
    <vt:i4>1</vt:i4>
  </property>
  <property fmtid="{D5CDD505-2E9C-101B-9397-08002B2CF9AE}" pid="633" name="GDXtool_Dir316.0">
    <vt:lpwstr>PATH[K:\Balmorel\1971_test\Scenarie_06_SP_30\]NAME[..\1971_test\Scenarie_06_SP_30\]</vt:lpwstr>
  </property>
  <property fmtid="{D5CDD505-2E9C-101B-9397-08002B2CF9AE}" pid="634" name="GDXtool_Dir316.Count">
    <vt:i4>1</vt:i4>
  </property>
  <property fmtid="{D5CDD505-2E9C-101B-9397-08002B2CF9AE}" pid="635" name="GDXtool_Dir317.0">
    <vt:lpwstr>PATH[K:\Balmorel\1971_test\Scenarie_06_SP_50\]NAME[..\1971_test\Scenarie_06_SP_50\]</vt:lpwstr>
  </property>
  <property fmtid="{D5CDD505-2E9C-101B-9397-08002B2CF9AE}" pid="636" name="GDXtool_Dir317.Count">
    <vt:i4>1</vt:i4>
  </property>
  <property fmtid="{D5CDD505-2E9C-101B-9397-08002B2CF9AE}" pid="637" name="GDXtool_Dir318.0">
    <vt:lpwstr>PATH[K:\Balmorel\1971_test\Scenarie_07_SD_30\]NAME[..\1971_test\Scenarie_07_SD_30\]</vt:lpwstr>
  </property>
  <property fmtid="{D5CDD505-2E9C-101B-9397-08002B2CF9AE}" pid="638" name="GDXtool_Dir318.Count">
    <vt:i4>1</vt:i4>
  </property>
  <property fmtid="{D5CDD505-2E9C-101B-9397-08002B2CF9AE}" pid="639" name="GDXtool_Dir319.0">
    <vt:lpwstr>PATH[K:\Balmorel\1971_test\Scenarie_07_SD_50\]NAME[..\1971_test\Scenarie_07_SD_50\]</vt:lpwstr>
  </property>
  <property fmtid="{D5CDD505-2E9C-101B-9397-08002B2CF9AE}" pid="640" name="GDXtool_Dir319.Count">
    <vt:i4>1</vt:i4>
  </property>
  <property fmtid="{D5CDD505-2E9C-101B-9397-08002B2CF9AE}" pid="641" name="GDXtool_Dir320.0">
    <vt:lpwstr>PATH[K:\Balmorel\1971_test\Scenarie_07_SP_30\]NAME[..\1971_test\Scenarie_07_SP_30\]</vt:lpwstr>
  </property>
  <property fmtid="{D5CDD505-2E9C-101B-9397-08002B2CF9AE}" pid="642" name="GDXtool_Dir320.Count">
    <vt:i4>1</vt:i4>
  </property>
  <property fmtid="{D5CDD505-2E9C-101B-9397-08002B2CF9AE}" pid="643" name="GDXtool_Dir321.0">
    <vt:lpwstr>PATH[K:\Balmorel\1971_test\Scenarie_07_SP_50\]NAME[..\1971_test\Scenarie_07_SP_50\]</vt:lpwstr>
  </property>
  <property fmtid="{D5CDD505-2E9C-101B-9397-08002B2CF9AE}" pid="644" name="GDXtool_Dir321.Count">
    <vt:i4>1</vt:i4>
  </property>
  <property fmtid="{D5CDD505-2E9C-101B-9397-08002B2CF9AE}" pid="645" name="GDXtool_Dir322.0">
    <vt:lpwstr>PATH[K:\Balmorel\1971_test\Scenarie_08_SD_30\]NAME[..\1971_test\Scenarie_08_SD_30\]</vt:lpwstr>
  </property>
  <property fmtid="{D5CDD505-2E9C-101B-9397-08002B2CF9AE}" pid="646" name="GDXtool_Dir322.Count">
    <vt:i4>1</vt:i4>
  </property>
  <property fmtid="{D5CDD505-2E9C-101B-9397-08002B2CF9AE}" pid="647" name="GDXtool_Dir323.0">
    <vt:lpwstr>PATH[K:\Balmorel\1971_test\Scenarie_08_SD_50\]NAME[..\1971_test\Scenarie_08_SD_50\]</vt:lpwstr>
  </property>
  <property fmtid="{D5CDD505-2E9C-101B-9397-08002B2CF9AE}" pid="648" name="GDXtool_Dir323.Count">
    <vt:i4>1</vt:i4>
  </property>
  <property fmtid="{D5CDD505-2E9C-101B-9397-08002B2CF9AE}" pid="649" name="GDXtool_Dir324.0">
    <vt:lpwstr>PATH[K:\Balmorel\1971_test\Scenarie_08_SP_30\]NAME[..\1971_test\Scenarie_08_SP_30\]</vt:lpwstr>
  </property>
  <property fmtid="{D5CDD505-2E9C-101B-9397-08002B2CF9AE}" pid="650" name="GDXtool_Dir324.Count">
    <vt:i4>1</vt:i4>
  </property>
  <property fmtid="{D5CDD505-2E9C-101B-9397-08002B2CF9AE}" pid="651" name="GDXtool_Dir325.0">
    <vt:lpwstr>PATH[K:\Balmorel\1971_test\Scenarie_08_SP_50\]NAME[..\1971_test\Scenarie_08_SP_50\]</vt:lpwstr>
  </property>
  <property fmtid="{D5CDD505-2E9C-101B-9397-08002B2CF9AE}" pid="652" name="GDXtool_Dir325.Count">
    <vt:i4>1</vt:i4>
  </property>
  <property fmtid="{D5CDD505-2E9C-101B-9397-08002B2CF9AE}" pid="653" name="GDXtool_Dir326.0">
    <vt:lpwstr>PATH[K:\Balmorel\1971_test\Scenarie_09_SD_30\]NAME[..\1971_test\Scenarie_09_SD_30\]</vt:lpwstr>
  </property>
  <property fmtid="{D5CDD505-2E9C-101B-9397-08002B2CF9AE}" pid="654" name="GDXtool_Dir326.Count">
    <vt:i4>1</vt:i4>
  </property>
  <property fmtid="{D5CDD505-2E9C-101B-9397-08002B2CF9AE}" pid="655" name="GDXtool_Dir327.0">
    <vt:lpwstr>PATH[K:\Balmorel\1971_test\Scenarie_09_SD_50\]NAME[..\1971_test\Scenarie_09_SD_50\]</vt:lpwstr>
  </property>
  <property fmtid="{D5CDD505-2E9C-101B-9397-08002B2CF9AE}" pid="656" name="GDXtool_Dir327.Count">
    <vt:i4>1</vt:i4>
  </property>
  <property fmtid="{D5CDD505-2E9C-101B-9397-08002B2CF9AE}" pid="657" name="GDXtool_Dir328.0">
    <vt:lpwstr>PATH[K:\Balmorel\1971_test\Scenarie_09_SP_30\]NAME[..\1971_test\Scenarie_09_SP_30\]</vt:lpwstr>
  </property>
  <property fmtid="{D5CDD505-2E9C-101B-9397-08002B2CF9AE}" pid="658" name="GDXtool_Dir328.Count">
    <vt:i4>1</vt:i4>
  </property>
  <property fmtid="{D5CDD505-2E9C-101B-9397-08002B2CF9AE}" pid="659" name="GDXtool_Dir329.0">
    <vt:lpwstr>PATH[K:\Balmorel\1971_test\Scenarie_09_SP_50\]NAME[..\1971_test\Scenarie_09_SP_50\]</vt:lpwstr>
  </property>
  <property fmtid="{D5CDD505-2E9C-101B-9397-08002B2CF9AE}" pid="660" name="GDXtool_Dir329.Count">
    <vt:i4>1</vt:i4>
  </property>
  <property fmtid="{D5CDD505-2E9C-101B-9397-08002B2CF9AE}" pid="661" name="GDXtool_Dir330.0">
    <vt:lpwstr>PATH[K:\Balmorel\1971_test\Scenarie_10_SD_30\]NAME[..\1971_test\Scenarie_10_SD_30\]</vt:lpwstr>
  </property>
  <property fmtid="{D5CDD505-2E9C-101B-9397-08002B2CF9AE}" pid="662" name="GDXtool_Dir330.Count">
    <vt:i4>1</vt:i4>
  </property>
  <property fmtid="{D5CDD505-2E9C-101B-9397-08002B2CF9AE}" pid="663" name="GDXtool_Dir331.0">
    <vt:lpwstr>PATH[K:\Balmorel\1971_test\Scenarie_10_SD_50\]NAME[..\1971_test\Scenarie_10_SD_50\]</vt:lpwstr>
  </property>
  <property fmtid="{D5CDD505-2E9C-101B-9397-08002B2CF9AE}" pid="664" name="GDXtool_Dir331.Count">
    <vt:i4>1</vt:i4>
  </property>
  <property fmtid="{D5CDD505-2E9C-101B-9397-08002B2CF9AE}" pid="665" name="GDXtool_Dir332.0">
    <vt:lpwstr>PATH[K:\Balmorel\1971_test\Scenarie_10_SP_30\]NAME[..\1971_test\Scenarie_10_SP_30\]</vt:lpwstr>
  </property>
  <property fmtid="{D5CDD505-2E9C-101B-9397-08002B2CF9AE}" pid="666" name="GDXtool_Dir332.Count">
    <vt:i4>1</vt:i4>
  </property>
  <property fmtid="{D5CDD505-2E9C-101B-9397-08002B2CF9AE}" pid="667" name="GDXtool_Dir333.0">
    <vt:lpwstr>PATH[K:\Balmorel\1971_test\Scenarie_10_SP_50\]NAME[..\1971_test\Scenarie_10_SP_50\]</vt:lpwstr>
  </property>
  <property fmtid="{D5CDD505-2E9C-101B-9397-08002B2CF9AE}" pid="668" name="GDXtool_Dir333.Count">
    <vt:i4>1</vt:i4>
  </property>
  <property fmtid="{D5CDD505-2E9C-101B-9397-08002B2CF9AE}" pid="669" name="GDXtool_Dir334.0">
    <vt:lpwstr>PATH[K:\Balmorel\1971_test\Baseline_SD_30\Data\]NAME[..\1971_test\Baseline_SD_30\Data\]</vt:lpwstr>
  </property>
  <property fmtid="{D5CDD505-2E9C-101B-9397-08002B2CF9AE}" pid="670" name="GDXtool_Dir334.Count">
    <vt:i4>1</vt:i4>
  </property>
  <property fmtid="{D5CDD505-2E9C-101B-9397-08002B2CF9AE}" pid="671" name="GDXtool_Dir335.0">
    <vt:lpwstr>PATH[K:\Balmorel\1971_test\Baseline_SD_50\Data\]NAME[..\1971_test\Baseline_SD_50\Data\]</vt:lpwstr>
  </property>
  <property fmtid="{D5CDD505-2E9C-101B-9397-08002B2CF9AE}" pid="672" name="GDXtool_Dir335.Count">
    <vt:i4>1</vt:i4>
  </property>
  <property fmtid="{D5CDD505-2E9C-101B-9397-08002B2CF9AE}" pid="673" name="GDXtool_Dir336.0">
    <vt:lpwstr>PATH[K:\Balmorel\1971_test\Baseline_SP_30\Data\]NAME[..\1971_test\Baseline_SP_30\Data\]</vt:lpwstr>
  </property>
  <property fmtid="{D5CDD505-2E9C-101B-9397-08002B2CF9AE}" pid="674" name="GDXtool_Dir336.Count">
    <vt:i4>1</vt:i4>
  </property>
  <property fmtid="{D5CDD505-2E9C-101B-9397-08002B2CF9AE}" pid="675" name="GDXtool_Dir337.0">
    <vt:lpwstr>PATH[K:\Balmorel\1971_test\Baseline_SP_50\Data\]NAME[..\1971_test\Baseline_SP_50\Data\]</vt:lpwstr>
  </property>
  <property fmtid="{D5CDD505-2E9C-101B-9397-08002B2CF9AE}" pid="676" name="GDXtool_Dir337.Count">
    <vt:i4>1</vt:i4>
  </property>
  <property fmtid="{D5CDD505-2E9C-101B-9397-08002B2CF9AE}" pid="677" name="GDXtool_Dir338.0">
    <vt:lpwstr>PATH[K:\Balmorel\1971_test\Reference\Data\]NAME[..\1971_test\Reference\Data\]</vt:lpwstr>
  </property>
  <property fmtid="{D5CDD505-2E9C-101B-9397-08002B2CF9AE}" pid="678" name="GDXtool_Dir338.Count">
    <vt:i4>1</vt:i4>
  </property>
  <property fmtid="{D5CDD505-2E9C-101B-9397-08002B2CF9AE}" pid="679" name="GDXtool_Dir339.0">
    <vt:lpwstr>PATH[K:\Balmorel\1971_test\Scenarie_01_SD_30\Data\]NAME[..\1971_test\Scenarie_01_SD_30\Data\]</vt:lpwstr>
  </property>
  <property fmtid="{D5CDD505-2E9C-101B-9397-08002B2CF9AE}" pid="680" name="GDXtool_Dir339.Count">
    <vt:i4>1</vt:i4>
  </property>
  <property fmtid="{D5CDD505-2E9C-101B-9397-08002B2CF9AE}" pid="681" name="GDXtool_Dir340.0">
    <vt:lpwstr>PATH[K:\Balmorel\1971_test\Scenarie_01_SD_50\Data\]NAME[..\1971_test\Scenarie_01_SD_50\Data\]</vt:lpwstr>
  </property>
  <property fmtid="{D5CDD505-2E9C-101B-9397-08002B2CF9AE}" pid="682" name="GDXtool_Dir340.Count">
    <vt:i4>1</vt:i4>
  </property>
  <property fmtid="{D5CDD505-2E9C-101B-9397-08002B2CF9AE}" pid="683" name="GDXtool_Dir341.0">
    <vt:lpwstr>PATH[K:\Balmorel\1971_test\Scenarie_01_SD_50_fjernDecomRefurb\Data\]NAME[..\1971_test\Scenarie_01_SD_50_fjernDecomRefurb\Data\]</vt:lpwstr>
  </property>
  <property fmtid="{D5CDD505-2E9C-101B-9397-08002B2CF9AE}" pid="684" name="GDXtool_Dir341.Count">
    <vt:i4>1</vt:i4>
  </property>
  <property fmtid="{D5CDD505-2E9C-101B-9397-08002B2CF9AE}" pid="685" name="GDXtool_Dir342.0">
    <vt:lpwstr>PATH[K:\Balmorel\1971_test\Scenarie_01_SD_50_fjernFseason\Data\]NAME[..\1971_test\Scenarie_01_SD_50_fjernFseason\Data\]</vt:lpwstr>
  </property>
  <property fmtid="{D5CDD505-2E9C-101B-9397-08002B2CF9AE}" pid="686" name="GDXtool_Dir342.Count">
    <vt:i4>1</vt:i4>
  </property>
  <property fmtid="{D5CDD505-2E9C-101B-9397-08002B2CF9AE}" pid="687" name="GDXtool_Dir343.0">
    <vt:lpwstr>PATH[K:\Balmorel\1971_test\Scenarie_01_SD_50_fjernFseason_eksVand\Data\]NAME[..\1971_test\Scenarie_01_SD_50_fjernFseason_eksVand\Data\]</vt:lpwstr>
  </property>
  <property fmtid="{D5CDD505-2E9C-101B-9397-08002B2CF9AE}" pid="688" name="GDXtool_Dir343.Count">
    <vt:i4>1</vt:i4>
  </property>
  <property fmtid="{D5CDD505-2E9C-101B-9397-08002B2CF9AE}" pid="689" name="GDXtool_Dir344.0">
    <vt:lpwstr>PATH[K:\Balmorel\1971_test\Scenarie_01_SD_50_fjernOpts\Data\]NAME[..\1971_test\Scenarie_01_SD_50_fjernOpts\Data\]</vt:lpwstr>
  </property>
  <property fmtid="{D5CDD505-2E9C-101B-9397-08002B2CF9AE}" pid="690" name="GDXtool_Dir344.Count">
    <vt:i4>1</vt:i4>
  </property>
  <property fmtid="{D5CDD505-2E9C-101B-9397-08002B2CF9AE}" pid="691" name="GDXtool_Dir345.0">
    <vt:lpwstr>PATH[K:\Balmorel\1971_test\Scenarie_01_SD_50_fjernRefurbFseason\Data\]NAME[..\1971_test\Scenarie_01_SD_50_fjernRefurbFseason\Data\]</vt:lpwstr>
  </property>
  <property fmtid="{D5CDD505-2E9C-101B-9397-08002B2CF9AE}" pid="692" name="GDXtool_Dir345.Count">
    <vt:i4>1</vt:i4>
  </property>
  <property fmtid="{D5CDD505-2E9C-101B-9397-08002B2CF9AE}" pid="693" name="GDXtool_Dir346.0">
    <vt:lpwstr>PATH[K:\Balmorel\1971_test\Scenarie_01_SD_50_fjernRefurbFseason_eksVand\Data\]NAME[..\1971_test\Scenarie_01_SD_50_fjernRefurbFseason_eksVand\Data\]</vt:lpwstr>
  </property>
  <property fmtid="{D5CDD505-2E9C-101B-9397-08002B2CF9AE}" pid="694" name="GDXtool_Dir346.Count">
    <vt:i4>1</vt:i4>
  </property>
  <property fmtid="{D5CDD505-2E9C-101B-9397-08002B2CF9AE}" pid="695" name="GDXtool_Dir347.0">
    <vt:lpwstr>PATH[K:\Balmorel\1971_test\Scenarie_01_SP_30\Data\]NAME[..\1971_test\Scenarie_01_SP_30\Data\]</vt:lpwstr>
  </property>
  <property fmtid="{D5CDD505-2E9C-101B-9397-08002B2CF9AE}" pid="696" name="GDXtool_Dir347.Count">
    <vt:i4>1</vt:i4>
  </property>
  <property fmtid="{D5CDD505-2E9C-101B-9397-08002B2CF9AE}" pid="697" name="GDXtool_Dir348.0">
    <vt:lpwstr>PATH[K:\Balmorel\1971_test\Scenarie_01_SP_50\Data\]NAME[..\1971_test\Scenarie_01_SP_50\Data\]</vt:lpwstr>
  </property>
  <property fmtid="{D5CDD505-2E9C-101B-9397-08002B2CF9AE}" pid="698" name="GDXtool_Dir348.Count">
    <vt:i4>1</vt:i4>
  </property>
  <property fmtid="{D5CDD505-2E9C-101B-9397-08002B2CF9AE}" pid="699" name="GDXtool_Dir349.0">
    <vt:lpwstr>PATH[K:\Balmorel\1971_test\Scenarie_02_SD_30\Data\]NAME[..\1971_test\Scenarie_02_SD_30\Data\]</vt:lpwstr>
  </property>
  <property fmtid="{D5CDD505-2E9C-101B-9397-08002B2CF9AE}" pid="700" name="GDXtool_Dir349.Count">
    <vt:i4>1</vt:i4>
  </property>
  <property fmtid="{D5CDD505-2E9C-101B-9397-08002B2CF9AE}" pid="701" name="GDXtool_Dir350.0">
    <vt:lpwstr>PATH[K:\Balmorel\1971_test\Scenarie_02_SD_50\Data\]NAME[..\1971_test\Scenarie_02_SD_50\Data\]</vt:lpwstr>
  </property>
  <property fmtid="{D5CDD505-2E9C-101B-9397-08002B2CF9AE}" pid="702" name="GDXtool_Dir350.Count">
    <vt:i4>1</vt:i4>
  </property>
  <property fmtid="{D5CDD505-2E9C-101B-9397-08002B2CF9AE}" pid="703" name="GDXtool_Dir351.0">
    <vt:lpwstr>PATH[K:\Balmorel\1971_test\Scenarie_02_SD_50_fjernDecomRefurb\Data\]NAME[..\1971_test\Scenarie_02_SD_50_fjernDecomRefurb\Data\]</vt:lpwstr>
  </property>
  <property fmtid="{D5CDD505-2E9C-101B-9397-08002B2CF9AE}" pid="704" name="GDXtool_Dir351.Count">
    <vt:i4>1</vt:i4>
  </property>
  <property fmtid="{D5CDD505-2E9C-101B-9397-08002B2CF9AE}" pid="705" name="GDXtool_Dir352.0">
    <vt:lpwstr>PATH[K:\Balmorel\1971_test\Scenarie_02_SD_50_fjernFseason\Data\]NAME[..\1971_test\Scenarie_02_SD_50_fjernFseason\Data\]</vt:lpwstr>
  </property>
  <property fmtid="{D5CDD505-2E9C-101B-9397-08002B2CF9AE}" pid="706" name="GDXtool_Dir352.Count">
    <vt:i4>1</vt:i4>
  </property>
  <property fmtid="{D5CDD505-2E9C-101B-9397-08002B2CF9AE}" pid="707" name="GDXtool_Dir353.0">
    <vt:lpwstr>PATH[K:\Balmorel\1971_test\Scenarie_02_SD_50_fjernFseason_eksVand\Data\]NAME[..\1971_test\Scenarie_02_SD_50_fjernFseason_eksVand\Data\]</vt:lpwstr>
  </property>
  <property fmtid="{D5CDD505-2E9C-101B-9397-08002B2CF9AE}" pid="708" name="GDXtool_Dir353.Count">
    <vt:i4>1</vt:i4>
  </property>
  <property fmtid="{D5CDD505-2E9C-101B-9397-08002B2CF9AE}" pid="709" name="GDXtool_Dir354.0">
    <vt:lpwstr>PATH[K:\Balmorel\1971_test\Scenarie_02_SD_50_fjernOpts\Data\]NAME[..\1971_test\Scenarie_02_SD_50_fjernOpts\Data\]</vt:lpwstr>
  </property>
  <property fmtid="{D5CDD505-2E9C-101B-9397-08002B2CF9AE}" pid="710" name="GDXtool_Dir354.Count">
    <vt:i4>1</vt:i4>
  </property>
  <property fmtid="{D5CDD505-2E9C-101B-9397-08002B2CF9AE}" pid="711" name="GDXtool_Dir355.0">
    <vt:lpwstr>PATH[K:\Balmorel\1971_test\Scenarie_02_SD_50_fjernRefurbFseason\Data\]NAME[..\1971_test\Scenarie_02_SD_50_fjernRefurbFseason\Data\]</vt:lpwstr>
  </property>
  <property fmtid="{D5CDD505-2E9C-101B-9397-08002B2CF9AE}" pid="712" name="GDXtool_Dir355.Count">
    <vt:i4>1</vt:i4>
  </property>
  <property fmtid="{D5CDD505-2E9C-101B-9397-08002B2CF9AE}" pid="713" name="GDXtool_Dir356.0">
    <vt:lpwstr>PATH[K:\Balmorel\1971_test\Scenarie_02_SD_50_fjernRefurbFseason_eksVand\Data\]NAME[..\1971_test\Scenarie_02_SD_50_fjernRefurbFseason_eksVand\Data\]</vt:lpwstr>
  </property>
  <property fmtid="{D5CDD505-2E9C-101B-9397-08002B2CF9AE}" pid="714" name="GDXtool_Dir356.Count">
    <vt:i4>1</vt:i4>
  </property>
  <property fmtid="{D5CDD505-2E9C-101B-9397-08002B2CF9AE}" pid="715" name="GDXtool_Dir357.0">
    <vt:lpwstr>PATH[K:\Balmorel\1971_test\Scenarie_02_SP_30\Data\]NAME[..\1971_test\Scenarie_02_SP_30\Data\]</vt:lpwstr>
  </property>
  <property fmtid="{D5CDD505-2E9C-101B-9397-08002B2CF9AE}" pid="716" name="GDXtool_Dir357.Count">
    <vt:i4>1</vt:i4>
  </property>
  <property fmtid="{D5CDD505-2E9C-101B-9397-08002B2CF9AE}" pid="717" name="GDXtool_Dir358.0">
    <vt:lpwstr>PATH[K:\Balmorel\1971_test\Scenarie_02_SP_50\Data\]NAME[..\1971_test\Scenarie_02_SP_50\Data\]</vt:lpwstr>
  </property>
  <property fmtid="{D5CDD505-2E9C-101B-9397-08002B2CF9AE}" pid="718" name="GDXtool_Dir358.Count">
    <vt:i4>1</vt:i4>
  </property>
  <property fmtid="{D5CDD505-2E9C-101B-9397-08002B2CF9AE}" pid="719" name="GDXtool_Dir359.0">
    <vt:lpwstr>PATH[K:\Balmorel\1971_test\Scenarie_03_SD_30\Data\]NAME[..\1971_test\Scenarie_03_SD_30\Data\]</vt:lpwstr>
  </property>
  <property fmtid="{D5CDD505-2E9C-101B-9397-08002B2CF9AE}" pid="720" name="GDXtool_Dir359.Count">
    <vt:i4>1</vt:i4>
  </property>
  <property fmtid="{D5CDD505-2E9C-101B-9397-08002B2CF9AE}" pid="721" name="GDXtool_Dir360.0">
    <vt:lpwstr>PATH[K:\Balmorel\1971_test\Scenarie_03_SD_50\Data\]NAME[..\1971_test\Scenarie_03_SD_50\Data\]</vt:lpwstr>
  </property>
  <property fmtid="{D5CDD505-2E9C-101B-9397-08002B2CF9AE}" pid="722" name="GDXtool_Dir360.Count">
    <vt:i4>1</vt:i4>
  </property>
  <property fmtid="{D5CDD505-2E9C-101B-9397-08002B2CF9AE}" pid="723" name="GDXtool_Dir361.0">
    <vt:lpwstr>PATH[K:\Balmorel\1971_test\Scenarie_03_SP_30\Data\]NAME[..\1971_test\Scenarie_03_SP_30\Data\]</vt:lpwstr>
  </property>
  <property fmtid="{D5CDD505-2E9C-101B-9397-08002B2CF9AE}" pid="724" name="GDXtool_Dir361.Count">
    <vt:i4>1</vt:i4>
  </property>
  <property fmtid="{D5CDD505-2E9C-101B-9397-08002B2CF9AE}" pid="725" name="GDXtool_Dir362.0">
    <vt:lpwstr>PATH[K:\Balmorel\1971_test\Scenarie_03_SP_50\Data\]NAME[..\1971_test\Scenarie_03_SP_50\Data\]</vt:lpwstr>
  </property>
  <property fmtid="{D5CDD505-2E9C-101B-9397-08002B2CF9AE}" pid="726" name="GDXtool_Dir362.Count">
    <vt:i4>1</vt:i4>
  </property>
  <property fmtid="{D5CDD505-2E9C-101B-9397-08002B2CF9AE}" pid="727" name="GDXtool_Dir363.0">
    <vt:lpwstr>PATH[K:\Balmorel\1971_test\Scenarie_04_SD_30\Data\]NAME[..\1971_test\Scenarie_04_SD_30\Data\]</vt:lpwstr>
  </property>
  <property fmtid="{D5CDD505-2E9C-101B-9397-08002B2CF9AE}" pid="728" name="GDXtool_Dir363.Count">
    <vt:i4>1</vt:i4>
  </property>
  <property fmtid="{D5CDD505-2E9C-101B-9397-08002B2CF9AE}" pid="729" name="GDXtool_Dir364.0">
    <vt:lpwstr>PATH[K:\Balmorel\1971_test\Scenarie_04_SD_50\Data\]NAME[..\1971_test\Scenarie_04_SD_50\Data\]</vt:lpwstr>
  </property>
  <property fmtid="{D5CDD505-2E9C-101B-9397-08002B2CF9AE}" pid="730" name="GDXtool_Dir364.Count">
    <vt:i4>1</vt:i4>
  </property>
  <property fmtid="{D5CDD505-2E9C-101B-9397-08002B2CF9AE}" pid="731" name="GDXtool_Dir365.0">
    <vt:lpwstr>PATH[K:\Balmorel\1971_test\Scenarie_04_SP_30\Data\]NAME[..\1971_test\Scenarie_04_SP_30\Data\]</vt:lpwstr>
  </property>
  <property fmtid="{D5CDD505-2E9C-101B-9397-08002B2CF9AE}" pid="732" name="GDXtool_Dir365.Count">
    <vt:i4>1</vt:i4>
  </property>
  <property fmtid="{D5CDD505-2E9C-101B-9397-08002B2CF9AE}" pid="733" name="GDXtool_Dir366.0">
    <vt:lpwstr>PATH[K:\Balmorel\1971_test\Scenarie_04_SP_50\Data\]NAME[..\1971_test\Scenarie_04_SP_50\Data\]</vt:lpwstr>
  </property>
  <property fmtid="{D5CDD505-2E9C-101B-9397-08002B2CF9AE}" pid="734" name="GDXtool_Dir366.Count">
    <vt:i4>1</vt:i4>
  </property>
  <property fmtid="{D5CDD505-2E9C-101B-9397-08002B2CF9AE}" pid="735" name="GDXtool_Dir367.0">
    <vt:lpwstr>PATH[K:\Balmorel\1971_test\Scenarie_05_SD_30\Data\]NAME[..\1971_test\Scenarie_05_SD_30\Data\]</vt:lpwstr>
  </property>
  <property fmtid="{D5CDD505-2E9C-101B-9397-08002B2CF9AE}" pid="736" name="GDXtool_Dir367.Count">
    <vt:i4>1</vt:i4>
  </property>
  <property fmtid="{D5CDD505-2E9C-101B-9397-08002B2CF9AE}" pid="737" name="GDXtool_Dir368.0">
    <vt:lpwstr>PATH[K:\Balmorel\1971_test\Scenarie_05_SD_50\Data\]NAME[..\1971_test\Scenarie_05_SD_50\Data\]</vt:lpwstr>
  </property>
  <property fmtid="{D5CDD505-2E9C-101B-9397-08002B2CF9AE}" pid="738" name="GDXtool_Dir368.Count">
    <vt:i4>1</vt:i4>
  </property>
  <property fmtid="{D5CDD505-2E9C-101B-9397-08002B2CF9AE}" pid="739" name="GDXtool_Dir369.0">
    <vt:lpwstr>PATH[K:\Balmorel\1971_test\Scenarie_05_SP_30\Data\]NAME[..\1971_test\Scenarie_05_SP_30\Data\]</vt:lpwstr>
  </property>
  <property fmtid="{D5CDD505-2E9C-101B-9397-08002B2CF9AE}" pid="740" name="GDXtool_Dir369.Count">
    <vt:i4>1</vt:i4>
  </property>
  <property fmtid="{D5CDD505-2E9C-101B-9397-08002B2CF9AE}" pid="741" name="GDXtool_Dir370.0">
    <vt:lpwstr>PATH[K:\Balmorel\1971_test\Scenarie_05_SP_50\Data\]NAME[..\1971_test\Scenarie_05_SP_50\Data\]</vt:lpwstr>
  </property>
  <property fmtid="{D5CDD505-2E9C-101B-9397-08002B2CF9AE}" pid="742" name="GDXtool_Dir370.Count">
    <vt:i4>1</vt:i4>
  </property>
  <property fmtid="{D5CDD505-2E9C-101B-9397-08002B2CF9AE}" pid="743" name="GDXtool_Dir371.0">
    <vt:lpwstr>PATH[K:\Balmorel\1971_test\Scenarie_06_SD_30\Data\]NAME[..\1971_test\Scenarie_06_SD_30\Data\]</vt:lpwstr>
  </property>
  <property fmtid="{D5CDD505-2E9C-101B-9397-08002B2CF9AE}" pid="744" name="GDXtool_Dir371.Count">
    <vt:i4>1</vt:i4>
  </property>
  <property fmtid="{D5CDD505-2E9C-101B-9397-08002B2CF9AE}" pid="745" name="GDXtool_Dir372.0">
    <vt:lpwstr>PATH[K:\Balmorel\1971_test\Scenarie_06_SD_50\Data\]NAME[..\1971_test\Scenarie_06_SD_50\Data\]</vt:lpwstr>
  </property>
  <property fmtid="{D5CDD505-2E9C-101B-9397-08002B2CF9AE}" pid="746" name="GDXtool_Dir372.Count">
    <vt:i4>1</vt:i4>
  </property>
  <property fmtid="{D5CDD505-2E9C-101B-9397-08002B2CF9AE}" pid="747" name="GDXtool_Dir373.0">
    <vt:lpwstr>PATH[K:\Balmorel\1971_test\Scenarie_06_SP_30\Data\]NAME[..\1971_test\Scenarie_06_SP_30\Data\]</vt:lpwstr>
  </property>
  <property fmtid="{D5CDD505-2E9C-101B-9397-08002B2CF9AE}" pid="748" name="GDXtool_Dir373.Count">
    <vt:i4>1</vt:i4>
  </property>
  <property fmtid="{D5CDD505-2E9C-101B-9397-08002B2CF9AE}" pid="749" name="GDXtool_Dir374.0">
    <vt:lpwstr>PATH[K:\Balmorel\1971_test\Scenarie_06_SP_50\Data\]NAME[..\1971_test\Scenarie_06_SP_50\Data\]</vt:lpwstr>
  </property>
  <property fmtid="{D5CDD505-2E9C-101B-9397-08002B2CF9AE}" pid="750" name="GDXtool_Dir374.Count">
    <vt:i4>1</vt:i4>
  </property>
  <property fmtid="{D5CDD505-2E9C-101B-9397-08002B2CF9AE}" pid="751" name="GDXtool_Dir375.0">
    <vt:lpwstr>PATH[K:\Balmorel\1971_test\Scenarie_07_SD_30\Data\]NAME[..\1971_test\Scenarie_07_SD_30\Data\]</vt:lpwstr>
  </property>
  <property fmtid="{D5CDD505-2E9C-101B-9397-08002B2CF9AE}" pid="752" name="GDXtool_Dir375.Count">
    <vt:i4>1</vt:i4>
  </property>
  <property fmtid="{D5CDD505-2E9C-101B-9397-08002B2CF9AE}" pid="753" name="GDXtool_Dir376.0">
    <vt:lpwstr>PATH[K:\Balmorel\1971_test\Scenarie_07_SD_50\Data\]NAME[..\1971_test\Scenarie_07_SD_50\Data\]</vt:lpwstr>
  </property>
  <property fmtid="{D5CDD505-2E9C-101B-9397-08002B2CF9AE}" pid="754" name="GDXtool_Dir376.Count">
    <vt:i4>1</vt:i4>
  </property>
  <property fmtid="{D5CDD505-2E9C-101B-9397-08002B2CF9AE}" pid="755" name="GDXtool_Dir377.0">
    <vt:lpwstr>PATH[K:\Balmorel\1971_test\Scenarie_07_SP_30\Data\]NAME[..\1971_test\Scenarie_07_SP_30\Data\]</vt:lpwstr>
  </property>
  <property fmtid="{D5CDD505-2E9C-101B-9397-08002B2CF9AE}" pid="756" name="GDXtool_Dir377.Count">
    <vt:i4>1</vt:i4>
  </property>
  <property fmtid="{D5CDD505-2E9C-101B-9397-08002B2CF9AE}" pid="757" name="GDXtool_Dir378.0">
    <vt:lpwstr>PATH[K:\Balmorel\1971_test\Scenarie_07_SP_50\Data\]NAME[..\1971_test\Scenarie_07_SP_50\Data\]</vt:lpwstr>
  </property>
  <property fmtid="{D5CDD505-2E9C-101B-9397-08002B2CF9AE}" pid="758" name="GDXtool_Dir378.Count">
    <vt:i4>1</vt:i4>
  </property>
  <property fmtid="{D5CDD505-2E9C-101B-9397-08002B2CF9AE}" pid="759" name="GDXtool_Dir379.0">
    <vt:lpwstr>PATH[K:\Balmorel\1971_test\Scenarie_08_SD_30\Data\]NAME[..\1971_test\Scenarie_08_SD_30\Data\]</vt:lpwstr>
  </property>
  <property fmtid="{D5CDD505-2E9C-101B-9397-08002B2CF9AE}" pid="760" name="GDXtool_Dir379.Count">
    <vt:i4>1</vt:i4>
  </property>
  <property fmtid="{D5CDD505-2E9C-101B-9397-08002B2CF9AE}" pid="761" name="GDXtool_Dir380.0">
    <vt:lpwstr>PATH[K:\Balmorel\1971_test\Scenarie_08_SD_50\Data\]NAME[..\1971_test\Scenarie_08_SD_50\Data\]</vt:lpwstr>
  </property>
  <property fmtid="{D5CDD505-2E9C-101B-9397-08002B2CF9AE}" pid="762" name="GDXtool_Dir380.Count">
    <vt:i4>1</vt:i4>
  </property>
  <property fmtid="{D5CDD505-2E9C-101B-9397-08002B2CF9AE}" pid="763" name="GDXtool_Dir381.0">
    <vt:lpwstr>PATH[K:\Balmorel\1971_test\Scenarie_08_SP_30\Data\]NAME[..\1971_test\Scenarie_08_SP_30\Data\]</vt:lpwstr>
  </property>
  <property fmtid="{D5CDD505-2E9C-101B-9397-08002B2CF9AE}" pid="764" name="GDXtool_Dir381.Count">
    <vt:i4>1</vt:i4>
  </property>
  <property fmtid="{D5CDD505-2E9C-101B-9397-08002B2CF9AE}" pid="765" name="GDXtool_Dir382.0">
    <vt:lpwstr>PATH[K:\Balmorel\1971_test\Scenarie_08_SP_50\Data\]NAME[..\1971_test\Scenarie_08_SP_50\Data\]</vt:lpwstr>
  </property>
  <property fmtid="{D5CDD505-2E9C-101B-9397-08002B2CF9AE}" pid="766" name="GDXtool_Dir382.Count">
    <vt:i4>1</vt:i4>
  </property>
  <property fmtid="{D5CDD505-2E9C-101B-9397-08002B2CF9AE}" pid="767" name="GDXtool_Dir383.0">
    <vt:lpwstr>PATH[K:\Balmorel\1971_test\Scenarie_09_SD_30\Data\]NAME[..\1971_test\Scenarie_09_SD_30\Data\]</vt:lpwstr>
  </property>
  <property fmtid="{D5CDD505-2E9C-101B-9397-08002B2CF9AE}" pid="768" name="GDXtool_Dir383.Count">
    <vt:i4>1</vt:i4>
  </property>
  <property fmtid="{D5CDD505-2E9C-101B-9397-08002B2CF9AE}" pid="769" name="GDXtool_Dir384.0">
    <vt:lpwstr>PATH[K:\Balmorel\1971_test\Scenarie_09_SD_50\Data\]NAME[..\1971_test\Scenarie_09_SD_50\Data\]</vt:lpwstr>
  </property>
  <property fmtid="{D5CDD505-2E9C-101B-9397-08002B2CF9AE}" pid="770" name="GDXtool_Dir384.Count">
    <vt:i4>1</vt:i4>
  </property>
  <property fmtid="{D5CDD505-2E9C-101B-9397-08002B2CF9AE}" pid="771" name="GDXtool_Dir385.0">
    <vt:lpwstr>PATH[K:\Balmorel\1971_test\Scenarie_09_SP_30\Data\]NAME[..\1971_test\Scenarie_09_SP_30\Data\]</vt:lpwstr>
  </property>
  <property fmtid="{D5CDD505-2E9C-101B-9397-08002B2CF9AE}" pid="772" name="GDXtool_Dir385.Count">
    <vt:i4>1</vt:i4>
  </property>
  <property fmtid="{D5CDD505-2E9C-101B-9397-08002B2CF9AE}" pid="773" name="GDXtool_Dir386.0">
    <vt:lpwstr>PATH[K:\Balmorel\1971_test\Scenarie_09_SP_50\Data\]NAME[..\1971_test\Scenarie_09_SP_50\Data\]</vt:lpwstr>
  </property>
  <property fmtid="{D5CDD505-2E9C-101B-9397-08002B2CF9AE}" pid="774" name="GDXtool_Dir386.Count">
    <vt:i4>1</vt:i4>
  </property>
  <property fmtid="{D5CDD505-2E9C-101B-9397-08002B2CF9AE}" pid="775" name="GDXtool_Dir387.0">
    <vt:lpwstr>PATH[K:\Balmorel\1971_test\Scenarie_10_SD_30\Data\]NAME[..\1971_test\Scenarie_10_SD_30\Data\]</vt:lpwstr>
  </property>
  <property fmtid="{D5CDD505-2E9C-101B-9397-08002B2CF9AE}" pid="776" name="GDXtool_Dir387.Count">
    <vt:i4>1</vt:i4>
  </property>
  <property fmtid="{D5CDD505-2E9C-101B-9397-08002B2CF9AE}" pid="777" name="GDXtool_Dir388.0">
    <vt:lpwstr>PATH[K:\Balmorel\1971_test\Scenarie_10_SD_50\Data\]NAME[..\1971_test\Scenarie_10_SD_50\Data\]</vt:lpwstr>
  </property>
  <property fmtid="{D5CDD505-2E9C-101B-9397-08002B2CF9AE}" pid="778" name="GDXtool_Dir388.Count">
    <vt:i4>1</vt:i4>
  </property>
  <property fmtid="{D5CDD505-2E9C-101B-9397-08002B2CF9AE}" pid="779" name="GDXtool_Dir389.0">
    <vt:lpwstr>PATH[K:\Balmorel\1971_test\Scenarie_10_SP_30\Data\]NAME[..\1971_test\Scenarie_10_SP_30\Data\]</vt:lpwstr>
  </property>
  <property fmtid="{D5CDD505-2E9C-101B-9397-08002B2CF9AE}" pid="780" name="GDXtool_Dir389.Count">
    <vt:i4>1</vt:i4>
  </property>
  <property fmtid="{D5CDD505-2E9C-101B-9397-08002B2CF9AE}" pid="781" name="GDXtool_Dir390.0">
    <vt:lpwstr>PATH[K:\Balmorel\1971_test\Scenarie_10_SP_50\Data\]NAME[..\1971_test\Scenarie_10_SP_50\Data\]</vt:lpwstr>
  </property>
  <property fmtid="{D5CDD505-2E9C-101B-9397-08002B2CF9AE}" pid="782" name="GDXtool_Dir390.Count">
    <vt:i4>1</vt:i4>
  </property>
  <property fmtid="{D5CDD505-2E9C-101B-9397-08002B2CF9AE}" pid="783" name="GDXtool_Dir391.0">
    <vt:lpwstr>PATH[K:\Balmorel\base\model\]NAME[..\base\model\]</vt:lpwstr>
  </property>
  <property fmtid="{D5CDD505-2E9C-101B-9397-08002B2CF9AE}" pid="784" name="GDXtool_Dir391.Count">
    <vt:i4>1</vt:i4>
  </property>
  <property fmtid="{D5CDD505-2E9C-101B-9397-08002B2CF9AE}" pid="785" name="GDXtool_Dir392.0">
    <vt:lpwstr>PATH[K:\Balmorel\CLBase\Reference\]NAME[..\CLBase\Reference\]</vt:lpwstr>
  </property>
  <property fmtid="{D5CDD505-2E9C-101B-9397-08002B2CF9AE}" pid="786" name="GDXtool_Dir392.Count">
    <vt:i4>1</vt:i4>
  </property>
  <property fmtid="{D5CDD505-2E9C-101B-9397-08002B2CF9AE}" pid="787" name="GDXtool_Dir393.0">
    <vt:lpwstr>PATH[K:\Balmorel\CLBase\CCS_newtechs\]NAME[..\CLBase\CCS_newtechs\]</vt:lpwstr>
  </property>
  <property fmtid="{D5CDD505-2E9C-101B-9397-08002B2CF9AE}" pid="788" name="GDXtool_Dir393.Count">
    <vt:i4>1</vt:i4>
  </property>
  <property fmtid="{D5CDD505-2E9C-101B-9397-08002B2CF9AE}" pid="789" name="GDXtool_Dir394.0">
    <vt:lpwstr>PATH[K:\Balmorel\CLBase\CCS_newtechsKJ\]NAME[..\CLBase\CCS_newtechsKJ\]</vt:lpwstr>
  </property>
  <property fmtid="{D5CDD505-2E9C-101B-9397-08002B2CF9AE}" pid="790" name="GDXtool_Dir394.Count">
    <vt:i4>1</vt:i4>
  </property>
  <property fmtid="{D5CDD505-2E9C-101B-9397-08002B2CF9AE}" pid="791" name="GDXtool_Dir395.0">
    <vt:lpwstr>PATH[K:\Balmorel\CLBase\CCS_OnlyOneNewTech\]NAME[..\CLBase\CCS_OnlyOneNewTech\]</vt:lpwstr>
  </property>
  <property fmtid="{D5CDD505-2E9C-101B-9397-08002B2CF9AE}" pid="792" name="GDXtool_Dir395.Count">
    <vt:i4>1</vt:i4>
  </property>
  <property fmtid="{D5CDD505-2E9C-101B-9397-08002B2CF9AE}" pid="793" name="GDXtool_Dir396.0">
    <vt:lpwstr>PATH[K:\Balmorel\CLBase\CCS_OnlyOneNewTech_MW\]NAME[..\CLBase\CCS_OnlyOneNewTech_MW\]</vt:lpwstr>
  </property>
  <property fmtid="{D5CDD505-2E9C-101B-9397-08002B2CF9AE}" pid="794" name="GDXtool_Dir396.Count">
    <vt:i4>1</vt:i4>
  </property>
  <property fmtid="{D5CDD505-2E9C-101B-9397-08002B2CF9AE}" pid="795" name="GDXtool_Dir397.0">
    <vt:lpwstr>PATH[K:\Balmorel\CLBase\CCS_OnlyOneNewTech_WO_BP_EXT_MW\]NAME[..\CLBase\CCS_OnlyOneNewTech_WO_BP_EXT_MW\]</vt:lpwstr>
  </property>
  <property fmtid="{D5CDD505-2E9C-101B-9397-08002B2CF9AE}" pid="796" name="GDXtool_Dir397.Count">
    <vt:i4>1</vt:i4>
  </property>
  <property fmtid="{D5CDD505-2E9C-101B-9397-08002B2CF9AE}" pid="797" name="GDXtool_Dir398.0">
    <vt:lpwstr>PATH[K:\Balmorel\CLBase\CCS_OnlyOneNewTech_WO_BP_MW\]NAME[..\CLBase\CCS_OnlyOneNewTech_WO_BP_MW\]</vt:lpwstr>
  </property>
  <property fmtid="{D5CDD505-2E9C-101B-9397-08002B2CF9AE}" pid="798" name="GDXtool_Dir398.Count">
    <vt:i4>1</vt:i4>
  </property>
  <property fmtid="{D5CDD505-2E9C-101B-9397-08002B2CF9AE}" pid="799" name="GDXtool_Dir399.0">
    <vt:lpwstr>PATH[K:\Balmorel\CLBase\CCS_OnlyOneNewTech_WO_CON_EXT_BP\]NAME[..\CLBase\CCS_OnlyOneNewTech_WO_CON_EXT_BP\]</vt:lpwstr>
  </property>
  <property fmtid="{D5CDD505-2E9C-101B-9397-08002B2CF9AE}" pid="800" name="GDXtool_Dir399.Count">
    <vt:i4>1</vt:i4>
  </property>
  <property fmtid="{D5CDD505-2E9C-101B-9397-08002B2CF9AE}" pid="801" name="GDXtool_Dir400.0">
    <vt:lpwstr>PATH[K:\Balmorel\CLBase\CCS_OnlyOneNewTech_WO_EXT_BP\]NAME[..\CLBase\CCS_OnlyOneNewTech_WO_EXT_BP\]</vt:lpwstr>
  </property>
  <property fmtid="{D5CDD505-2E9C-101B-9397-08002B2CF9AE}" pid="802" name="GDXtool_Dir400.Count">
    <vt:i4>1</vt:i4>
  </property>
  <property fmtid="{D5CDD505-2E9C-101B-9397-08002B2CF9AE}" pid="803" name="GDXtool_Dir401.0">
    <vt:lpwstr>PATH[K:\Balmorel\CLBase\CCS_OnlyOneNewTech_WO_EXT_MW\]NAME[..\CLBase\CCS_OnlyOneNewTech_WO_EXT_MW\]</vt:lpwstr>
  </property>
  <property fmtid="{D5CDD505-2E9C-101B-9397-08002B2CF9AE}" pid="804" name="GDXtool_Dir401.Count">
    <vt:i4>1</vt:i4>
  </property>
  <property fmtid="{D5CDD505-2E9C-101B-9397-08002B2CF9AE}" pid="805" name="GDXtool_Dir402.0">
    <vt:lpwstr>PATH[K:\Balmorel\CLBase\CCS_OnlyOneNewTech_WO_EXT_MW_newMWfuel\]NAME[..\CLBase\CCS_OnlyOneNewTech_WO_EXT_MW_newMWfuel\]</vt:lpwstr>
  </property>
  <property fmtid="{D5CDD505-2E9C-101B-9397-08002B2CF9AE}" pid="806" name="GDXtool_Dir402.Count">
    <vt:i4>1</vt:i4>
  </property>
  <property fmtid="{D5CDD505-2E9C-101B-9397-08002B2CF9AE}" pid="807" name="GDXtool_Dir403.0">
    <vt:lpwstr>PATH[K:\Balmorel\CLBase\CCS_OnlyOneNewTech_WO_MW\]NAME[..\CLBase\CCS_OnlyOneNewTech_WO_MW\]</vt:lpwstr>
  </property>
  <property fmtid="{D5CDD505-2E9C-101B-9397-08002B2CF9AE}" pid="808" name="GDXtool_Dir403.Count">
    <vt:i4>1</vt:i4>
  </property>
  <property fmtid="{D5CDD505-2E9C-101B-9397-08002B2CF9AE}" pid="809" name="GDXtool_Dir404.0">
    <vt:lpwstr>PATH[K:\Balmorel\CLBase\CCS_OnlyOneNewTech_WP_CON_EXT\]NAME[..\CLBase\CCS_OnlyOneNewTech_WP_CON_EXT\]</vt:lpwstr>
  </property>
  <property fmtid="{D5CDD505-2E9C-101B-9397-08002B2CF9AE}" pid="810" name="GDXtool_Dir404.Count">
    <vt:i4>1</vt:i4>
  </property>
  <property fmtid="{D5CDD505-2E9C-101B-9397-08002B2CF9AE}" pid="811" name="GDXtool_Dir405.0">
    <vt:lpwstr>PATH[K:\Balmorel\CLBase\CCS_TwoNewTech\]NAME[..\CLBase\CCS_TwoNewTech\]</vt:lpwstr>
  </property>
  <property fmtid="{D5CDD505-2E9C-101B-9397-08002B2CF9AE}" pid="812" name="GDXtool_Dir405.Count">
    <vt:i4>1</vt:i4>
  </property>
  <property fmtid="{D5CDD505-2E9C-101B-9397-08002B2CF9AE}" pid="813" name="GDXtool_Dir406.0">
    <vt:lpwstr>PATH[K:\Balmorel\CLBase\FuelCap_after\]NAME[..\CLBase\FuelCap_after\]</vt:lpwstr>
  </property>
  <property fmtid="{D5CDD505-2E9C-101B-9397-08002B2CF9AE}" pid="814" name="GDXtool_Dir406.Count">
    <vt:i4>1</vt:i4>
  </property>
  <property fmtid="{D5CDD505-2E9C-101B-9397-08002B2CF9AE}" pid="815" name="GDXtool_Dir407.0">
    <vt:lpwstr>PATH[K:\Balmorel\CLBase\FuelCap_before\]NAME[..\CLBase\FuelCap_before\]</vt:lpwstr>
  </property>
  <property fmtid="{D5CDD505-2E9C-101B-9397-08002B2CF9AE}" pid="816" name="GDXtool_Dir407.Count">
    <vt:i4>1</vt:i4>
  </property>
  <property fmtid="{D5CDD505-2E9C-101B-9397-08002B2CF9AE}" pid="817" name="GDXtool_Dir408.0">
    <vt:lpwstr>PATH[K:\Balmorel\CLBase\Reference_inkl.ReserveFix\]NAME[..\CLBase\Reference_inkl.ReserveFix\]</vt:lpwstr>
  </property>
  <property fmtid="{D5CDD505-2E9C-101B-9397-08002B2CF9AE}" pid="818" name="GDXtool_Dir408.Count">
    <vt:i4>1</vt:i4>
  </property>
  <property fmtid="{D5CDD505-2E9C-101B-9397-08002B2CF9AE}" pid="819" name="GDXtool_Dir409.0">
    <vt:lpwstr>PATH[K:\Balmorel\CLBase\TestKJ\]NAME[..\CLBase\TestKJ\]</vt:lpwstr>
  </property>
  <property fmtid="{D5CDD505-2E9C-101B-9397-08002B2CF9AE}" pid="820" name="GDXtool_Dir409.Count">
    <vt:i4>1</vt:i4>
  </property>
  <property fmtid="{D5CDD505-2E9C-101B-9397-08002B2CF9AE}" pid="821" name="GDXtool_Dir410.0">
    <vt:lpwstr>PATH[K:\Balmorel\CLBase\Vindmoelleupdate\]NAME[..\CLBase\Vindmoelleupdate\]</vt:lpwstr>
  </property>
  <property fmtid="{D5CDD505-2E9C-101B-9397-08002B2CF9AE}" pid="822" name="GDXtool_Dir410.Count">
    <vt:i4>1</vt:i4>
  </property>
  <property fmtid="{D5CDD505-2E9C-101B-9397-08002B2CF9AE}" pid="823" name="GDXtool_Dir411.0">
    <vt:lpwstr>PATH[K:\Balmorel\CLBase\CCS_newtechs\Data\]NAME[..\CLBase\CCS_newtechs\Data\]</vt:lpwstr>
  </property>
  <property fmtid="{D5CDD505-2E9C-101B-9397-08002B2CF9AE}" pid="824" name="GDXtool_Dir411.Count">
    <vt:i4>1</vt:i4>
  </property>
  <property fmtid="{D5CDD505-2E9C-101B-9397-08002B2CF9AE}" pid="825" name="GDXtool_Dir412.0">
    <vt:lpwstr>PATH[K:\Balmorel\CLBase\CCS_newtechsKJ\Data\]NAME[..\CLBase\CCS_newtechsKJ\Data\]</vt:lpwstr>
  </property>
  <property fmtid="{D5CDD505-2E9C-101B-9397-08002B2CF9AE}" pid="826" name="GDXtool_Dir412.Count">
    <vt:i4>1</vt:i4>
  </property>
  <property fmtid="{D5CDD505-2E9C-101B-9397-08002B2CF9AE}" pid="827" name="GDXtool_Dir413.0">
    <vt:lpwstr>PATH[K:\Balmorel\CLBase\CCS_OnlyOneNewTech\Data\]NAME[..\CLBase\CCS_OnlyOneNewTech\Data\]</vt:lpwstr>
  </property>
  <property fmtid="{D5CDD505-2E9C-101B-9397-08002B2CF9AE}" pid="828" name="GDXtool_Dir413.Count">
    <vt:i4>1</vt:i4>
  </property>
  <property fmtid="{D5CDD505-2E9C-101B-9397-08002B2CF9AE}" pid="829" name="GDXtool_Dir414.0">
    <vt:lpwstr>PATH[K:\Balmorel\CLBase\CCS_OnlyOneNewTech_MW\Data\]NAME[..\CLBase\CCS_OnlyOneNewTech_MW\Data\]</vt:lpwstr>
  </property>
  <property fmtid="{D5CDD505-2E9C-101B-9397-08002B2CF9AE}" pid="830" name="GDXtool_Dir414.Count">
    <vt:i4>1</vt:i4>
  </property>
  <property fmtid="{D5CDD505-2E9C-101B-9397-08002B2CF9AE}" pid="831" name="GDXtool_Dir415.0">
    <vt:lpwstr>PATH[K:\Balmorel\CLBase\CCS_OnlyOneNewTech_WO_BP_EXT_MW\Data\]NAME[..\CLBase\CCS_OnlyOneNewTech_WO_BP_EXT_MW\Data\]</vt:lpwstr>
  </property>
  <property fmtid="{D5CDD505-2E9C-101B-9397-08002B2CF9AE}" pid="832" name="GDXtool_Dir415.Count">
    <vt:i4>1</vt:i4>
  </property>
  <property fmtid="{D5CDD505-2E9C-101B-9397-08002B2CF9AE}" pid="833" name="GDXtool_Dir416.0">
    <vt:lpwstr>PATH[K:\Balmorel\CLBase\CCS_OnlyOneNewTech_WO_BP_MW\Data\]NAME[..\CLBase\CCS_OnlyOneNewTech_WO_BP_MW\Data\]</vt:lpwstr>
  </property>
  <property fmtid="{D5CDD505-2E9C-101B-9397-08002B2CF9AE}" pid="834" name="GDXtool_Dir416.Count">
    <vt:i4>1</vt:i4>
  </property>
  <property fmtid="{D5CDD505-2E9C-101B-9397-08002B2CF9AE}" pid="835" name="GDXtool_Dir417.0">
    <vt:lpwstr>PATH[K:\Balmorel\CLBase\CCS_OnlyOneNewTech_WO_CON_EXT_BP\Data\]NAME[..\CLBase\CCS_OnlyOneNewTech_WO_CON_EXT_BP\Data\]</vt:lpwstr>
  </property>
  <property fmtid="{D5CDD505-2E9C-101B-9397-08002B2CF9AE}" pid="836" name="GDXtool_Dir417.Count">
    <vt:i4>1</vt:i4>
  </property>
  <property fmtid="{D5CDD505-2E9C-101B-9397-08002B2CF9AE}" pid="837" name="GDXtool_Dir418.0">
    <vt:lpwstr>PATH[K:\Balmorel\CLBase\CCS_OnlyOneNewTech_WO_EXT_BP\Data\]NAME[..\CLBase\CCS_OnlyOneNewTech_WO_EXT_BP\Data\]</vt:lpwstr>
  </property>
  <property fmtid="{D5CDD505-2E9C-101B-9397-08002B2CF9AE}" pid="838" name="GDXtool_Dir418.Count">
    <vt:i4>1</vt:i4>
  </property>
  <property fmtid="{D5CDD505-2E9C-101B-9397-08002B2CF9AE}" pid="839" name="GDXtool_Dir419.0">
    <vt:lpwstr>PATH[K:\Balmorel\CLBase\CCS_OnlyOneNewTech_WO_EXT_MW\Data\]NAME[..\CLBase\CCS_OnlyOneNewTech_WO_EXT_MW\Data\]</vt:lpwstr>
  </property>
  <property fmtid="{D5CDD505-2E9C-101B-9397-08002B2CF9AE}" pid="840" name="GDXtool_Dir419.Count">
    <vt:i4>1</vt:i4>
  </property>
  <property fmtid="{D5CDD505-2E9C-101B-9397-08002B2CF9AE}" pid="841" name="GDXtool_Dir420.0">
    <vt:lpwstr>PATH[K:\Balmorel\CLBase\CCS_OnlyOneNewTech_WO_EXT_MW_newMWfuel\Data\]NAME[..\CLBase\CCS_OnlyOneNewTech_WO_EXT_MW_newMWfuel\Data\]</vt:lpwstr>
  </property>
  <property fmtid="{D5CDD505-2E9C-101B-9397-08002B2CF9AE}" pid="842" name="GDXtool_Dir420.Count">
    <vt:i4>1</vt:i4>
  </property>
  <property fmtid="{D5CDD505-2E9C-101B-9397-08002B2CF9AE}" pid="843" name="GDXtool_Dir421.0">
    <vt:lpwstr>PATH[K:\Balmorel\CLBase\CCS_OnlyOneNewTech_WO_MW\Data\]NAME[..\CLBase\CCS_OnlyOneNewTech_WO_MW\Data\]</vt:lpwstr>
  </property>
  <property fmtid="{D5CDD505-2E9C-101B-9397-08002B2CF9AE}" pid="844" name="GDXtool_Dir421.Count">
    <vt:i4>1</vt:i4>
  </property>
  <property fmtid="{D5CDD505-2E9C-101B-9397-08002B2CF9AE}" pid="845" name="GDXtool_Dir422.0">
    <vt:lpwstr>PATH[K:\Balmorel\CLBase\CCS_OnlyOneNewTech_WP_CON_EXT\Data\]NAME[..\CLBase\CCS_OnlyOneNewTech_WP_CON_EXT\Data\]</vt:lpwstr>
  </property>
  <property fmtid="{D5CDD505-2E9C-101B-9397-08002B2CF9AE}" pid="846" name="GDXtool_Dir422.Count">
    <vt:i4>1</vt:i4>
  </property>
  <property fmtid="{D5CDD505-2E9C-101B-9397-08002B2CF9AE}" pid="847" name="GDXtool_Dir423.0">
    <vt:lpwstr>PATH[K:\Balmorel\CLBase\CCS_TwoNewTech\Data\]NAME[..\CLBase\CCS_TwoNewTech\Data\]</vt:lpwstr>
  </property>
  <property fmtid="{D5CDD505-2E9C-101B-9397-08002B2CF9AE}" pid="848" name="GDXtool_Dir423.Count">
    <vt:i4>1</vt:i4>
  </property>
  <property fmtid="{D5CDD505-2E9C-101B-9397-08002B2CF9AE}" pid="849" name="GDXtool_Dir424.0">
    <vt:lpwstr>PATH[K:\Balmorel\CLBase\FuelCap_after\Data\]NAME[..\CLBase\FuelCap_after\Data\]</vt:lpwstr>
  </property>
  <property fmtid="{D5CDD505-2E9C-101B-9397-08002B2CF9AE}" pid="850" name="GDXtool_Dir424.Count">
    <vt:i4>1</vt:i4>
  </property>
  <property fmtid="{D5CDD505-2E9C-101B-9397-08002B2CF9AE}" pid="851" name="GDXtool_Dir425.0">
    <vt:lpwstr>PATH[K:\Balmorel\CLBase\FuelCap_before\Data\]NAME[..\CLBase\FuelCap_before\Data\]</vt:lpwstr>
  </property>
  <property fmtid="{D5CDD505-2E9C-101B-9397-08002B2CF9AE}" pid="852" name="GDXtool_Dir425.Count">
    <vt:i4>1</vt:i4>
  </property>
  <property fmtid="{D5CDD505-2E9C-101B-9397-08002B2CF9AE}" pid="853" name="GDXtool_Dir426.0">
    <vt:lpwstr>PATH[K:\Balmorel\CLBase\Reference\Data\]NAME[..\CLBase\Reference\Data\]</vt:lpwstr>
  </property>
  <property fmtid="{D5CDD505-2E9C-101B-9397-08002B2CF9AE}" pid="854" name="GDXtool_Dir426.Count">
    <vt:i4>1</vt:i4>
  </property>
  <property fmtid="{D5CDD505-2E9C-101B-9397-08002B2CF9AE}" pid="855" name="GDXtool_Dir427.0">
    <vt:lpwstr>PATH[K:\Balmorel\CLBase\Reference_inkl.ReserveFix\Data\]NAME[..\CLBase\Reference_inkl.ReserveFix\Data\]</vt:lpwstr>
  </property>
  <property fmtid="{D5CDD505-2E9C-101B-9397-08002B2CF9AE}" pid="856" name="GDXtool_Dir427.Count">
    <vt:i4>1</vt:i4>
  </property>
  <property fmtid="{D5CDD505-2E9C-101B-9397-08002B2CF9AE}" pid="857" name="GDXtool_Dir428.0">
    <vt:lpwstr>PATH[K:\Balmorel\CLBase\TestKJ\Data\]NAME[..\CLBase\TestKJ\Data\]</vt:lpwstr>
  </property>
  <property fmtid="{D5CDD505-2E9C-101B-9397-08002B2CF9AE}" pid="858" name="GDXtool_Dir428.Count">
    <vt:i4>1</vt:i4>
  </property>
  <property fmtid="{D5CDD505-2E9C-101B-9397-08002B2CF9AE}" pid="859" name="GDXtool_Dir429.0">
    <vt:lpwstr>PATH[K:\Balmorel\CLBase\Vindmoelleupdate\Data\]NAME[..\CLBase\Vindmoelleupdate\Data\]</vt:lpwstr>
  </property>
  <property fmtid="{D5CDD505-2E9C-101B-9397-08002B2CF9AE}" pid="860" name="GDXtool_Dir429.Count">
    <vt:i4>1</vt:i4>
  </property>
  <property fmtid="{D5CDD505-2E9C-101B-9397-08002B2CF9AE}" pid="861" name="GDXtool_Dir430.0">
    <vt:lpwstr>PATH[K:\Balmorel\COREDATA_ID\Data\]NAME[..\COREDATA_ID\Data\]</vt:lpwstr>
  </property>
  <property fmtid="{D5CDD505-2E9C-101B-9397-08002B2CF9AE}" pid="862" name="GDXtool_Dir430.Count">
    <vt:i4>1</vt:i4>
  </property>
  <property fmtid="{D5CDD505-2E9C-101B-9397-08002B2CF9AE}" pid="863" name="GDXtool_Dir431.0">
    <vt:lpwstr>PATH[K:\Balmorel\Startegic_res_fix\Reference\]NAME[..\Startegic_res_fix\Reference\]</vt:lpwstr>
  </property>
  <property fmtid="{D5CDD505-2E9C-101B-9397-08002B2CF9AE}" pid="864" name="GDXtool_Dir431.Count">
    <vt:i4>1</vt:i4>
  </property>
  <property fmtid="{D5CDD505-2E9C-101B-9397-08002B2CF9AE}" pid="865" name="GDXtool_Dir432.0">
    <vt:lpwstr>PATH[K:\Balmorel\Startegic_res_fix\Fix_suggestion\]NAME[..\Startegic_res_fix\Fix_suggestion\]</vt:lpwstr>
  </property>
  <property fmtid="{D5CDD505-2E9C-101B-9397-08002B2CF9AE}" pid="866" name="GDXtool_Dir432.Count">
    <vt:i4>1</vt:i4>
  </property>
  <property fmtid="{D5CDD505-2E9C-101B-9397-08002B2CF9AE}" pid="867" name="GDXtool_Dir433.0">
    <vt:lpwstr>PATH[K:\Balmorel\Startegic_res_fix\Fix_suggestion\Data\]NAME[..\Startegic_res_fix\Fix_suggestion\Data\]</vt:lpwstr>
  </property>
  <property fmtid="{D5CDD505-2E9C-101B-9397-08002B2CF9AE}" pid="868" name="GDXtool_Dir433.Count">
    <vt:i4>1</vt:i4>
  </property>
  <property fmtid="{D5CDD505-2E9C-101B-9397-08002B2CF9AE}" pid="869" name="currentDBConnection.0">
    <vt:lpwstr>[BalmorelDGE]; { Data Source = northeurope-db-server.database.windows.net; user ID = dge_user; password = SunriseOverIndonesia!!11; Initial Catalog = BalmorelDB-DGE; Trusted_Connection = False; }</vt:lpwstr>
  </property>
  <property fmtid="{D5CDD505-2E9C-101B-9397-08002B2CF9AE}" pid="870" name="currentDBConnection.Count">
    <vt:i4>1</vt:i4>
  </property>
  <property fmtid="{D5CDD505-2E9C-101B-9397-08002B2CF9AE}" pid="871" name="DBConnections.0">
    <vt:lpwstr>[BalmorelDGE]; {Data Source = northeurope-db-server.database.windows.net; user ID = dge_user; password = SunriseOverIndonesia!!11; Initial Catalog = BalmorelDB-DGE; Trusted_Connection = False; }; [BalmoreldbDK]; {Data Source = sql; Integrated Security = S</vt:lpwstr>
  </property>
  <property fmtid="{D5CDD505-2E9C-101B-9397-08002B2CF9AE}" pid="872" name="DBConnections.1">
    <vt:lpwstr>SPI; Initial Catalog = BalmoreldbDK; }; </vt:lpwstr>
  </property>
  <property fmtid="{D5CDD505-2E9C-101B-9397-08002B2CF9AE}" pid="873" name="DBConnections.Count">
    <vt:i4>2</vt:i4>
  </property>
  <property fmtid="{D5CDD505-2E9C-101B-9397-08002B2CF9AE}" pid="874" name="CurrentDirectory.0">
    <vt:lpwstr>W:\Rahadian\COREDATA_coba</vt:lpwstr>
  </property>
  <property fmtid="{D5CDD505-2E9C-101B-9397-08002B2CF9AE}" pid="875" name="CurrentDirectory.Count">
    <vt:i4>1</vt:i4>
  </property>
  <property fmtid="{D5CDD505-2E9C-101B-9397-08002B2CF9AE}" pid="876" name="MediaServiceImageTags">
    <vt:lpwstr/>
  </property>
  <property fmtid="{D5CDD505-2E9C-101B-9397-08002B2CF9AE}" pid="877" name="selectedView.0">
    <vt:lpwstr>Area Results - Annual</vt:lpwstr>
  </property>
  <property fmtid="{D5CDD505-2E9C-101B-9397-08002B2CF9AE}" pid="878" name="selectedView.Count">
    <vt:i4>1</vt:i4>
  </property>
</Properties>
</file>