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energianalyse.sharepoint.com/sites/2020/2050/Shared Documents/LCOE calculator and PPA-tariffs/"/>
    </mc:Choice>
  </mc:AlternateContent>
  <xr:revisionPtr revIDLastSave="4932" documentId="8_{D4BC07C8-9AC4-4803-9BBB-1E1D9DF0C079}" xr6:coauthVersionLast="46" xr6:coauthVersionMax="46" xr10:uidLastSave="{5586ECFE-1096-4A33-ACCD-DC4B54AA34C4}"/>
  <bookViews>
    <workbookView xWindow="28680" yWindow="-120" windowWidth="38640" windowHeight="21240" xr2:uid="{C6CF20D3-FBDD-4BB0-9E76-C18EB57950F4}"/>
  </bookViews>
  <sheets>
    <sheet name="LCOE" sheetId="1" r:id="rId1"/>
  </sheets>
  <externalReferences>
    <externalReference r:id="rId2"/>
  </externalReferences>
  <definedNames>
    <definedName name="chosencurrency">'[1]UserSettings&amp;Results'!$E$21</definedName>
    <definedName name="DiscountRate">'[1]UserSettings&amp;Results'!$E$26</definedName>
    <definedName name="FUELPRICE">#REF!</definedName>
    <definedName name="GDATA">#REF!</definedName>
    <definedName name="rule120">'[1]UserSettings&amp;Results'!$E$35</definedName>
    <definedName name="rule120factor">'[1]UserSettings&amp;Results'!$E$36</definedName>
    <definedName name="solver_adj" localSheetId="0" hidden="1">LCOE!$AF$9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LCOE!$J$22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8.8315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6" i="1" l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E47" i="1"/>
  <c r="AP11" i="1" l="1"/>
  <c r="AP10" i="1"/>
  <c r="AP9" i="1"/>
  <c r="AK15" i="1"/>
  <c r="AK14" i="1"/>
  <c r="AK13" i="1"/>
  <c r="O15" i="1" s="1"/>
  <c r="AK11" i="1"/>
  <c r="AK10" i="1"/>
  <c r="AK9" i="1"/>
  <c r="AK19" i="1"/>
  <c r="AK18" i="1"/>
  <c r="AK17" i="1"/>
  <c r="AK27" i="1"/>
  <c r="AK26" i="1"/>
  <c r="AK25" i="1"/>
  <c r="T15" i="1"/>
  <c r="U15" i="1"/>
  <c r="S15" i="1"/>
  <c r="F15" i="1"/>
  <c r="G15" i="1"/>
  <c r="H15" i="1"/>
  <c r="I15" i="1"/>
  <c r="J15" i="1"/>
  <c r="K15" i="1"/>
  <c r="L15" i="1"/>
  <c r="M15" i="1"/>
  <c r="N15" i="1"/>
  <c r="P15" i="1"/>
  <c r="Q15" i="1"/>
  <c r="R15" i="1"/>
  <c r="E15" i="1"/>
  <c r="J9" i="1"/>
  <c r="AP19" i="1" l="1"/>
  <c r="AP18" i="1"/>
  <c r="AP17" i="1"/>
  <c r="T16" i="1" s="1"/>
  <c r="AP15" i="1"/>
  <c r="AP14" i="1"/>
  <c r="AP13" i="1"/>
  <c r="AQ25" i="1"/>
  <c r="AQ26" i="1"/>
  <c r="AQ27" i="1"/>
  <c r="AQ17" i="1"/>
  <c r="AQ18" i="1"/>
  <c r="AQ19" i="1"/>
  <c r="AQ13" i="1"/>
  <c r="AQ14" i="1"/>
  <c r="AQ15" i="1"/>
  <c r="AQ9" i="1"/>
  <c r="AQ10" i="1"/>
  <c r="AQ11" i="1"/>
  <c r="AP26" i="1"/>
  <c r="AP27" i="1"/>
  <c r="AP25" i="1"/>
  <c r="AO27" i="1"/>
  <c r="AO26" i="1"/>
  <c r="AO25" i="1"/>
  <c r="S17" i="1" s="1"/>
  <c r="AQ22" i="1"/>
  <c r="AQ23" i="1"/>
  <c r="AQ21" i="1"/>
  <c r="AO22" i="1"/>
  <c r="AP22" i="1" s="1"/>
  <c r="AO23" i="1"/>
  <c r="AP23" i="1" s="1"/>
  <c r="AO21" i="1"/>
  <c r="AO19" i="1"/>
  <c r="AO18" i="1"/>
  <c r="AO17" i="1"/>
  <c r="S16" i="1" s="1"/>
  <c r="AO15" i="1"/>
  <c r="AO14" i="1"/>
  <c r="AO13" i="1"/>
  <c r="AO11" i="1"/>
  <c r="AO10" i="1"/>
  <c r="AO9" i="1"/>
  <c r="U16" i="1"/>
  <c r="U17" i="1"/>
  <c r="AP21" i="1"/>
  <c r="AL29" i="1"/>
  <c r="AB29" i="1"/>
  <c r="AC29" i="1" s="1"/>
  <c r="G48" i="1" s="1"/>
  <c r="AB27" i="1"/>
  <c r="AB26" i="1"/>
  <c r="AB25" i="1"/>
  <c r="AB23" i="1"/>
  <c r="AC23" i="1" s="1"/>
  <c r="AB22" i="1"/>
  <c r="AC22" i="1" s="1"/>
  <c r="AB21" i="1"/>
  <c r="F17" i="1" s="1"/>
  <c r="F50" i="1" s="1"/>
  <c r="AB19" i="1"/>
  <c r="AB18" i="1"/>
  <c r="AB17" i="1"/>
  <c r="AB15" i="1"/>
  <c r="AB14" i="1"/>
  <c r="AB13" i="1"/>
  <c r="AB10" i="1"/>
  <c r="AB11" i="1"/>
  <c r="AB9" i="1"/>
  <c r="F48" i="1"/>
  <c r="I48" i="1"/>
  <c r="J48" i="1"/>
  <c r="M48" i="1"/>
  <c r="N48" i="1"/>
  <c r="O48" i="1"/>
  <c r="P48" i="1"/>
  <c r="Q48" i="1"/>
  <c r="R48" i="1"/>
  <c r="F16" i="1"/>
  <c r="F49" i="1" s="1"/>
  <c r="G16" i="1"/>
  <c r="G49" i="1" s="1"/>
  <c r="H16" i="1"/>
  <c r="H49" i="1" s="1"/>
  <c r="I16" i="1"/>
  <c r="J16" i="1"/>
  <c r="K16" i="1"/>
  <c r="K49" i="1" s="1"/>
  <c r="L16" i="1"/>
  <c r="L49" i="1" s="1"/>
  <c r="M16" i="1"/>
  <c r="M49" i="1" s="1"/>
  <c r="N16" i="1"/>
  <c r="O16" i="1"/>
  <c r="O49" i="1" s="1"/>
  <c r="P16" i="1"/>
  <c r="P49" i="1" s="1"/>
  <c r="Q16" i="1"/>
  <c r="Q49" i="1" s="1"/>
  <c r="R16" i="1"/>
  <c r="H17" i="1"/>
  <c r="H50" i="1" s="1"/>
  <c r="I17" i="1"/>
  <c r="I50" i="1" s="1"/>
  <c r="J17" i="1"/>
  <c r="J50" i="1" s="1"/>
  <c r="K17" i="1"/>
  <c r="K50" i="1" s="1"/>
  <c r="L17" i="1"/>
  <c r="L50" i="1" s="1"/>
  <c r="M17" i="1"/>
  <c r="M50" i="1" s="1"/>
  <c r="N17" i="1"/>
  <c r="N50" i="1" s="1"/>
  <c r="O17" i="1"/>
  <c r="O50" i="1" s="1"/>
  <c r="P17" i="1"/>
  <c r="P50" i="1" s="1"/>
  <c r="Q17" i="1"/>
  <c r="Q50" i="1" s="1"/>
  <c r="R17" i="1"/>
  <c r="R50" i="1" s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E46" i="1"/>
  <c r="J10" i="1"/>
  <c r="AC21" i="1" l="1"/>
  <c r="G17" i="1" s="1"/>
  <c r="G50" i="1" s="1"/>
  <c r="T17" i="1"/>
  <c r="I49" i="1"/>
  <c r="R49" i="1"/>
  <c r="N49" i="1"/>
  <c r="J49" i="1"/>
  <c r="K48" i="1"/>
  <c r="L48" i="1"/>
  <c r="H48" i="1"/>
  <c r="E16" i="1"/>
  <c r="E49" i="1" s="1"/>
  <c r="E48" i="1" l="1"/>
  <c r="E17" i="1"/>
  <c r="E50" i="1" s="1"/>
  <c r="AJ28" i="1" l="1"/>
  <c r="AM28" i="1"/>
  <c r="AI28" i="1" l="1"/>
  <c r="C22" i="1" l="1"/>
  <c r="G10" i="1"/>
  <c r="E14" i="1" l="1"/>
  <c r="T14" i="1"/>
  <c r="T19" i="1" s="1"/>
  <c r="T22" i="1" s="1"/>
  <c r="S14" i="1"/>
  <c r="S19" i="1" s="1"/>
  <c r="S22" i="1" s="1"/>
  <c r="U14" i="1"/>
  <c r="U19" i="1" s="1"/>
  <c r="U22" i="1" s="1"/>
  <c r="G14" i="1"/>
  <c r="K14" i="1"/>
  <c r="O14" i="1"/>
  <c r="R14" i="1"/>
  <c r="H14" i="1"/>
  <c r="L14" i="1"/>
  <c r="P14" i="1"/>
  <c r="I14" i="1"/>
  <c r="M14" i="1"/>
  <c r="Q14" i="1"/>
  <c r="J14" i="1"/>
  <c r="N14" i="1"/>
  <c r="F14" i="1"/>
  <c r="R47" i="1" l="1"/>
  <c r="R19" i="1"/>
  <c r="R22" i="1" s="1"/>
  <c r="J47" i="1"/>
  <c r="J19" i="1"/>
  <c r="J22" i="1" s="1"/>
  <c r="P47" i="1"/>
  <c r="P19" i="1"/>
  <c r="P22" i="1" s="1"/>
  <c r="O47" i="1"/>
  <c r="O19" i="1"/>
  <c r="O22" i="1" s="1"/>
  <c r="N47" i="1"/>
  <c r="N19" i="1"/>
  <c r="N22" i="1" s="1"/>
  <c r="Q47" i="1"/>
  <c r="Q19" i="1"/>
  <c r="Q22" i="1" s="1"/>
  <c r="L47" i="1"/>
  <c r="L19" i="1"/>
  <c r="L22" i="1" s="1"/>
  <c r="K47" i="1"/>
  <c r="K19" i="1"/>
  <c r="K22" i="1" s="1"/>
  <c r="I47" i="1"/>
  <c r="I19" i="1"/>
  <c r="I22" i="1" s="1"/>
  <c r="F19" i="1"/>
  <c r="F22" i="1" s="1"/>
  <c r="F47" i="1"/>
  <c r="M47" i="1"/>
  <c r="M19" i="1"/>
  <c r="M22" i="1" s="1"/>
  <c r="H47" i="1"/>
  <c r="H19" i="1"/>
  <c r="H22" i="1" s="1"/>
  <c r="H23" i="1" s="1"/>
  <c r="G47" i="1"/>
  <c r="G19" i="1"/>
  <c r="G22" i="1" s="1"/>
  <c r="G23" i="1" s="1"/>
  <c r="E19" i="1"/>
  <c r="E22" i="1" s="1"/>
  <c r="E23" i="1" s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Alberto Dalla Riva</author>
  </authors>
  <commentList>
    <comment ref="AD21" authorId="0" shapeId="0" xr:uid="{926A8442-D8BD-40E4-9015-AA9C5F411136}">
      <text>
        <r>
          <rPr>
            <b/>
            <sz val="9"/>
            <color indexed="81"/>
            <rFont val="Tahoma"/>
            <family val="2"/>
          </rPr>
          <t>Alberto Dalla Riva:</t>
        </r>
        <r>
          <rPr>
            <sz val="9"/>
            <color indexed="81"/>
            <rFont val="Tahoma"/>
            <family val="2"/>
          </rPr>
          <t xml:space="preserve">
10 USD/Mmbtu in 2020</t>
        </r>
      </text>
    </comment>
  </commentList>
</comments>
</file>

<file path=xl/sharedStrings.xml><?xml version="1.0" encoding="utf-8"?>
<sst xmlns="http://schemas.openxmlformats.org/spreadsheetml/2006/main" count="146" uniqueCount="61">
  <si>
    <t>Fixed O&amp;M</t>
  </si>
  <si>
    <t>Fuel cost</t>
  </si>
  <si>
    <t>Investment</t>
  </si>
  <si>
    <t>Variable O&amp;M</t>
  </si>
  <si>
    <t>Coal</t>
  </si>
  <si>
    <t>Gas</t>
  </si>
  <si>
    <t>Solar</t>
  </si>
  <si>
    <t>Wind</t>
  </si>
  <si>
    <t>Geothermal</t>
  </si>
  <si>
    <t>Biomass</t>
  </si>
  <si>
    <t>Efficiency</t>
  </si>
  <si>
    <t>Year</t>
  </si>
  <si>
    <t>Full load hours</t>
  </si>
  <si>
    <t>High</t>
  </si>
  <si>
    <t>Low</t>
  </si>
  <si>
    <t>LCOE</t>
  </si>
  <si>
    <t>Annuity factor</t>
  </si>
  <si>
    <t>FLH</t>
  </si>
  <si>
    <t>Gas CC</t>
  </si>
  <si>
    <t>Coal Subcritical</t>
  </si>
  <si>
    <t>M$/MW</t>
  </si>
  <si>
    <t>k$/MW/year</t>
  </si>
  <si>
    <t>$/MWh</t>
  </si>
  <si>
    <t>$/GJ</t>
  </si>
  <si>
    <t>%</t>
  </si>
  <si>
    <t>Economical lifetime</t>
  </si>
  <si>
    <t>Interest rate</t>
  </si>
  <si>
    <t>Currency</t>
  </si>
  <si>
    <t>General Input for Simple LCOE calculation</t>
  </si>
  <si>
    <t>Input Information of power plants for Simple LCOE calculation</t>
  </si>
  <si>
    <t>SIMPLE LCOE CALCULATOR</t>
  </si>
  <si>
    <t>Use the cells in yellow to change the input, LCOE is dispayed in green</t>
  </si>
  <si>
    <t>Biogas</t>
  </si>
  <si>
    <t>Waste</t>
  </si>
  <si>
    <t>Reservoir</t>
  </si>
  <si>
    <t>Full load hours are calculated as capacity factor (%) multiplied by 8760</t>
  </si>
  <si>
    <t>Efficiency is expressed in %, can be calculated from heat rate</t>
  </si>
  <si>
    <t>Input in the table is expressed in $2019</t>
  </si>
  <si>
    <t>Conversion from $2019/MWh to currency/kWh:</t>
  </si>
  <si>
    <t>IDR2019</t>
  </si>
  <si>
    <t>c$2019</t>
  </si>
  <si>
    <t>CCS</t>
  </si>
  <si>
    <t>IGCC</t>
  </si>
  <si>
    <t>Coal Flex</t>
  </si>
  <si>
    <t>Tidal</t>
  </si>
  <si>
    <t>PV + battery</t>
  </si>
  <si>
    <t>$2019/MWh</t>
  </si>
  <si>
    <t>Fuel cost is expressed in $/GJ, so you need to transform e.g. $/ton to $/GJ by using the calorific value</t>
  </si>
  <si>
    <t>Hy-large</t>
  </si>
  <si>
    <t>Hy-med</t>
  </si>
  <si>
    <t>Hydro-Med</t>
  </si>
  <si>
    <t>Source: World Bank 2019</t>
  </si>
  <si>
    <t>Coal CCS</t>
  </si>
  <si>
    <t>Gas CCS</t>
  </si>
  <si>
    <t>IGCC CCS</t>
  </si>
  <si>
    <t>Hydro</t>
  </si>
  <si>
    <t>Calculation in $2019 (input currency)</t>
  </si>
  <si>
    <t>Solar PV</t>
  </si>
  <si>
    <t>Flex Coal</t>
  </si>
  <si>
    <t>hours of battery</t>
  </si>
  <si>
    <t>PV+battery (3h)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</si>
</sst>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#,##0;\-#,##0;&quot;-&quot;;@"/>
    <numFmt numFmtId="165" formatCode="#,##0.0;\-#,##0.0;&quot;-&quot;;@"/>
    <numFmt numFmtId="166" formatCode="0.0%"/>
    <numFmt numFmtId="167" formatCode="0.0"/>
    <numFmt numFmtId="168" formatCode="#,##0.00;\-#,##0.00;&quot;-&quot;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0"/>
      <name val="Corbel"/>
      <family val="2"/>
    </font>
    <font>
      <b/>
      <sz val="18"/>
      <color theme="1"/>
      <name val="Corbel"/>
      <family val="2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7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66" fontId="5" fillId="0" borderId="0" xfId="2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165" fontId="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65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2" fontId="5" fillId="0" borderId="0" xfId="0" applyNumberFormat="1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6" fontId="2" fillId="2" borderId="0" xfId="0" applyNumberFormat="1" applyFont="1" applyFill="1" applyAlignment="1">
      <alignment horizontal="center"/>
    </xf>
    <xf numFmtId="0" fontId="8" fillId="0" borderId="0" xfId="0" applyFont="1"/>
    <xf numFmtId="0" fontId="0" fillId="5" borderId="0" xfId="0" applyFill="1"/>
    <xf numFmtId="0" fontId="2" fillId="5" borderId="0" xfId="0" applyFont="1" applyFill="1"/>
    <xf numFmtId="164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49" fontId="4" fillId="5" borderId="0" xfId="0" applyNumberFormat="1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0" fontId="9" fillId="7" borderId="0" xfId="0" applyFont="1" applyFill="1"/>
    <xf numFmtId="0" fontId="10" fillId="7" borderId="0" xfId="0" applyFont="1" applyFill="1"/>
    <xf numFmtId="0" fontId="10" fillId="7" borderId="0" xfId="0" applyFont="1" applyFill="1" applyAlignment="1">
      <alignment horizontal="center"/>
    </xf>
    <xf numFmtId="167" fontId="10" fillId="3" borderId="0" xfId="0" applyNumberFormat="1" applyFont="1" applyFill="1" applyAlignment="1">
      <alignment horizontal="center"/>
    </xf>
    <xf numFmtId="0" fontId="12" fillId="6" borderId="0" xfId="0" applyFont="1" applyFill="1" applyAlignment="1">
      <alignment vertical="center"/>
    </xf>
    <xf numFmtId="6" fontId="14" fillId="7" borderId="0" xfId="0" applyNumberFormat="1" applyFont="1" applyFill="1"/>
    <xf numFmtId="0" fontId="13" fillId="4" borderId="0" xfId="0" applyFont="1" applyFill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3" fontId="0" fillId="2" borderId="0" xfId="1" applyNumberFormat="1" applyFont="1" applyFill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4" borderId="0" xfId="0" applyFont="1" applyFill="1" applyAlignment="1">
      <alignment horizontal="center"/>
    </xf>
    <xf numFmtId="168" fontId="0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14" fillId="7" borderId="0" xfId="0" quotePrefix="1" applyFont="1" applyFill="1"/>
    <xf numFmtId="2" fontId="0" fillId="0" borderId="0" xfId="0" applyNumberFormat="1"/>
    <xf numFmtId="0" fontId="2" fillId="5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</cellXfs>
  <cellStyles count="4">
    <cellStyle name="Comma" xfId="1" builtinId="3"/>
    <cellStyle name="Normal" xfId="0" builtinId="0"/>
    <cellStyle name="Percent" xfId="2" builtinId="5"/>
    <cellStyle name="Percent 12" xfId="3" xr:uid="{0C5A42D6-28FE-449A-B8D1-0CACBB1A8AD5}"/>
  </cellStyles>
  <dxfs count="0"/>
  <tableStyles count="0" defaultTableStyle="TableStyleMedium2" defaultPivotStyle="PivotStyleLight16"/>
  <colors>
    <mruColors>
      <color rgb="FF82CBF2"/>
      <color rgb="FF993300"/>
      <color rgb="FF2A74A8"/>
      <color rgb="FFFFC000"/>
      <color rgb="FFC4E0B4"/>
      <color rgb="FF333F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45751101161773E-2"/>
          <c:y val="7.2956019651453111E-2"/>
          <c:w val="0.91129172818199677"/>
          <c:h val="0.71419234580786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LCOE!$D$22</c:f>
              <c:strCache>
                <c:ptCount val="1"/>
                <c:pt idx="0">
                  <c:v>LCOE</c:v>
                </c:pt>
              </c:strCache>
            </c:strRef>
          </c:tx>
          <c:spPr>
            <a:solidFill>
              <a:srgbClr val="0D0D0D"/>
            </a:solidFill>
            <a:ln>
              <a:noFill/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D0D0D"/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C-C158-4893-A5DC-8BDCBBFE862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F3-450F-8A3A-69E2B307714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F3-450F-8A3A-69E2B307714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F3-450F-8A3A-69E2B307714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F3-450F-8A3A-69E2B307714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E-5A46-4E7E-BCDF-1766650D030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F-0E40-4C3B-94AD-62E30EFC265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12-6EAC-430C-8E93-529AB91005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18-DD5D-4583-847A-FB92AFE133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11-DD5D-4583-847A-FB92AFE1337C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158-4893-A5DC-8BDCBBFE8629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BF3-450F-8A3A-69E2B307714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LCOE!$E$21:$R$21</c15:sqref>
                  </c15:fullRef>
                </c:ext>
              </c:extLst>
              <c:f>(LCOE!$E$21:$K$21,LCOE!$M$21:$O$21,LCOE!$Q$21)</c:f>
              <c:strCache>
                <c:ptCount val="11"/>
                <c:pt idx="0">
                  <c:v>Coal Subcritical</c:v>
                </c:pt>
                <c:pt idx="1">
                  <c:v>Flex Coal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 PV</c:v>
                </c:pt>
                <c:pt idx="9">
                  <c:v>PV+battery (3h)</c:v>
                </c:pt>
                <c:pt idx="10">
                  <c:v>Hydro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LCOE!$E$22:$R$22</c15:sqref>
                  </c15:fullRef>
                </c:ext>
              </c:extLst>
              <c:f>(LCOE!$E$22:$K$22,LCOE!$M$22:$O$22,LCOE!$Q$22)</c:f>
              <c:numCache>
                <c:formatCode>0.0</c:formatCode>
                <c:ptCount val="11"/>
                <c:pt idx="0">
                  <c:v>7.4364058626430651</c:v>
                </c:pt>
                <c:pt idx="1">
                  <c:v>8.0002120615512862</c:v>
                </c:pt>
                <c:pt idx="2">
                  <c:v>9.3587079927214667</c:v>
                </c:pt>
                <c:pt idx="3">
                  <c:v>7.8306734441865222</c:v>
                </c:pt>
                <c:pt idx="4">
                  <c:v>6.9561799878691097</c:v>
                </c:pt>
                <c:pt idx="5">
                  <c:v>7.5507942950098244</c:v>
                </c:pt>
                <c:pt idx="6">
                  <c:v>6.7891563023031756</c:v>
                </c:pt>
                <c:pt idx="7">
                  <c:v>7.8729812386272897</c:v>
                </c:pt>
                <c:pt idx="8">
                  <c:v>6.0796059183034963</c:v>
                </c:pt>
                <c:pt idx="9">
                  <c:v>13.764783218136124</c:v>
                </c:pt>
                <c:pt idx="10">
                  <c:v>5.7053203905379055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LCOE!$L$22</c15:sqref>
                  <c15:spPr xmlns:c15="http://schemas.microsoft.com/office/drawing/2012/chart">
                    <a:solidFill>
                      <a:srgbClr val="7030A0"/>
                    </a:solidFill>
                    <a:ln>
                      <a:noFill/>
                      <a:prstDash val="solid"/>
                    </a:ln>
                    <a:effectLst/>
                  </c15:spPr>
                  <c15:invertIfNegative val="0"/>
                  <c15:bubble3D val="0"/>
                  <c15:dLbl>
                    <c:idx val="6"/>
                    <c:numFmt formatCode="#,##0.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1200" b="1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6-6616-421D-A32D-C4133C715F29}"/>
                      </c:ext>
                    </c:extLst>
                  </c15:dLbl>
                </c15:categoryFilterException>
                <c15:categoryFilterException>
                  <c15:sqref>LCOE!$P$22</c15:sqref>
                  <c15:spPr xmlns:c15="http://schemas.microsoft.com/office/drawing/2012/chart"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  <a:prstDash val="solid"/>
                    </a:ln>
                    <a:effectLst/>
                  </c15:spPr>
                </c15:categoryFilterException>
                <c15:categoryFilterException>
                  <c15:sqref>LCOE!$R$22</c15:sqref>
                  <c15:spPr xmlns:c15="http://schemas.microsoft.com/office/drawing/2012/chart">
                    <a:solidFill>
                      <a:srgbClr val="002060"/>
                    </a:solidFill>
                    <a:ln>
                      <a:noFill/>
                      <a:prstDash val="solid"/>
                    </a:ln>
                    <a:effectLst/>
                  </c15:spPr>
                  <c15:invertIfNegative val="0"/>
                  <c15:bubble3D val="0"/>
                  <c15:dLbl>
                    <c:idx val="10"/>
                    <c:numFmt formatCode="#,##0.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1200" b="1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9-6616-421D-A32D-C4133C715F2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BF3-450F-8A3A-69E2B3077144}"/>
            </c:ext>
          </c:extLst>
        </c:ser>
        <c:ser>
          <c:idx val="1"/>
          <c:order val="1"/>
          <c:tx>
            <c:strRef>
              <c:f>LCOE!$D$23</c:f>
              <c:strCache>
                <c:ptCount val="1"/>
                <c:pt idx="0">
                  <c:v>CCS</c:v>
                </c:pt>
              </c:strCache>
            </c:strRef>
          </c:tx>
          <c:spPr>
            <a:pattFill prst="dkUp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LCOE!$E$21:$R$21</c15:sqref>
                  </c15:fullRef>
                </c:ext>
              </c:extLst>
              <c:f>(LCOE!$E$21:$K$21,LCOE!$M$21:$O$21,LCOE!$Q$21)</c:f>
              <c:strCache>
                <c:ptCount val="11"/>
                <c:pt idx="0">
                  <c:v>Coal Subcritical</c:v>
                </c:pt>
                <c:pt idx="1">
                  <c:v>Flex Coal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 PV</c:v>
                </c:pt>
                <c:pt idx="9">
                  <c:v>PV+battery (3h)</c:v>
                </c:pt>
                <c:pt idx="10">
                  <c:v>Hydro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LCOE!$E$23:$R$23</c15:sqref>
                  </c15:fullRef>
                </c:ext>
              </c:extLst>
              <c:f>(LCOE!$E$23:$K$23,LCOE!$M$23:$O$23,LCOE!$Q$23)</c:f>
              <c:numCache>
                <c:formatCode>0.0</c:formatCode>
                <c:ptCount val="11"/>
                <c:pt idx="0">
                  <c:v>5.2244509982340048</c:v>
                </c:pt>
                <c:pt idx="1">
                  <c:v>5.2244509982340048</c:v>
                </c:pt>
                <c:pt idx="2">
                  <c:v>3.0364885804522466</c:v>
                </c:pt>
                <c:pt idx="3">
                  <c:v>2.9593360168999352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A07-4953-89FA-FB6DC23F5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100"/>
        <c:axId val="395009664"/>
        <c:axId val="2108120160"/>
      </c:barChart>
      <c:catAx>
        <c:axId val="3950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120160"/>
        <c:crosses val="autoZero"/>
        <c:auto val="1"/>
        <c:lblAlgn val="ctr"/>
        <c:lblOffset val="100"/>
        <c:noMultiLvlLbl val="0"/>
      </c:catAx>
      <c:valAx>
        <c:axId val="21081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Levelized Cost of Electricity [cUSD/kWh]</a:t>
                </a:r>
              </a:p>
            </c:rich>
          </c:tx>
          <c:layout>
            <c:manualLayout>
              <c:xMode val="edge"/>
              <c:yMode val="edge"/>
              <c:x val="9.6969408441173674E-3"/>
              <c:y val="0.14564813895068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0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02933224461747E-2"/>
          <c:y val="4.7574731608941406E-2"/>
          <c:w val="0.91375579742508173"/>
          <c:h val="0.736612115760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LCOE!$C$47:$D$47</c:f>
              <c:strCache>
                <c:ptCount val="2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LCOE!$E$13:$U$13</c15:sqref>
                  </c15:fullRef>
                </c:ext>
              </c:extLst>
              <c:f>(LCOE!$E$13:$K$13,LCOE!$M$13:$O$13,LCOE!$Q$13,LCOE!$S$13:$U$13)</c:f>
              <c:strCache>
                <c:ptCount val="14"/>
                <c:pt idx="0">
                  <c:v>Coal</c:v>
                </c:pt>
                <c:pt idx="1">
                  <c:v>Coal Flex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</c:v>
                </c:pt>
                <c:pt idx="9">
                  <c:v>PV + battery</c:v>
                </c:pt>
                <c:pt idx="10">
                  <c:v>Hy-large</c:v>
                </c:pt>
                <c:pt idx="11">
                  <c:v>Coal CCS</c:v>
                </c:pt>
                <c:pt idx="12">
                  <c:v>IGCC CCS</c:v>
                </c:pt>
                <c:pt idx="13">
                  <c:v>Gas CCS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LCOE!$E$47:$U$47</c15:sqref>
                  </c15:fullRef>
                </c:ext>
              </c:extLst>
              <c:f>(LCOE!$E$47:$K$47,LCOE!$M$47:$O$47,LCOE!$Q$47,LCOE!$S$47:$U$47)</c:f>
              <c:numCache>
                <c:formatCode>#,##0;\-#,##0;"-";@</c:formatCode>
                <c:ptCount val="14"/>
                <c:pt idx="0">
                  <c:v>2.5841117449960072</c:v>
                </c:pt>
                <c:pt idx="1">
                  <c:v>3.1479179439042273</c:v>
                </c:pt>
                <c:pt idx="2">
                  <c:v>3.7587079927214653</c:v>
                </c:pt>
                <c:pt idx="3">
                  <c:v>1.1578163013293798</c:v>
                </c:pt>
                <c:pt idx="4">
                  <c:v>6.2645133212024433</c:v>
                </c:pt>
                <c:pt idx="5">
                  <c:v>3.1322566606012217</c:v>
                </c:pt>
                <c:pt idx="6">
                  <c:v>3.3671759101463126</c:v>
                </c:pt>
                <c:pt idx="7">
                  <c:v>5.8729812386272897</c:v>
                </c:pt>
                <c:pt idx="8">
                  <c:v>5.3024630611606387</c:v>
                </c:pt>
                <c:pt idx="9">
                  <c:v>12.766183218136121</c:v>
                </c:pt>
                <c:pt idx="10">
                  <c:v>4.8863203905379056</c:v>
                </c:pt>
                <c:pt idx="11">
                  <c:v>5.6380619890821979</c:v>
                </c:pt>
                <c:pt idx="12">
                  <c:v>5.2465299065070452</c:v>
                </c:pt>
                <c:pt idx="13">
                  <c:v>2.8816761277531238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BA-461F-AD77-BBA09CE64B1E}"/>
            </c:ext>
          </c:extLst>
        </c:ser>
        <c:ser>
          <c:idx val="1"/>
          <c:order val="1"/>
          <c:tx>
            <c:strRef>
              <c:f>LCOE!$C$48:$D$48</c:f>
              <c:strCache>
                <c:ptCount val="2"/>
                <c:pt idx="0">
                  <c:v>Fixed O&amp;M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LCOE!$E$13:$U$13</c15:sqref>
                  </c15:fullRef>
                </c:ext>
              </c:extLst>
              <c:f>(LCOE!$E$13:$K$13,LCOE!$M$13:$O$13,LCOE!$Q$13,LCOE!$S$13:$U$13)</c:f>
              <c:strCache>
                <c:ptCount val="14"/>
                <c:pt idx="0">
                  <c:v>Coal</c:v>
                </c:pt>
                <c:pt idx="1">
                  <c:v>Coal Flex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</c:v>
                </c:pt>
                <c:pt idx="9">
                  <c:v>PV + battery</c:v>
                </c:pt>
                <c:pt idx="10">
                  <c:v>Hy-large</c:v>
                </c:pt>
                <c:pt idx="11">
                  <c:v>Coal CCS</c:v>
                </c:pt>
                <c:pt idx="12">
                  <c:v>IGCC CCS</c:v>
                </c:pt>
                <c:pt idx="13">
                  <c:v>Gas CCS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LCOE!$E$48:$U$48</c15:sqref>
                  </c15:fullRef>
                </c:ext>
              </c:extLst>
              <c:f>(LCOE!$E$48:$K$48,LCOE!$M$48:$O$48,LCOE!$Q$48,LCOE!$S$48:$U$48)</c:f>
              <c:numCache>
                <c:formatCode>#,##0;\-#,##0;"-";@</c:formatCode>
                <c:ptCount val="14"/>
                <c:pt idx="0">
                  <c:v>0.60400000000000009</c:v>
                </c:pt>
                <c:pt idx="1">
                  <c:v>0.60400000000000009</c:v>
                </c:pt>
                <c:pt idx="2">
                  <c:v>0.8</c:v>
                </c:pt>
                <c:pt idx="3">
                  <c:v>0.33571428571428574</c:v>
                </c:pt>
                <c:pt idx="4">
                  <c:v>0.66666666666666674</c:v>
                </c:pt>
                <c:pt idx="5">
                  <c:v>0.63466666666666671</c:v>
                </c:pt>
                <c:pt idx="6">
                  <c:v>1.2933333333333334</c:v>
                </c:pt>
                <c:pt idx="7">
                  <c:v>2</c:v>
                </c:pt>
                <c:pt idx="8">
                  <c:v>0.77714285714285714</c:v>
                </c:pt>
                <c:pt idx="9">
                  <c:v>0.88360000000000005</c:v>
                </c:pt>
                <c:pt idx="10">
                  <c:v>0.754</c:v>
                </c:pt>
                <c:pt idx="11">
                  <c:v>1.1613333333333333</c:v>
                </c:pt>
                <c:pt idx="12">
                  <c:v>0.91866666666666674</c:v>
                </c:pt>
                <c:pt idx="13">
                  <c:v>0.43333333333333335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BA-461F-AD77-BBA09CE64B1E}"/>
            </c:ext>
          </c:extLst>
        </c:ser>
        <c:ser>
          <c:idx val="2"/>
          <c:order val="2"/>
          <c:tx>
            <c:strRef>
              <c:f>LCOE!$C$49:$D$49</c:f>
              <c:strCache>
                <c:ptCount val="2"/>
                <c:pt idx="0">
                  <c:v>Variable O&amp;M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LCOE!$E$13:$U$13</c15:sqref>
                  </c15:fullRef>
                </c:ext>
              </c:extLst>
              <c:f>(LCOE!$E$13:$K$13,LCOE!$M$13:$O$13,LCOE!$Q$13,LCOE!$S$13:$U$13)</c:f>
              <c:strCache>
                <c:ptCount val="14"/>
                <c:pt idx="0">
                  <c:v>Coal</c:v>
                </c:pt>
                <c:pt idx="1">
                  <c:v>Coal Flex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</c:v>
                </c:pt>
                <c:pt idx="9">
                  <c:v>PV + battery</c:v>
                </c:pt>
                <c:pt idx="10">
                  <c:v>Hy-large</c:v>
                </c:pt>
                <c:pt idx="11">
                  <c:v>Coal CCS</c:v>
                </c:pt>
                <c:pt idx="12">
                  <c:v>IGCC CCS</c:v>
                </c:pt>
                <c:pt idx="13">
                  <c:v>Gas CCS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LCOE!$E$49:$U$49</c15:sqref>
                  </c15:fullRef>
                </c:ext>
              </c:extLst>
              <c:f>(LCOE!$E$49:$K$49,LCOE!$M$49:$O$49,LCOE!$Q$49,LCOE!$S$49:$U$49)</c:f>
              <c:numCache>
                <c:formatCode>#,##0;\-#,##0;"-";@</c:formatCode>
                <c:ptCount val="14"/>
                <c:pt idx="0">
                  <c:v>1.3000000000000001E-2</c:v>
                </c:pt>
                <c:pt idx="1">
                  <c:v>1.3000000000000001E-2</c:v>
                </c:pt>
                <c:pt idx="2">
                  <c:v>1.2000000000000002</c:v>
                </c:pt>
                <c:pt idx="3">
                  <c:v>0.22999999999999998</c:v>
                </c:pt>
                <c:pt idx="4">
                  <c:v>2.5000000000000001E-2</c:v>
                </c:pt>
                <c:pt idx="5">
                  <c:v>0.30000000000000004</c:v>
                </c:pt>
                <c:pt idx="6">
                  <c:v>1.1000000000000001E-2</c:v>
                </c:pt>
                <c:pt idx="7">
                  <c:v>0</c:v>
                </c:pt>
                <c:pt idx="8">
                  <c:v>0</c:v>
                </c:pt>
                <c:pt idx="9">
                  <c:v>0.11499999999999999</c:v>
                </c:pt>
                <c:pt idx="10">
                  <c:v>6.5000000000000002E-2</c:v>
                </c:pt>
                <c:pt idx="11">
                  <c:v>0.32300000000000001</c:v>
                </c:pt>
                <c:pt idx="12">
                  <c:v>1.7300000000000002</c:v>
                </c:pt>
                <c:pt idx="13">
                  <c:v>0.35000000000000003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BA-461F-AD77-BBA09CE64B1E}"/>
            </c:ext>
          </c:extLst>
        </c:ser>
        <c:ser>
          <c:idx val="3"/>
          <c:order val="3"/>
          <c:tx>
            <c:strRef>
              <c:f>LCOE!$C$50:$D$50</c:f>
              <c:strCache>
                <c:ptCount val="2"/>
                <c:pt idx="0">
                  <c:v>Fuel cost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LCOE!$E$13:$U$13</c15:sqref>
                  </c15:fullRef>
                </c:ext>
              </c:extLst>
              <c:f>(LCOE!$E$13:$K$13,LCOE!$M$13:$O$13,LCOE!$Q$13,LCOE!$S$13:$U$13)</c:f>
              <c:strCache>
                <c:ptCount val="14"/>
                <c:pt idx="0">
                  <c:v>Coal</c:v>
                </c:pt>
                <c:pt idx="1">
                  <c:v>Coal Flex</c:v>
                </c:pt>
                <c:pt idx="2">
                  <c:v>IGCC</c:v>
                </c:pt>
                <c:pt idx="3">
                  <c:v>Gas CC</c:v>
                </c:pt>
                <c:pt idx="4">
                  <c:v>Geothermal</c:v>
                </c:pt>
                <c:pt idx="5">
                  <c:v>Biomass</c:v>
                </c:pt>
                <c:pt idx="6">
                  <c:v>Biogas</c:v>
                </c:pt>
                <c:pt idx="7">
                  <c:v>Wind</c:v>
                </c:pt>
                <c:pt idx="8">
                  <c:v>Solar</c:v>
                </c:pt>
                <c:pt idx="9">
                  <c:v>PV + battery</c:v>
                </c:pt>
                <c:pt idx="10">
                  <c:v>Hy-large</c:v>
                </c:pt>
                <c:pt idx="11">
                  <c:v>Coal CCS</c:v>
                </c:pt>
                <c:pt idx="12">
                  <c:v>IGCC CCS</c:v>
                </c:pt>
                <c:pt idx="13">
                  <c:v>Gas CCS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LCOE!$E$50:$U$50</c15:sqref>
                  </c15:fullRef>
                </c:ext>
              </c:extLst>
              <c:f>(LCOE!$E$50:$K$50,LCOE!$M$50:$O$50,LCOE!$Q$50,LCOE!$S$50:$U$50)</c:f>
              <c:numCache>
                <c:formatCode>#,##0;\-#,##0;"-";@</c:formatCode>
                <c:ptCount val="14"/>
                <c:pt idx="0">
                  <c:v>4.2352941176470589</c:v>
                </c:pt>
                <c:pt idx="1">
                  <c:v>4.2352941176470589</c:v>
                </c:pt>
                <c:pt idx="2">
                  <c:v>3.6</c:v>
                </c:pt>
                <c:pt idx="3">
                  <c:v>6.1071428571428577</c:v>
                </c:pt>
                <c:pt idx="4">
                  <c:v>0</c:v>
                </c:pt>
                <c:pt idx="5">
                  <c:v>3.4838709677419359</c:v>
                </c:pt>
                <c:pt idx="6">
                  <c:v>2.1176470588235294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5.5384615384615392</c:v>
                </c:pt>
                <c:pt idx="12">
                  <c:v>4.5</c:v>
                </c:pt>
                <c:pt idx="13">
                  <c:v>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BA-461F-AD77-BBA09CE64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95009664"/>
        <c:axId val="2108120160"/>
      </c:barChart>
      <c:catAx>
        <c:axId val="3950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120160"/>
        <c:crosses val="autoZero"/>
        <c:auto val="1"/>
        <c:lblAlgn val="ctr"/>
        <c:lblOffset val="100"/>
        <c:noMultiLvlLbl val="0"/>
      </c:catAx>
      <c:valAx>
        <c:axId val="21081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Levelized Cost of Electricity </a:t>
                </a:r>
                <a:br>
                  <a:rPr lang="en-US"/>
                </a:br>
                <a:r>
                  <a:rPr lang="en-US"/>
                  <a:t>[c$/Kwh]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\-#,##0;&quot;-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1610</xdr:colOff>
      <xdr:row>23</xdr:row>
      <xdr:rowOff>169544</xdr:rowOff>
    </xdr:from>
    <xdr:to>
      <xdr:col>13</xdr:col>
      <xdr:colOff>1006929</xdr:colOff>
      <xdr:row>41</xdr:row>
      <xdr:rowOff>172415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912CF-281D-420C-B88C-F6FAA085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569182</xdr:colOff>
      <xdr:row>52</xdr:row>
      <xdr:rowOff>9050</xdr:rowOff>
    </xdr:from>
    <xdr:to>
      <xdr:col>14</xdr:col>
      <xdr:colOff>194309</xdr:colOff>
      <xdr:row>72</xdr:row>
      <xdr:rowOff>65047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D6CA43-5A7F-42AB-A07D-6D7AC2CFA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2018/1858/Delte%20dokumenter/Calcilation/LCOE%20calculator%20Indonesia_LE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UserGuide"/>
      <sheetName val="Admin"/>
      <sheetName val="UserSettings&amp;Results"/>
      <sheetName val="Calculation"/>
      <sheetName val="EEUserSettings&amp;Results"/>
      <sheetName val="EETechData&amp;Calculation"/>
      <sheetName val="TechData"/>
      <sheetName val="NewTechnologies"/>
      <sheetName val="FuelPrices"/>
      <sheetName val="FuelPricesPlot"/>
      <sheetName val="Brændselspriser"/>
      <sheetName val="EmissionPrices"/>
      <sheetName val="EmissionFactors"/>
      <sheetName val="CurrencyRates"/>
    </sheetNames>
    <sheetDataSet>
      <sheetData sheetId="0"/>
      <sheetData sheetId="1"/>
      <sheetData sheetId="2"/>
      <sheetData sheetId="3">
        <row r="21">
          <cell r="E21" t="str">
            <v>USD</v>
          </cell>
        </row>
        <row r="26">
          <cell r="E26">
            <v>0.1</v>
          </cell>
        </row>
        <row r="35">
          <cell r="E35" t="str">
            <v>Cost allocation</v>
          </cell>
        </row>
        <row r="36">
          <cell r="E36">
            <v>1.25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F358-25F7-4AD3-BC3E-C86C0F1F0371}">
  <dimension ref="B2:BC130"/>
  <sheetViews>
    <sheetView tabSelected="1" zoomScale="70" zoomScaleNormal="70" workbookViewId="0">
      <selection activeCell="P33" sqref="P33"/>
    </sheetView>
  </sheetViews>
  <sheetFormatPr defaultRowHeight="14.4" x14ac:dyDescent="0.3"/>
  <cols>
    <col min="3" max="4" width="19.6640625" customWidth="1"/>
    <col min="5" max="5" width="19.6640625" style="3" customWidth="1"/>
    <col min="6" max="6" width="23.88671875" style="3" customWidth="1"/>
    <col min="7" max="7" width="19.6640625" style="3" customWidth="1"/>
    <col min="8" max="8" width="25.33203125" style="3" customWidth="1"/>
    <col min="9" max="16" width="19.6640625" style="3" customWidth="1"/>
    <col min="17" max="17" width="15.6640625" customWidth="1"/>
    <col min="18" max="21" width="17.6640625" customWidth="1"/>
    <col min="25" max="25" width="22.109375" customWidth="1"/>
    <col min="26" max="26" width="11" style="3" customWidth="1"/>
    <col min="27" max="30" width="8.88671875" style="3"/>
    <col min="31" max="31" width="11.6640625" style="3" bestFit="1" customWidth="1"/>
    <col min="32" max="32" width="11.109375" style="3" customWidth="1"/>
    <col min="33" max="33" width="11.5546875" style="3" customWidth="1"/>
    <col min="34" max="35" width="8.88671875" style="3"/>
    <col min="36" max="36" width="9.109375" style="3"/>
    <col min="37" max="37" width="12.109375" style="3" customWidth="1"/>
    <col min="38" max="38" width="8.88671875" style="3"/>
    <col min="41" max="41" width="13.109375" style="3" customWidth="1"/>
    <col min="42" max="43" width="8.88671875" style="3"/>
    <col min="47" max="47" width="11.109375" bestFit="1" customWidth="1"/>
    <col min="48" max="48" width="10" bestFit="1" customWidth="1"/>
  </cols>
  <sheetData>
    <row r="2" spans="2:55" s="34" customFormat="1" ht="35.4" customHeight="1" x14ac:dyDescent="0.3">
      <c r="B2" s="40" t="s">
        <v>30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O2" s="35"/>
      <c r="AP2" s="35"/>
      <c r="AQ2" s="35"/>
    </row>
    <row r="4" spans="2:55" ht="15.6" x14ac:dyDescent="0.3">
      <c r="B4" s="25" t="s">
        <v>31</v>
      </c>
    </row>
    <row r="6" spans="2:55" s="33" customFormat="1" ht="23.4" x14ac:dyDescent="0.45">
      <c r="C6" s="57" t="s">
        <v>28</v>
      </c>
      <c r="D6" s="57"/>
      <c r="E6" s="57"/>
      <c r="F6" s="57"/>
      <c r="G6" s="57"/>
      <c r="H6" s="57"/>
      <c r="I6" s="57"/>
      <c r="J6" s="57"/>
      <c r="K6" s="57"/>
      <c r="L6" s="57"/>
      <c r="M6" s="32"/>
      <c r="N6" s="32"/>
      <c r="O6" s="32"/>
      <c r="P6" s="32"/>
      <c r="Y6" s="57" t="s">
        <v>29</v>
      </c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42"/>
      <c r="AK6" s="50"/>
      <c r="AL6" s="50"/>
      <c r="AO6" s="32"/>
      <c r="AP6" s="32"/>
      <c r="AQ6" s="32"/>
    </row>
    <row r="7" spans="2:55" x14ac:dyDescent="0.3">
      <c r="Y7" t="s">
        <v>37</v>
      </c>
    </row>
    <row r="8" spans="2:55" x14ac:dyDescent="0.3">
      <c r="C8" s="1" t="s">
        <v>27</v>
      </c>
      <c r="D8" s="24" t="s">
        <v>40</v>
      </c>
      <c r="F8" s="8" t="s">
        <v>25</v>
      </c>
      <c r="G8" s="9">
        <v>20</v>
      </c>
      <c r="I8" s="7" t="s">
        <v>38</v>
      </c>
      <c r="Z8" s="2"/>
      <c r="AA8" s="2" t="s">
        <v>4</v>
      </c>
      <c r="AB8" s="2" t="s">
        <v>43</v>
      </c>
      <c r="AC8" s="2" t="s">
        <v>42</v>
      </c>
      <c r="AD8" s="2" t="s">
        <v>18</v>
      </c>
      <c r="AE8" s="2" t="s">
        <v>8</v>
      </c>
      <c r="AF8" s="2" t="s">
        <v>9</v>
      </c>
      <c r="AG8" s="2" t="s">
        <v>32</v>
      </c>
      <c r="AH8" s="2" t="s">
        <v>33</v>
      </c>
      <c r="AI8" s="2" t="s">
        <v>7</v>
      </c>
      <c r="AJ8" s="2" t="s">
        <v>6</v>
      </c>
      <c r="AK8" s="2" t="s">
        <v>45</v>
      </c>
      <c r="AL8" s="2" t="s">
        <v>44</v>
      </c>
      <c r="AM8" s="1" t="s">
        <v>48</v>
      </c>
      <c r="AN8" s="2" t="s">
        <v>49</v>
      </c>
      <c r="AO8" s="2" t="s">
        <v>52</v>
      </c>
      <c r="AP8" s="2" t="s">
        <v>54</v>
      </c>
      <c r="AQ8" s="53" t="s">
        <v>53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x14ac:dyDescent="0.3">
      <c r="C9" s="1" t="s">
        <v>11</v>
      </c>
      <c r="D9" s="9">
        <v>2020</v>
      </c>
      <c r="F9" s="8" t="s">
        <v>26</v>
      </c>
      <c r="G9" s="11">
        <v>0.1</v>
      </c>
      <c r="I9" s="2" t="s">
        <v>39</v>
      </c>
      <c r="J9" s="21">
        <f>14147/1000</f>
        <v>14.147</v>
      </c>
      <c r="K9" s="52" t="s">
        <v>51</v>
      </c>
      <c r="Y9" s="1" t="s">
        <v>2</v>
      </c>
      <c r="Z9" s="2">
        <v>2020</v>
      </c>
      <c r="AA9" s="13">
        <v>1.65</v>
      </c>
      <c r="AB9" s="13">
        <f>AA9+AVERAGE(0.12, 0.6)</f>
        <v>2.0099999999999998</v>
      </c>
      <c r="AC9" s="13">
        <v>2.4</v>
      </c>
      <c r="AD9" s="13">
        <v>0.69</v>
      </c>
      <c r="AE9" s="13">
        <v>4</v>
      </c>
      <c r="AF9" s="13">
        <v>2</v>
      </c>
      <c r="AG9" s="13">
        <v>2.15</v>
      </c>
      <c r="AH9" s="13">
        <v>6.8</v>
      </c>
      <c r="AI9" s="13">
        <v>1.5</v>
      </c>
      <c r="AJ9" s="13">
        <v>0.79</v>
      </c>
      <c r="AK9" s="13">
        <f>AJ9+0.311+AK32*0.267</f>
        <v>1.9020000000000001</v>
      </c>
      <c r="AL9" s="13">
        <v>5.3</v>
      </c>
      <c r="AM9" s="13">
        <v>2.08</v>
      </c>
      <c r="AN9" s="13">
        <v>2.29</v>
      </c>
      <c r="AO9" s="13">
        <f>AA9+1.95</f>
        <v>3.5999999999999996</v>
      </c>
      <c r="AP9" s="13">
        <f>AC9+0.95</f>
        <v>3.3499999999999996</v>
      </c>
      <c r="AQ9" s="13">
        <f>AD9+1.15</f>
        <v>1.8399999999999999</v>
      </c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5" x14ac:dyDescent="0.3">
      <c r="C10" s="1" t="s">
        <v>17</v>
      </c>
      <c r="D10" s="9" t="s">
        <v>13</v>
      </c>
      <c r="F10" s="8" t="s">
        <v>16</v>
      </c>
      <c r="G10" s="10">
        <f>-PMT($G$9,$G$8,1)</f>
        <v>0.11745962477254579</v>
      </c>
      <c r="I10" s="23" t="s">
        <v>40</v>
      </c>
      <c r="J10" s="20">
        <f>1*100/1000</f>
        <v>0.1</v>
      </c>
      <c r="Y10" s="4" t="s">
        <v>20</v>
      </c>
      <c r="Z10" s="2">
        <v>2030</v>
      </c>
      <c r="AA10" s="13">
        <v>1.6</v>
      </c>
      <c r="AB10" s="13">
        <f t="shared" ref="AB10:AB11" si="0">AA10+AVERAGE(0.12, 0.6)</f>
        <v>1.96</v>
      </c>
      <c r="AC10" s="13">
        <v>2.21</v>
      </c>
      <c r="AD10" s="13">
        <v>0.66</v>
      </c>
      <c r="AE10" s="13">
        <v>3.44</v>
      </c>
      <c r="AF10" s="13">
        <v>1.82</v>
      </c>
      <c r="AG10" s="13">
        <v>1.96</v>
      </c>
      <c r="AH10" s="13">
        <v>6.3</v>
      </c>
      <c r="AI10" s="13">
        <v>1.28</v>
      </c>
      <c r="AJ10" s="13">
        <v>0.56000000000000005</v>
      </c>
      <c r="AK10" s="13">
        <f>AJ10+0.184+AK32*0.163</f>
        <v>1.2330000000000001</v>
      </c>
      <c r="AL10" s="13">
        <v>4.5999999999999996</v>
      </c>
      <c r="AM10" s="13">
        <v>2</v>
      </c>
      <c r="AN10" s="13">
        <v>2.2000000000000002</v>
      </c>
      <c r="AO10" s="13">
        <f>AA10+1.79</f>
        <v>3.39</v>
      </c>
      <c r="AP10" s="13">
        <f>AC10+0.87</f>
        <v>3.08</v>
      </c>
      <c r="AQ10" s="13">
        <f>AD10+0.97</f>
        <v>1.63</v>
      </c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5" x14ac:dyDescent="0.3">
      <c r="Z11" s="2">
        <v>2050</v>
      </c>
      <c r="AA11" s="13">
        <v>1.55</v>
      </c>
      <c r="AB11" s="13">
        <f t="shared" si="0"/>
        <v>1.9100000000000001</v>
      </c>
      <c r="AC11" s="13">
        <v>2.04</v>
      </c>
      <c r="AD11" s="13">
        <v>0.61</v>
      </c>
      <c r="AE11" s="13">
        <v>2.84</v>
      </c>
      <c r="AF11" s="13">
        <v>1.6</v>
      </c>
      <c r="AG11" s="13">
        <v>1.72</v>
      </c>
      <c r="AH11" s="13">
        <v>5.6</v>
      </c>
      <c r="AI11" s="13">
        <v>1.08</v>
      </c>
      <c r="AJ11" s="13">
        <v>0.41</v>
      </c>
      <c r="AK11" s="13">
        <f>AJ11+0.069+AK32*0.086</f>
        <v>0.73699999999999999</v>
      </c>
      <c r="AL11" s="13">
        <v>3.4</v>
      </c>
      <c r="AM11" s="13">
        <v>1.85</v>
      </c>
      <c r="AN11" s="13">
        <v>2.04</v>
      </c>
      <c r="AO11" s="13">
        <f>AA11+1.42</f>
        <v>2.9699999999999998</v>
      </c>
      <c r="AP11" s="13">
        <f>AC11+0.69</f>
        <v>2.73</v>
      </c>
      <c r="AQ11" s="13">
        <f>AD11+0.75</f>
        <v>1.3599999999999999</v>
      </c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5" x14ac:dyDescent="0.3">
      <c r="C12" s="56" t="s">
        <v>56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AA12" s="6" t="s">
        <v>4</v>
      </c>
      <c r="AB12" s="6"/>
      <c r="AC12" s="6"/>
      <c r="AD12" s="6" t="s">
        <v>5</v>
      </c>
      <c r="AE12" s="6" t="s">
        <v>6</v>
      </c>
      <c r="AF12" s="6" t="s">
        <v>7</v>
      </c>
      <c r="AG12" s="6" t="s">
        <v>8</v>
      </c>
      <c r="AH12" s="6" t="s">
        <v>9</v>
      </c>
      <c r="AI12" s="6" t="s">
        <v>7</v>
      </c>
      <c r="AJ12" s="6" t="s">
        <v>6</v>
      </c>
      <c r="AK12" s="6"/>
      <c r="AL12" s="6"/>
      <c r="AM12" s="6" t="s">
        <v>34</v>
      </c>
      <c r="AN12" s="6"/>
      <c r="AO12" s="6"/>
      <c r="AP12" s="6"/>
      <c r="AQ12" s="6" t="s">
        <v>5</v>
      </c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5" x14ac:dyDescent="0.3">
      <c r="C13" s="26"/>
      <c r="D13" s="26"/>
      <c r="E13" s="2" t="s">
        <v>4</v>
      </c>
      <c r="F13" s="2" t="s">
        <v>43</v>
      </c>
      <c r="G13" s="2" t="s">
        <v>42</v>
      </c>
      <c r="H13" s="2" t="s">
        <v>18</v>
      </c>
      <c r="I13" s="2" t="s">
        <v>8</v>
      </c>
      <c r="J13" s="2" t="s">
        <v>9</v>
      </c>
      <c r="K13" s="2" t="s">
        <v>32</v>
      </c>
      <c r="L13" s="2" t="s">
        <v>33</v>
      </c>
      <c r="M13" s="2" t="s">
        <v>7</v>
      </c>
      <c r="N13" s="2" t="s">
        <v>6</v>
      </c>
      <c r="O13" s="2" t="s">
        <v>45</v>
      </c>
      <c r="P13" s="2" t="s">
        <v>44</v>
      </c>
      <c r="Q13" s="2" t="s">
        <v>48</v>
      </c>
      <c r="R13" s="2" t="s">
        <v>49</v>
      </c>
      <c r="S13" s="2" t="s">
        <v>52</v>
      </c>
      <c r="T13" s="2" t="s">
        <v>54</v>
      </c>
      <c r="U13" s="2" t="s">
        <v>53</v>
      </c>
      <c r="Y13" s="1" t="s">
        <v>0</v>
      </c>
      <c r="Z13" s="2">
        <v>2020</v>
      </c>
      <c r="AA13" s="43">
        <v>45.3</v>
      </c>
      <c r="AB13" s="43">
        <f>AA13</f>
        <v>45.3</v>
      </c>
      <c r="AC13" s="43">
        <v>60</v>
      </c>
      <c r="AD13" s="44">
        <v>23.5</v>
      </c>
      <c r="AE13" s="45">
        <v>50</v>
      </c>
      <c r="AF13" s="45">
        <v>47.6</v>
      </c>
      <c r="AG13" s="45">
        <v>97</v>
      </c>
      <c r="AH13" s="44">
        <v>243.7</v>
      </c>
      <c r="AI13" s="46">
        <v>60</v>
      </c>
      <c r="AJ13" s="46">
        <v>13.6</v>
      </c>
      <c r="AK13" s="46">
        <f>AJ13+AK32*621/1000</f>
        <v>15.462999999999999</v>
      </c>
      <c r="AL13" s="46">
        <v>283</v>
      </c>
      <c r="AM13" s="46">
        <v>37.700000000000003</v>
      </c>
      <c r="AN13" s="46">
        <v>41.9</v>
      </c>
      <c r="AO13" s="13">
        <f>AA13+41.8</f>
        <v>87.1</v>
      </c>
      <c r="AP13" s="13">
        <f>AC13+8.9</f>
        <v>68.900000000000006</v>
      </c>
      <c r="AQ13" s="13">
        <f>AD13+9</f>
        <v>32.5</v>
      </c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5" x14ac:dyDescent="0.3">
      <c r="C14" s="27" t="s">
        <v>2</v>
      </c>
      <c r="D14" s="26"/>
      <c r="E14" s="28">
        <f>VLOOKUP($D$9,$Z$8:$AN$11,MATCH(E$13,$Z$8:$AN$8,0))*$G$10*1000000/IF($D$10="High",AA$29,AA$30)</f>
        <v>25.84111744996007</v>
      </c>
      <c r="F14" s="28">
        <f t="shared" ref="F14:R14" si="1">VLOOKUP($D$9,$Z$8:$AN$11,MATCH(F$13,$Z$8:$AN$8,0))*$G$10*1000000/IF($D$10="High",AB$29,AB$30)</f>
        <v>31.479179439042269</v>
      </c>
      <c r="G14" s="28">
        <f t="shared" si="1"/>
        <v>37.587079927214653</v>
      </c>
      <c r="H14" s="28">
        <f t="shared" si="1"/>
        <v>11.578163013293798</v>
      </c>
      <c r="I14" s="28">
        <f t="shared" si="1"/>
        <v>62.645133212024426</v>
      </c>
      <c r="J14" s="28">
        <f t="shared" si="1"/>
        <v>31.322566606012213</v>
      </c>
      <c r="K14" s="28">
        <f t="shared" si="1"/>
        <v>33.671759101463124</v>
      </c>
      <c r="L14" s="28">
        <f t="shared" si="1"/>
        <v>106.49672646044151</v>
      </c>
      <c r="M14" s="28">
        <f t="shared" si="1"/>
        <v>58.72981238627289</v>
      </c>
      <c r="N14" s="28">
        <f t="shared" si="1"/>
        <v>53.024630611606383</v>
      </c>
      <c r="O14" s="28">
        <f t="shared" si="1"/>
        <v>127.66183218136121</v>
      </c>
      <c r="P14" s="28">
        <f t="shared" si="1"/>
        <v>177.66438678495794</v>
      </c>
      <c r="Q14" s="28">
        <f t="shared" si="1"/>
        <v>48.863203905379052</v>
      </c>
      <c r="R14" s="28">
        <f t="shared" si="1"/>
        <v>48.905916496205428</v>
      </c>
      <c r="S14" s="28">
        <f>VLOOKUP($D$9,$Z$8:$AQ$11,MATCH(S$13,$Z$8:$AQ$8,0))*$G$10*1000000/IF($D$10="High",AO$29,AO$30)</f>
        <v>56.380619890821976</v>
      </c>
      <c r="T14" s="28">
        <f t="shared" ref="T14:U14" si="2">VLOOKUP($D$9,$Z$8:$AQ$11,MATCH(T$13,$Z$8:$AQ$8,0))*$G$10*1000000/IF($D$10="High",AP$29,AP$30)</f>
        <v>52.465299065070447</v>
      </c>
      <c r="U14" s="28">
        <f t="shared" si="2"/>
        <v>28.816761277531235</v>
      </c>
      <c r="Y14" s="4" t="s">
        <v>21</v>
      </c>
      <c r="Z14" s="2">
        <v>2030</v>
      </c>
      <c r="AA14" s="46">
        <v>43.9</v>
      </c>
      <c r="AB14" s="46">
        <f>AA14</f>
        <v>43.9</v>
      </c>
      <c r="AC14" s="46">
        <v>58.2</v>
      </c>
      <c r="AD14" s="44">
        <v>22.8</v>
      </c>
      <c r="AE14" s="45">
        <v>43</v>
      </c>
      <c r="AF14" s="45">
        <v>43.8</v>
      </c>
      <c r="AG14" s="45">
        <v>89.2</v>
      </c>
      <c r="AH14" s="44">
        <v>224.8</v>
      </c>
      <c r="AI14" s="46">
        <v>51</v>
      </c>
      <c r="AJ14" s="46">
        <v>10</v>
      </c>
      <c r="AK14" s="46">
        <f>AJ14+AK32*311/1000</f>
        <v>10.933</v>
      </c>
      <c r="AL14" s="46">
        <v>230</v>
      </c>
      <c r="AM14" s="46">
        <v>36.200000000000003</v>
      </c>
      <c r="AN14" s="46">
        <v>40.200000000000003</v>
      </c>
      <c r="AO14" s="13">
        <f>AA14+40.5</f>
        <v>84.4</v>
      </c>
      <c r="AP14" s="13">
        <f>AC14+8.6</f>
        <v>66.8</v>
      </c>
      <c r="AQ14" s="13">
        <f>AD14+8.7</f>
        <v>31.5</v>
      </c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5" x14ac:dyDescent="0.3">
      <c r="C15" s="27" t="s">
        <v>0</v>
      </c>
      <c r="D15" s="26"/>
      <c r="E15" s="28">
        <f>VLOOKUP($D$9,$Z$13:$AN$15,MATCH(E$13,$Z$8:$AN$8,0))*1000/IF($D$10="High",AA$29,AA$30)</f>
        <v>6.04</v>
      </c>
      <c r="F15" s="28">
        <f t="shared" ref="F15:R15" si="3">VLOOKUP($D$9,$Z$13:$AN$15,MATCH(F$13,$Z$8:$AN$8,0))*1000/IF($D$10="High",AB$29,AB$30)</f>
        <v>6.04</v>
      </c>
      <c r="G15" s="28">
        <f t="shared" si="3"/>
        <v>8</v>
      </c>
      <c r="H15" s="28">
        <f t="shared" si="3"/>
        <v>3.3571428571428572</v>
      </c>
      <c r="I15" s="28">
        <f t="shared" si="3"/>
        <v>6.666666666666667</v>
      </c>
      <c r="J15" s="28">
        <f t="shared" si="3"/>
        <v>6.3466666666666667</v>
      </c>
      <c r="K15" s="28">
        <f t="shared" si="3"/>
        <v>12.933333333333334</v>
      </c>
      <c r="L15" s="28">
        <f t="shared" si="3"/>
        <v>32.493333333333332</v>
      </c>
      <c r="M15" s="28">
        <f t="shared" si="3"/>
        <v>20</v>
      </c>
      <c r="N15" s="28">
        <f t="shared" si="3"/>
        <v>7.7714285714285714</v>
      </c>
      <c r="O15" s="28">
        <f t="shared" si="3"/>
        <v>8.8360000000000003</v>
      </c>
      <c r="P15" s="28">
        <f t="shared" si="3"/>
        <v>80.764840182648399</v>
      </c>
      <c r="Q15" s="28">
        <f t="shared" si="3"/>
        <v>7.54</v>
      </c>
      <c r="R15" s="28">
        <f t="shared" si="3"/>
        <v>7.6181818181818182</v>
      </c>
      <c r="S15" s="28">
        <f>VLOOKUP($D$9,$Z$13:$AQ$15,MATCH(S$13,$Z$8:$AQ$8,0))*1000/IF($D$10="High",AO$29,AO$30)</f>
        <v>11.613333333333333</v>
      </c>
      <c r="T15" s="28">
        <f t="shared" ref="T15:U15" si="4">VLOOKUP($D$9,$Z$13:$AQ$15,MATCH(T$13,$Z$8:$AQ$8,0))*1000/IF($D$10="High",AP$29,AP$30)</f>
        <v>9.1866666666666674</v>
      </c>
      <c r="U15" s="28">
        <f t="shared" si="4"/>
        <v>4.333333333333333</v>
      </c>
      <c r="Y15" s="1"/>
      <c r="Z15" s="2">
        <v>2050</v>
      </c>
      <c r="AA15" s="46">
        <v>42.6</v>
      </c>
      <c r="AB15" s="46">
        <f>AA15</f>
        <v>42.6</v>
      </c>
      <c r="AC15" s="46">
        <v>56.4</v>
      </c>
      <c r="AD15" s="44">
        <v>22.1</v>
      </c>
      <c r="AE15" s="45">
        <v>35.5</v>
      </c>
      <c r="AF15" s="45">
        <v>38.1</v>
      </c>
      <c r="AG15" s="45">
        <v>77.599999999999994</v>
      </c>
      <c r="AH15" s="44">
        <v>193.5</v>
      </c>
      <c r="AI15" s="46">
        <v>43.2</v>
      </c>
      <c r="AJ15" s="46">
        <v>8</v>
      </c>
      <c r="AK15" s="46">
        <f>AJ15+AK32*311/1000</f>
        <v>8.9329999999999998</v>
      </c>
      <c r="AL15" s="46">
        <v>114</v>
      </c>
      <c r="AM15" s="46">
        <v>33.6</v>
      </c>
      <c r="AN15" s="46">
        <v>37.299999999999997</v>
      </c>
      <c r="AO15" s="13">
        <f>AA15+39.3</f>
        <v>81.900000000000006</v>
      </c>
      <c r="AP15" s="13">
        <f>AC15+8.4</f>
        <v>64.8</v>
      </c>
      <c r="AQ15" s="13">
        <f>AD15+8.5</f>
        <v>30.6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5" x14ac:dyDescent="0.3">
      <c r="C16" s="27" t="s">
        <v>3</v>
      </c>
      <c r="D16" s="26"/>
      <c r="E16" s="29">
        <f t="shared" ref="E16:R16" si="5">VLOOKUP($D$9,$Z$17:$AN$19,MATCH(E$13,$Z$8:$AN$8,0))</f>
        <v>0.13</v>
      </c>
      <c r="F16" s="29">
        <f t="shared" si="5"/>
        <v>0.13</v>
      </c>
      <c r="G16" s="29">
        <f t="shared" si="5"/>
        <v>12</v>
      </c>
      <c r="H16" s="29">
        <f t="shared" si="5"/>
        <v>2.2999999999999998</v>
      </c>
      <c r="I16" s="29">
        <f t="shared" si="5"/>
        <v>0.25</v>
      </c>
      <c r="J16" s="29">
        <f t="shared" si="5"/>
        <v>3</v>
      </c>
      <c r="K16" s="29">
        <f t="shared" si="5"/>
        <v>0.11</v>
      </c>
      <c r="L16" s="29">
        <f t="shared" si="5"/>
        <v>24.1</v>
      </c>
      <c r="M16" s="29">
        <f t="shared" si="5"/>
        <v>0</v>
      </c>
      <c r="N16" s="29">
        <f t="shared" si="5"/>
        <v>0</v>
      </c>
      <c r="O16" s="29">
        <f t="shared" si="5"/>
        <v>1.1499999999999999</v>
      </c>
      <c r="P16" s="29">
        <f t="shared" si="5"/>
        <v>12</v>
      </c>
      <c r="Q16" s="29">
        <f t="shared" si="5"/>
        <v>0.65</v>
      </c>
      <c r="R16" s="29">
        <f t="shared" si="5"/>
        <v>0.5</v>
      </c>
      <c r="S16" s="29">
        <f>VLOOKUP($D$9,$Z$17:$AQ$19,MATCH(S$13,$Z$8:$AQ$8,0))</f>
        <v>3.23</v>
      </c>
      <c r="T16" s="29">
        <f t="shared" ref="T16:U16" si="6">VLOOKUP($D$9,$Z$17:$AQ$19,MATCH(T$13,$Z$8:$AQ$8,0))</f>
        <v>17.3</v>
      </c>
      <c r="U16" s="29">
        <f t="shared" si="6"/>
        <v>3.5</v>
      </c>
      <c r="Y16" s="1"/>
      <c r="AA16" s="6" t="s">
        <v>4</v>
      </c>
      <c r="AB16" s="6"/>
      <c r="AC16" s="6"/>
      <c r="AD16" s="6" t="s">
        <v>5</v>
      </c>
      <c r="AE16" s="6" t="s">
        <v>6</v>
      </c>
      <c r="AF16" s="6" t="s">
        <v>7</v>
      </c>
      <c r="AG16" s="6" t="s">
        <v>8</v>
      </c>
      <c r="AH16" s="6" t="s">
        <v>9</v>
      </c>
      <c r="AI16" s="6" t="s">
        <v>7</v>
      </c>
      <c r="AJ16" s="6" t="s">
        <v>6</v>
      </c>
      <c r="AK16" s="6"/>
      <c r="AL16" s="6"/>
      <c r="AM16" s="6" t="s">
        <v>34</v>
      </c>
      <c r="AN16" s="6"/>
      <c r="AO16" s="6"/>
      <c r="AP16" s="6"/>
      <c r="AQ16" s="6" t="s">
        <v>5</v>
      </c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3:53" x14ac:dyDescent="0.3">
      <c r="C17" s="27" t="s">
        <v>1</v>
      </c>
      <c r="D17" s="26"/>
      <c r="E17" s="28">
        <f t="shared" ref="E17:R17" si="7">VLOOKUP($D$9,$Z$21:$AN$23,MATCH(E$13,$Z$8:$AN$8,0),FALSE)*3.6/VLOOKUP($D$9,$Z$25:$AN$27,MATCH(E$13,$Z$8:$AN$8,0),FALSE)</f>
        <v>42.352941176470587</v>
      </c>
      <c r="F17" s="28">
        <f t="shared" si="7"/>
        <v>42.352941176470587</v>
      </c>
      <c r="G17" s="28">
        <f t="shared" si="7"/>
        <v>36</v>
      </c>
      <c r="H17" s="28">
        <f t="shared" si="7"/>
        <v>61.071428571428569</v>
      </c>
      <c r="I17" s="28">
        <f t="shared" si="7"/>
        <v>0</v>
      </c>
      <c r="J17" s="28">
        <f t="shared" si="7"/>
        <v>34.838709677419359</v>
      </c>
      <c r="K17" s="28">
        <f t="shared" si="7"/>
        <v>21.176470588235293</v>
      </c>
      <c r="L17" s="28">
        <f t="shared" si="7"/>
        <v>-6.4285714285714279</v>
      </c>
      <c r="M17" s="28">
        <f t="shared" si="7"/>
        <v>0</v>
      </c>
      <c r="N17" s="28">
        <f t="shared" si="7"/>
        <v>0</v>
      </c>
      <c r="O17" s="28">
        <f t="shared" si="7"/>
        <v>0</v>
      </c>
      <c r="P17" s="28">
        <f t="shared" si="7"/>
        <v>0</v>
      </c>
      <c r="Q17" s="28">
        <f t="shared" si="7"/>
        <v>0</v>
      </c>
      <c r="R17" s="28">
        <f t="shared" si="7"/>
        <v>0</v>
      </c>
      <c r="S17" s="28">
        <f>VLOOKUP($D$9,$Z$21:$AQ$23,MATCH(S$13,$Z$8:$AQ$8,0),FALSE)*3.6/VLOOKUP($D$9,$Z$25:$AQ$27,MATCH(S$13,$Z$8:$AQ$8,0),FALSE)</f>
        <v>55.384615384615387</v>
      </c>
      <c r="T17" s="28">
        <f t="shared" ref="T17:U17" si="8">VLOOKUP($D$9,$Z$21:$AQ$23,MATCH(T$13,$Z$8:$AQ$8,0),FALSE)*3.6/VLOOKUP($D$9,$Z$25:$AQ$27,MATCH(T$13,$Z$8:$AQ$8,0),FALSE)</f>
        <v>45</v>
      </c>
      <c r="U17" s="28">
        <f t="shared" si="8"/>
        <v>71.25</v>
      </c>
      <c r="Y17" s="1" t="s">
        <v>3</v>
      </c>
      <c r="Z17" s="2">
        <v>2020</v>
      </c>
      <c r="AA17" s="51">
        <v>0.13</v>
      </c>
      <c r="AB17" s="51">
        <f>AA17</f>
        <v>0.13</v>
      </c>
      <c r="AC17" s="51">
        <v>12</v>
      </c>
      <c r="AD17" s="51">
        <v>2.2999999999999998</v>
      </c>
      <c r="AE17" s="51">
        <v>0.25</v>
      </c>
      <c r="AF17" s="51">
        <v>3</v>
      </c>
      <c r="AG17" s="51">
        <v>0.11</v>
      </c>
      <c r="AH17" s="51">
        <v>24.1</v>
      </c>
      <c r="AI17" s="51">
        <v>0</v>
      </c>
      <c r="AJ17" s="51">
        <v>0</v>
      </c>
      <c r="AK17" s="51">
        <f>2.3/2</f>
        <v>1.1499999999999999</v>
      </c>
      <c r="AL17" s="51">
        <v>12</v>
      </c>
      <c r="AM17" s="51">
        <v>0.65</v>
      </c>
      <c r="AN17" s="51">
        <v>0.5</v>
      </c>
      <c r="AO17" s="13">
        <f>AA17+3.1</f>
        <v>3.23</v>
      </c>
      <c r="AP17" s="13">
        <f>AC17+5.3</f>
        <v>17.3</v>
      </c>
      <c r="AQ17" s="13">
        <f>AD17+1.2</f>
        <v>3.5</v>
      </c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3:53" x14ac:dyDescent="0.3">
      <c r="C18" s="27"/>
      <c r="D18" s="26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Y18" s="4" t="s">
        <v>22</v>
      </c>
      <c r="Z18" s="2">
        <v>2030</v>
      </c>
      <c r="AA18" s="51">
        <v>0.12</v>
      </c>
      <c r="AB18" s="51">
        <f>AA18</f>
        <v>0.12</v>
      </c>
      <c r="AC18" s="51">
        <v>11.6</v>
      </c>
      <c r="AD18" s="51">
        <v>2.23</v>
      </c>
      <c r="AE18" s="51">
        <v>0.22</v>
      </c>
      <c r="AF18" s="51">
        <v>2.8</v>
      </c>
      <c r="AG18" s="51">
        <v>0.1</v>
      </c>
      <c r="AH18" s="51">
        <v>23.4</v>
      </c>
      <c r="AI18" s="51">
        <v>0</v>
      </c>
      <c r="AJ18" s="51">
        <v>0</v>
      </c>
      <c r="AK18" s="51">
        <f>2.07/2</f>
        <v>1.0349999999999999</v>
      </c>
      <c r="AL18" s="51">
        <v>9</v>
      </c>
      <c r="AM18" s="51">
        <v>0.62</v>
      </c>
      <c r="AN18" s="51">
        <v>0.48</v>
      </c>
      <c r="AO18" s="13">
        <f>AA18+3.01</f>
        <v>3.13</v>
      </c>
      <c r="AP18" s="13">
        <f>AC18+5.14</f>
        <v>16.739999999999998</v>
      </c>
      <c r="AQ18" s="13">
        <f>AD18+1.16</f>
        <v>3.3899999999999997</v>
      </c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3:53" x14ac:dyDescent="0.3">
      <c r="C19" s="27" t="s">
        <v>15</v>
      </c>
      <c r="D19" s="31" t="s">
        <v>46</v>
      </c>
      <c r="E19" s="28">
        <f>SUM(E14:E17)</f>
        <v>74.364058626430648</v>
      </c>
      <c r="F19" s="28">
        <f t="shared" ref="F19:R19" si="9">SUM(F14:F17)</f>
        <v>80.002120615512865</v>
      </c>
      <c r="G19" s="28">
        <f t="shared" si="9"/>
        <v>93.58707992721466</v>
      </c>
      <c r="H19" s="28">
        <f t="shared" si="9"/>
        <v>78.306734441865217</v>
      </c>
      <c r="I19" s="28">
        <f t="shared" si="9"/>
        <v>69.56179987869109</v>
      </c>
      <c r="J19" s="28">
        <f t="shared" si="9"/>
        <v>75.50794295009824</v>
      </c>
      <c r="K19" s="28">
        <f t="shared" si="9"/>
        <v>67.89156302303175</v>
      </c>
      <c r="L19" s="28">
        <f t="shared" si="9"/>
        <v>156.66148836520341</v>
      </c>
      <c r="M19" s="28">
        <f t="shared" si="9"/>
        <v>78.729812386272897</v>
      </c>
      <c r="N19" s="28">
        <f t="shared" si="9"/>
        <v>60.796059183034956</v>
      </c>
      <c r="O19" s="28">
        <f t="shared" si="9"/>
        <v>137.64783218136122</v>
      </c>
      <c r="P19" s="28">
        <f t="shared" si="9"/>
        <v>270.42922696760633</v>
      </c>
      <c r="Q19" s="28">
        <f t="shared" si="9"/>
        <v>57.05320390537905</v>
      </c>
      <c r="R19" s="28">
        <f t="shared" si="9"/>
        <v>57.024098314387246</v>
      </c>
      <c r="S19" s="28">
        <f>SUM(S14:S17)</f>
        <v>126.6085686087707</v>
      </c>
      <c r="T19" s="28">
        <f t="shared" ref="T19:U19" si="10">SUM(T14:T17)</f>
        <v>123.95196573173712</v>
      </c>
      <c r="U19" s="28">
        <f t="shared" si="10"/>
        <v>107.90009461086457</v>
      </c>
      <c r="Y19" s="1"/>
      <c r="Z19" s="2">
        <v>2050</v>
      </c>
      <c r="AA19" s="51">
        <v>0.12</v>
      </c>
      <c r="AB19" s="51">
        <f>AA19</f>
        <v>0.12</v>
      </c>
      <c r="AC19" s="51">
        <v>11.2</v>
      </c>
      <c r="AD19" s="51">
        <v>2.16</v>
      </c>
      <c r="AE19" s="51">
        <v>0.18</v>
      </c>
      <c r="AF19" s="51">
        <v>2.4</v>
      </c>
      <c r="AG19" s="51">
        <v>0.1</v>
      </c>
      <c r="AH19" s="51">
        <v>22.6</v>
      </c>
      <c r="AI19" s="51">
        <v>0</v>
      </c>
      <c r="AJ19" s="51">
        <v>0</v>
      </c>
      <c r="AK19" s="51">
        <f>1.84/2</f>
        <v>0.92</v>
      </c>
      <c r="AL19" s="51">
        <v>7</v>
      </c>
      <c r="AM19" s="51">
        <v>0.57999999999999996</v>
      </c>
      <c r="AN19" s="51">
        <v>0.45</v>
      </c>
      <c r="AO19" s="13">
        <f>AA19+2.91</f>
        <v>3.0300000000000002</v>
      </c>
      <c r="AP19" s="13">
        <f>AC19+4.98</f>
        <v>16.18</v>
      </c>
      <c r="AQ19" s="13">
        <f>AD19+1.13</f>
        <v>3.29</v>
      </c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3:53" x14ac:dyDescent="0.3">
      <c r="Q20" s="3"/>
      <c r="Y20" s="1"/>
      <c r="Z20" s="16"/>
      <c r="AA20" s="17" t="s">
        <v>4</v>
      </c>
      <c r="AB20" s="17"/>
      <c r="AC20" s="17"/>
      <c r="AD20" s="17" t="s">
        <v>5</v>
      </c>
      <c r="AE20" s="17" t="s">
        <v>6</v>
      </c>
      <c r="AF20" s="17" t="s">
        <v>7</v>
      </c>
      <c r="AG20" s="17" t="s">
        <v>8</v>
      </c>
      <c r="AH20" s="17" t="s">
        <v>9</v>
      </c>
      <c r="AI20" s="6" t="s">
        <v>7</v>
      </c>
      <c r="AJ20" s="6" t="s">
        <v>6</v>
      </c>
      <c r="AK20" s="6"/>
      <c r="AL20" s="6"/>
      <c r="AM20" s="6" t="s">
        <v>34</v>
      </c>
      <c r="AN20" s="6"/>
      <c r="AO20" s="17"/>
      <c r="AP20" s="17"/>
      <c r="AQ20" s="17" t="s">
        <v>5</v>
      </c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3:53" ht="21" x14ac:dyDescent="0.4">
      <c r="C21" s="36"/>
      <c r="D21" s="37"/>
      <c r="E21" s="38" t="s">
        <v>19</v>
      </c>
      <c r="F21" s="38" t="s">
        <v>58</v>
      </c>
      <c r="G21" s="38" t="s">
        <v>42</v>
      </c>
      <c r="H21" s="38" t="s">
        <v>18</v>
      </c>
      <c r="I21" s="38" t="s">
        <v>8</v>
      </c>
      <c r="J21" s="38" t="s">
        <v>9</v>
      </c>
      <c r="K21" s="38" t="s">
        <v>32</v>
      </c>
      <c r="L21" s="38" t="s">
        <v>33</v>
      </c>
      <c r="M21" s="38" t="s">
        <v>7</v>
      </c>
      <c r="N21" s="38" t="s">
        <v>57</v>
      </c>
      <c r="O21" s="38" t="s">
        <v>60</v>
      </c>
      <c r="P21" s="38" t="s">
        <v>44</v>
      </c>
      <c r="Q21" s="38" t="s">
        <v>55</v>
      </c>
      <c r="R21" s="38" t="s">
        <v>50</v>
      </c>
      <c r="S21" s="38" t="s">
        <v>52</v>
      </c>
      <c r="T21" s="38" t="s">
        <v>54</v>
      </c>
      <c r="U21" s="38" t="s">
        <v>53</v>
      </c>
      <c r="Y21" s="1" t="s">
        <v>1</v>
      </c>
      <c r="Z21" s="2">
        <v>2020</v>
      </c>
      <c r="AA21" s="12">
        <v>4</v>
      </c>
      <c r="AB21" s="12">
        <f t="shared" ref="AB21:AC23" si="11">AA21</f>
        <v>4</v>
      </c>
      <c r="AC21" s="12">
        <f t="shared" si="11"/>
        <v>4</v>
      </c>
      <c r="AD21" s="12">
        <v>9.5</v>
      </c>
      <c r="AE21" s="12">
        <v>0</v>
      </c>
      <c r="AF21" s="12">
        <v>3</v>
      </c>
      <c r="AG21" s="12">
        <v>2</v>
      </c>
      <c r="AH21" s="12">
        <v>-0.5</v>
      </c>
      <c r="AI21" s="12">
        <v>0</v>
      </c>
      <c r="AJ21" s="12">
        <v>0</v>
      </c>
      <c r="AK21" s="51">
        <v>0</v>
      </c>
      <c r="AL21" s="51">
        <v>0</v>
      </c>
      <c r="AM21" s="12">
        <v>0</v>
      </c>
      <c r="AN21" s="12">
        <v>0</v>
      </c>
      <c r="AO21" s="12">
        <f>AA21</f>
        <v>4</v>
      </c>
      <c r="AP21" s="12">
        <f>AO21</f>
        <v>4</v>
      </c>
      <c r="AQ21" s="12">
        <f>AD21</f>
        <v>9.5</v>
      </c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3:53" ht="21" x14ac:dyDescent="0.4">
      <c r="C22" s="41" t="str">
        <f>CONCATENATE(D8,"/kWh")</f>
        <v>c$2019/kWh</v>
      </c>
      <c r="D22" s="37" t="s">
        <v>15</v>
      </c>
      <c r="E22" s="39">
        <f t="shared" ref="E22:R22" si="12">E19*VLOOKUP($D$8,$I$9:$J$10,2,FALSE)</f>
        <v>7.4364058626430651</v>
      </c>
      <c r="F22" s="39">
        <f t="shared" si="12"/>
        <v>8.0002120615512862</v>
      </c>
      <c r="G22" s="39">
        <f t="shared" si="12"/>
        <v>9.3587079927214667</v>
      </c>
      <c r="H22" s="39">
        <f t="shared" si="12"/>
        <v>7.8306734441865222</v>
      </c>
      <c r="I22" s="39">
        <f t="shared" si="12"/>
        <v>6.9561799878691097</v>
      </c>
      <c r="J22" s="39">
        <f t="shared" si="12"/>
        <v>7.5507942950098244</v>
      </c>
      <c r="K22" s="39">
        <f t="shared" si="12"/>
        <v>6.7891563023031756</v>
      </c>
      <c r="L22" s="39">
        <f t="shared" si="12"/>
        <v>15.666148836520343</v>
      </c>
      <c r="M22" s="39">
        <f t="shared" si="12"/>
        <v>7.8729812386272897</v>
      </c>
      <c r="N22" s="39">
        <f t="shared" si="12"/>
        <v>6.0796059183034963</v>
      </c>
      <c r="O22" s="39">
        <f t="shared" si="12"/>
        <v>13.764783218136124</v>
      </c>
      <c r="P22" s="39">
        <f t="shared" si="12"/>
        <v>27.042922696760634</v>
      </c>
      <c r="Q22" s="39">
        <f t="shared" si="12"/>
        <v>5.7053203905379055</v>
      </c>
      <c r="R22" s="39">
        <f t="shared" si="12"/>
        <v>5.7024098314387253</v>
      </c>
      <c r="S22" s="39">
        <f t="shared" ref="S22:U22" si="13">S19*VLOOKUP($D$8,$I$9:$J$10,2,FALSE)</f>
        <v>12.66085686087707</v>
      </c>
      <c r="T22" s="39">
        <f t="shared" si="13"/>
        <v>12.395196573173713</v>
      </c>
      <c r="U22" s="39">
        <f t="shared" si="13"/>
        <v>10.790009461086457</v>
      </c>
      <c r="Y22" s="4" t="s">
        <v>23</v>
      </c>
      <c r="Z22" s="2">
        <v>2030</v>
      </c>
      <c r="AA22" s="12">
        <v>4</v>
      </c>
      <c r="AB22" s="12">
        <f t="shared" si="11"/>
        <v>4</v>
      </c>
      <c r="AC22" s="12">
        <f t="shared" si="11"/>
        <v>4</v>
      </c>
      <c r="AD22" s="12">
        <v>9.5</v>
      </c>
      <c r="AE22" s="12">
        <v>0</v>
      </c>
      <c r="AF22" s="12">
        <v>3</v>
      </c>
      <c r="AG22" s="12">
        <v>2.0449999999999999</v>
      </c>
      <c r="AH22" s="12">
        <v>-0.5</v>
      </c>
      <c r="AI22" s="12">
        <v>0</v>
      </c>
      <c r="AJ22" s="12">
        <v>0</v>
      </c>
      <c r="AK22" s="51">
        <v>0</v>
      </c>
      <c r="AL22" s="51">
        <v>0</v>
      </c>
      <c r="AM22" s="12">
        <v>0</v>
      </c>
      <c r="AN22" s="12">
        <v>0</v>
      </c>
      <c r="AO22" s="12">
        <f t="shared" ref="AO22:AO23" si="14">AA22</f>
        <v>4</v>
      </c>
      <c r="AP22" s="12">
        <f>AO22</f>
        <v>4</v>
      </c>
      <c r="AQ22" s="12">
        <f t="shared" ref="AQ22:AQ23" si="15">AD22</f>
        <v>9.5</v>
      </c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3:53" ht="21" x14ac:dyDescent="0.4">
      <c r="D23" s="54" t="s">
        <v>41</v>
      </c>
      <c r="E23" s="5">
        <f>S22-E22</f>
        <v>5.2244509982340048</v>
      </c>
      <c r="F23" s="5">
        <f>E23</f>
        <v>5.2244509982340048</v>
      </c>
      <c r="G23" s="5">
        <f>T22-G22</f>
        <v>3.0364885804522466</v>
      </c>
      <c r="H23" s="5">
        <f>U22-H22</f>
        <v>2.9593360168999352</v>
      </c>
      <c r="Y23" s="1"/>
      <c r="Z23" s="2">
        <v>2050</v>
      </c>
      <c r="AA23" s="12">
        <v>4</v>
      </c>
      <c r="AB23" s="12">
        <f t="shared" si="11"/>
        <v>4</v>
      </c>
      <c r="AC23" s="12">
        <f t="shared" si="11"/>
        <v>4</v>
      </c>
      <c r="AD23" s="12">
        <v>9.5</v>
      </c>
      <c r="AE23" s="12">
        <v>0</v>
      </c>
      <c r="AF23" s="12">
        <v>3</v>
      </c>
      <c r="AG23" s="12">
        <v>2.0449999999999999</v>
      </c>
      <c r="AH23" s="12">
        <v>-0.5</v>
      </c>
      <c r="AI23" s="12">
        <v>0</v>
      </c>
      <c r="AJ23" s="12">
        <v>0</v>
      </c>
      <c r="AK23" s="51">
        <v>0</v>
      </c>
      <c r="AL23" s="51">
        <v>0</v>
      </c>
      <c r="AM23" s="12">
        <v>0</v>
      </c>
      <c r="AN23" s="12">
        <v>0</v>
      </c>
      <c r="AO23" s="12">
        <f t="shared" si="14"/>
        <v>4</v>
      </c>
      <c r="AP23" s="12">
        <f>AO23</f>
        <v>4</v>
      </c>
      <c r="AQ23" s="12">
        <f t="shared" si="15"/>
        <v>9.5</v>
      </c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3:53" x14ac:dyDescent="0.3">
      <c r="Y24" s="1"/>
      <c r="Z24" s="16"/>
      <c r="AA24" s="17" t="s">
        <v>4</v>
      </c>
      <c r="AB24" s="17"/>
      <c r="AC24" s="17"/>
      <c r="AD24" s="17" t="s">
        <v>5</v>
      </c>
      <c r="AE24" s="17" t="s">
        <v>6</v>
      </c>
      <c r="AF24" s="17" t="s">
        <v>7</v>
      </c>
      <c r="AG24" s="17" t="s">
        <v>8</v>
      </c>
      <c r="AH24" s="17" t="s">
        <v>9</v>
      </c>
      <c r="AI24" s="6" t="s">
        <v>7</v>
      </c>
      <c r="AJ24" s="6" t="s">
        <v>6</v>
      </c>
      <c r="AK24" s="6"/>
      <c r="AL24" s="6"/>
      <c r="AM24" s="6" t="s">
        <v>34</v>
      </c>
      <c r="AN24" s="6"/>
      <c r="AO24" s="17"/>
      <c r="AP24" s="17"/>
      <c r="AQ24" s="17" t="s">
        <v>5</v>
      </c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3:53" x14ac:dyDescent="0.3">
      <c r="Y25" s="1" t="s">
        <v>10</v>
      </c>
      <c r="Z25" s="2">
        <v>2020</v>
      </c>
      <c r="AA25" s="15">
        <v>0.34</v>
      </c>
      <c r="AB25" s="15">
        <f>AA25</f>
        <v>0.34</v>
      </c>
      <c r="AC25" s="15">
        <v>0.4</v>
      </c>
      <c r="AD25" s="15">
        <v>0.56000000000000005</v>
      </c>
      <c r="AE25" s="15">
        <v>1</v>
      </c>
      <c r="AF25" s="15">
        <v>0.31</v>
      </c>
      <c r="AG25" s="15">
        <v>0.34</v>
      </c>
      <c r="AH25" s="15">
        <v>0.28000000000000003</v>
      </c>
      <c r="AI25" s="15">
        <v>1</v>
      </c>
      <c r="AJ25" s="15">
        <v>1</v>
      </c>
      <c r="AK25" s="15">
        <f>0.5*1+0.5*0.91</f>
        <v>0.95500000000000007</v>
      </c>
      <c r="AL25" s="15">
        <v>1</v>
      </c>
      <c r="AM25" s="15">
        <v>1</v>
      </c>
      <c r="AN25" s="15">
        <v>1</v>
      </c>
      <c r="AO25" s="15">
        <f>AA25-0.08</f>
        <v>0.26</v>
      </c>
      <c r="AP25" s="15">
        <f>AC25-0.08</f>
        <v>0.32</v>
      </c>
      <c r="AQ25" s="15">
        <f>AD25-0.08</f>
        <v>0.48000000000000004</v>
      </c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3:53" x14ac:dyDescent="0.3">
      <c r="Y26" s="1" t="s">
        <v>24</v>
      </c>
      <c r="Z26" s="2">
        <v>2030</v>
      </c>
      <c r="AA26" s="15">
        <v>0.35</v>
      </c>
      <c r="AB26" s="15">
        <f>AA26</f>
        <v>0.35</v>
      </c>
      <c r="AC26" s="15">
        <v>0.41</v>
      </c>
      <c r="AD26" s="15">
        <v>0.59</v>
      </c>
      <c r="AE26" s="15">
        <v>1</v>
      </c>
      <c r="AF26" s="15">
        <v>0.31</v>
      </c>
      <c r="AG26" s="15">
        <v>0.34</v>
      </c>
      <c r="AH26" s="15">
        <v>0.28999999999999998</v>
      </c>
      <c r="AI26" s="15">
        <v>1</v>
      </c>
      <c r="AJ26" s="15">
        <v>1</v>
      </c>
      <c r="AK26" s="15">
        <f>0.5*1+0.5*0.92</f>
        <v>0.96</v>
      </c>
      <c r="AL26" s="15">
        <v>1</v>
      </c>
      <c r="AM26" s="15">
        <v>1</v>
      </c>
      <c r="AN26" s="15">
        <v>1</v>
      </c>
      <c r="AO26" s="15">
        <f>AA26-0.08</f>
        <v>0.26999999999999996</v>
      </c>
      <c r="AP26" s="15">
        <f t="shared" ref="AP26:AQ27" si="16">AC26-0.08</f>
        <v>0.32999999999999996</v>
      </c>
      <c r="AQ26" s="15">
        <f t="shared" si="16"/>
        <v>0.51</v>
      </c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3:53" x14ac:dyDescent="0.3">
      <c r="Z27" s="2">
        <v>2050</v>
      </c>
      <c r="AA27" s="15">
        <v>0.36</v>
      </c>
      <c r="AB27" s="15">
        <f>AA27</f>
        <v>0.36</v>
      </c>
      <c r="AC27" s="15">
        <v>0.43</v>
      </c>
      <c r="AD27" s="15">
        <v>0.6</v>
      </c>
      <c r="AE27" s="15">
        <v>1</v>
      </c>
      <c r="AF27" s="15">
        <v>0.31</v>
      </c>
      <c r="AG27" s="15">
        <v>0.34</v>
      </c>
      <c r="AH27" s="15">
        <v>0.28999999999999998</v>
      </c>
      <c r="AI27" s="15">
        <v>1</v>
      </c>
      <c r="AJ27" s="15">
        <v>1</v>
      </c>
      <c r="AK27" s="15">
        <f>0.5*1+0.5*0.92</f>
        <v>0.96</v>
      </c>
      <c r="AL27" s="15">
        <v>1</v>
      </c>
      <c r="AM27" s="15">
        <v>1</v>
      </c>
      <c r="AN27" s="15">
        <v>1</v>
      </c>
      <c r="AO27" s="15">
        <f>AA27-0.08</f>
        <v>0.27999999999999997</v>
      </c>
      <c r="AP27" s="15">
        <f t="shared" si="16"/>
        <v>0.35</v>
      </c>
      <c r="AQ27" s="15">
        <f t="shared" si="16"/>
        <v>0.52</v>
      </c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3:53" x14ac:dyDescent="0.3">
      <c r="Z28" s="16"/>
      <c r="AA28" s="18" t="s">
        <v>4</v>
      </c>
      <c r="AB28" s="18"/>
      <c r="AC28" s="18"/>
      <c r="AD28" s="18" t="s">
        <v>5</v>
      </c>
      <c r="AE28" s="18" t="s">
        <v>6</v>
      </c>
      <c r="AF28" s="18" t="s">
        <v>7</v>
      </c>
      <c r="AG28" s="18" t="s">
        <v>8</v>
      </c>
      <c r="AH28" s="18" t="s">
        <v>9</v>
      </c>
      <c r="AI28" s="6" t="str">
        <f t="shared" ref="AI28:AM28" si="17">AI24</f>
        <v>Wind</v>
      </c>
      <c r="AJ28" s="6" t="str">
        <f>AJ24</f>
        <v>Solar</v>
      </c>
      <c r="AK28" s="6"/>
      <c r="AL28" s="6"/>
      <c r="AM28" s="6" t="str">
        <f t="shared" si="17"/>
        <v>Reservoir</v>
      </c>
      <c r="AN28" s="6"/>
      <c r="AO28" s="18"/>
      <c r="AP28" s="18"/>
      <c r="AQ28" s="18" t="s">
        <v>5</v>
      </c>
    </row>
    <row r="29" spans="3:53" x14ac:dyDescent="0.3">
      <c r="Y29" s="1" t="s">
        <v>12</v>
      </c>
      <c r="Z29" s="2" t="s">
        <v>13</v>
      </c>
      <c r="AA29" s="14">
        <v>7500</v>
      </c>
      <c r="AB29" s="14">
        <f>AA29</f>
        <v>7500</v>
      </c>
      <c r="AC29" s="14">
        <f>AB29</f>
        <v>7500</v>
      </c>
      <c r="AD29" s="14">
        <v>7000</v>
      </c>
      <c r="AE29" s="14">
        <v>7500</v>
      </c>
      <c r="AF29" s="14">
        <v>7500</v>
      </c>
      <c r="AG29" s="14">
        <v>7500</v>
      </c>
      <c r="AH29" s="14">
        <v>7500</v>
      </c>
      <c r="AI29" s="14">
        <v>3000</v>
      </c>
      <c r="AJ29" s="14">
        <v>1750</v>
      </c>
      <c r="AK29" s="14">
        <v>1750</v>
      </c>
      <c r="AL29" s="14">
        <f>0.4*8760</f>
        <v>3504</v>
      </c>
      <c r="AM29" s="14">
        <v>5000</v>
      </c>
      <c r="AN29" s="14">
        <v>5500</v>
      </c>
      <c r="AO29" s="14">
        <v>7500</v>
      </c>
      <c r="AP29" s="14">
        <v>7500</v>
      </c>
      <c r="AQ29" s="14">
        <v>7500</v>
      </c>
    </row>
    <row r="30" spans="3:53" x14ac:dyDescent="0.3">
      <c r="Z30" s="2" t="s">
        <v>14</v>
      </c>
      <c r="AA30" s="14">
        <v>5000</v>
      </c>
      <c r="AB30" s="14">
        <v>5000</v>
      </c>
      <c r="AC30" s="14">
        <v>5000</v>
      </c>
      <c r="AD30" s="14">
        <v>4000</v>
      </c>
      <c r="AE30" s="14">
        <v>6000</v>
      </c>
      <c r="AF30" s="14">
        <v>5000</v>
      </c>
      <c r="AG30" s="14">
        <v>5000</v>
      </c>
      <c r="AH30" s="14">
        <v>5000</v>
      </c>
      <c r="AI30" s="14">
        <v>2500</v>
      </c>
      <c r="AJ30" s="14">
        <v>1450</v>
      </c>
      <c r="AK30" s="14">
        <v>1450</v>
      </c>
      <c r="AL30" s="14">
        <v>2890.8</v>
      </c>
      <c r="AM30" s="14">
        <v>3500</v>
      </c>
      <c r="AN30" s="14">
        <v>4000</v>
      </c>
      <c r="AO30" s="14">
        <v>5000</v>
      </c>
      <c r="AP30" s="14">
        <v>5000</v>
      </c>
      <c r="AQ30" s="14">
        <v>4000</v>
      </c>
    </row>
    <row r="31" spans="3:53" x14ac:dyDescent="0.3">
      <c r="AM31" s="3"/>
      <c r="AN31" s="3"/>
    </row>
    <row r="32" spans="3:53" x14ac:dyDescent="0.3">
      <c r="AK32" s="3">
        <v>3</v>
      </c>
      <c r="AL32" s="7" t="s">
        <v>59</v>
      </c>
      <c r="AM32" s="3"/>
      <c r="AN32" s="3"/>
    </row>
    <row r="33" spans="3:43" x14ac:dyDescent="0.3">
      <c r="AM33" s="3"/>
      <c r="AN33" s="3"/>
    </row>
    <row r="34" spans="3:43" ht="18" x14ac:dyDescent="0.35">
      <c r="Y34" s="58" t="s">
        <v>47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3:43" ht="18" x14ac:dyDescent="0.35">
      <c r="Y35" s="58" t="s">
        <v>35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3:43" ht="18" x14ac:dyDescent="0.35">
      <c r="Y36" s="58" t="s">
        <v>36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3:43" ht="18" x14ac:dyDescent="0.35">
      <c r="Y37" s="59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3:43" x14ac:dyDescent="0.3"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3:43" x14ac:dyDescent="0.3"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3:43" x14ac:dyDescent="0.3"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3" spans="3:43" x14ac:dyDescent="0.3">
      <c r="Z43" s="8"/>
    </row>
    <row r="44" spans="3:43" x14ac:dyDescent="0.3">
      <c r="U44" s="55"/>
      <c r="Z44" s="7"/>
    </row>
    <row r="45" spans="3:43" x14ac:dyDescent="0.3">
      <c r="C45" s="56" t="s">
        <v>56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Z45" s="7"/>
    </row>
    <row r="46" spans="3:43" x14ac:dyDescent="0.3">
      <c r="E46" s="2" t="str">
        <f>E21</f>
        <v>Coal Subcritical</v>
      </c>
      <c r="F46" s="2" t="str">
        <f t="shared" ref="F46:R46" si="18">F21</f>
        <v>Flex Coal</v>
      </c>
      <c r="G46" s="2" t="str">
        <f t="shared" si="18"/>
        <v>IGCC</v>
      </c>
      <c r="H46" s="2" t="str">
        <f t="shared" si="18"/>
        <v>Gas CC</v>
      </c>
      <c r="I46" s="2" t="str">
        <f t="shared" si="18"/>
        <v>Geothermal</v>
      </c>
      <c r="J46" s="2" t="str">
        <f t="shared" si="18"/>
        <v>Biomass</v>
      </c>
      <c r="K46" s="2" t="str">
        <f t="shared" si="18"/>
        <v>Biogas</v>
      </c>
      <c r="L46" s="2" t="str">
        <f t="shared" si="18"/>
        <v>Waste</v>
      </c>
      <c r="M46" s="2" t="str">
        <f t="shared" si="18"/>
        <v>Wind</v>
      </c>
      <c r="N46" s="2" t="str">
        <f t="shared" si="18"/>
        <v>Solar PV</v>
      </c>
      <c r="O46" s="2" t="str">
        <f t="shared" si="18"/>
        <v>PV+battery (3h)</v>
      </c>
      <c r="P46" s="2" t="str">
        <f t="shared" si="18"/>
        <v>Tidal</v>
      </c>
      <c r="Q46" s="2" t="str">
        <f t="shared" si="18"/>
        <v>Hydro</v>
      </c>
      <c r="R46" s="2" t="str">
        <f t="shared" si="18"/>
        <v>Hydro-Med</v>
      </c>
      <c r="S46" s="2" t="str">
        <f t="shared" ref="S46:U46" si="19">S21</f>
        <v>Coal CCS</v>
      </c>
      <c r="T46" s="2" t="str">
        <f t="shared" si="19"/>
        <v>IGCC CCS</v>
      </c>
      <c r="U46" s="2" t="str">
        <f t="shared" si="19"/>
        <v>Gas CCS</v>
      </c>
      <c r="Z46" s="7"/>
    </row>
    <row r="47" spans="3:43" x14ac:dyDescent="0.3">
      <c r="C47" s="1" t="s">
        <v>2</v>
      </c>
      <c r="E47" s="22">
        <f>E14*VLOOKUP($D$8,$I$9:$J$10,2,FALSE)</f>
        <v>2.5841117449960072</v>
      </c>
      <c r="F47" s="22">
        <f t="shared" ref="E47:R47" si="20">F14*VLOOKUP($D$8,$I$9:$J$10,2,FALSE)</f>
        <v>3.1479179439042273</v>
      </c>
      <c r="G47" s="22">
        <f t="shared" si="20"/>
        <v>3.7587079927214653</v>
      </c>
      <c r="H47" s="22">
        <f t="shared" si="20"/>
        <v>1.1578163013293798</v>
      </c>
      <c r="I47" s="22">
        <f t="shared" si="20"/>
        <v>6.2645133212024433</v>
      </c>
      <c r="J47" s="22">
        <f t="shared" si="20"/>
        <v>3.1322566606012217</v>
      </c>
      <c r="K47" s="22">
        <f t="shared" si="20"/>
        <v>3.3671759101463126</v>
      </c>
      <c r="L47" s="22">
        <f t="shared" si="20"/>
        <v>10.649672646044152</v>
      </c>
      <c r="M47" s="22">
        <f t="shared" si="20"/>
        <v>5.8729812386272897</v>
      </c>
      <c r="N47" s="22">
        <f t="shared" si="20"/>
        <v>5.3024630611606387</v>
      </c>
      <c r="O47" s="22">
        <f t="shared" si="20"/>
        <v>12.766183218136121</v>
      </c>
      <c r="P47" s="22">
        <f t="shared" si="20"/>
        <v>17.766438678495796</v>
      </c>
      <c r="Q47" s="22">
        <f t="shared" si="20"/>
        <v>4.8863203905379056</v>
      </c>
      <c r="R47" s="22">
        <f t="shared" si="20"/>
        <v>4.8905916496205428</v>
      </c>
      <c r="S47" s="22">
        <f t="shared" ref="S47:U47" si="21">S14*VLOOKUP($D$8,$I$9:$J$10,2,FALSE)</f>
        <v>5.6380619890821979</v>
      </c>
      <c r="T47" s="22">
        <f t="shared" si="21"/>
        <v>5.2465299065070452</v>
      </c>
      <c r="U47" s="22">
        <f t="shared" si="21"/>
        <v>2.8816761277531238</v>
      </c>
      <c r="Z47" s="8"/>
    </row>
    <row r="48" spans="3:43" x14ac:dyDescent="0.3">
      <c r="C48" s="1" t="s">
        <v>0</v>
      </c>
      <c r="E48" s="22">
        <f t="shared" ref="E48:R48" si="22">E15*VLOOKUP($D$8,$I$9:$J$10,2,FALSE)</f>
        <v>0.60400000000000009</v>
      </c>
      <c r="F48" s="22">
        <f t="shared" si="22"/>
        <v>0.60400000000000009</v>
      </c>
      <c r="G48" s="22">
        <f t="shared" si="22"/>
        <v>0.8</v>
      </c>
      <c r="H48" s="22">
        <f t="shared" si="22"/>
        <v>0.33571428571428574</v>
      </c>
      <c r="I48" s="22">
        <f t="shared" si="22"/>
        <v>0.66666666666666674</v>
      </c>
      <c r="J48" s="22">
        <f t="shared" si="22"/>
        <v>0.63466666666666671</v>
      </c>
      <c r="K48" s="22">
        <f t="shared" si="22"/>
        <v>1.2933333333333334</v>
      </c>
      <c r="L48" s="22">
        <f t="shared" si="22"/>
        <v>3.2493333333333334</v>
      </c>
      <c r="M48" s="22">
        <f t="shared" si="22"/>
        <v>2</v>
      </c>
      <c r="N48" s="22">
        <f t="shared" si="22"/>
        <v>0.77714285714285714</v>
      </c>
      <c r="O48" s="22">
        <f t="shared" si="22"/>
        <v>0.88360000000000005</v>
      </c>
      <c r="P48" s="22">
        <f t="shared" si="22"/>
        <v>8.076484018264841</v>
      </c>
      <c r="Q48" s="22">
        <f t="shared" si="22"/>
        <v>0.754</v>
      </c>
      <c r="R48" s="22">
        <f t="shared" si="22"/>
        <v>0.76181818181818184</v>
      </c>
      <c r="S48" s="22">
        <f t="shared" ref="S48:U48" si="23">S15*VLOOKUP($D$8,$I$9:$J$10,2,FALSE)</f>
        <v>1.1613333333333333</v>
      </c>
      <c r="T48" s="22">
        <f t="shared" si="23"/>
        <v>0.91866666666666674</v>
      </c>
      <c r="U48" s="22">
        <f t="shared" si="23"/>
        <v>0.43333333333333335</v>
      </c>
      <c r="Z48" s="7"/>
    </row>
    <row r="49" spans="3:26" x14ac:dyDescent="0.3">
      <c r="C49" s="1" t="s">
        <v>3</v>
      </c>
      <c r="E49" s="22">
        <f t="shared" ref="E49:R49" si="24">E16*VLOOKUP($D$8,$I$9:$J$10,2,FALSE)</f>
        <v>1.3000000000000001E-2</v>
      </c>
      <c r="F49" s="22">
        <f t="shared" si="24"/>
        <v>1.3000000000000001E-2</v>
      </c>
      <c r="G49" s="22">
        <f t="shared" si="24"/>
        <v>1.2000000000000002</v>
      </c>
      <c r="H49" s="22">
        <f t="shared" si="24"/>
        <v>0.22999999999999998</v>
      </c>
      <c r="I49" s="22">
        <f t="shared" si="24"/>
        <v>2.5000000000000001E-2</v>
      </c>
      <c r="J49" s="22">
        <f t="shared" si="24"/>
        <v>0.30000000000000004</v>
      </c>
      <c r="K49" s="22">
        <f t="shared" si="24"/>
        <v>1.1000000000000001E-2</v>
      </c>
      <c r="L49" s="22">
        <f t="shared" si="24"/>
        <v>2.41</v>
      </c>
      <c r="M49" s="22">
        <f t="shared" si="24"/>
        <v>0</v>
      </c>
      <c r="N49" s="22">
        <f t="shared" si="24"/>
        <v>0</v>
      </c>
      <c r="O49" s="22">
        <f t="shared" si="24"/>
        <v>0.11499999999999999</v>
      </c>
      <c r="P49" s="22">
        <f t="shared" si="24"/>
        <v>1.2000000000000002</v>
      </c>
      <c r="Q49" s="22">
        <f t="shared" si="24"/>
        <v>6.5000000000000002E-2</v>
      </c>
      <c r="R49" s="22">
        <f t="shared" si="24"/>
        <v>0.05</v>
      </c>
      <c r="S49" s="22">
        <f t="shared" ref="S49:U49" si="25">S16*VLOOKUP($D$8,$I$9:$J$10,2,FALSE)</f>
        <v>0.32300000000000001</v>
      </c>
      <c r="T49" s="22">
        <f t="shared" si="25"/>
        <v>1.7300000000000002</v>
      </c>
      <c r="U49" s="22">
        <f t="shared" si="25"/>
        <v>0.35000000000000003</v>
      </c>
      <c r="Z49" s="7"/>
    </row>
    <row r="50" spans="3:26" x14ac:dyDescent="0.3">
      <c r="C50" s="1" t="s">
        <v>1</v>
      </c>
      <c r="E50" s="22">
        <f t="shared" ref="E50:R50" si="26">E17*VLOOKUP($D$8,$I$9:$J$10,2,FALSE)</f>
        <v>4.2352941176470589</v>
      </c>
      <c r="F50" s="22">
        <f t="shared" si="26"/>
        <v>4.2352941176470589</v>
      </c>
      <c r="G50" s="22">
        <f t="shared" si="26"/>
        <v>3.6</v>
      </c>
      <c r="H50" s="22">
        <f t="shared" si="26"/>
        <v>6.1071428571428577</v>
      </c>
      <c r="I50" s="22">
        <f t="shared" si="26"/>
        <v>0</v>
      </c>
      <c r="J50" s="22">
        <f t="shared" si="26"/>
        <v>3.4838709677419359</v>
      </c>
      <c r="K50" s="22">
        <f t="shared" si="26"/>
        <v>2.1176470588235294</v>
      </c>
      <c r="L50" s="22">
        <f t="shared" si="26"/>
        <v>-0.64285714285714279</v>
      </c>
      <c r="M50" s="22">
        <f t="shared" si="26"/>
        <v>0</v>
      </c>
      <c r="N50" s="22">
        <f t="shared" si="26"/>
        <v>0</v>
      </c>
      <c r="O50" s="22">
        <f t="shared" si="26"/>
        <v>0</v>
      </c>
      <c r="P50" s="22">
        <f t="shared" si="26"/>
        <v>0</v>
      </c>
      <c r="Q50" s="22">
        <f t="shared" si="26"/>
        <v>0</v>
      </c>
      <c r="R50" s="22">
        <f t="shared" si="26"/>
        <v>0</v>
      </c>
      <c r="S50" s="22">
        <f t="shared" ref="S50:U50" si="27">S17*VLOOKUP($D$8,$I$9:$J$10,2,FALSE)</f>
        <v>5.5384615384615392</v>
      </c>
      <c r="T50" s="22">
        <f t="shared" si="27"/>
        <v>4.5</v>
      </c>
      <c r="U50" s="22">
        <f t="shared" si="27"/>
        <v>7.125</v>
      </c>
      <c r="Z50" s="8"/>
    </row>
    <row r="51" spans="3:26" x14ac:dyDescent="0.3">
      <c r="Z51" s="7"/>
    </row>
    <row r="52" spans="3:26" x14ac:dyDescent="0.3">
      <c r="Z52" s="7"/>
    </row>
    <row r="53" spans="3:26" x14ac:dyDescent="0.3">
      <c r="Z53" s="7"/>
    </row>
    <row r="54" spans="3:26" x14ac:dyDescent="0.3">
      <c r="Z54" s="7"/>
    </row>
    <row r="55" spans="3:26" x14ac:dyDescent="0.3">
      <c r="Z55" s="7"/>
    </row>
    <row r="56" spans="3:26" x14ac:dyDescent="0.3">
      <c r="Z56" s="7"/>
    </row>
    <row r="57" spans="3:26" x14ac:dyDescent="0.3">
      <c r="Z57" s="8"/>
    </row>
    <row r="58" spans="3:26" x14ac:dyDescent="0.3">
      <c r="Z58" s="7"/>
    </row>
    <row r="59" spans="3:26" x14ac:dyDescent="0.3">
      <c r="Z59" s="7"/>
    </row>
    <row r="60" spans="3:26" x14ac:dyDescent="0.3">
      <c r="Z60" s="8"/>
    </row>
    <row r="61" spans="3:26" x14ac:dyDescent="0.3">
      <c r="Z61" s="7"/>
    </row>
    <row r="62" spans="3:26" x14ac:dyDescent="0.3">
      <c r="Z62" s="7"/>
    </row>
    <row r="63" spans="3:26" x14ac:dyDescent="0.3">
      <c r="Z63" s="8"/>
    </row>
    <row r="64" spans="3:26" x14ac:dyDescent="0.3">
      <c r="Z64" s="7"/>
    </row>
    <row r="65" spans="4:38" x14ac:dyDescent="0.3">
      <c r="D65" s="48"/>
      <c r="I65" s="49"/>
      <c r="J65" s="49"/>
      <c r="L65"/>
      <c r="Z65" s="7"/>
    </row>
    <row r="66" spans="4:38" x14ac:dyDescent="0.3">
      <c r="L66"/>
      <c r="M66"/>
      <c r="N66"/>
      <c r="O66"/>
      <c r="P66"/>
      <c r="W66" s="3"/>
      <c r="X66" s="3"/>
      <c r="Y66" s="3"/>
      <c r="Z66" s="7"/>
      <c r="AG66"/>
      <c r="AH66"/>
      <c r="AI66"/>
      <c r="AJ66"/>
      <c r="AK66"/>
      <c r="AL66"/>
    </row>
    <row r="67" spans="4:38" x14ac:dyDescent="0.3">
      <c r="D67" s="47"/>
      <c r="E67" s="47"/>
      <c r="F67" s="47"/>
      <c r="G67" s="47"/>
      <c r="H67" s="47"/>
      <c r="I67" s="47"/>
      <c r="J67" s="47"/>
      <c r="K67" s="47"/>
      <c r="L67" s="47"/>
      <c r="M67"/>
      <c r="N67"/>
      <c r="O67"/>
      <c r="P67"/>
      <c r="W67" s="3"/>
      <c r="X67" s="3"/>
      <c r="Y67" s="3"/>
      <c r="AG67"/>
      <c r="AH67"/>
      <c r="AI67"/>
      <c r="AJ67"/>
      <c r="AK67"/>
      <c r="AL67"/>
    </row>
    <row r="68" spans="4:38" x14ac:dyDescent="0.3">
      <c r="D68" s="47"/>
      <c r="E68" s="47"/>
      <c r="F68" s="47"/>
      <c r="G68" s="47"/>
      <c r="H68" s="47"/>
      <c r="I68" s="47"/>
      <c r="J68" s="47"/>
      <c r="K68" s="47"/>
      <c r="L68" s="47"/>
    </row>
    <row r="69" spans="4:38" x14ac:dyDescent="0.3">
      <c r="L69"/>
    </row>
    <row r="129" spans="4:12" x14ac:dyDescent="0.3">
      <c r="D129" s="47"/>
      <c r="E129" s="47"/>
      <c r="F129" s="47"/>
      <c r="G129" s="47"/>
      <c r="H129" s="47"/>
      <c r="I129" s="47"/>
      <c r="J129" s="47"/>
      <c r="K129" s="47"/>
      <c r="L129" s="47"/>
    </row>
    <row r="130" spans="4:12" x14ac:dyDescent="0.3">
      <c r="D130" s="47"/>
      <c r="E130" s="47"/>
      <c r="F130" s="47"/>
      <c r="G130" s="47"/>
      <c r="H130" s="47"/>
      <c r="I130" s="47"/>
      <c r="J130" s="47"/>
      <c r="K130" s="47"/>
      <c r="L130" s="47"/>
    </row>
  </sheetData>
  <mergeCells count="4">
    <mergeCell ref="Y6:AI6"/>
    <mergeCell ref="C6:L6"/>
    <mergeCell ref="C12:U12"/>
    <mergeCell ref="C45:U45"/>
  </mergeCells>
  <phoneticPr fontId="15" type="noConversion"/>
  <dataValidations count="3">
    <dataValidation type="list" allowBlank="1" showInputMessage="1" showErrorMessage="1" sqref="D9" xr:uid="{3C9E80BF-7C56-4432-811D-6CFC04F854BB}">
      <formula1>$Z$9:$Z$11</formula1>
    </dataValidation>
    <dataValidation type="list" allowBlank="1" showInputMessage="1" showErrorMessage="1" sqref="D10" xr:uid="{E4841F30-202D-464F-8C58-B23AD16516FD}">
      <formula1>"High,Low"</formula1>
    </dataValidation>
    <dataValidation type="list" allowBlank="1" showInputMessage="1" showErrorMessage="1" sqref="D8" xr:uid="{21BDD157-4990-4158-A2B9-FCF67C01423A}">
      <formula1>$I$9:$I$10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5D4FB669C5A47858A672D778C1E53" ma:contentTypeVersion="" ma:contentTypeDescription="Create a new document." ma:contentTypeScope="" ma:versionID="96c98d29dba9d39687aff2d229b83db1">
  <xsd:schema xmlns:xsd="http://www.w3.org/2001/XMLSchema" xmlns:xs="http://www.w3.org/2001/XMLSchema" xmlns:p="http://schemas.microsoft.com/office/2006/metadata/properties" xmlns:ns2="34fe28fa-5247-4e99-8a11-da5cc0cb5224" xmlns:ns3="5b8078ab-8515-4af5-94c5-f9cec008c9b0" targetNamespace="http://schemas.microsoft.com/office/2006/metadata/properties" ma:root="true" ma:fieldsID="f29f70a187c72322dc2d1d2716a82b38" ns2:_="" ns3:_="">
    <xsd:import namespace="34fe28fa-5247-4e99-8a11-da5cc0cb5224"/>
    <xsd:import namespace="5b8078ab-8515-4af5-94c5-f9cec008c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28fa-5247-4e99-8a11-da5cc0cb5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078ab-8515-4af5-94c5-f9cec008c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E9415-98FC-4E31-BD43-0BDD3AB6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5BA519-B9B4-4173-A926-F4F7FE7D067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EABD5249-AA4B-4FB6-955C-0F13D08FD8BD"/>
    <ds:schemaRef ds:uri="http://www.w3.org/XML/1998/namespace"/>
    <ds:schemaRef ds:uri="eabd5249-aa4b-4fb6-955c-0f13d08fd8bd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7400E5-4A04-44BC-993A-1B8543533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e28fa-5247-4e99-8a11-da5cc0cb5224"/>
    <ds:schemaRef ds:uri="5b8078ab-8515-4af5-94c5-f9cec008c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Dalla Riva</dc:creator>
  <cp:lastModifiedBy>Alberto Dalla Riva</cp:lastModifiedBy>
  <dcterms:created xsi:type="dcterms:W3CDTF">2018-12-10T10:07:12Z</dcterms:created>
  <dcterms:modified xsi:type="dcterms:W3CDTF">2021-03-08T15:29:28Z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0x01010083D5D4FB669C5A47858A672D778C1E53</vt:lpwstr>
  </property>
</Properties>
</file>