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eec4ee6ac78948db"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vmas-my.sharepoint.com/personal/cag_viegandmaagoe_dk/Documents/Documents/2182 - DEA - DEPP 3 FWC/Position 4 - Assignments/EE UA 01/"/>
    </mc:Choice>
  </mc:AlternateContent>
  <xr:revisionPtr revIDLastSave="0" documentId="8_{96D47197-22AB-4455-8C56-4155CB5FCBB8}" xr6:coauthVersionLast="46" xr6:coauthVersionMax="46" xr10:uidLastSave="{00000000-0000-0000-0000-000000000000}"/>
  <bookViews>
    <workbookView xWindow="-108" yWindow="-108" windowWidth="23256" windowHeight="12576" activeTab="2" xr2:uid="{00000000-000D-0000-FFFF-FFFF00000000}"/>
  </bookViews>
  <sheets>
    <sheet name="Front page" sheetId="16" r:id="rId1"/>
    <sheet name="Introduction" sheetId="17" r:id="rId2"/>
    <sheet name="Cost Benefit Analysis" sheetId="3" r:id="rId3"/>
    <sheet name="Input" sheetId="9" r:id="rId4"/>
  </sheets>
  <externalReferences>
    <externalReference r:id="rId5"/>
  </externalReferences>
  <definedNames>
    <definedName name="____W.O.R.K.B.O.O.K..C.O.N.T.E.N.T.S____" localSheetId="1">#REF!</definedName>
    <definedName name="____W.O.R.K.B.O.O.K..C.O.N.T.E.N.T.S____">#REF!</definedName>
    <definedName name="Choose_biomass_fuel">[1]List!$B$4:$B$8</definedName>
    <definedName name="CRF_Table1.A_a_s2_Main">#REF!</definedName>
    <definedName name="CRF_Table1s1_Main">#REF!</definedName>
    <definedName name="CRF_Table3.B_a_s2_Add">#REF!</definedName>
    <definedName name="CRF_Table7_Main">#REF!</definedName>
    <definedName name="_xlnm.Recor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3" l="1"/>
  <c r="D39" i="9" l="1"/>
  <c r="E39" i="9"/>
  <c r="F39" i="9"/>
  <c r="G39" i="9"/>
  <c r="C39" i="9"/>
  <c r="C50" i="9"/>
  <c r="C57" i="9" s="1"/>
  <c r="D43" i="9" l="1"/>
  <c r="E43" i="9"/>
  <c r="F43" i="9"/>
  <c r="G43" i="9"/>
  <c r="C43" i="9"/>
  <c r="B1" i="17"/>
  <c r="I13" i="3" l="1"/>
  <c r="E21" i="3" s="1"/>
  <c r="I10" i="3"/>
  <c r="I9" i="3"/>
  <c r="I11" i="3"/>
  <c r="I8" i="3"/>
  <c r="G13" i="3" l="1"/>
  <c r="E9" i="3"/>
  <c r="E8" i="3"/>
  <c r="C10" i="3"/>
  <c r="E22" i="3" s="1"/>
  <c r="E23" i="3" s="1"/>
  <c r="E25" i="3" s="1"/>
  <c r="C8" i="3"/>
  <c r="G9" i="3"/>
  <c r="G8" i="3"/>
  <c r="G12" i="3"/>
  <c r="G11" i="3"/>
  <c r="E12" i="3"/>
  <c r="E13" i="3"/>
  <c r="E11" i="3"/>
  <c r="C12" i="3"/>
  <c r="C13" i="3"/>
  <c r="C11" i="3"/>
  <c r="E24" i="3" l="1"/>
  <c r="E10" i="3"/>
  <c r="E20" i="3"/>
  <c r="C44" i="9"/>
  <c r="B1" i="9"/>
  <c r="B1" i="3"/>
  <c r="B59" i="3" l="1"/>
  <c r="B58" i="3"/>
  <c r="B57" i="3"/>
  <c r="F17" i="3" l="1"/>
  <c r="G17" i="3" s="1"/>
  <c r="H17" i="3" s="1"/>
  <c r="I17" i="3" s="1"/>
  <c r="J17" i="3" s="1"/>
  <c r="K17" i="3" s="1"/>
  <c r="L17" i="3" s="1"/>
  <c r="M17" i="3" s="1"/>
  <c r="N17" i="3" s="1"/>
  <c r="O17" i="3" s="1"/>
  <c r="F20" i="3" l="1"/>
  <c r="F34" i="3" s="1"/>
  <c r="G20" i="3"/>
  <c r="G34" i="3" s="1"/>
  <c r="H20" i="3"/>
  <c r="H34" i="3" s="1"/>
  <c r="I20" i="3"/>
  <c r="I34" i="3" s="1"/>
  <c r="J20" i="3"/>
  <c r="J34" i="3" s="1"/>
  <c r="K20" i="3"/>
  <c r="K34" i="3" s="1"/>
  <c r="L20" i="3"/>
  <c r="L34" i="3" s="1"/>
  <c r="M20" i="3"/>
  <c r="M34" i="3" s="1"/>
  <c r="N20" i="3"/>
  <c r="N34" i="3" s="1"/>
  <c r="O20" i="3"/>
  <c r="O34" i="3" s="1"/>
  <c r="E43" i="3" l="1"/>
  <c r="E42" i="3"/>
  <c r="E34" i="3"/>
  <c r="E35" i="3"/>
  <c r="O35" i="3"/>
  <c r="O42" i="3"/>
  <c r="O43" i="3"/>
  <c r="N42" i="3"/>
  <c r="N35" i="3"/>
  <c r="N43" i="3"/>
  <c r="M42" i="3"/>
  <c r="M35" i="3"/>
  <c r="M43" i="3"/>
  <c r="L42" i="3"/>
  <c r="L43" i="3"/>
  <c r="L35" i="3"/>
  <c r="K43" i="3"/>
  <c r="K35" i="3"/>
  <c r="K42" i="3"/>
  <c r="J43" i="3"/>
  <c r="J42" i="3"/>
  <c r="J35" i="3"/>
  <c r="I43" i="3"/>
  <c r="I35" i="3"/>
  <c r="I42" i="3"/>
  <c r="H35" i="3"/>
  <c r="H43" i="3"/>
  <c r="H42" i="3"/>
  <c r="G35" i="3"/>
  <c r="G43" i="3"/>
  <c r="G42" i="3"/>
  <c r="F42" i="3"/>
  <c r="F43" i="3"/>
  <c r="F35" i="3"/>
  <c r="F22" i="3" l="1"/>
  <c r="I22" i="3"/>
  <c r="H22" i="3"/>
  <c r="G22" i="3"/>
  <c r="E29" i="3" l="1"/>
  <c r="E44" i="3" s="1"/>
  <c r="G10" i="3" l="1"/>
  <c r="J22" i="3"/>
  <c r="K22" i="3" s="1"/>
  <c r="L22" i="3" s="1"/>
  <c r="M22" i="3" s="1"/>
  <c r="N22" i="3" s="1"/>
  <c r="O22" i="3" s="1"/>
  <c r="I12" i="3" l="1"/>
  <c r="E30" i="3" s="1"/>
  <c r="E28" i="3"/>
  <c r="M21" i="3"/>
  <c r="F21" i="3"/>
  <c r="F23" i="3" s="1"/>
  <c r="N21" i="3"/>
  <c r="G21" i="3"/>
  <c r="O21" i="3"/>
  <c r="H21" i="3"/>
  <c r="E52" i="3"/>
  <c r="I21" i="3"/>
  <c r="J21" i="3"/>
  <c r="K21" i="3"/>
  <c r="L21" i="3"/>
  <c r="E41" i="3" l="1"/>
  <c r="E49" i="3"/>
  <c r="F25" i="3"/>
  <c r="E59" i="3"/>
  <c r="E36" i="3"/>
  <c r="F29" i="3"/>
  <c r="F44" i="3" s="1"/>
  <c r="F28" i="3"/>
  <c r="F52" i="3"/>
  <c r="F59" i="3" s="1"/>
  <c r="F24" i="3"/>
  <c r="H23" i="3"/>
  <c r="G23" i="3"/>
  <c r="I23" i="3"/>
  <c r="I25" i="3" s="1"/>
  <c r="G25" i="3" l="1"/>
  <c r="H52" i="3"/>
  <c r="H59" i="3" s="1"/>
  <c r="H25" i="3"/>
  <c r="I28" i="3"/>
  <c r="I29" i="3"/>
  <c r="I44" i="3" s="1"/>
  <c r="G29" i="3"/>
  <c r="G44" i="3" s="1"/>
  <c r="G28" i="3"/>
  <c r="H28" i="3"/>
  <c r="H29" i="3"/>
  <c r="H44" i="3" s="1"/>
  <c r="F30" i="3"/>
  <c r="F36" i="3"/>
  <c r="I52" i="3"/>
  <c r="I59" i="3" s="1"/>
  <c r="G52" i="3"/>
  <c r="G59" i="3" s="1"/>
  <c r="H24" i="3"/>
  <c r="I24" i="3"/>
  <c r="G24" i="3"/>
  <c r="J23" i="3"/>
  <c r="F41" i="3" l="1"/>
  <c r="F49" i="3"/>
  <c r="J25" i="3"/>
  <c r="G30" i="3"/>
  <c r="G36" i="3"/>
  <c r="F31" i="3"/>
  <c r="J28" i="3"/>
  <c r="J29" i="3"/>
  <c r="J44" i="3" s="1"/>
  <c r="H36" i="3"/>
  <c r="H30" i="3"/>
  <c r="I36" i="3"/>
  <c r="I30" i="3"/>
  <c r="F45" i="3"/>
  <c r="F58" i="3" s="1"/>
  <c r="E45" i="3"/>
  <c r="E31" i="3"/>
  <c r="J52" i="3"/>
  <c r="J59" i="3" s="1"/>
  <c r="J24" i="3"/>
  <c r="K23" i="3"/>
  <c r="I41" i="3" l="1"/>
  <c r="I45" i="3" s="1"/>
  <c r="I58" i="3" s="1"/>
  <c r="I49" i="3"/>
  <c r="G41" i="3"/>
  <c r="G45" i="3" s="1"/>
  <c r="G58" i="3" s="1"/>
  <c r="G49" i="3"/>
  <c r="H41" i="3"/>
  <c r="H45" i="3" s="1"/>
  <c r="H58" i="3" s="1"/>
  <c r="H49" i="3"/>
  <c r="K25" i="3"/>
  <c r="E57" i="3"/>
  <c r="G31" i="3"/>
  <c r="G57" i="3" s="1"/>
  <c r="F57" i="3"/>
  <c r="F60" i="3" s="1"/>
  <c r="E58" i="3"/>
  <c r="I31" i="3"/>
  <c r="I57" i="3" s="1"/>
  <c r="J30" i="3"/>
  <c r="J36" i="3"/>
  <c r="H31" i="3"/>
  <c r="K29" i="3"/>
  <c r="K44" i="3" s="1"/>
  <c r="K28" i="3"/>
  <c r="K52" i="3"/>
  <c r="K59" i="3" s="1"/>
  <c r="K24" i="3"/>
  <c r="L23" i="3"/>
  <c r="J41" i="3" l="1"/>
  <c r="J45" i="3" s="1"/>
  <c r="J49" i="3"/>
  <c r="G60" i="3"/>
  <c r="L25" i="3"/>
  <c r="E60" i="3"/>
  <c r="F62" i="3" s="1"/>
  <c r="J31" i="3"/>
  <c r="J57" i="3" s="1"/>
  <c r="H57" i="3"/>
  <c r="H60" i="3" s="1"/>
  <c r="I60" i="3"/>
  <c r="L28" i="3"/>
  <c r="L29" i="3"/>
  <c r="L44" i="3" s="1"/>
  <c r="K30" i="3"/>
  <c r="K36" i="3"/>
  <c r="L52" i="3"/>
  <c r="L59" i="3" s="1"/>
  <c r="L24" i="3"/>
  <c r="M23" i="3"/>
  <c r="K41" i="3" l="1"/>
  <c r="K49" i="3"/>
  <c r="M25" i="3"/>
  <c r="E62" i="3"/>
  <c r="G62" i="3"/>
  <c r="H62" i="3"/>
  <c r="I62" i="3"/>
  <c r="J58" i="3"/>
  <c r="K31" i="3"/>
  <c r="K57" i="3" s="1"/>
  <c r="L30" i="3"/>
  <c r="L36" i="3"/>
  <c r="M28" i="3"/>
  <c r="M29" i="3"/>
  <c r="M44" i="3" s="1"/>
  <c r="M52" i="3"/>
  <c r="M59" i="3" s="1"/>
  <c r="M24" i="3"/>
  <c r="N23" i="3"/>
  <c r="L41" i="3" l="1"/>
  <c r="L49" i="3"/>
  <c r="N25" i="3"/>
  <c r="J60" i="3"/>
  <c r="J62" i="3" s="1"/>
  <c r="L31" i="3"/>
  <c r="L57" i="3" s="1"/>
  <c r="N29" i="3"/>
  <c r="N44" i="3" s="1"/>
  <c r="N28" i="3"/>
  <c r="M36" i="3"/>
  <c r="M30" i="3"/>
  <c r="K45" i="3"/>
  <c r="N52" i="3"/>
  <c r="N59" i="3" s="1"/>
  <c r="N24" i="3"/>
  <c r="O23" i="3"/>
  <c r="M41" i="3" l="1"/>
  <c r="M49" i="3"/>
  <c r="O25" i="3"/>
  <c r="K58" i="3"/>
  <c r="M31" i="3"/>
  <c r="M57" i="3" s="1"/>
  <c r="O29" i="3"/>
  <c r="O44" i="3" s="1"/>
  <c r="O28" i="3"/>
  <c r="N30" i="3"/>
  <c r="N36" i="3"/>
  <c r="L45" i="3"/>
  <c r="O52" i="3"/>
  <c r="O24" i="3"/>
  <c r="N41" i="3" l="1"/>
  <c r="N49" i="3"/>
  <c r="K60" i="3"/>
  <c r="K62" i="3" s="1"/>
  <c r="O59" i="3"/>
  <c r="D66" i="3" s="1"/>
  <c r="L58" i="3"/>
  <c r="L60" i="3" s="1"/>
  <c r="O30" i="3"/>
  <c r="O36" i="3"/>
  <c r="D54" i="3"/>
  <c r="N31" i="3"/>
  <c r="N57" i="3" s="1"/>
  <c r="M45" i="3"/>
  <c r="O41" i="3" l="1"/>
  <c r="O49" i="3"/>
  <c r="D70" i="3"/>
  <c r="L62" i="3"/>
  <c r="O31" i="3"/>
  <c r="M58" i="3"/>
  <c r="M60" i="3" s="1"/>
  <c r="N45" i="3"/>
  <c r="O45" i="3" l="1"/>
  <c r="O58" i="3" s="1"/>
  <c r="O57" i="3"/>
  <c r="D64" i="3" s="1"/>
  <c r="D38" i="3"/>
  <c r="M62" i="3"/>
  <c r="N58" i="3"/>
  <c r="N60" i="3" s="1"/>
  <c r="N62" i="3" s="1"/>
  <c r="D47" i="3" l="1"/>
  <c r="D65" i="3"/>
  <c r="O60" i="3"/>
  <c r="D67" i="3" s="1"/>
  <c r="O62" i="3" l="1"/>
</calcChain>
</file>

<file path=xl/sharedStrings.xml><?xml version="1.0" encoding="utf-8"?>
<sst xmlns="http://schemas.openxmlformats.org/spreadsheetml/2006/main" count="235" uniqueCount="161">
  <si>
    <t>Natural gas</t>
  </si>
  <si>
    <t>Electric power</t>
  </si>
  <si>
    <t>Thermal power</t>
  </si>
  <si>
    <t>Total energy consumption baseline</t>
  </si>
  <si>
    <t>Energy saving under VA scheme</t>
  </si>
  <si>
    <t>Total energy consumption with VA scheme</t>
  </si>
  <si>
    <t>Unit</t>
  </si>
  <si>
    <t>Energy saving under VA scheme (%)</t>
  </si>
  <si>
    <t>%</t>
  </si>
  <si>
    <t>Discount rate:</t>
  </si>
  <si>
    <t>Exchange rate (UAH/EUR)</t>
  </si>
  <si>
    <t>Enterprises - cost of energy audit and certification</t>
  </si>
  <si>
    <t>Enterprises - cost of investments in EE measures</t>
  </si>
  <si>
    <t>Enterprises - cost of staff for EMS</t>
  </si>
  <si>
    <t>Enterprises - benefit from energy cost savings</t>
  </si>
  <si>
    <t>ton CO2</t>
  </si>
  <si>
    <t>Non-monetized benefits:</t>
  </si>
  <si>
    <t xml:space="preserve">Enterprises - Co-benefits resulting from energy efficiency investments (reduced maintenance costs, improved process productivity, more efficient raw material use). </t>
  </si>
  <si>
    <t>Society - Increased supply security</t>
  </si>
  <si>
    <t>Society - Reduced foreign exchange spent on fuels import</t>
  </si>
  <si>
    <t>Government - cost of administration of VA scheme</t>
  </si>
  <si>
    <t>Government - cost of consultants for VA scheme</t>
  </si>
  <si>
    <t>Energy price in EUR/kWh:</t>
  </si>
  <si>
    <t>MWh</t>
  </si>
  <si>
    <t>1,000 EUR</t>
  </si>
  <si>
    <t>Administrative resources per enterprise per year (man-months):</t>
  </si>
  <si>
    <t>Enterprise EMS resources per enterprise per year (man-months):</t>
  </si>
  <si>
    <t>at unit cost of (EUR/month):</t>
  </si>
  <si>
    <t>Consultant and specialist resources per enterprise per year (man-months):</t>
  </si>
  <si>
    <t>Enterprise cost of energy audit (EUR):</t>
  </si>
  <si>
    <t>Enterprise cost of annual certification (EUR):</t>
  </si>
  <si>
    <t>Total benefits minus total costs</t>
  </si>
  <si>
    <t>NPV of total benefits minus total costs</t>
  </si>
  <si>
    <t>Cost Benefit Analysis</t>
  </si>
  <si>
    <t>Number of enterprises participating:</t>
  </si>
  <si>
    <t>Average EE investment in EUR per kWh/year saved</t>
  </si>
  <si>
    <t>Industry sector emission factor (ton CO2 per MWh):</t>
  </si>
  <si>
    <t>Total energy consumption in industry baseline (MWh/year)</t>
  </si>
  <si>
    <t>Fuel oil</t>
  </si>
  <si>
    <t>Prices (UAH/unit)</t>
  </si>
  <si>
    <t xml:space="preserve">UAH/liter </t>
  </si>
  <si>
    <t>UAH/ton</t>
  </si>
  <si>
    <t>UAH/thousand m3</t>
  </si>
  <si>
    <t>UAH/kWh</t>
  </si>
  <si>
    <t>UAH/GCal</t>
  </si>
  <si>
    <t>Conversion factor</t>
  </si>
  <si>
    <t>39 MJ/m3</t>
  </si>
  <si>
    <t>44 MJ/liter</t>
  </si>
  <si>
    <t>3,6 MJ/kWh</t>
  </si>
  <si>
    <t>36 MJ/kilo</t>
  </si>
  <si>
    <t>4,186 MJ/MCal</t>
  </si>
  <si>
    <t>Prices (UAH/MJ)</t>
  </si>
  <si>
    <t>Weighted average price in EUR/kWh</t>
  </si>
  <si>
    <t>Prices (EUR/kWh)</t>
  </si>
  <si>
    <t>Prices (UAH/kWh)</t>
  </si>
  <si>
    <t>Enterprises - benefit from CO2 tax reduction under VA scheme</t>
  </si>
  <si>
    <t xml:space="preserve">Society - Job creation </t>
  </si>
  <si>
    <t>Phase-in of energy savings</t>
  </si>
  <si>
    <t>Share of savings potential realized in year 1</t>
  </si>
  <si>
    <t>Share of savings potential realized by year 2</t>
  </si>
  <si>
    <t>Share of savings potential realized by year 3</t>
  </si>
  <si>
    <t>Share of savings potential realized by year 4</t>
  </si>
  <si>
    <t>Share of savings potential realized by year 5</t>
  </si>
  <si>
    <t>CO2 tax (UAH/ton CO2):</t>
  </si>
  <si>
    <t>Environmental benefit from CO2-reduction</t>
  </si>
  <si>
    <t>Society - Environmental benefits (reductions in NOx and SO2 levels and particulate emissions).</t>
  </si>
  <si>
    <t>Coal/stone</t>
  </si>
  <si>
    <t>Socio-economic CO2 costs, €2020 / t CO2 eq</t>
  </si>
  <si>
    <t>VA scheme allows implementation of EE measures with a payback from 1 - 5 years (assumed average: 3 years)</t>
  </si>
  <si>
    <t>Financial sector - Business creation through participation in VA scheme</t>
  </si>
  <si>
    <t xml:space="preserve">Enterprises - reimbursed by Decarbonization Fund </t>
  </si>
  <si>
    <t>Government - cost of reduced of CO2 tax revenue under VA scheme</t>
  </si>
  <si>
    <t xml:space="preserve">Government - reimbursed by Decarbonization Fund </t>
  </si>
  <si>
    <t>Av. Max. compensation by Decarbonisation Fund (million UAH)</t>
  </si>
  <si>
    <t>Total compensation paid by Decarbonisation Fund (1,000 EUR):</t>
  </si>
  <si>
    <t>Share of industrial energy use included approved projects under VA scheme:</t>
  </si>
  <si>
    <t>Energy savings under the VA scheme (%) consistent with an average payback time of 3 years:</t>
  </si>
  <si>
    <t>Compensations paid</t>
  </si>
  <si>
    <t>Number of eligible projects</t>
  </si>
  <si>
    <t>Total max compensation (thousand EUR)</t>
  </si>
  <si>
    <t>Number of eligible projects per participating enterprise:</t>
  </si>
  <si>
    <t>Approved by:</t>
  </si>
  <si>
    <t>QA by:</t>
  </si>
  <si>
    <t>Danish Energy Agency</t>
  </si>
  <si>
    <t>Prepared for:</t>
  </si>
  <si>
    <t>Carsten Glenting and Jakob Mau Pedersen, Viegand Maagøe A/S (VMAS)</t>
  </si>
  <si>
    <t>Prepared by:</t>
  </si>
  <si>
    <t>Version:</t>
  </si>
  <si>
    <t>Project no:</t>
  </si>
  <si>
    <t>Date:</t>
  </si>
  <si>
    <t>Cost Benefit Analysis (CBA)</t>
  </si>
  <si>
    <t>Variable</t>
  </si>
  <si>
    <t>Energy efficiency projects, savings and CO2 emissions</t>
  </si>
  <si>
    <t>Enterprises - total costs</t>
  </si>
  <si>
    <t>Enterprises - total benefits</t>
  </si>
  <si>
    <t>Government - total costs</t>
  </si>
  <si>
    <t>Environmental benefits</t>
  </si>
  <si>
    <t>NPV of enterprise total benefits minus costs</t>
  </si>
  <si>
    <t>Enterprise cash flow, costs and benefits</t>
  </si>
  <si>
    <t>Government cash flow, costs and benefits</t>
  </si>
  <si>
    <t>NPV of government total benefits minus costs</t>
  </si>
  <si>
    <t xml:space="preserve">NPV of environmental benefits </t>
  </si>
  <si>
    <t>General inputs and assumptions</t>
  </si>
  <si>
    <t>Administrative ressources</t>
  </si>
  <si>
    <t>UA VA - Cost Benefit Analysis (CBA) tool</t>
  </si>
  <si>
    <t>Input</t>
  </si>
  <si>
    <t>Mon-months per year</t>
  </si>
  <si>
    <t>Alfa-ESCO (2021)</t>
  </si>
  <si>
    <t>Administrative resources per enterprise</t>
  </si>
  <si>
    <t>Consultant and specialist resources per enterprise per year</t>
  </si>
  <si>
    <t>Enterprise EMS resources per enterprise</t>
  </si>
  <si>
    <t>Costs, EUR/month</t>
  </si>
  <si>
    <t>Average reimbursement by  Decarbonisation Fund</t>
  </si>
  <si>
    <t>Enterprise cost of annual certification (EUR)</t>
  </si>
  <si>
    <t>Enterprise cost of energy audit (EUR)</t>
  </si>
  <si>
    <t>Required certifications and audits</t>
  </si>
  <si>
    <t>Enterprises and eligible projects</t>
  </si>
  <si>
    <t>The VA-scheme</t>
  </si>
  <si>
    <t>Viegand Maagøe (2021) based on Alfa-ESCO (2021), SAEE (2021) et al.</t>
  </si>
  <si>
    <t>Socio-economic discount rate, %</t>
  </si>
  <si>
    <t>Exchange rate</t>
  </si>
  <si>
    <t>Accumated NPV (discounted) of total benefits minus total costs</t>
  </si>
  <si>
    <t>Bloomberg (2021)</t>
  </si>
  <si>
    <t>Valued externalities and socio-economic rates</t>
  </si>
  <si>
    <t>Assumptions and inputs</t>
  </si>
  <si>
    <t>Energy and CO2 prices</t>
  </si>
  <si>
    <t>CO2 emission factor</t>
  </si>
  <si>
    <t>Industry sector emission factor (ton CO2 per MWh)</t>
  </si>
  <si>
    <t>Viegand Maagøe (2021) based on European Commission (2020), https://ec.europa.eu/clima/sites/clima/files/news/docs/com_2020_740_en.pdf</t>
  </si>
  <si>
    <t>Industrial energy consumption</t>
  </si>
  <si>
    <t>Introduction</t>
  </si>
  <si>
    <t>Introduction to the model</t>
  </si>
  <si>
    <t>The model is developed under the Energy Partnership Program between Ukraine and Denmark to further improve the investment attraction conditions into energy efficiency sectors.</t>
  </si>
  <si>
    <t xml:space="preserve">The model enables project initiators to assess feasible energy efficiency projects through a first assessment of the financial viability of a potential project based on project specific inputs of key input parameters and returning key financial indicators such as IRR, payback period and NPV. To facilitate usability default values based on publicly available Ukrainian or international reference data are provided. </t>
  </si>
  <si>
    <t>The model was developed by Carsten Glenting and Jakob Mau Pedersen, VMAS, with financing from the Danish Energy Agency.</t>
  </si>
  <si>
    <t>Model Structure</t>
  </si>
  <si>
    <t>Colour code sheets</t>
  </si>
  <si>
    <t>Input sheets</t>
  </si>
  <si>
    <t>Calculations</t>
  </si>
  <si>
    <t>Explanatory sheet</t>
  </si>
  <si>
    <t>Colour code of cells</t>
  </si>
  <si>
    <t>User inut or Value in drop-down list</t>
  </si>
  <si>
    <t>Calculated or fixed input value</t>
  </si>
  <si>
    <t>Sheet</t>
  </si>
  <si>
    <t>Description</t>
  </si>
  <si>
    <t>Based on the input specific to the energy efficiency project chosen,  the energy savings, cash flows and financial ratios are calculated in this sheet. The financial ratios before and after the VA grant, respectively, show the financial incentives provided to the investors considering applying for the grant.</t>
  </si>
  <si>
    <t>Inputs</t>
  </si>
  <si>
    <t>The sheet is used for background inputs, e.g. CO2 emission factors, energy prices and discount rates</t>
  </si>
  <si>
    <t>Presents the key output CBA parameter (the discounted NPV) and shows the socio-economic development during the operating period. Furthermore, disbursements from the Decarbonization Fund are calculated.  Key assumptions and scenarios can be modified in this sheet.</t>
  </si>
  <si>
    <t>Source/Link</t>
  </si>
  <si>
    <t>Share of total energy use in manufacturing industries and construction</t>
  </si>
  <si>
    <t>Prices (EUR/MWh equivalent)</t>
  </si>
  <si>
    <t>Year</t>
  </si>
  <si>
    <t>19th of March 2021</t>
  </si>
  <si>
    <t>Viegand Maagøe (2021) based on Alfa-ESCO (2021)</t>
  </si>
  <si>
    <t>Final industrial energy consumption (by type of fuel and energy),  thousand tons of oil equivalent</t>
  </si>
  <si>
    <t>Final industrial energy consumption (by type of fuel and energy), MWh</t>
  </si>
  <si>
    <t>CO2 emission factor (kg. CO2 per thousand tons of oil equivalent)</t>
  </si>
  <si>
    <t>NPV of environmental benefits (reduced CO2 emissions only)</t>
  </si>
  <si>
    <t>CO2 emissions relative til baseline (no VA-scheme)</t>
  </si>
  <si>
    <t>Check versus max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</si>
</sst>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 _k_r_._-;\-* #,##0.00\ _k_r_._-;_-* &quot;-&quot;??\ _k_r_._-;_-@_-"/>
    <numFmt numFmtId="165" formatCode="_-* #,##0\ _k_r_._-;\-* #,##0\ _k_r_._-;_-* &quot;-&quot;??\ _k_r_._-;_-@_-"/>
    <numFmt numFmtId="166" formatCode="0.0%"/>
    <numFmt numFmtId="167" formatCode="_-* #,##0.000\ _k_r_._-;\-* #,##0.000\ _k_r_._-;_-* &quot;-&quot;??\ _k_r_._-;_-@_-"/>
    <numFmt numFmtId="168" formatCode="_-* #,##0.00_₴_-;\-* #,##0.00_₴_-;_-* &quot;-&quot;??_₴_-;_-@_-"/>
    <numFmt numFmtId="169" formatCode="#,##0.00_ ;\-#,##0.00\ "/>
    <numFmt numFmtId="170" formatCode="_(* #,##0_);_(* \(#,##0\);_(* &quot;-&quot;??_)"/>
    <numFmt numFmtId="171" formatCode="_(* #,##0.00_);_(* \(#,##0.00\);_(* &quot;-&quot;??_)"/>
    <numFmt numFmtId="172" formatCode="#,##0_ ;\-#,##0\ "/>
    <numFmt numFmtId="173" formatCode="_(* #,##0_);[Red]_(* \(#,##0\);_(* &quot;-&quot;??_)"/>
    <numFmt numFmtId="174" formatCode="#,##0;[Red]#,##0"/>
    <numFmt numFmtId="175" formatCode="#,##0.0"/>
    <numFmt numFmtId="176" formatCode="#,##0.000"/>
    <numFmt numFmtId="177" formatCode="0.0"/>
  </numFmts>
  <fonts count="44" x14ac:knownFonts="1">
    <font>
      <sz val="11"/>
      <color theme="1"/>
      <name val="Arial"/>
      <family val="2"/>
      <scheme val="minor"/>
    </font>
    <font>
      <sz val="11"/>
      <color theme="1"/>
      <name val="Arial"/>
      <family val="2"/>
      <scheme val="minor"/>
    </font>
    <font>
      <sz val="12"/>
      <color theme="1"/>
      <name val="Arial"/>
      <family val="2"/>
      <scheme val="minor"/>
    </font>
    <font>
      <b/>
      <sz val="12"/>
      <name val="Times New Roman"/>
      <family val="1"/>
    </font>
    <font>
      <sz val="10"/>
      <name val="Arial"/>
      <family val="2"/>
    </font>
    <font>
      <sz val="9"/>
      <color indexed="8"/>
      <name val="Times New Roman"/>
      <family val="1"/>
    </font>
    <font>
      <sz val="9"/>
      <name val="Times New Roman"/>
      <family val="1"/>
    </font>
    <font>
      <b/>
      <sz val="9"/>
      <name val="Times New Roman"/>
      <family val="1"/>
    </font>
    <font>
      <sz val="9"/>
      <color indexed="8"/>
      <name val="Arial"/>
      <family val="2"/>
      <scheme val="minor"/>
    </font>
    <font>
      <sz val="10"/>
      <name val="Arial Cyr"/>
      <charset val="204"/>
    </font>
    <font>
      <sz val="8"/>
      <name val="Helvetica"/>
      <family val="2"/>
    </font>
    <font>
      <sz val="11"/>
      <color rgb="FF000000"/>
      <name val="Calibri"/>
      <family val="2"/>
      <charset val="204"/>
    </font>
    <font>
      <b/>
      <sz val="9"/>
      <color theme="1"/>
      <name val="Arial"/>
      <family val="2"/>
    </font>
    <font>
      <sz val="20"/>
      <color theme="1"/>
      <name val="Arial"/>
      <family val="2"/>
      <scheme val="minor"/>
    </font>
    <font>
      <b/>
      <sz val="26"/>
      <color theme="1"/>
      <name val="Arial"/>
      <family val="2"/>
      <scheme val="minor"/>
    </font>
    <font>
      <b/>
      <sz val="14"/>
      <color theme="0"/>
      <name val="Calibri"/>
      <family val="2"/>
    </font>
    <font>
      <sz val="11"/>
      <color theme="1"/>
      <name val="Calibri"/>
      <family val="2"/>
    </font>
    <font>
      <sz val="10"/>
      <color theme="1"/>
      <name val="Calibri"/>
      <family val="2"/>
    </font>
    <font>
      <sz val="8"/>
      <name val="Calibri"/>
      <family val="2"/>
    </font>
    <font>
      <sz val="10"/>
      <name val="Calibri"/>
      <family val="2"/>
    </font>
    <font>
      <sz val="11"/>
      <color indexed="8"/>
      <name val="Calibri"/>
      <family val="2"/>
      <charset val="204"/>
    </font>
    <font>
      <b/>
      <sz val="10"/>
      <name val="Calibri"/>
      <family val="2"/>
    </font>
    <font>
      <sz val="9"/>
      <color theme="1"/>
      <name val="Calibri"/>
      <family val="2"/>
    </font>
    <font>
      <sz val="14"/>
      <color theme="0"/>
      <name val="Calibri"/>
      <family val="2"/>
    </font>
    <font>
      <sz val="10"/>
      <color theme="0"/>
      <name val="Calibri"/>
      <family val="2"/>
    </font>
    <font>
      <b/>
      <sz val="10"/>
      <color theme="0"/>
      <name val="Calibri"/>
      <family val="2"/>
    </font>
    <font>
      <b/>
      <sz val="10"/>
      <color theme="1"/>
      <name val="Calibri"/>
      <family val="2"/>
    </font>
    <font>
      <b/>
      <u/>
      <sz val="10"/>
      <color theme="1"/>
      <name val="Calibri"/>
      <family val="2"/>
    </font>
    <font>
      <b/>
      <sz val="10"/>
      <color theme="3" tint="9.9978637043366805E-2"/>
      <name val="Calibri"/>
      <family val="2"/>
    </font>
    <font>
      <sz val="10"/>
      <color theme="9"/>
      <name val="Calibri"/>
      <family val="2"/>
    </font>
    <font>
      <sz val="11"/>
      <color rgb="FF3F3F76"/>
      <name val="Arial"/>
      <family val="2"/>
      <scheme val="minor"/>
    </font>
    <font>
      <sz val="11"/>
      <color rgb="FFFA7D00"/>
      <name val="Arial"/>
      <family val="2"/>
      <scheme val="minor"/>
    </font>
    <font>
      <sz val="9"/>
      <name val="Calibri"/>
      <family val="2"/>
    </font>
    <font>
      <sz val="11"/>
      <color theme="0"/>
      <name val="Calibri"/>
      <family val="2"/>
    </font>
    <font>
      <b/>
      <sz val="12"/>
      <color theme="0"/>
      <name val="Calibri"/>
      <family val="2"/>
    </font>
    <font>
      <sz val="11"/>
      <name val="Calibri"/>
      <family val="2"/>
    </font>
    <font>
      <b/>
      <sz val="12"/>
      <color theme="1"/>
      <name val="Calibri"/>
      <family val="2"/>
    </font>
    <font>
      <b/>
      <sz val="11"/>
      <color theme="1"/>
      <name val="Calibri"/>
      <family val="2"/>
    </font>
    <font>
      <b/>
      <sz val="11"/>
      <color theme="3"/>
      <name val="Calibri"/>
      <family val="2"/>
    </font>
    <font>
      <b/>
      <u/>
      <sz val="11"/>
      <color theme="1"/>
      <name val="Calibri"/>
      <family val="2"/>
    </font>
    <font>
      <sz val="11"/>
      <color theme="9"/>
      <name val="Calibri"/>
      <family val="2"/>
    </font>
    <font>
      <b/>
      <sz val="10"/>
      <color rgb="FFFFFFFF"/>
      <name val="Calibri"/>
      <family val="2"/>
    </font>
    <font>
      <sz val="10"/>
      <color rgb="FF000000"/>
      <name val="Calibri"/>
      <family val="2"/>
    </font>
    <font>
      <sz val="10"/>
      <color theme="0" tint="-0.34998626667073579"/>
      <name val="Calibri"/>
      <family val="2"/>
    </font>
  </fonts>
  <fills count="11">
    <fill>
      <patternFill patternType="none"/>
    </fill>
    <fill>
      <patternFill patternType="gray125"/>
    </fill>
    <fill>
      <patternFill patternType="solid">
        <fgColor theme="0"/>
        <bgColor indexed="64"/>
      </patternFill>
    </fill>
    <fill>
      <patternFill patternType="solid">
        <fgColor rgb="FFFFCC99"/>
      </patternFill>
    </fill>
    <fill>
      <patternFill patternType="solid">
        <fgColor rgb="FF0078E1"/>
        <bgColor indexed="64"/>
      </patternFill>
    </fill>
    <fill>
      <patternFill patternType="solid">
        <fgColor theme="3"/>
        <bgColor indexed="64"/>
      </patternFill>
    </fill>
    <fill>
      <patternFill patternType="solid">
        <fgColor theme="3" tint="9.9978637043366805E-2"/>
        <bgColor indexed="64"/>
      </patternFill>
    </fill>
    <fill>
      <patternFill patternType="solid">
        <fgColor theme="0"/>
        <bgColor rgb="FF000000"/>
      </patternFill>
    </fill>
    <fill>
      <patternFill patternType="solid">
        <fgColor theme="3" tint="0.749992370372631"/>
        <bgColor indexed="64"/>
      </patternFill>
    </fill>
    <fill>
      <patternFill patternType="solid">
        <fgColor rgb="FFBDD7EE"/>
        <bgColor indexed="64"/>
      </patternFill>
    </fill>
    <fill>
      <patternFill patternType="solid">
        <fgColor rgb="FF002D3E"/>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medium">
        <color rgb="FF0078E1"/>
      </left>
      <right/>
      <top style="medium">
        <color rgb="FF0078E1"/>
      </top>
      <bottom style="medium">
        <color rgb="FF0078E1"/>
      </bottom>
      <diagonal/>
    </border>
    <border>
      <left/>
      <right/>
      <top style="medium">
        <color rgb="FF0078E1"/>
      </top>
      <bottom style="medium">
        <color rgb="FF0078E1"/>
      </bottom>
      <diagonal/>
    </border>
    <border>
      <left style="medium">
        <color rgb="FF54AFFF"/>
      </left>
      <right style="medium">
        <color rgb="FF54AFFF"/>
      </right>
      <top/>
      <bottom style="medium">
        <color rgb="FF54AFFF"/>
      </bottom>
      <diagonal/>
    </border>
    <border>
      <left/>
      <right style="medium">
        <color rgb="FF54AFFF"/>
      </right>
      <top/>
      <bottom style="medium">
        <color rgb="FF54AFFF"/>
      </bottom>
      <diagonal/>
    </border>
  </borders>
  <cellStyleXfs count="2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xf numFmtId="0" fontId="5" fillId="0" borderId="0" applyNumberFormat="0">
      <alignment horizontal="right"/>
    </xf>
    <xf numFmtId="0" fontId="6" fillId="0" borderId="0"/>
    <xf numFmtId="0" fontId="7" fillId="0" borderId="0" applyNumberFormat="0" applyFill="0" applyBorder="0" applyProtection="0">
      <alignment horizontal="left" vertical="center"/>
    </xf>
    <xf numFmtId="0" fontId="4" fillId="0" borderId="0" applyNumberFormat="0" applyFont="0" applyFill="0" applyBorder="0" applyProtection="0">
      <alignment horizontal="left" vertical="center" indent="5"/>
    </xf>
    <xf numFmtId="0" fontId="4" fillId="0" borderId="5"/>
    <xf numFmtId="0" fontId="4" fillId="0" borderId="0" applyNumberFormat="0" applyFont="0" applyFill="0" applyBorder="0" applyProtection="0">
      <alignment horizontal="left" vertical="center" indent="2"/>
    </xf>
    <xf numFmtId="0" fontId="9" fillId="0" borderId="0"/>
    <xf numFmtId="168" fontId="9" fillId="0" borderId="0" applyFont="0" applyFill="0" applyBorder="0" applyAlignment="0" applyProtection="0"/>
    <xf numFmtId="0" fontId="10" fillId="0" borderId="0"/>
    <xf numFmtId="0" fontId="11" fillId="0" borderId="0"/>
    <xf numFmtId="9" fontId="11" fillId="0" borderId="0" applyBorder="0" applyProtection="0"/>
    <xf numFmtId="43" fontId="1" fillId="0" borderId="0" applyFont="0" applyFill="0" applyBorder="0" applyAlignment="0" applyProtection="0"/>
    <xf numFmtId="43" fontId="1" fillId="0" borderId="0" applyFont="0" applyFill="0" applyBorder="0" applyAlignment="0" applyProtection="0"/>
    <xf numFmtId="0" fontId="1" fillId="2" borderId="0" applyBorder="0"/>
    <xf numFmtId="170" fontId="18" fillId="0" borderId="0"/>
    <xf numFmtId="0" fontId="20" fillId="0" borderId="0"/>
    <xf numFmtId="0" fontId="30" fillId="3" borderId="19" applyNumberFormat="0" applyAlignment="0" applyProtection="0"/>
    <xf numFmtId="0" fontId="31" fillId="0" borderId="20"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cellStyleXfs>
  <cellXfs count="134">
    <xf numFmtId="0" fontId="0" fillId="0" borderId="0" xfId="0"/>
    <xf numFmtId="0" fontId="0" fillId="2" borderId="0" xfId="0" applyFill="1"/>
    <xf numFmtId="167" fontId="8" fillId="2" borderId="0" xfId="1" applyNumberFormat="1" applyFont="1" applyFill="1" applyBorder="1" applyAlignment="1">
      <alignment wrapText="1"/>
    </xf>
    <xf numFmtId="0" fontId="1" fillId="2" borderId="0" xfId="19"/>
    <xf numFmtId="0" fontId="1" fillId="2" borderId="17" xfId="19" applyBorder="1"/>
    <xf numFmtId="0" fontId="12" fillId="2" borderId="9" xfId="19" applyFont="1" applyBorder="1" applyAlignment="1">
      <alignment vertical="center" wrapText="1"/>
    </xf>
    <xf numFmtId="0" fontId="1" fillId="2" borderId="12" xfId="19" applyBorder="1"/>
    <xf numFmtId="0" fontId="12" fillId="2" borderId="16" xfId="19" applyFont="1" applyBorder="1" applyAlignment="1">
      <alignment vertical="center" wrapText="1"/>
    </xf>
    <xf numFmtId="0" fontId="1" fillId="2" borderId="12" xfId="19" applyBorder="1" applyAlignment="1">
      <alignment horizontal="right"/>
    </xf>
    <xf numFmtId="14" fontId="1" fillId="2" borderId="7" xfId="19" applyNumberFormat="1" applyBorder="1" applyAlignment="1">
      <alignment horizontal="right"/>
    </xf>
    <xf numFmtId="0" fontId="12" fillId="2" borderId="6" xfId="19" applyFont="1" applyBorder="1" applyAlignment="1">
      <alignment vertical="center" wrapText="1"/>
    </xf>
    <xf numFmtId="0" fontId="12" fillId="2" borderId="0" xfId="19" applyFont="1" applyAlignment="1">
      <alignment vertical="center" wrapText="1"/>
    </xf>
    <xf numFmtId="0" fontId="13" fillId="2" borderId="0" xfId="19" applyFont="1"/>
    <xf numFmtId="0" fontId="14" fillId="2" borderId="0" xfId="19" applyFont="1" applyAlignment="1">
      <alignment wrapText="1"/>
    </xf>
    <xf numFmtId="0" fontId="15" fillId="4" borderId="0" xfId="0" applyFont="1" applyFill="1"/>
    <xf numFmtId="0" fontId="16" fillId="2" borderId="0" xfId="0" applyFont="1" applyFill="1"/>
    <xf numFmtId="0" fontId="17" fillId="2" borderId="0" xfId="0" applyFont="1" applyFill="1"/>
    <xf numFmtId="166" fontId="17" fillId="6" borderId="0" xfId="0" applyNumberFormat="1" applyFont="1" applyFill="1" applyAlignment="1">
      <alignment horizontal="center"/>
    </xf>
    <xf numFmtId="0" fontId="17" fillId="6" borderId="0" xfId="0" applyFont="1" applyFill="1" applyAlignment="1">
      <alignment horizontal="center"/>
    </xf>
    <xf numFmtId="0" fontId="17" fillId="6" borderId="0" xfId="0" applyFont="1" applyFill="1"/>
    <xf numFmtId="171" fontId="19" fillId="6" borderId="0" xfId="20" applyNumberFormat="1" applyFont="1" applyFill="1"/>
    <xf numFmtId="0" fontId="19" fillId="2" borderId="0" xfId="0" applyFont="1" applyFill="1"/>
    <xf numFmtId="0" fontId="22" fillId="2" borderId="0" xfId="0" applyFont="1" applyFill="1"/>
    <xf numFmtId="0" fontId="23" fillId="4" borderId="0" xfId="0" applyFont="1" applyFill="1" applyAlignment="1">
      <alignment horizontal="center"/>
    </xf>
    <xf numFmtId="0" fontId="23" fillId="4" borderId="0" xfId="0" applyFont="1" applyFill="1"/>
    <xf numFmtId="0" fontId="24" fillId="5" borderId="0" xfId="0" applyFont="1" applyFill="1"/>
    <xf numFmtId="0" fontId="25" fillId="2" borderId="0" xfId="0" applyFont="1" applyFill="1"/>
    <xf numFmtId="0" fontId="24" fillId="2" borderId="0" xfId="0" applyFont="1" applyFill="1" applyAlignment="1">
      <alignment horizontal="center"/>
    </xf>
    <xf numFmtId="0" fontId="24" fillId="2" borderId="0" xfId="0" applyFont="1" applyFill="1"/>
    <xf numFmtId="0" fontId="25" fillId="6" borderId="0" xfId="0" applyFont="1" applyFill="1"/>
    <xf numFmtId="165" fontId="19" fillId="2" borderId="3" xfId="1" applyNumberFormat="1" applyFont="1" applyFill="1" applyBorder="1" applyAlignment="1">
      <alignment horizontal="center" vertical="center" wrapText="1" shrinkToFit="1"/>
    </xf>
    <xf numFmtId="164" fontId="19" fillId="2" borderId="3" xfId="1" applyNumberFormat="1" applyFont="1" applyFill="1" applyBorder="1" applyAlignment="1">
      <alignment horizontal="center" vertical="center" wrapText="1" shrinkToFit="1"/>
    </xf>
    <xf numFmtId="3" fontId="19" fillId="2" borderId="3" xfId="0" applyNumberFormat="1" applyFont="1" applyFill="1" applyBorder="1" applyAlignment="1">
      <alignment horizontal="center" vertical="center" wrapText="1" shrinkToFit="1"/>
    </xf>
    <xf numFmtId="169" fontId="19" fillId="2" borderId="3" xfId="1" applyNumberFormat="1" applyFont="1" applyFill="1" applyBorder="1" applyAlignment="1">
      <alignment horizontal="center" vertical="center" wrapText="1" shrinkToFit="1"/>
    </xf>
    <xf numFmtId="0" fontId="26" fillId="2" borderId="0" xfId="0" applyFont="1" applyFill="1"/>
    <xf numFmtId="9" fontId="17" fillId="2" borderId="0" xfId="0" applyNumberFormat="1" applyFont="1" applyFill="1"/>
    <xf numFmtId="0" fontId="17" fillId="2" borderId="0" xfId="0" applyFont="1" applyFill="1" applyBorder="1"/>
    <xf numFmtId="0" fontId="17" fillId="2" borderId="0" xfId="0" applyFont="1" applyFill="1" applyBorder="1" applyAlignment="1">
      <alignment horizontal="center"/>
    </xf>
    <xf numFmtId="9" fontId="17" fillId="2" borderId="0" xfId="0" applyNumberFormat="1" applyFont="1" applyFill="1" applyBorder="1" applyAlignment="1">
      <alignment horizontal="center"/>
    </xf>
    <xf numFmtId="0" fontId="17" fillId="2" borderId="0" xfId="0" applyFont="1" applyFill="1" applyAlignment="1">
      <alignment horizontal="center"/>
    </xf>
    <xf numFmtId="0" fontId="17" fillId="2" borderId="0" xfId="0" applyFont="1" applyFill="1" applyBorder="1" applyAlignment="1">
      <alignment horizontal="left"/>
    </xf>
    <xf numFmtId="165" fontId="17" fillId="2" borderId="0" xfId="1" applyNumberFormat="1" applyFont="1" applyFill="1" applyBorder="1"/>
    <xf numFmtId="0" fontId="17" fillId="2" borderId="0" xfId="0" applyFont="1" applyFill="1" applyBorder="1" applyAlignment="1">
      <alignment horizontal="left" vertical="center" wrapText="1"/>
    </xf>
    <xf numFmtId="0" fontId="21" fillId="2" borderId="0" xfId="0" applyFont="1" applyFill="1"/>
    <xf numFmtId="0" fontId="19" fillId="2" borderId="0" xfId="0" applyFont="1" applyFill="1" applyAlignment="1">
      <alignment horizontal="center"/>
    </xf>
    <xf numFmtId="171" fontId="19" fillId="2" borderId="0" xfId="20" applyNumberFormat="1" applyFont="1" applyFill="1"/>
    <xf numFmtId="0" fontId="17" fillId="0" borderId="0" xfId="0" applyNumberFormat="1" applyFont="1" applyAlignment="1">
      <alignment horizontal="center"/>
    </xf>
    <xf numFmtId="0" fontId="27" fillId="2" borderId="0" xfId="0" applyFont="1" applyFill="1"/>
    <xf numFmtId="0" fontId="27" fillId="2" borderId="0" xfId="0" applyFont="1" applyFill="1" applyAlignment="1">
      <alignment horizontal="center"/>
    </xf>
    <xf numFmtId="0" fontId="19" fillId="7" borderId="0" xfId="0" applyFont="1" applyFill="1" applyAlignment="1">
      <alignment horizontal="left" vertical="center" wrapText="1" indent="1"/>
    </xf>
    <xf numFmtId="172" fontId="17" fillId="2" borderId="0" xfId="0" applyNumberFormat="1" applyFont="1" applyFill="1" applyBorder="1" applyAlignment="1">
      <alignment horizontal="right"/>
    </xf>
    <xf numFmtId="172" fontId="17" fillId="2" borderId="0" xfId="1" applyNumberFormat="1" applyFont="1" applyFill="1" applyBorder="1" applyAlignment="1">
      <alignment horizontal="right"/>
    </xf>
    <xf numFmtId="166" fontId="19" fillId="2" borderId="0" xfId="0" applyNumberFormat="1" applyFont="1" applyFill="1" applyAlignment="1"/>
    <xf numFmtId="0" fontId="19" fillId="2" borderId="0" xfId="0" applyFont="1" applyFill="1" applyAlignment="1"/>
    <xf numFmtId="171" fontId="19" fillId="2" borderId="0" xfId="20" applyNumberFormat="1" applyFont="1" applyFill="1" applyAlignment="1"/>
    <xf numFmtId="0" fontId="19" fillId="2" borderId="4" xfId="0" applyFont="1" applyFill="1" applyBorder="1" applyAlignment="1">
      <alignment horizontal="left" vertical="center"/>
    </xf>
    <xf numFmtId="0" fontId="17" fillId="2" borderId="4" xfId="0" applyFont="1" applyFill="1" applyBorder="1" applyAlignment="1">
      <alignment horizontal="center"/>
    </xf>
    <xf numFmtId="172" fontId="17" fillId="2" borderId="4" xfId="0" applyNumberFormat="1" applyFont="1" applyFill="1" applyBorder="1" applyAlignment="1">
      <alignment horizontal="right"/>
    </xf>
    <xf numFmtId="0" fontId="19" fillId="2" borderId="0" xfId="0" applyFont="1" applyFill="1" applyBorder="1" applyAlignment="1">
      <alignment horizontal="left" vertical="center"/>
    </xf>
    <xf numFmtId="0" fontId="17" fillId="2" borderId="4" xfId="0" applyFont="1" applyFill="1" applyBorder="1"/>
    <xf numFmtId="173" fontId="19" fillId="2" borderId="0" xfId="20" applyNumberFormat="1" applyFont="1" applyFill="1"/>
    <xf numFmtId="173" fontId="19" fillId="2" borderId="4" xfId="20" applyNumberFormat="1" applyFont="1" applyFill="1" applyBorder="1"/>
    <xf numFmtId="0" fontId="19" fillId="2" borderId="18" xfId="21" applyFont="1" applyFill="1" applyBorder="1"/>
    <xf numFmtId="0" fontId="19" fillId="2" borderId="18" xfId="21" applyFont="1" applyFill="1" applyBorder="1" applyAlignment="1">
      <alignment horizontal="center"/>
    </xf>
    <xf numFmtId="3" fontId="19" fillId="2" borderId="18" xfId="21" applyNumberFormat="1" applyFont="1" applyFill="1" applyBorder="1" applyAlignment="1"/>
    <xf numFmtId="173" fontId="19" fillId="2" borderId="18" xfId="20" applyNumberFormat="1" applyFont="1" applyFill="1" applyBorder="1"/>
    <xf numFmtId="174" fontId="19" fillId="2" borderId="1" xfId="20" applyNumberFormat="1" applyFont="1" applyFill="1" applyBorder="1" applyAlignment="1">
      <alignment horizontal="center"/>
    </xf>
    <xf numFmtId="174" fontId="21" fillId="2" borderId="15" xfId="20" applyNumberFormat="1" applyFont="1" applyFill="1" applyBorder="1" applyAlignment="1">
      <alignment horizontal="center"/>
    </xf>
    <xf numFmtId="0" fontId="16" fillId="2" borderId="0" xfId="0" applyFont="1" applyFill="1" applyAlignment="1">
      <alignment horizontal="center"/>
    </xf>
    <xf numFmtId="0" fontId="29" fillId="2" borderId="0" xfId="0" applyFont="1" applyFill="1"/>
    <xf numFmtId="9" fontId="28" fillId="8" borderId="1" xfId="2" applyFont="1" applyFill="1" applyBorder="1" applyAlignment="1">
      <alignment horizontal="center"/>
    </xf>
    <xf numFmtId="3" fontId="28" fillId="8" borderId="1" xfId="2" applyNumberFormat="1" applyFont="1" applyFill="1" applyBorder="1" applyAlignment="1">
      <alignment horizontal="center"/>
    </xf>
    <xf numFmtId="165" fontId="8" fillId="2" borderId="0" xfId="1" applyNumberFormat="1" applyFont="1" applyFill="1" applyBorder="1"/>
    <xf numFmtId="165" fontId="8" fillId="2" borderId="0" xfId="1" applyNumberFormat="1" applyFont="1" applyFill="1" applyBorder="1" applyAlignment="1">
      <alignment wrapText="1"/>
    </xf>
    <xf numFmtId="165" fontId="8" fillId="2" borderId="0" xfId="1" applyNumberFormat="1" applyFont="1" applyFill="1" applyBorder="1" applyAlignment="1">
      <alignment horizontal="center"/>
    </xf>
    <xf numFmtId="169" fontId="8" fillId="2" borderId="0" xfId="1" applyNumberFormat="1" applyFont="1" applyFill="1" applyBorder="1" applyAlignment="1">
      <alignment horizontal="center"/>
    </xf>
    <xf numFmtId="9" fontId="28" fillId="8" borderId="1" xfId="2" applyFont="1" applyFill="1" applyBorder="1" applyAlignment="1">
      <alignment horizontal="center" vertical="center"/>
    </xf>
    <xf numFmtId="165" fontId="8" fillId="2" borderId="0" xfId="1" applyNumberFormat="1" applyFont="1" applyFill="1" applyBorder="1" applyAlignment="1">
      <alignment horizontal="left"/>
    </xf>
    <xf numFmtId="0" fontId="19" fillId="2" borderId="0" xfId="0" applyFont="1" applyFill="1" applyBorder="1" applyAlignment="1">
      <alignment vertical="center" wrapText="1"/>
    </xf>
    <xf numFmtId="3" fontId="28" fillId="8" borderId="1" xfId="2" applyNumberFormat="1" applyFont="1" applyFill="1" applyBorder="1" applyAlignment="1">
      <alignment horizontal="center" vertical="center"/>
    </xf>
    <xf numFmtId="0" fontId="29" fillId="2" borderId="0" xfId="0" applyFont="1" applyFill="1" applyAlignment="1">
      <alignment vertical="center"/>
    </xf>
    <xf numFmtId="175" fontId="28" fillId="8" borderId="1" xfId="2" applyNumberFormat="1" applyFont="1" applyFill="1" applyBorder="1" applyAlignment="1">
      <alignment horizontal="center" vertical="center"/>
    </xf>
    <xf numFmtId="9" fontId="19" fillId="2" borderId="3" xfId="1" applyNumberFormat="1" applyFont="1" applyFill="1" applyBorder="1" applyAlignment="1">
      <alignment horizontal="center" vertical="center" wrapText="1" shrinkToFit="1"/>
    </xf>
    <xf numFmtId="0" fontId="32" fillId="2" borderId="0" xfId="0" applyFont="1" applyFill="1" applyBorder="1" applyAlignment="1">
      <alignment vertical="center" wrapText="1"/>
    </xf>
    <xf numFmtId="176" fontId="28" fillId="8" borderId="1" xfId="2" applyNumberFormat="1" applyFont="1" applyFill="1" applyBorder="1" applyAlignment="1">
      <alignment horizontal="center" vertical="center"/>
    </xf>
    <xf numFmtId="0" fontId="33" fillId="10" borderId="14" xfId="0" applyFont="1" applyFill="1" applyBorder="1" applyAlignment="1">
      <alignment horizontal="center"/>
    </xf>
    <xf numFmtId="0" fontId="33" fillId="4" borderId="0" xfId="0" applyFont="1" applyFill="1" applyAlignment="1">
      <alignment horizontal="center"/>
    </xf>
    <xf numFmtId="0" fontId="37" fillId="2" borderId="0" xfId="0" applyFont="1" applyFill="1" applyAlignment="1">
      <alignment horizontal="center"/>
    </xf>
    <xf numFmtId="0" fontId="33" fillId="4" borderId="0" xfId="0" applyFont="1" applyFill="1"/>
    <xf numFmtId="0" fontId="16" fillId="2" borderId="10" xfId="0" applyFont="1" applyFill="1" applyBorder="1" applyAlignment="1">
      <alignment horizontal="center"/>
    </xf>
    <xf numFmtId="0" fontId="35" fillId="9" borderId="8" xfId="22" applyFont="1" applyFill="1" applyBorder="1" applyAlignment="1">
      <alignment horizontal="center"/>
    </xf>
    <xf numFmtId="0" fontId="38" fillId="8" borderId="1" xfId="22" applyFont="1" applyFill="1" applyBorder="1" applyAlignment="1">
      <alignment horizontal="center"/>
    </xf>
    <xf numFmtId="0" fontId="35" fillId="2" borderId="0" xfId="0" applyFont="1" applyFill="1"/>
    <xf numFmtId="0" fontId="16" fillId="2" borderId="0" xfId="0" applyFont="1" applyFill="1" applyAlignment="1">
      <alignment vertical="center" wrapText="1"/>
    </xf>
    <xf numFmtId="0" fontId="34" fillId="5" borderId="0" xfId="0" applyFont="1" applyFill="1"/>
    <xf numFmtId="0" fontId="33" fillId="5" borderId="0" xfId="0" applyFont="1" applyFill="1"/>
    <xf numFmtId="172" fontId="17" fillId="2" borderId="3" xfId="1" applyNumberFormat="1" applyFont="1" applyFill="1" applyBorder="1" applyAlignment="1">
      <alignment horizontal="center" vertical="center" wrapText="1" shrinkToFit="1"/>
    </xf>
    <xf numFmtId="0" fontId="36" fillId="2" borderId="0" xfId="0" applyFont="1" applyFill="1"/>
    <xf numFmtId="0" fontId="0" fillId="2" borderId="0" xfId="0" applyFill="1"/>
    <xf numFmtId="0" fontId="35" fillId="2" borderId="0" xfId="0" quotePrefix="1" applyFont="1" applyFill="1"/>
    <xf numFmtId="0" fontId="35" fillId="2" borderId="1" xfId="0" applyFont="1" applyFill="1" applyBorder="1" applyAlignment="1">
      <alignment horizontal="center"/>
    </xf>
    <xf numFmtId="0" fontId="37" fillId="2" borderId="13" xfId="0" applyFont="1" applyFill="1" applyBorder="1"/>
    <xf numFmtId="0" fontId="37" fillId="2" borderId="11" xfId="0" applyFont="1" applyFill="1" applyBorder="1" applyAlignment="1">
      <alignment vertical="top"/>
    </xf>
    <xf numFmtId="0" fontId="16" fillId="2" borderId="11" xfId="0" applyFont="1" applyFill="1" applyBorder="1" applyAlignment="1">
      <alignment vertical="top" wrapText="1"/>
    </xf>
    <xf numFmtId="0" fontId="37" fillId="2" borderId="11" xfId="0" applyFont="1" applyFill="1" applyBorder="1" applyAlignment="1">
      <alignment vertical="top" wrapText="1"/>
    </xf>
    <xf numFmtId="0" fontId="16" fillId="2" borderId="11" xfId="0" applyFont="1" applyFill="1" applyBorder="1" applyAlignment="1">
      <alignment wrapText="1"/>
    </xf>
    <xf numFmtId="0" fontId="37" fillId="2" borderId="11" xfId="0" applyFont="1" applyFill="1" applyBorder="1"/>
    <xf numFmtId="0" fontId="16" fillId="2" borderId="11" xfId="0" applyFont="1" applyFill="1" applyBorder="1"/>
    <xf numFmtId="0" fontId="16" fillId="2" borderId="13" xfId="0" applyFont="1" applyFill="1" applyBorder="1"/>
    <xf numFmtId="0" fontId="39" fillId="2" borderId="0" xfId="0" applyFont="1" applyFill="1"/>
    <xf numFmtId="0" fontId="40" fillId="2" borderId="1" xfId="23" applyFont="1" applyFill="1" applyBorder="1" applyAlignment="1">
      <alignment horizontal="center"/>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164" fontId="18" fillId="2" borderId="2" xfId="0" applyNumberFormat="1" applyFont="1" applyFill="1" applyBorder="1" applyAlignment="1">
      <alignment horizontal="center" wrapText="1"/>
    </xf>
    <xf numFmtId="0" fontId="41" fillId="4" borderId="21" xfId="0" applyFont="1" applyFill="1" applyBorder="1" applyAlignment="1">
      <alignment horizontal="center" vertical="center" wrapText="1"/>
    </xf>
    <xf numFmtId="0" fontId="41" fillId="4" borderId="22" xfId="0" applyFont="1" applyFill="1" applyBorder="1" applyAlignment="1">
      <alignment horizontal="center" vertical="center" wrapText="1"/>
    </xf>
    <xf numFmtId="0" fontId="42" fillId="2" borderId="23" xfId="0" applyFont="1" applyFill="1" applyBorder="1" applyAlignment="1">
      <alignment horizontal="center" vertical="center" wrapText="1"/>
    </xf>
    <xf numFmtId="177" fontId="42" fillId="2" borderId="24" xfId="0" applyNumberFormat="1" applyFont="1" applyFill="1" applyBorder="1" applyAlignment="1">
      <alignment horizontal="center" vertical="center" wrapText="1"/>
    </xf>
    <xf numFmtId="0" fontId="17" fillId="2" borderId="23" xfId="0" applyFont="1" applyFill="1" applyBorder="1" applyAlignment="1">
      <alignment horizontal="center" vertical="center" wrapText="1"/>
    </xf>
    <xf numFmtId="177" fontId="17" fillId="2" borderId="24" xfId="0" applyNumberFormat="1" applyFont="1" applyFill="1" applyBorder="1" applyAlignment="1">
      <alignment horizontal="center" vertical="center" wrapText="1"/>
    </xf>
    <xf numFmtId="169" fontId="8" fillId="2" borderId="1" xfId="1" applyNumberFormat="1" applyFont="1" applyFill="1" applyBorder="1" applyAlignment="1">
      <alignment horizontal="center"/>
    </xf>
    <xf numFmtId="172" fontId="8" fillId="2" borderId="1" xfId="1" applyNumberFormat="1" applyFont="1" applyFill="1" applyBorder="1" applyAlignment="1">
      <alignment horizontal="center"/>
    </xf>
    <xf numFmtId="166" fontId="8" fillId="2" borderId="1" xfId="1" applyNumberFormat="1" applyFont="1" applyFill="1" applyBorder="1" applyAlignment="1">
      <alignment horizontal="center"/>
    </xf>
    <xf numFmtId="0" fontId="43" fillId="2" borderId="0" xfId="0" applyFont="1" applyFill="1" applyBorder="1" applyAlignment="1">
      <alignment horizontal="left" vertical="center"/>
    </xf>
    <xf numFmtId="0" fontId="43" fillId="2" borderId="0" xfId="0" applyFont="1" applyFill="1" applyBorder="1" applyAlignment="1">
      <alignment horizontal="center"/>
    </xf>
    <xf numFmtId="0" fontId="43" fillId="2" borderId="0" xfId="0" applyFont="1" applyFill="1"/>
    <xf numFmtId="172" fontId="43" fillId="2" borderId="0" xfId="0" applyNumberFormat="1" applyFont="1" applyFill="1" applyBorder="1" applyAlignment="1">
      <alignment horizontal="right"/>
    </xf>
    <xf numFmtId="166" fontId="17" fillId="2" borderId="0" xfId="0" applyNumberFormat="1" applyFont="1" applyFill="1" applyBorder="1" applyAlignment="1">
      <alignment horizontal="right"/>
    </xf>
    <xf numFmtId="175" fontId="28" fillId="8" borderId="1" xfId="2" applyNumberFormat="1" applyFont="1" applyFill="1" applyBorder="1" applyAlignment="1">
      <alignment horizontal="center"/>
    </xf>
    <xf numFmtId="0" fontId="19" fillId="2" borderId="0" xfId="0" applyFont="1" applyFill="1" applyBorder="1" applyAlignment="1">
      <alignment vertical="center"/>
    </xf>
    <xf numFmtId="0" fontId="14" fillId="2" borderId="0" xfId="19" applyFont="1" applyAlignment="1">
      <alignment horizontal="left" wrapText="1"/>
    </xf>
    <xf numFmtId="0" fontId="35" fillId="2" borderId="0" xfId="0" applyFont="1" applyFill="1" applyAlignment="1">
      <alignment horizontal="left" wrapText="1"/>
    </xf>
    <xf numFmtId="0" fontId="16" fillId="2" borderId="0" xfId="0" applyFont="1" applyFill="1" applyAlignment="1">
      <alignment horizontal="left" vertical="center" wrapText="1"/>
    </xf>
    <xf numFmtId="0" fontId="16" fillId="2" borderId="0" xfId="0" applyFont="1" applyFill="1" applyAlignment="1">
      <alignment horizontal="left"/>
    </xf>
  </cellXfs>
  <cellStyles count="26">
    <cellStyle name="2x indented GHG Textfiels" xfId="11" xr:uid="{A5ECC594-12E7-4553-87BC-3AB984845994}"/>
    <cellStyle name="5x indented GHG Textfiels" xfId="9" xr:uid="{D730975A-39A4-49EA-846C-65C93583DAC3}"/>
    <cellStyle name="Comma" xfId="1" builtinId="3"/>
    <cellStyle name="Comma 2" xfId="17" xr:uid="{E490A028-D453-44E2-9295-875390A71631}"/>
    <cellStyle name="Comma 2 2" xfId="24" xr:uid="{56B5C64D-824C-4C3B-9A8B-12985E769977}"/>
    <cellStyle name="Comma 3" xfId="18" xr:uid="{FD8FDF80-FB8F-427C-84BA-9DB6DF17E5A6}"/>
    <cellStyle name="Comma 3 2" xfId="25" xr:uid="{1543D1D8-B242-498A-8815-11A403EE3D61}"/>
    <cellStyle name="Constants" xfId="6" xr:uid="{7E536171-E77B-4283-A60A-08CB235EB83C}"/>
    <cellStyle name="Empty_TBorder" xfId="10" xr:uid="{834C64D2-65ED-4766-B906-12F209492740}"/>
    <cellStyle name="Excel Built-in Normal 2" xfId="21" xr:uid="{E5126B87-6D60-466E-A6F5-E9EBDDAD6491}"/>
    <cellStyle name="Headline" xfId="4" xr:uid="{9DFCACE5-64E2-42B7-8CF1-40894DDB6E12}"/>
    <cellStyle name="Input" xfId="22" builtinId="20"/>
    <cellStyle name="Komma 2" xfId="13" xr:uid="{A6E37A7E-CA4D-4E2D-84DF-42CF9BC1D329}"/>
    <cellStyle name="Linked Cell" xfId="23" builtinId="24"/>
    <cellStyle name="money" xfId="20" xr:uid="{A7B8A126-07EA-4DA4-BBF0-35DDB1DB3D4C}"/>
    <cellStyle name="Normal" xfId="0" builtinId="0"/>
    <cellStyle name="Normal 2" xfId="3" xr:uid="{00000000-0005-0000-0000-00002F000000}"/>
    <cellStyle name="Normal 2 2" xfId="5" xr:uid="{17C3415C-5972-4CBB-BDF6-79A9C30D87C6}"/>
    <cellStyle name="Normal 2 2 2" xfId="19" xr:uid="{9E5E94FF-C1BA-4B60-B1B2-482473788EBE}"/>
    <cellStyle name="Normal 3" xfId="12" xr:uid="{5AD19303-46A2-4E8D-B752-0B3000BC6499}"/>
    <cellStyle name="Normal 4" xfId="15" xr:uid="{9FA29688-31B7-45FF-B0C5-5A76D42AB8D6}"/>
    <cellStyle name="Normal 8" xfId="14" xr:uid="{028776D4-767C-40F3-A2ED-7259F5B64180}"/>
    <cellStyle name="Normal GHG Textfiels Bold" xfId="8" xr:uid="{24D7C7EE-B8BD-4F21-BD27-39930DD76A88}"/>
    <cellStyle name="Percent" xfId="2" builtinId="5"/>
    <cellStyle name="Percent 2" xfId="16" xr:uid="{591FFC72-4BD1-436C-8D85-64D99E6B699B}"/>
    <cellStyle name="Обычный_CRF2002 (1)" xfId="7" xr:uid="{E31B9837-A8FA-4AB2-B7B4-360EA3472CCB}"/>
  </cellStyles>
  <dxfs count="2">
    <dxf>
      <fill>
        <patternFill patternType="solid">
          <bgColor theme="9" tint="0.79998168889431442"/>
        </patternFill>
      </fill>
    </dxf>
    <dxf>
      <fill>
        <patternFill patternType="solid">
          <bgColor theme="9" tint="0.59996337778862885"/>
        </patternFill>
      </fill>
    </dxf>
  </dxfs>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'Cost Benefit Analysis'!$B$15</c:f>
          <c:strCache>
            <c:ptCount val="1"/>
            <c:pt idx="0">
              <c:v>Cost Benefit Analysis (CBA)</c:v>
            </c:pt>
          </c:strCache>
        </c:strRef>
      </c:tx>
      <c:layout>
        <c:manualLayout>
          <c:xMode val="edge"/>
          <c:yMode val="edge"/>
          <c:x val="0.35791784886685041"/>
          <c:y val="3.25737911789147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autoTitleDeleted val="0"/>
    <c:plotArea>
      <c:layout>
        <c:manualLayout>
          <c:layoutTarget val="inner"/>
          <c:xMode val="edge"/>
          <c:yMode val="edge"/>
          <c:x val="0.11509050580449086"/>
          <c:y val="0.1290823099353452"/>
          <c:w val="0.82133702329808111"/>
          <c:h val="0.70453309655739094"/>
        </c:manualLayout>
      </c:layout>
      <c:barChart>
        <c:barDir val="col"/>
        <c:grouping val="stacked"/>
        <c:varyColors val="0"/>
        <c:ser>
          <c:idx val="5"/>
          <c:order val="0"/>
          <c:tx>
            <c:strRef>
              <c:f>'Cost Benefit Analysis'!$B$57</c:f>
              <c:strCache>
                <c:ptCount val="1"/>
                <c:pt idx="0">
                  <c:v>Enterprise cash flow, costs and benefits</c:v>
                </c:pt>
              </c:strCache>
            </c:strRef>
          </c:tx>
          <c:spPr>
            <a:solidFill>
              <a:schemeClr val="accent6"/>
            </a:solidFill>
            <a:ln>
              <a:noFill/>
            </a:ln>
            <a:effectLst/>
          </c:spPr>
          <c:invertIfNegative val="0"/>
          <c:cat>
            <c:numRef>
              <c:f>'Cost Benefit Analysis'!$E$17:$O$17</c:f>
              <c:numCache>
                <c:formatCode>General</c:formatCode>
                <c:ptCount val="11"/>
                <c:pt idx="0">
                  <c:v>2022</c:v>
                </c:pt>
                <c:pt idx="1">
                  <c:v>2023</c:v>
                </c:pt>
                <c:pt idx="2">
                  <c:v>2024</c:v>
                </c:pt>
                <c:pt idx="3">
                  <c:v>2025</c:v>
                </c:pt>
                <c:pt idx="4">
                  <c:v>2026</c:v>
                </c:pt>
                <c:pt idx="5">
                  <c:v>2027</c:v>
                </c:pt>
                <c:pt idx="6">
                  <c:v>2028</c:v>
                </c:pt>
                <c:pt idx="7">
                  <c:v>2029</c:v>
                </c:pt>
                <c:pt idx="8">
                  <c:v>2030</c:v>
                </c:pt>
                <c:pt idx="9">
                  <c:v>2031</c:v>
                </c:pt>
                <c:pt idx="10">
                  <c:v>2032</c:v>
                </c:pt>
              </c:numCache>
            </c:numRef>
          </c:cat>
          <c:val>
            <c:numRef>
              <c:f>'Cost Benefit Analysis'!$E$57:$O$57</c:f>
              <c:numCache>
                <c:formatCode>_(* #,##0_);[Red]_(* \(#,##0\);_(* "-"??_)</c:formatCode>
                <c:ptCount val="11"/>
                <c:pt idx="0">
                  <c:v>-54411.914850292873</c:v>
                </c:pt>
                <c:pt idx="1">
                  <c:v>11655.551430757554</c:v>
                </c:pt>
                <c:pt idx="2">
                  <c:v>24431.102861515108</c:v>
                </c:pt>
                <c:pt idx="3">
                  <c:v>24431.102861515108</c:v>
                </c:pt>
                <c:pt idx="4">
                  <c:v>24431.102861515108</c:v>
                </c:pt>
                <c:pt idx="5">
                  <c:v>24431.102861515108</c:v>
                </c:pt>
                <c:pt idx="6">
                  <c:v>24431.102861515108</c:v>
                </c:pt>
                <c:pt idx="7">
                  <c:v>24431.102861515108</c:v>
                </c:pt>
                <c:pt idx="8">
                  <c:v>24431.102861515108</c:v>
                </c:pt>
                <c:pt idx="9">
                  <c:v>24431.102861515108</c:v>
                </c:pt>
                <c:pt idx="10">
                  <c:v>24431.102861515108</c:v>
                </c:pt>
              </c:numCache>
            </c:numRef>
          </c:val>
          <c:extLst>
            <c:ext xmlns:c16="http://schemas.microsoft.com/office/drawing/2014/chart" uri="{C3380CC4-5D6E-409C-BE32-E72D297353CC}">
              <c16:uniqueId val="{00000000-E9DF-4F48-895D-C0FDE07FFBC7}"/>
            </c:ext>
          </c:extLst>
        </c:ser>
        <c:ser>
          <c:idx val="6"/>
          <c:order val="1"/>
          <c:tx>
            <c:strRef>
              <c:f>'Cost Benefit Analysis'!$B$58</c:f>
              <c:strCache>
                <c:ptCount val="1"/>
                <c:pt idx="0">
                  <c:v>Government cash flow, costs and benefits</c:v>
                </c:pt>
              </c:strCache>
            </c:strRef>
          </c:tx>
          <c:spPr>
            <a:solidFill>
              <a:schemeClr val="accent1">
                <a:lumMod val="60000"/>
              </a:schemeClr>
            </a:solidFill>
            <a:ln>
              <a:noFill/>
            </a:ln>
            <a:effectLst/>
          </c:spPr>
          <c:invertIfNegative val="0"/>
          <c:cat>
            <c:numRef>
              <c:f>'Cost Benefit Analysis'!$E$17:$O$17</c:f>
              <c:numCache>
                <c:formatCode>General</c:formatCode>
                <c:ptCount val="11"/>
                <c:pt idx="0">
                  <c:v>2022</c:v>
                </c:pt>
                <c:pt idx="1">
                  <c:v>2023</c:v>
                </c:pt>
                <c:pt idx="2">
                  <c:v>2024</c:v>
                </c:pt>
                <c:pt idx="3">
                  <c:v>2025</c:v>
                </c:pt>
                <c:pt idx="4">
                  <c:v>2026</c:v>
                </c:pt>
                <c:pt idx="5">
                  <c:v>2027</c:v>
                </c:pt>
                <c:pt idx="6">
                  <c:v>2028</c:v>
                </c:pt>
                <c:pt idx="7">
                  <c:v>2029</c:v>
                </c:pt>
                <c:pt idx="8">
                  <c:v>2030</c:v>
                </c:pt>
                <c:pt idx="9">
                  <c:v>2031</c:v>
                </c:pt>
                <c:pt idx="10">
                  <c:v>2032</c:v>
                </c:pt>
              </c:numCache>
            </c:numRef>
          </c:cat>
          <c:val>
            <c:numRef>
              <c:f>'Cost Benefit Analysis'!$E$58:$O$58</c:f>
              <c:numCache>
                <c:formatCode>_(* #,##0_);[Red]_(* \(#,##0\);_(* "-"??_)</c:formatCode>
                <c:ptCount val="11"/>
                <c:pt idx="0">
                  <c:v>-22947.392078696943</c:v>
                </c:pt>
                <c:pt idx="1">
                  <c:v>-195.0002759259161</c:v>
                </c:pt>
                <c:pt idx="2">
                  <c:v>-282.0005518518322</c:v>
                </c:pt>
                <c:pt idx="3">
                  <c:v>-282.0005518518322</c:v>
                </c:pt>
                <c:pt idx="4">
                  <c:v>-282.0005518518322</c:v>
                </c:pt>
                <c:pt idx="5">
                  <c:v>-282.0005518518322</c:v>
                </c:pt>
                <c:pt idx="6">
                  <c:v>-282.0005518518322</c:v>
                </c:pt>
                <c:pt idx="7">
                  <c:v>-282.0005518518322</c:v>
                </c:pt>
                <c:pt idx="8">
                  <c:v>-282.0005518518322</c:v>
                </c:pt>
                <c:pt idx="9">
                  <c:v>-282.0005518518322</c:v>
                </c:pt>
                <c:pt idx="10">
                  <c:v>-282.0005518518322</c:v>
                </c:pt>
              </c:numCache>
            </c:numRef>
          </c:val>
          <c:extLst>
            <c:ext xmlns:c16="http://schemas.microsoft.com/office/drawing/2014/chart" uri="{C3380CC4-5D6E-409C-BE32-E72D297353CC}">
              <c16:uniqueId val="{00000001-E9DF-4F48-895D-C0FDE07FFBC7}"/>
            </c:ext>
          </c:extLst>
        </c:ser>
        <c:ser>
          <c:idx val="0"/>
          <c:order val="2"/>
          <c:tx>
            <c:strRef>
              <c:f>'Cost Benefit Analysis'!$B$59</c:f>
              <c:strCache>
                <c:ptCount val="1"/>
                <c:pt idx="0">
                  <c:v>Environmental benefits</c:v>
                </c:pt>
              </c:strCache>
            </c:strRef>
          </c:tx>
          <c:spPr>
            <a:solidFill>
              <a:schemeClr val="accent1"/>
            </a:solidFill>
            <a:ln>
              <a:noFill/>
            </a:ln>
            <a:effectLst/>
          </c:spPr>
          <c:invertIfNegative val="0"/>
          <c:cat>
            <c:numRef>
              <c:f>'Cost Benefit Analysis'!$E$17:$O$17</c:f>
              <c:numCache>
                <c:formatCode>General</c:formatCode>
                <c:ptCount val="11"/>
                <c:pt idx="0">
                  <c:v>2022</c:v>
                </c:pt>
                <c:pt idx="1">
                  <c:v>2023</c:v>
                </c:pt>
                <c:pt idx="2">
                  <c:v>2024</c:v>
                </c:pt>
                <c:pt idx="3">
                  <c:v>2025</c:v>
                </c:pt>
                <c:pt idx="4">
                  <c:v>2026</c:v>
                </c:pt>
                <c:pt idx="5">
                  <c:v>2027</c:v>
                </c:pt>
                <c:pt idx="6">
                  <c:v>2028</c:v>
                </c:pt>
                <c:pt idx="7">
                  <c:v>2029</c:v>
                </c:pt>
                <c:pt idx="8">
                  <c:v>2030</c:v>
                </c:pt>
                <c:pt idx="9">
                  <c:v>2031</c:v>
                </c:pt>
                <c:pt idx="10">
                  <c:v>2032</c:v>
                </c:pt>
              </c:numCache>
            </c:numRef>
          </c:cat>
          <c:val>
            <c:numRef>
              <c:f>'Cost Benefit Analysis'!$E$59:$O$59</c:f>
              <c:numCache>
                <c:formatCode>_(* #,##0_);[Red]_(* \(#,##0\);_(* "-"??_)</c:formatCode>
                <c:ptCount val="11"/>
                <c:pt idx="0">
                  <c:v>0</c:v>
                </c:pt>
                <c:pt idx="1">
                  <c:v>1753.7027570817802</c:v>
                </c:pt>
                <c:pt idx="2">
                  <c:v>3507.4055141635604</c:v>
                </c:pt>
                <c:pt idx="3">
                  <c:v>3507.4055141635604</c:v>
                </c:pt>
                <c:pt idx="4">
                  <c:v>3507.4055141635604</c:v>
                </c:pt>
                <c:pt idx="5">
                  <c:v>3507.4055141635604</c:v>
                </c:pt>
                <c:pt idx="6">
                  <c:v>3507.4055141635604</c:v>
                </c:pt>
                <c:pt idx="7">
                  <c:v>3507.4055141635604</c:v>
                </c:pt>
                <c:pt idx="8">
                  <c:v>3507.4055141635604</c:v>
                </c:pt>
                <c:pt idx="9">
                  <c:v>3507.4055141635604</c:v>
                </c:pt>
                <c:pt idx="10">
                  <c:v>3507.4055141635604</c:v>
                </c:pt>
              </c:numCache>
            </c:numRef>
          </c:val>
          <c:extLst>
            <c:ext xmlns:c16="http://schemas.microsoft.com/office/drawing/2014/chart" uri="{C3380CC4-5D6E-409C-BE32-E72D297353CC}">
              <c16:uniqueId val="{00000002-E9DF-4F48-895D-C0FDE07FFBC7}"/>
            </c:ext>
          </c:extLst>
        </c:ser>
        <c:dLbls>
          <c:showLegendKey val="0"/>
          <c:showVal val="0"/>
          <c:showCatName val="0"/>
          <c:showSerName val="0"/>
          <c:showPercent val="0"/>
          <c:showBubbleSize val="0"/>
        </c:dLbls>
        <c:gapWidth val="150"/>
        <c:overlap val="100"/>
        <c:axId val="612749504"/>
        <c:axId val="612750816"/>
      </c:barChart>
      <c:lineChart>
        <c:grouping val="standard"/>
        <c:varyColors val="0"/>
        <c:ser>
          <c:idx val="1"/>
          <c:order val="3"/>
          <c:tx>
            <c:strRef>
              <c:f>'Cost Benefit Analysis'!$B$62</c:f>
              <c:strCache>
                <c:ptCount val="1"/>
                <c:pt idx="0">
                  <c:v>Accumated NPV (discounted) of total benefits minus total costs</c:v>
                </c:pt>
              </c:strCache>
            </c:strRef>
          </c:tx>
          <c:spPr>
            <a:ln w="22225" cap="rnd">
              <a:solidFill>
                <a:schemeClr val="tx1"/>
              </a:solidFill>
              <a:round/>
            </a:ln>
            <a:effectLst/>
          </c:spPr>
          <c:marker>
            <c:symbol val="none"/>
          </c:marker>
          <c:cat>
            <c:numRef>
              <c:f>'Cost Benefit Analysis'!$E$17:$O$17</c:f>
              <c:numCache>
                <c:formatCode>General</c:formatCode>
                <c:ptCount val="11"/>
                <c:pt idx="0">
                  <c:v>2022</c:v>
                </c:pt>
                <c:pt idx="1">
                  <c:v>2023</c:v>
                </c:pt>
                <c:pt idx="2">
                  <c:v>2024</c:v>
                </c:pt>
                <c:pt idx="3">
                  <c:v>2025</c:v>
                </c:pt>
                <c:pt idx="4">
                  <c:v>2026</c:v>
                </c:pt>
                <c:pt idx="5">
                  <c:v>2027</c:v>
                </c:pt>
                <c:pt idx="6">
                  <c:v>2028</c:v>
                </c:pt>
                <c:pt idx="7">
                  <c:v>2029</c:v>
                </c:pt>
                <c:pt idx="8">
                  <c:v>2030</c:v>
                </c:pt>
                <c:pt idx="9">
                  <c:v>2031</c:v>
                </c:pt>
                <c:pt idx="10">
                  <c:v>2032</c:v>
                </c:pt>
              </c:numCache>
            </c:numRef>
          </c:cat>
          <c:val>
            <c:numRef>
              <c:f>'Cost Benefit Analysis'!$E$62:$O$62</c:f>
              <c:numCache>
                <c:formatCode>_(* #,##0_);[Red]_(* \(#,##0\);_(* "-"??_)</c:formatCode>
                <c:ptCount val="11"/>
                <c:pt idx="0">
                  <c:v>-73675.530408561724</c:v>
                </c:pt>
                <c:pt idx="1">
                  <c:v>-61689.812574626652</c:v>
                </c:pt>
                <c:pt idx="2">
                  <c:v>-37799.0812723251</c:v>
                </c:pt>
                <c:pt idx="3">
                  <c:v>-15046.003841561718</c:v>
                </c:pt>
                <c:pt idx="4">
                  <c:v>6623.5937115462621</c:v>
                </c:pt>
                <c:pt idx="5">
                  <c:v>27261.305666887194</c:v>
                </c:pt>
                <c:pt idx="6">
                  <c:v>46916.269433878559</c:v>
                </c:pt>
                <c:pt idx="7">
                  <c:v>65635.282545298905</c:v>
                </c:pt>
                <c:pt idx="8">
                  <c:v>83462.914079984956</c:v>
                </c:pt>
                <c:pt idx="9">
                  <c:v>100441.61077968596</c:v>
                </c:pt>
                <c:pt idx="10">
                  <c:v>116611.79811273451</c:v>
                </c:pt>
              </c:numCache>
            </c:numRef>
          </c:val>
          <c:smooth val="0"/>
          <c:extLst>
            <c:ext xmlns:c16="http://schemas.microsoft.com/office/drawing/2014/chart" uri="{C3380CC4-5D6E-409C-BE32-E72D297353CC}">
              <c16:uniqueId val="{00000004-E9DF-4F48-895D-C0FDE07FFBC7}"/>
            </c:ext>
          </c:extLst>
        </c:ser>
        <c:dLbls>
          <c:showLegendKey val="0"/>
          <c:showVal val="0"/>
          <c:showCatName val="0"/>
          <c:showSerName val="0"/>
          <c:showPercent val="0"/>
          <c:showBubbleSize val="0"/>
        </c:dLbls>
        <c:marker val="1"/>
        <c:smooth val="0"/>
        <c:axId val="612749504"/>
        <c:axId val="612750816"/>
      </c:lineChart>
      <c:catAx>
        <c:axId val="6127495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1800000" spcFirstLastPara="1" vertOverflow="ellipsis" wrap="square" anchor="ctr" anchorCtr="0"/>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2750816"/>
        <c:crosses val="autoZero"/>
        <c:auto val="1"/>
        <c:lblAlgn val="ctr"/>
        <c:lblOffset val="100"/>
        <c:noMultiLvlLbl val="0"/>
      </c:catAx>
      <c:valAx>
        <c:axId val="612750816"/>
        <c:scaling>
          <c:orientation val="minMax"/>
        </c:scaling>
        <c:delete val="0"/>
        <c:axPos val="l"/>
        <c:majorGridlines>
          <c:spPr>
            <a:ln w="9525" cap="flat" cmpd="sng" algn="ctr">
              <a:solidFill>
                <a:schemeClr val="tx1">
                  <a:lumMod val="15000"/>
                  <a:lumOff val="85000"/>
                </a:schemeClr>
              </a:solidFill>
              <a:round/>
            </a:ln>
            <a:effectLst/>
          </c:spPr>
        </c:majorGridlines>
        <c:title>
          <c:tx>
            <c:strRef>
              <c:f>'Cost Benefit Analysis'!$C$62</c:f>
              <c:strCache>
                <c:ptCount val="1"/>
                <c:pt idx="0">
                  <c:v>1,000 EUR</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title>
        <c:numFmt formatCode="#,##0" sourceLinked="0"/>
        <c:majorTickMark val="in"/>
        <c:minorTickMark val="none"/>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crossAx val="612749504"/>
        <c:crosses val="autoZero"/>
        <c:crossBetween val="between"/>
      </c:valAx>
      <c:spPr>
        <a:noFill/>
        <a:ln>
          <a:noFill/>
        </a:ln>
        <a:effectLst/>
      </c:spPr>
    </c:plotArea>
    <c:legend>
      <c:legendPos val="b"/>
      <c:layout>
        <c:manualLayout>
          <c:xMode val="edge"/>
          <c:yMode val="edge"/>
          <c:x val="9.1497173657363581E-2"/>
          <c:y val="0.91382215316257243"/>
          <c:w val="0.84246759314219855"/>
          <c:h val="6.882731481481481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61316128511288"/>
          <c:y val="9.4498719211251234E-2"/>
          <c:w val="0.51595202313484378"/>
          <c:h val="0.82638569825255093"/>
        </c:manualLayout>
      </c:layout>
      <c:pieChart>
        <c:varyColors val="1"/>
        <c:ser>
          <c:idx val="1"/>
          <c:order val="0"/>
          <c:tx>
            <c:strRef>
              <c:f>Input!$C$41:$G$41</c:f>
              <c:strCache>
                <c:ptCount val="5"/>
                <c:pt idx="0">
                  <c:v>Fuel oil</c:v>
                </c:pt>
                <c:pt idx="1">
                  <c:v>Coal/stone</c:v>
                </c:pt>
                <c:pt idx="2">
                  <c:v>Natural gas</c:v>
                </c:pt>
                <c:pt idx="3">
                  <c:v>Electric power</c:v>
                </c:pt>
                <c:pt idx="4">
                  <c:v>Thermal power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8-93AE-4A30-85FC-31F1ECB3AE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3AE-4A30-85FC-31F1ECB3AE25}"/>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1-93AE-4A30-85FC-31F1ECB3AE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AE-4A30-85FC-31F1ECB3AE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6-93AE-4A30-85FC-31F1ECB3AE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Input!$C$32:$G$32</c:f>
              <c:strCache>
                <c:ptCount val="5"/>
                <c:pt idx="0">
                  <c:v> Fuel oil </c:v>
                </c:pt>
                <c:pt idx="1">
                  <c:v> Coal/stone </c:v>
                </c:pt>
                <c:pt idx="2">
                  <c:v> Natural gas </c:v>
                </c:pt>
                <c:pt idx="3">
                  <c:v> Electric power </c:v>
                </c:pt>
                <c:pt idx="4">
                  <c:v> Thermal power </c:v>
                </c:pt>
              </c:strCache>
            </c:strRef>
          </c:cat>
          <c:val>
            <c:numRef>
              <c:f>Input!$C$43:$G$43</c:f>
              <c:numCache>
                <c:formatCode>0.0%</c:formatCode>
                <c:ptCount val="5"/>
                <c:pt idx="0">
                  <c:v>2.7500307505402808E-2</c:v>
                </c:pt>
                <c:pt idx="1">
                  <c:v>0.30971961568915918</c:v>
                </c:pt>
                <c:pt idx="2">
                  <c:v>0.17769998372055831</c:v>
                </c:pt>
                <c:pt idx="3">
                  <c:v>0.27004383442023894</c:v>
                </c:pt>
                <c:pt idx="4">
                  <c:v>0.21503625866464068</c:v>
                </c:pt>
              </c:numCache>
            </c:numRef>
          </c:val>
          <c:extLst>
            <c:ext xmlns:c16="http://schemas.microsoft.com/office/drawing/2014/chart" uri="{C3380CC4-5D6E-409C-BE32-E72D297353CC}">
              <c16:uniqueId val="{00000003-93AE-4A30-85FC-31F1ECB3AE25}"/>
            </c:ext>
          </c:extLst>
        </c:ser>
        <c:ser>
          <c:idx val="0"/>
          <c:order val="1"/>
          <c:tx>
            <c:strRef>
              <c:f>Input!$D$41</c:f>
              <c:strCache>
                <c:ptCount val="1"/>
                <c:pt idx="0">
                  <c:v>Coal/stone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B-BC9E-4C21-976D-54D000DA65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E8E0-467E-9F31-1663F573EAF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Input!$C$32:$G$32</c:f>
              <c:strCache>
                <c:ptCount val="5"/>
                <c:pt idx="0">
                  <c:v> Fuel oil </c:v>
                </c:pt>
                <c:pt idx="1">
                  <c:v> Coal/stone </c:v>
                </c:pt>
                <c:pt idx="2">
                  <c:v> Natural gas </c:v>
                </c:pt>
                <c:pt idx="3">
                  <c:v> Electric power </c:v>
                </c:pt>
                <c:pt idx="4">
                  <c:v> Thermal power </c:v>
                </c:pt>
              </c:strCache>
            </c:strRef>
          </c:cat>
          <c:val>
            <c:numRef>
              <c:f>Input!$D$43</c:f>
              <c:numCache>
                <c:formatCode>0.0%</c:formatCode>
                <c:ptCount val="1"/>
                <c:pt idx="0">
                  <c:v>0.30971961568915918</c:v>
                </c:pt>
              </c:numCache>
            </c:numRef>
          </c:val>
          <c:extLst>
            <c:ext xmlns:c16="http://schemas.microsoft.com/office/drawing/2014/chart" uri="{C3380CC4-5D6E-409C-BE32-E72D297353CC}">
              <c16:uniqueId val="{0000000D-93AE-4A30-85FC-31F1ECB3AE25}"/>
            </c:ext>
          </c:extLst>
        </c:ser>
        <c:ser>
          <c:idx val="2"/>
          <c:order val="2"/>
          <c:tx>
            <c:strRef>
              <c:f>Input!$E$41</c:f>
              <c:strCache>
                <c:ptCount val="1"/>
                <c:pt idx="0">
                  <c:v>Natural gas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9E-4C21-976D-54D000DA65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Input!$C$32:$G$32</c:f>
              <c:strCache>
                <c:ptCount val="5"/>
                <c:pt idx="0">
                  <c:v> Fuel oil </c:v>
                </c:pt>
                <c:pt idx="1">
                  <c:v> Coal/stone </c:v>
                </c:pt>
                <c:pt idx="2">
                  <c:v> Natural gas </c:v>
                </c:pt>
                <c:pt idx="3">
                  <c:v> Electric power </c:v>
                </c:pt>
                <c:pt idx="4">
                  <c:v> Thermal power </c:v>
                </c:pt>
              </c:strCache>
            </c:strRef>
          </c:cat>
          <c:val>
            <c:numRef>
              <c:f>Input!$E$43</c:f>
              <c:numCache>
                <c:formatCode>0.0%</c:formatCode>
                <c:ptCount val="1"/>
                <c:pt idx="0">
                  <c:v>0.17769998372055831</c:v>
                </c:pt>
              </c:numCache>
            </c:numRef>
          </c:val>
          <c:extLst>
            <c:ext xmlns:c16="http://schemas.microsoft.com/office/drawing/2014/chart" uri="{C3380CC4-5D6E-409C-BE32-E72D297353CC}">
              <c16:uniqueId val="{0000000E-93AE-4A30-85FC-31F1ECB3AE25}"/>
            </c:ext>
          </c:extLst>
        </c:ser>
        <c:ser>
          <c:idx val="3"/>
          <c:order val="3"/>
          <c:tx>
            <c:strRef>
              <c:f>Input!$F$41</c:f>
              <c:strCache>
                <c:ptCount val="1"/>
                <c:pt idx="0">
                  <c:v>Electric power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F-BC9E-4C21-976D-54D000DA65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Input!$C$32:$G$32</c:f>
              <c:strCache>
                <c:ptCount val="5"/>
                <c:pt idx="0">
                  <c:v> Fuel oil </c:v>
                </c:pt>
                <c:pt idx="1">
                  <c:v> Coal/stone </c:v>
                </c:pt>
                <c:pt idx="2">
                  <c:v> Natural gas </c:v>
                </c:pt>
                <c:pt idx="3">
                  <c:v> Electric power </c:v>
                </c:pt>
                <c:pt idx="4">
                  <c:v> Thermal power </c:v>
                </c:pt>
              </c:strCache>
            </c:strRef>
          </c:cat>
          <c:val>
            <c:numRef>
              <c:f>Input!$F$43</c:f>
              <c:numCache>
                <c:formatCode>0.0%</c:formatCode>
                <c:ptCount val="1"/>
                <c:pt idx="0">
                  <c:v>0.27004383442023894</c:v>
                </c:pt>
              </c:numCache>
            </c:numRef>
          </c:val>
          <c:extLst>
            <c:ext xmlns:c16="http://schemas.microsoft.com/office/drawing/2014/chart" uri="{C3380CC4-5D6E-409C-BE32-E72D297353CC}">
              <c16:uniqueId val="{0000000F-93AE-4A30-85FC-31F1ECB3AE25}"/>
            </c:ext>
          </c:extLst>
        </c:ser>
        <c:ser>
          <c:idx val="4"/>
          <c:order val="4"/>
          <c:tx>
            <c:strRef>
              <c:f>Input!$G$41</c:f>
              <c:strCache>
                <c:ptCount val="1"/>
                <c:pt idx="0">
                  <c:v>Thermal power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9E-4C21-976D-54D000DA656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Input!$C$32:$G$32</c:f>
              <c:strCache>
                <c:ptCount val="5"/>
                <c:pt idx="0">
                  <c:v> Fuel oil </c:v>
                </c:pt>
                <c:pt idx="1">
                  <c:v> Coal/stone </c:v>
                </c:pt>
                <c:pt idx="2">
                  <c:v> Natural gas </c:v>
                </c:pt>
                <c:pt idx="3">
                  <c:v> Electric power </c:v>
                </c:pt>
                <c:pt idx="4">
                  <c:v> Thermal power </c:v>
                </c:pt>
              </c:strCache>
            </c:strRef>
          </c:cat>
          <c:val>
            <c:numRef>
              <c:f>Input!$G$43</c:f>
              <c:numCache>
                <c:formatCode>0.0%</c:formatCode>
                <c:ptCount val="1"/>
                <c:pt idx="0">
                  <c:v>0.21503625866464068</c:v>
                </c:pt>
              </c:numCache>
            </c:numRef>
          </c:val>
          <c:extLst>
            <c:ext xmlns:c16="http://schemas.microsoft.com/office/drawing/2014/chart" uri="{C3380CC4-5D6E-409C-BE32-E72D297353CC}">
              <c16:uniqueId val="{00000010-93AE-4A30-85FC-31F1ECB3AE25}"/>
            </c:ext>
          </c:extLst>
        </c:ser>
        <c:dLbls>
          <c:dLblPos val="ctr"/>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8</xdr:col>
      <xdr:colOff>0</xdr:colOff>
      <xdr:row>2</xdr:row>
      <xdr:rowOff>73120</xdr:rowOff>
    </xdr:from>
    <xdr:ext cx="4828449" cy="1627773"/>
    <xdr:pic>
      <xdr:nvPicPr>
        <xdr:cNvPr id="2" name="Picture 1">
          <a:extLst>
            <a:ext uri="{FF2B5EF4-FFF2-40B4-BE49-F238E27FC236}">
              <a16:creationId xmlns:a16="http://schemas.microsoft.com/office/drawing/2014/main" id="{218201C6-10FD-4B1C-91E8-71B523E6DA20}"/>
            </a:ext>
          </a:extLst>
        </xdr:cNvPr>
        <xdr:cNvPicPr>
          <a:picLocks noChangeAspect="1"/>
        </xdr:cNvPicPr>
      </xdr:nvPicPr>
      <xdr:blipFill>
        <a:blip xmlns:r="http://schemas.openxmlformats.org/officeDocument/2006/relationships" r:embed="rId1"/>
        <a:stretch>
          <a:fillRect/>
        </a:stretch>
      </xdr:blipFill>
      <xdr:spPr>
        <a:xfrm>
          <a:off x="5334000" y="454120"/>
          <a:ext cx="4828449" cy="16277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15</xdr:col>
      <xdr:colOff>555625</xdr:colOff>
      <xdr:row>16</xdr:row>
      <xdr:rowOff>95249</xdr:rowOff>
    </xdr:from>
    <xdr:to>
      <xdr:col>26</xdr:col>
      <xdr:colOff>398318</xdr:colOff>
      <xdr:row>42</xdr:row>
      <xdr:rowOff>138545</xdr:rowOff>
    </xdr:to>
    <xdr:graphicFrame macro="">
      <xdr:nvGraphicFramePr>
        <xdr:cNvPr id="2" name="Diagram 3">
          <a:extLst>
            <a:ext uri="{FF2B5EF4-FFF2-40B4-BE49-F238E27FC236}">
              <a16:creationId xmlns:a16="http://schemas.microsoft.com/office/drawing/2014/main" id="{8C59ABA6-BD95-4632-8A36-1736D505B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1526399</xdr:colOff>
      <xdr:row>31</xdr:row>
      <xdr:rowOff>107254</xdr:rowOff>
    </xdr:from>
    <xdr:to>
      <xdr:col>13</xdr:col>
      <xdr:colOff>409013</xdr:colOff>
      <xdr:row>45</xdr:row>
      <xdr:rowOff>98931</xdr:rowOff>
    </xdr:to>
    <xdr:graphicFrame macro="">
      <xdr:nvGraphicFramePr>
        <xdr:cNvPr id="2" name="Diagram 3">
          <a:extLst>
            <a:ext uri="{FF2B5EF4-FFF2-40B4-BE49-F238E27FC236}">
              <a16:creationId xmlns:a16="http://schemas.microsoft.com/office/drawing/2014/main" id="{DCC9C558-230F-482F-A441-7553DE224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kraine\RES%20Model%20UA%2024%201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Input"/>
      <sheetName val="Tech_calc"/>
      <sheetName val="Ark2"/>
      <sheetName val="Fin_input"/>
      <sheetName val="Fin_calc"/>
      <sheetName val="Fin_support_calc"/>
      <sheetName val="List"/>
    </sheetNames>
    <sheetDataSet>
      <sheetData sheetId="0"/>
      <sheetData sheetId="1"/>
      <sheetData sheetId="2"/>
      <sheetData sheetId="3"/>
      <sheetData sheetId="4"/>
      <sheetData sheetId="5">
        <row r="15">
          <cell r="H15">
            <v>6910560</v>
          </cell>
        </row>
      </sheetData>
      <sheetData sheetId="6"/>
      <sheetData sheetId="7">
        <row r="4">
          <cell r="B4" t="str">
            <v>Wood chips</v>
          </cell>
        </row>
        <row r="5">
          <cell r="B5" t="str">
            <v>Cereal straw, corn stalks</v>
          </cell>
        </row>
        <row r="6">
          <cell r="B6" t="str">
            <v>Wood pellets (moisture 10%, ash 1 %)</v>
          </cell>
        </row>
        <row r="7">
          <cell r="B7" t="str">
            <v>Straw pellets (moisture 10%, ash 4,5%)</v>
          </cell>
        </row>
        <row r="8">
          <cell r="B8" t="str">
            <v>Sunflower husk pellets (moisture 10%, ash 5%)</v>
          </cell>
        </row>
      </sheetData>
    </sheetDataSet>
  </externalBook>
</externalLink>
</file>

<file path=xl/theme/theme1.xml><?xml version="1.0" encoding="utf-8"?>
<a:theme xmlns:a="http://schemas.openxmlformats.org/drawingml/2006/main" name="VIMA tema">
  <a:themeElements>
    <a:clrScheme name="VM Farvetema 1A">
      <a:dk1>
        <a:srgbClr val="000000"/>
      </a:dk1>
      <a:lt1>
        <a:srgbClr val="FFFFFF"/>
      </a:lt1>
      <a:dk2>
        <a:srgbClr val="004161"/>
      </a:dk2>
      <a:lt2>
        <a:srgbClr val="D0CFC5"/>
      </a:lt2>
      <a:accent1>
        <a:srgbClr val="0091AC"/>
      </a:accent1>
      <a:accent2>
        <a:srgbClr val="A7A9AC"/>
      </a:accent2>
      <a:accent3>
        <a:srgbClr val="000000"/>
      </a:accent3>
      <a:accent4>
        <a:srgbClr val="9BC61E"/>
      </a:accent4>
      <a:accent5>
        <a:srgbClr val="D4762F"/>
      </a:accent5>
      <a:accent6>
        <a:srgbClr val="50842D"/>
      </a:accent6>
      <a:hlink>
        <a:srgbClr val="0091AC"/>
      </a:hlink>
      <a:folHlink>
        <a:srgbClr val="004161"/>
      </a:folHlink>
    </a:clrScheme>
    <a:fontScheme name="VIMA">
      <a:majorFont>
        <a:latin typeface="Arial"/>
        <a:ea typeface=""/>
        <a:cs typeface=""/>
      </a:majorFont>
      <a:minorFont>
        <a:latin typeface="Arial"/>
        <a:ea typeface=""/>
        <a:cs typeface=""/>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DE2E-50B4-488F-A708-C6302F7B8BB0}">
  <sheetPr>
    <tabColor theme="0"/>
  </sheetPr>
  <dimension ref="B3:G20"/>
  <sheetViews>
    <sheetView zoomScale="70" zoomScaleNormal="70" workbookViewId="0">
      <selection activeCell="E30" sqref="E30"/>
    </sheetView>
  </sheetViews>
  <sheetFormatPr defaultColWidth="8.69921875" defaultRowHeight="13.8" x14ac:dyDescent="0.25"/>
  <cols>
    <col min="1" max="1" width="8.69921875" style="3"/>
    <col min="2" max="2" width="27.8984375" style="3" customWidth="1"/>
    <col min="3" max="3" width="65.19921875" style="3" customWidth="1"/>
    <col min="4" max="16384" width="8.69921875" style="3"/>
  </cols>
  <sheetData>
    <row r="3" spans="2:7" ht="33.6" customHeight="1" x14ac:dyDescent="0.6">
      <c r="B3" s="130" t="s">
        <v>104</v>
      </c>
      <c r="C3" s="130"/>
      <c r="D3" s="13"/>
      <c r="E3" s="13"/>
      <c r="F3" s="13"/>
      <c r="G3" s="13"/>
    </row>
    <row r="4" spans="2:7" ht="33.6" customHeight="1" x14ac:dyDescent="0.6">
      <c r="B4" s="130"/>
      <c r="C4" s="130"/>
      <c r="D4" s="13"/>
      <c r="E4" s="13"/>
      <c r="F4" s="13"/>
      <c r="G4" s="13"/>
    </row>
    <row r="5" spans="2:7" ht="24.6" x14ac:dyDescent="0.4">
      <c r="B5" s="12"/>
    </row>
    <row r="8" spans="2:7" x14ac:dyDescent="0.25">
      <c r="C8" s="11"/>
    </row>
    <row r="9" spans="2:7" x14ac:dyDescent="0.25">
      <c r="C9" s="11"/>
    </row>
    <row r="10" spans="2:7" x14ac:dyDescent="0.25">
      <c r="C10" s="11"/>
    </row>
    <row r="11" spans="2:7" x14ac:dyDescent="0.25">
      <c r="C11" s="11"/>
    </row>
    <row r="12" spans="2:7" x14ac:dyDescent="0.25">
      <c r="C12" s="11"/>
    </row>
    <row r="14" spans="2:7" x14ac:dyDescent="0.25">
      <c r="B14" s="10" t="s">
        <v>89</v>
      </c>
      <c r="C14" s="9" t="s">
        <v>153</v>
      </c>
    </row>
    <row r="15" spans="2:7" x14ac:dyDescent="0.25">
      <c r="B15" s="7" t="s">
        <v>88</v>
      </c>
      <c r="C15" s="6">
        <v>2182</v>
      </c>
    </row>
    <row r="16" spans="2:7" x14ac:dyDescent="0.25">
      <c r="B16" s="7" t="s">
        <v>87</v>
      </c>
      <c r="C16" s="6">
        <v>2</v>
      </c>
    </row>
    <row r="17" spans="2:3" x14ac:dyDescent="0.25">
      <c r="B17" s="7" t="s">
        <v>86</v>
      </c>
      <c r="C17" s="8" t="s">
        <v>85</v>
      </c>
    </row>
    <row r="18" spans="2:3" x14ac:dyDescent="0.25">
      <c r="B18" s="7" t="s">
        <v>84</v>
      </c>
      <c r="C18" s="8" t="s">
        <v>83</v>
      </c>
    </row>
    <row r="19" spans="2:3" x14ac:dyDescent="0.25">
      <c r="B19" s="7" t="s">
        <v>82</v>
      </c>
      <c r="C19" s="6"/>
    </row>
    <row r="20" spans="2:3" x14ac:dyDescent="0.25">
      <c r="B20" s="5" t="s">
        <v>81</v>
      </c>
      <c r="C20" s="4"/>
    </row>
  </sheetData>
  <mergeCells count="1">
    <mergeCell ref="B3:C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0552-CE89-49EC-BB0A-75282A65E9E7}">
  <sheetPr>
    <tabColor theme="0"/>
  </sheetPr>
  <dimension ref="A1:C30"/>
  <sheetViews>
    <sheetView workbookViewId="0">
      <selection activeCell="C12" sqref="C12"/>
    </sheetView>
  </sheetViews>
  <sheetFormatPr defaultColWidth="9" defaultRowHeight="14.4" x14ac:dyDescent="0.3"/>
  <cols>
    <col min="1" max="1" width="3.8984375" style="15" customWidth="1"/>
    <col min="2" max="2" width="29.19921875" style="15" customWidth="1"/>
    <col min="3" max="3" width="92.69921875" style="15" customWidth="1"/>
    <col min="4" max="16384" width="9" style="15"/>
  </cols>
  <sheetData>
    <row r="1" spans="1:3" s="88" customFormat="1" ht="18" x14ac:dyDescent="0.35">
      <c r="A1" s="14"/>
      <c r="B1" s="14" t="str">
        <f>'Front page'!$B$3</f>
        <v>UA VA - Cost Benefit Analysis (CBA) tool</v>
      </c>
      <c r="C1" s="86"/>
    </row>
    <row r="2" spans="1:3" s="88" customFormat="1" ht="18" x14ac:dyDescent="0.35">
      <c r="A2" s="14"/>
      <c r="B2" s="14" t="s">
        <v>130</v>
      </c>
      <c r="C2" s="86"/>
    </row>
    <row r="5" spans="1:3" ht="15.6" x14ac:dyDescent="0.3">
      <c r="B5" s="94" t="s">
        <v>131</v>
      </c>
      <c r="C5" s="95"/>
    </row>
    <row r="6" spans="1:3" ht="32.25" customHeight="1" x14ac:dyDescent="0.3">
      <c r="A6" s="92"/>
      <c r="B6" s="131" t="s">
        <v>132</v>
      </c>
      <c r="C6" s="131"/>
    </row>
    <row r="7" spans="1:3" ht="66.75" customHeight="1" x14ac:dyDescent="0.3">
      <c r="B7" s="132" t="s">
        <v>133</v>
      </c>
      <c r="C7" s="132"/>
    </row>
    <row r="8" spans="1:3" ht="13.2" customHeight="1" x14ac:dyDescent="0.3">
      <c r="B8" s="133" t="s">
        <v>134</v>
      </c>
      <c r="C8" s="133"/>
    </row>
    <row r="9" spans="1:3" x14ac:dyDescent="0.3">
      <c r="C9" s="93"/>
    </row>
    <row r="10" spans="1:3" ht="15.6" x14ac:dyDescent="0.3">
      <c r="B10" s="94" t="s">
        <v>135</v>
      </c>
      <c r="C10" s="95"/>
    </row>
    <row r="11" spans="1:3" ht="15.6" x14ac:dyDescent="0.3">
      <c r="B11" s="97"/>
    </row>
    <row r="12" spans="1:3" x14ac:dyDescent="0.3">
      <c r="B12" s="87" t="s">
        <v>136</v>
      </c>
    </row>
    <row r="13" spans="1:3" x14ac:dyDescent="0.3">
      <c r="B13" s="90" t="s">
        <v>137</v>
      </c>
    </row>
    <row r="14" spans="1:3" x14ac:dyDescent="0.3">
      <c r="B14" s="85" t="s">
        <v>33</v>
      </c>
    </row>
    <row r="15" spans="1:3" x14ac:dyDescent="0.3">
      <c r="B15" s="89" t="s">
        <v>139</v>
      </c>
    </row>
    <row r="16" spans="1:3" ht="15.6" x14ac:dyDescent="0.3">
      <c r="B16" s="97"/>
    </row>
    <row r="17" spans="2:3" x14ac:dyDescent="0.3">
      <c r="B17" s="87" t="s">
        <v>140</v>
      </c>
    </row>
    <row r="18" spans="2:3" x14ac:dyDescent="0.3">
      <c r="B18" s="91" t="s">
        <v>141</v>
      </c>
      <c r="C18" s="99"/>
    </row>
    <row r="19" spans="2:3" x14ac:dyDescent="0.3">
      <c r="B19" s="100" t="s">
        <v>142</v>
      </c>
      <c r="C19" s="99"/>
    </row>
    <row r="20" spans="2:3" x14ac:dyDescent="0.3">
      <c r="B20" s="110" t="s">
        <v>149</v>
      </c>
    </row>
    <row r="21" spans="2:3" ht="15.6" x14ac:dyDescent="0.3">
      <c r="B21" s="97"/>
    </row>
    <row r="22" spans="2:3" x14ac:dyDescent="0.3">
      <c r="B22" s="101" t="s">
        <v>143</v>
      </c>
      <c r="C22" s="101" t="s">
        <v>144</v>
      </c>
    </row>
    <row r="23" spans="2:3" ht="45" customHeight="1" x14ac:dyDescent="0.3">
      <c r="B23" s="102" t="s">
        <v>33</v>
      </c>
      <c r="C23" s="103" t="s">
        <v>148</v>
      </c>
    </row>
    <row r="25" spans="2:3" ht="45" customHeight="1" x14ac:dyDescent="0.3">
      <c r="B25" s="104" t="s">
        <v>138</v>
      </c>
      <c r="C25" s="105" t="s">
        <v>145</v>
      </c>
    </row>
    <row r="27" spans="2:3" x14ac:dyDescent="0.3">
      <c r="B27" s="106" t="s">
        <v>146</v>
      </c>
      <c r="C27" s="107" t="s">
        <v>147</v>
      </c>
    </row>
    <row r="28" spans="2:3" x14ac:dyDescent="0.3">
      <c r="B28" s="101"/>
      <c r="C28" s="108"/>
    </row>
    <row r="30" spans="2:3" x14ac:dyDescent="0.3">
      <c r="B30" s="109"/>
    </row>
  </sheetData>
  <mergeCells count="3">
    <mergeCell ref="B6:C6"/>
    <mergeCell ref="B7:C7"/>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C890-1FE2-45DD-8970-F25C8F1A342E}">
  <sheetPr>
    <tabColor theme="3"/>
  </sheetPr>
  <dimension ref="A1:AM79"/>
  <sheetViews>
    <sheetView tabSelected="1" zoomScale="70" zoomScaleNormal="70" workbookViewId="0">
      <selection activeCell="B3" sqref="B3"/>
    </sheetView>
  </sheetViews>
  <sheetFormatPr defaultColWidth="8.69921875" defaultRowHeight="12" x14ac:dyDescent="0.25"/>
  <cols>
    <col min="1" max="1" width="8.69921875" style="22"/>
    <col min="2" max="2" width="49.8984375" style="22" customWidth="1"/>
    <col min="3" max="12" width="20.59765625" style="22" customWidth="1"/>
    <col min="13" max="15" width="14.59765625" style="22" customWidth="1"/>
    <col min="16" max="16384" width="8.69921875" style="22"/>
  </cols>
  <sheetData>
    <row r="1" spans="1:17" s="24" customFormat="1" ht="18" x14ac:dyDescent="0.35">
      <c r="A1" s="14"/>
      <c r="B1" s="14" t="str">
        <f>'Front page'!$B$3</f>
        <v>UA VA - Cost Benefit Analysis (CBA) tool</v>
      </c>
      <c r="C1" s="23"/>
    </row>
    <row r="2" spans="1:17" s="24" customFormat="1" ht="18" x14ac:dyDescent="0.35">
      <c r="A2" s="14"/>
      <c r="B2" s="14" t="s">
        <v>33</v>
      </c>
      <c r="C2" s="23"/>
    </row>
    <row r="3" spans="1:17" s="28" customFormat="1" ht="13.8" x14ac:dyDescent="0.3">
      <c r="A3" s="26"/>
      <c r="B3" s="26"/>
      <c r="C3" s="27"/>
    </row>
    <row r="4" spans="1:17" s="25" customFormat="1" ht="13.8" x14ac:dyDescent="0.3">
      <c r="B4" s="25" t="s">
        <v>124</v>
      </c>
    </row>
    <row r="5" spans="1:17" s="28" customFormat="1" ht="13.8" x14ac:dyDescent="0.3">
      <c r="A5" s="26"/>
      <c r="B5" s="26"/>
      <c r="C5" s="27"/>
    </row>
    <row r="6" spans="1:17" s="16" customFormat="1" ht="13.8" x14ac:dyDescent="0.3">
      <c r="B6" s="29" t="s">
        <v>102</v>
      </c>
      <c r="C6" s="29"/>
      <c r="D6" s="29"/>
      <c r="E6" s="17"/>
      <c r="F6" s="18"/>
      <c r="G6" s="19"/>
      <c r="H6" s="20"/>
      <c r="I6" s="20"/>
      <c r="K6" s="29" t="s">
        <v>57</v>
      </c>
      <c r="L6" s="29"/>
    </row>
    <row r="7" spans="1:17" s="16" customFormat="1" ht="13.8" x14ac:dyDescent="0.3"/>
    <row r="8" spans="1:17" s="16" customFormat="1" ht="30" customHeight="1" x14ac:dyDescent="0.3">
      <c r="B8" s="111" t="s">
        <v>68</v>
      </c>
      <c r="C8" s="30">
        <f>Input!C6</f>
        <v>3</v>
      </c>
      <c r="D8" s="111" t="s">
        <v>73</v>
      </c>
      <c r="E8" s="30">
        <f>Input!C10</f>
        <v>10</v>
      </c>
      <c r="F8" s="111" t="s">
        <v>34</v>
      </c>
      <c r="G8" s="30">
        <f>Input!C15</f>
        <v>80</v>
      </c>
      <c r="H8" s="111" t="s">
        <v>10</v>
      </c>
      <c r="I8" s="33">
        <f>Input!$C$67</f>
        <v>33.058199999999999</v>
      </c>
      <c r="J8" s="21"/>
      <c r="K8" s="111" t="s">
        <v>58</v>
      </c>
      <c r="L8" s="76">
        <v>0</v>
      </c>
    </row>
    <row r="9" spans="1:17" s="16" customFormat="1" ht="30" customHeight="1" x14ac:dyDescent="0.3">
      <c r="B9" s="111" t="s">
        <v>75</v>
      </c>
      <c r="C9" s="82">
        <v>0.02</v>
      </c>
      <c r="D9" s="111" t="s">
        <v>112</v>
      </c>
      <c r="E9" s="82">
        <f>Input!C11</f>
        <v>0.3</v>
      </c>
      <c r="F9" s="111" t="s">
        <v>80</v>
      </c>
      <c r="G9" s="30">
        <f>Input!C16</f>
        <v>1</v>
      </c>
      <c r="H9" s="111" t="s">
        <v>67</v>
      </c>
      <c r="I9" s="33">
        <f>Input!$C$63</f>
        <v>25</v>
      </c>
      <c r="J9" s="21"/>
      <c r="K9" s="111" t="s">
        <v>59</v>
      </c>
      <c r="L9" s="76">
        <v>0.5</v>
      </c>
    </row>
    <row r="10" spans="1:17" s="16" customFormat="1" ht="30" customHeight="1" x14ac:dyDescent="0.3">
      <c r="B10" s="111" t="s">
        <v>76</v>
      </c>
      <c r="C10" s="82">
        <f>Input!C8</f>
        <v>0.13</v>
      </c>
      <c r="D10" s="111" t="s">
        <v>79</v>
      </c>
      <c r="E10" s="32">
        <f>G8*G9*E8/I8*1000</f>
        <v>24199.744692693494</v>
      </c>
      <c r="F10" s="111" t="s">
        <v>22</v>
      </c>
      <c r="G10" s="31">
        <f>Input!C44</f>
        <v>5.0954865218255138E-2</v>
      </c>
      <c r="H10" s="111" t="s">
        <v>63</v>
      </c>
      <c r="I10" s="33">
        <f>Input!$C$46</f>
        <v>41</v>
      </c>
      <c r="J10" s="21"/>
      <c r="K10" s="111" t="s">
        <v>60</v>
      </c>
      <c r="L10" s="76">
        <v>1</v>
      </c>
    </row>
    <row r="11" spans="1:17" s="16" customFormat="1" ht="30" customHeight="1" x14ac:dyDescent="0.3">
      <c r="B11" s="111" t="s">
        <v>25</v>
      </c>
      <c r="C11" s="32">
        <f>Input!C21</f>
        <v>1</v>
      </c>
      <c r="D11" s="112" t="s">
        <v>27</v>
      </c>
      <c r="E11" s="32">
        <f>Input!D21</f>
        <v>350</v>
      </c>
      <c r="F11" s="111" t="s">
        <v>30</v>
      </c>
      <c r="G11" s="30">
        <f>Input!C27</f>
        <v>5000</v>
      </c>
      <c r="H11" s="111" t="s">
        <v>36</v>
      </c>
      <c r="I11" s="33">
        <f>Input!C57</f>
        <v>0.28170178463900514</v>
      </c>
      <c r="J11" s="21"/>
      <c r="K11" s="111" t="s">
        <v>61</v>
      </c>
      <c r="L11" s="76">
        <v>1</v>
      </c>
    </row>
    <row r="12" spans="1:17" s="16" customFormat="1" ht="30" customHeight="1" x14ac:dyDescent="0.3">
      <c r="B12" s="111" t="s">
        <v>28</v>
      </c>
      <c r="C12" s="32">
        <f>Input!C22</f>
        <v>2</v>
      </c>
      <c r="D12" s="112" t="s">
        <v>27</v>
      </c>
      <c r="E12" s="32">
        <f>Input!D22</f>
        <v>500</v>
      </c>
      <c r="F12" s="111" t="s">
        <v>29</v>
      </c>
      <c r="G12" s="30">
        <f>Input!C28</f>
        <v>5000</v>
      </c>
      <c r="H12" s="113" t="s">
        <v>35</v>
      </c>
      <c r="I12" s="33">
        <f>$C$8*$G$10</f>
        <v>0.1528645956547654</v>
      </c>
      <c r="J12" s="21"/>
      <c r="K12" s="111" t="s">
        <v>62</v>
      </c>
      <c r="L12" s="76">
        <v>1</v>
      </c>
    </row>
    <row r="13" spans="1:17" s="16" customFormat="1" ht="30" customHeight="1" x14ac:dyDescent="0.3">
      <c r="B13" s="111" t="s">
        <v>26</v>
      </c>
      <c r="C13" s="32">
        <f>Input!C23</f>
        <v>12</v>
      </c>
      <c r="D13" s="112" t="s">
        <v>27</v>
      </c>
      <c r="E13" s="32">
        <f>Input!D23</f>
        <v>750</v>
      </c>
      <c r="F13" s="111" t="s">
        <v>9</v>
      </c>
      <c r="G13" s="82">
        <f>Input!$C$61</f>
        <v>0.05</v>
      </c>
      <c r="H13" s="111" t="s">
        <v>37</v>
      </c>
      <c r="I13" s="96">
        <f>Input!C50</f>
        <v>191550383.33333331</v>
      </c>
      <c r="J13" s="21"/>
      <c r="K13" s="21"/>
      <c r="L13" s="21"/>
      <c r="M13" s="21"/>
      <c r="N13" s="21"/>
      <c r="O13" s="21"/>
      <c r="P13" s="21"/>
      <c r="Q13" s="21"/>
    </row>
    <row r="14" spans="1:17" s="16" customFormat="1" ht="13.8" x14ac:dyDescent="0.3"/>
    <row r="15" spans="1:17" s="25" customFormat="1" ht="13.8" x14ac:dyDescent="0.3">
      <c r="B15" s="25" t="s">
        <v>90</v>
      </c>
    </row>
    <row r="16" spans="1:17" s="16" customFormat="1" ht="13.8" x14ac:dyDescent="0.3">
      <c r="B16" s="34"/>
      <c r="C16" s="35"/>
    </row>
    <row r="17" spans="2:39" s="16" customFormat="1" ht="13.8" x14ac:dyDescent="0.3">
      <c r="B17" s="47" t="s">
        <v>91</v>
      </c>
      <c r="C17" s="48" t="s">
        <v>6</v>
      </c>
      <c r="E17" s="46">
        <v>2022</v>
      </c>
      <c r="F17" s="46">
        <f>E17+1</f>
        <v>2023</v>
      </c>
      <c r="G17" s="46">
        <f t="shared" ref="G17:O17" si="0">F17+1</f>
        <v>2024</v>
      </c>
      <c r="H17" s="46">
        <f t="shared" si="0"/>
        <v>2025</v>
      </c>
      <c r="I17" s="46">
        <f t="shared" si="0"/>
        <v>2026</v>
      </c>
      <c r="J17" s="46">
        <f t="shared" si="0"/>
        <v>2027</v>
      </c>
      <c r="K17" s="46">
        <f t="shared" si="0"/>
        <v>2028</v>
      </c>
      <c r="L17" s="46">
        <f t="shared" si="0"/>
        <v>2029</v>
      </c>
      <c r="M17" s="46">
        <f t="shared" si="0"/>
        <v>2030</v>
      </c>
      <c r="N17" s="46">
        <f t="shared" si="0"/>
        <v>2031</v>
      </c>
      <c r="O17" s="46">
        <f t="shared" si="0"/>
        <v>2032</v>
      </c>
    </row>
    <row r="18" spans="2:39" s="16" customFormat="1" ht="13.8" x14ac:dyDescent="0.3">
      <c r="B18" s="36"/>
      <c r="C18" s="37"/>
      <c r="E18" s="37"/>
      <c r="F18" s="37"/>
      <c r="G18" s="37"/>
      <c r="H18" s="37"/>
      <c r="I18" s="37"/>
      <c r="J18" s="37"/>
      <c r="K18" s="37"/>
      <c r="L18" s="37"/>
      <c r="M18" s="37"/>
      <c r="N18" s="37"/>
      <c r="O18" s="37"/>
    </row>
    <row r="19" spans="2:39" s="21" customFormat="1" ht="13.8" x14ac:dyDescent="0.3">
      <c r="B19" s="43" t="s">
        <v>92</v>
      </c>
      <c r="C19" s="44"/>
      <c r="E19" s="52"/>
      <c r="F19" s="53"/>
      <c r="G19" s="53"/>
      <c r="H19" s="54"/>
      <c r="I19" s="54"/>
      <c r="J19" s="54"/>
      <c r="K19" s="54"/>
      <c r="L19" s="54"/>
      <c r="M19" s="54"/>
      <c r="N19" s="54"/>
      <c r="O19" s="54"/>
      <c r="P19" s="45"/>
      <c r="Q19" s="45"/>
      <c r="R19" s="45"/>
      <c r="S19" s="45"/>
      <c r="T19" s="45"/>
      <c r="U19" s="45"/>
      <c r="V19" s="45"/>
      <c r="W19" s="45"/>
      <c r="X19" s="45"/>
      <c r="Y19" s="45"/>
      <c r="Z19" s="45"/>
      <c r="AA19" s="45"/>
      <c r="AB19" s="45"/>
      <c r="AC19" s="45"/>
      <c r="AD19" s="45"/>
      <c r="AE19" s="45"/>
      <c r="AF19" s="45"/>
      <c r="AG19" s="45"/>
      <c r="AH19" s="45"/>
      <c r="AI19" s="45"/>
      <c r="AJ19" s="45"/>
      <c r="AK19" s="45"/>
      <c r="AL19" s="45"/>
      <c r="AM19" s="45"/>
    </row>
    <row r="20" spans="2:39" s="16" customFormat="1" ht="13.8" x14ac:dyDescent="0.3">
      <c r="B20" s="36" t="s">
        <v>78</v>
      </c>
      <c r="C20" s="38"/>
      <c r="D20" s="21"/>
      <c r="E20" s="51">
        <f>$G$8*$G$9</f>
        <v>80</v>
      </c>
      <c r="F20" s="51">
        <f t="shared" ref="F20:O20" si="1">$G$8*$G$9</f>
        <v>80</v>
      </c>
      <c r="G20" s="51">
        <f t="shared" si="1"/>
        <v>80</v>
      </c>
      <c r="H20" s="51">
        <f t="shared" si="1"/>
        <v>80</v>
      </c>
      <c r="I20" s="51">
        <f t="shared" si="1"/>
        <v>80</v>
      </c>
      <c r="J20" s="51">
        <f t="shared" si="1"/>
        <v>80</v>
      </c>
      <c r="K20" s="51">
        <f t="shared" si="1"/>
        <v>80</v>
      </c>
      <c r="L20" s="51">
        <f t="shared" si="1"/>
        <v>80</v>
      </c>
      <c r="M20" s="51">
        <f t="shared" si="1"/>
        <v>80</v>
      </c>
      <c r="N20" s="51">
        <f t="shared" si="1"/>
        <v>80</v>
      </c>
      <c r="O20" s="51">
        <f t="shared" si="1"/>
        <v>80</v>
      </c>
    </row>
    <row r="21" spans="2:39" s="16" customFormat="1" ht="13.8" x14ac:dyDescent="0.3">
      <c r="B21" s="36" t="s">
        <v>3</v>
      </c>
      <c r="C21" s="37" t="s">
        <v>23</v>
      </c>
      <c r="E21" s="50">
        <f>$I$13*$C$9</f>
        <v>3831007.6666666665</v>
      </c>
      <c r="F21" s="50">
        <f t="shared" ref="F21:O21" si="2">$I$13*$C$9</f>
        <v>3831007.6666666665</v>
      </c>
      <c r="G21" s="50">
        <f t="shared" si="2"/>
        <v>3831007.6666666665</v>
      </c>
      <c r="H21" s="50">
        <f t="shared" si="2"/>
        <v>3831007.6666666665</v>
      </c>
      <c r="I21" s="50">
        <f t="shared" si="2"/>
        <v>3831007.6666666665</v>
      </c>
      <c r="J21" s="50">
        <f t="shared" si="2"/>
        <v>3831007.6666666665</v>
      </c>
      <c r="K21" s="50">
        <f t="shared" si="2"/>
        <v>3831007.6666666665</v>
      </c>
      <c r="L21" s="50">
        <f t="shared" si="2"/>
        <v>3831007.6666666665</v>
      </c>
      <c r="M21" s="50">
        <f t="shared" si="2"/>
        <v>3831007.6666666665</v>
      </c>
      <c r="N21" s="50">
        <f t="shared" si="2"/>
        <v>3831007.6666666665</v>
      </c>
      <c r="O21" s="50">
        <f t="shared" si="2"/>
        <v>3831007.6666666665</v>
      </c>
    </row>
    <row r="22" spans="2:39" s="39" customFormat="1" ht="13.8" x14ac:dyDescent="0.3">
      <c r="B22" s="40" t="s">
        <v>7</v>
      </c>
      <c r="C22" s="37" t="s">
        <v>8</v>
      </c>
      <c r="D22" s="16"/>
      <c r="E22" s="127">
        <f>C10*L8</f>
        <v>0</v>
      </c>
      <c r="F22" s="127">
        <f>C10*L9</f>
        <v>6.5000000000000002E-2</v>
      </c>
      <c r="G22" s="127">
        <f>C10*L10</f>
        <v>0.13</v>
      </c>
      <c r="H22" s="127">
        <f>C10*L11</f>
        <v>0.13</v>
      </c>
      <c r="I22" s="127">
        <f>C10*L12</f>
        <v>0.13</v>
      </c>
      <c r="J22" s="127">
        <f t="shared" ref="J22:O22" si="3">I22</f>
        <v>0.13</v>
      </c>
      <c r="K22" s="127">
        <f t="shared" si="3"/>
        <v>0.13</v>
      </c>
      <c r="L22" s="127">
        <f t="shared" si="3"/>
        <v>0.13</v>
      </c>
      <c r="M22" s="127">
        <f t="shared" si="3"/>
        <v>0.13</v>
      </c>
      <c r="N22" s="127">
        <f t="shared" si="3"/>
        <v>0.13</v>
      </c>
      <c r="O22" s="127">
        <f t="shared" si="3"/>
        <v>0.13</v>
      </c>
    </row>
    <row r="23" spans="2:39" s="16" customFormat="1" ht="13.8" x14ac:dyDescent="0.3">
      <c r="B23" s="36" t="s">
        <v>4</v>
      </c>
      <c r="C23" s="37" t="s">
        <v>23</v>
      </c>
      <c r="E23" s="51">
        <f>E21*E22</f>
        <v>0</v>
      </c>
      <c r="F23" s="51">
        <f>F21*F22</f>
        <v>249015.49833333332</v>
      </c>
      <c r="G23" s="51">
        <f t="shared" ref="G23:O23" si="4">G21*G22</f>
        <v>498030.99666666664</v>
      </c>
      <c r="H23" s="51">
        <f t="shared" si="4"/>
        <v>498030.99666666664</v>
      </c>
      <c r="I23" s="51">
        <f t="shared" si="4"/>
        <v>498030.99666666664</v>
      </c>
      <c r="J23" s="51">
        <f t="shared" si="4"/>
        <v>498030.99666666664</v>
      </c>
      <c r="K23" s="51">
        <f t="shared" si="4"/>
        <v>498030.99666666664</v>
      </c>
      <c r="L23" s="51">
        <f t="shared" si="4"/>
        <v>498030.99666666664</v>
      </c>
      <c r="M23" s="51">
        <f t="shared" si="4"/>
        <v>498030.99666666664</v>
      </c>
      <c r="N23" s="51">
        <f t="shared" si="4"/>
        <v>498030.99666666664</v>
      </c>
      <c r="O23" s="51">
        <f t="shared" si="4"/>
        <v>498030.99666666664</v>
      </c>
    </row>
    <row r="24" spans="2:39" s="16" customFormat="1" ht="13.8" x14ac:dyDescent="0.3">
      <c r="B24" s="36" t="s">
        <v>5</v>
      </c>
      <c r="C24" s="37" t="s">
        <v>23</v>
      </c>
      <c r="E24" s="50">
        <f>E21-E23</f>
        <v>3831007.6666666665</v>
      </c>
      <c r="F24" s="50">
        <f>F21-F23</f>
        <v>3581992.168333333</v>
      </c>
      <c r="G24" s="50">
        <f t="shared" ref="G24:O24" si="5">G21-G23</f>
        <v>3332976.67</v>
      </c>
      <c r="H24" s="50">
        <f t="shared" si="5"/>
        <v>3332976.67</v>
      </c>
      <c r="I24" s="50">
        <f t="shared" si="5"/>
        <v>3332976.67</v>
      </c>
      <c r="J24" s="50">
        <f t="shared" si="5"/>
        <v>3332976.67</v>
      </c>
      <c r="K24" s="50">
        <f t="shared" si="5"/>
        <v>3332976.67</v>
      </c>
      <c r="L24" s="50">
        <f t="shared" si="5"/>
        <v>3332976.67</v>
      </c>
      <c r="M24" s="50">
        <f t="shared" si="5"/>
        <v>3332976.67</v>
      </c>
      <c r="N24" s="50">
        <f t="shared" si="5"/>
        <v>3332976.67</v>
      </c>
      <c r="O24" s="50">
        <f t="shared" si="5"/>
        <v>3332976.67</v>
      </c>
    </row>
    <row r="25" spans="2:39" s="16" customFormat="1" ht="13.8" x14ac:dyDescent="0.3">
      <c r="B25" s="36" t="s">
        <v>159</v>
      </c>
      <c r="C25" s="37" t="s">
        <v>15</v>
      </c>
      <c r="E25" s="50">
        <f>-E23*$I$11</f>
        <v>0</v>
      </c>
      <c r="F25" s="50">
        <f t="shared" ref="F25:O25" si="6">-F23*$I$11</f>
        <v>-70148.110283271206</v>
      </c>
      <c r="G25" s="50">
        <f t="shared" si="6"/>
        <v>-140296.22056654241</v>
      </c>
      <c r="H25" s="50">
        <f t="shared" si="6"/>
        <v>-140296.22056654241</v>
      </c>
      <c r="I25" s="50">
        <f t="shared" si="6"/>
        <v>-140296.22056654241</v>
      </c>
      <c r="J25" s="50">
        <f t="shared" si="6"/>
        <v>-140296.22056654241</v>
      </c>
      <c r="K25" s="50">
        <f t="shared" si="6"/>
        <v>-140296.22056654241</v>
      </c>
      <c r="L25" s="50">
        <f t="shared" si="6"/>
        <v>-140296.22056654241</v>
      </c>
      <c r="M25" s="50">
        <f t="shared" si="6"/>
        <v>-140296.22056654241</v>
      </c>
      <c r="N25" s="50">
        <f t="shared" si="6"/>
        <v>-140296.22056654241</v>
      </c>
      <c r="O25" s="50">
        <f t="shared" si="6"/>
        <v>-140296.22056654241</v>
      </c>
    </row>
    <row r="26" spans="2:39" s="16" customFormat="1" ht="13.8" x14ac:dyDescent="0.3">
      <c r="B26" s="36"/>
      <c r="C26" s="37"/>
      <c r="E26" s="36"/>
      <c r="F26" s="36"/>
      <c r="G26" s="36"/>
      <c r="H26" s="36"/>
      <c r="I26" s="36"/>
      <c r="J26" s="36"/>
      <c r="K26" s="36"/>
      <c r="L26" s="36"/>
      <c r="M26" s="36"/>
      <c r="N26" s="36"/>
      <c r="O26" s="36"/>
    </row>
    <row r="27" spans="2:39" s="16" customFormat="1" ht="13.8" x14ac:dyDescent="0.3">
      <c r="B27" s="43" t="s">
        <v>98</v>
      </c>
      <c r="C27" s="37"/>
      <c r="E27" s="36"/>
      <c r="F27" s="36"/>
      <c r="G27" s="36"/>
      <c r="H27" s="36"/>
      <c r="I27" s="36"/>
      <c r="J27" s="36"/>
      <c r="K27" s="36"/>
      <c r="L27" s="36"/>
      <c r="M27" s="36"/>
      <c r="N27" s="36"/>
      <c r="O27" s="36"/>
    </row>
    <row r="28" spans="2:39" s="16" customFormat="1" ht="13.8" x14ac:dyDescent="0.3">
      <c r="B28" s="49" t="s">
        <v>14</v>
      </c>
      <c r="C28" s="37" t="s">
        <v>24</v>
      </c>
      <c r="E28" s="60">
        <f>E23*$G$10</f>
        <v>0</v>
      </c>
      <c r="F28" s="60">
        <f t="shared" ref="F28:O28" si="7">F23*$G$10</f>
        <v>12688.551154831637</v>
      </c>
      <c r="G28" s="60">
        <f t="shared" si="7"/>
        <v>25377.102309663274</v>
      </c>
      <c r="H28" s="60">
        <f t="shared" si="7"/>
        <v>25377.102309663274</v>
      </c>
      <c r="I28" s="60">
        <f t="shared" si="7"/>
        <v>25377.102309663274</v>
      </c>
      <c r="J28" s="60">
        <f t="shared" si="7"/>
        <v>25377.102309663274</v>
      </c>
      <c r="K28" s="60">
        <f t="shared" si="7"/>
        <v>25377.102309663274</v>
      </c>
      <c r="L28" s="60">
        <f t="shared" si="7"/>
        <v>25377.102309663274</v>
      </c>
      <c r="M28" s="60">
        <f t="shared" si="7"/>
        <v>25377.102309663274</v>
      </c>
      <c r="N28" s="60">
        <f t="shared" si="7"/>
        <v>25377.102309663274</v>
      </c>
      <c r="O28" s="60">
        <f t="shared" si="7"/>
        <v>25377.102309663274</v>
      </c>
    </row>
    <row r="29" spans="2:39" s="16" customFormat="1" ht="13.8" x14ac:dyDescent="0.3">
      <c r="B29" s="49" t="s">
        <v>55</v>
      </c>
      <c r="C29" s="37" t="s">
        <v>24</v>
      </c>
      <c r="E29" s="60">
        <f>E23*$I$11*$I$10/$I$8/1000</f>
        <v>0</v>
      </c>
      <c r="F29" s="60">
        <f t="shared" ref="F29:O29" si="8">F23*$I$11*$I$10/$I$8/1000</f>
        <v>87.0002759259161</v>
      </c>
      <c r="G29" s="60">
        <f t="shared" si="8"/>
        <v>174.0005518518322</v>
      </c>
      <c r="H29" s="60">
        <f t="shared" si="8"/>
        <v>174.0005518518322</v>
      </c>
      <c r="I29" s="60">
        <f t="shared" si="8"/>
        <v>174.0005518518322</v>
      </c>
      <c r="J29" s="60">
        <f t="shared" si="8"/>
        <v>174.0005518518322</v>
      </c>
      <c r="K29" s="60">
        <f t="shared" si="8"/>
        <v>174.0005518518322</v>
      </c>
      <c r="L29" s="60">
        <f t="shared" si="8"/>
        <v>174.0005518518322</v>
      </c>
      <c r="M29" s="60">
        <f t="shared" si="8"/>
        <v>174.0005518518322</v>
      </c>
      <c r="N29" s="60">
        <f t="shared" si="8"/>
        <v>174.0005518518322</v>
      </c>
      <c r="O29" s="60">
        <f t="shared" si="8"/>
        <v>174.0005518518322</v>
      </c>
    </row>
    <row r="30" spans="2:39" s="16" customFormat="1" ht="13.8" x14ac:dyDescent="0.3">
      <c r="B30" s="49" t="s">
        <v>70</v>
      </c>
      <c r="C30" s="37" t="s">
        <v>24</v>
      </c>
      <c r="E30" s="60">
        <f>-E33*$E$9</f>
        <v>22839.392078696943</v>
      </c>
      <c r="F30" s="60">
        <f t="shared" ref="F30:O30" si="9">-F33*$E$9</f>
        <v>0</v>
      </c>
      <c r="G30" s="60">
        <f t="shared" si="9"/>
        <v>0</v>
      </c>
      <c r="H30" s="60">
        <f t="shared" si="9"/>
        <v>0</v>
      </c>
      <c r="I30" s="60">
        <f t="shared" si="9"/>
        <v>0</v>
      </c>
      <c r="J30" s="60">
        <f t="shared" si="9"/>
        <v>0</v>
      </c>
      <c r="K30" s="60">
        <f t="shared" si="9"/>
        <v>0</v>
      </c>
      <c r="L30" s="60">
        <f t="shared" si="9"/>
        <v>0</v>
      </c>
      <c r="M30" s="60">
        <f t="shared" si="9"/>
        <v>0</v>
      </c>
      <c r="N30" s="60">
        <f t="shared" si="9"/>
        <v>0</v>
      </c>
      <c r="O30" s="60">
        <f t="shared" si="9"/>
        <v>0</v>
      </c>
    </row>
    <row r="31" spans="2:39" s="16" customFormat="1" ht="13.8" x14ac:dyDescent="0.3">
      <c r="B31" s="55" t="s">
        <v>94</v>
      </c>
      <c r="C31" s="56" t="s">
        <v>24</v>
      </c>
      <c r="D31" s="59"/>
      <c r="E31" s="61">
        <f>SUM(E28:E30)</f>
        <v>22839.392078696943</v>
      </c>
      <c r="F31" s="61">
        <f t="shared" ref="F31:O31" si="10">SUM(F28:F30)</f>
        <v>12775.551430757554</v>
      </c>
      <c r="G31" s="61">
        <f t="shared" si="10"/>
        <v>25551.102861515108</v>
      </c>
      <c r="H31" s="61">
        <f t="shared" si="10"/>
        <v>25551.102861515108</v>
      </c>
      <c r="I31" s="61">
        <f t="shared" si="10"/>
        <v>25551.102861515108</v>
      </c>
      <c r="J31" s="61">
        <f t="shared" si="10"/>
        <v>25551.102861515108</v>
      </c>
      <c r="K31" s="61">
        <f t="shared" si="10"/>
        <v>25551.102861515108</v>
      </c>
      <c r="L31" s="61">
        <f t="shared" si="10"/>
        <v>25551.102861515108</v>
      </c>
      <c r="M31" s="61">
        <f t="shared" si="10"/>
        <v>25551.102861515108</v>
      </c>
      <c r="N31" s="61">
        <f t="shared" si="10"/>
        <v>25551.102861515108</v>
      </c>
      <c r="O31" s="61">
        <f t="shared" si="10"/>
        <v>25551.102861515108</v>
      </c>
    </row>
    <row r="32" spans="2:39" s="16" customFormat="1" ht="13.8" x14ac:dyDescent="0.3">
      <c r="B32" s="43"/>
      <c r="C32" s="37"/>
      <c r="E32" s="36"/>
      <c r="F32" s="36"/>
      <c r="G32" s="36"/>
      <c r="H32" s="36"/>
      <c r="I32" s="36"/>
      <c r="J32" s="36"/>
      <c r="K32" s="36"/>
      <c r="L32" s="36"/>
      <c r="M32" s="36"/>
      <c r="N32" s="36"/>
      <c r="O32" s="36"/>
    </row>
    <row r="33" spans="2:15" s="16" customFormat="1" ht="13.8" x14ac:dyDescent="0.3">
      <c r="B33" s="49" t="s">
        <v>12</v>
      </c>
      <c r="C33" s="37" t="s">
        <v>24</v>
      </c>
      <c r="E33" s="60">
        <f>-E21*$C$10*$I$12</f>
        <v>-76131.306928989812</v>
      </c>
      <c r="F33" s="60">
        <v>0</v>
      </c>
      <c r="G33" s="60">
        <v>0</v>
      </c>
      <c r="H33" s="60">
        <v>0</v>
      </c>
      <c r="I33" s="60">
        <v>0</v>
      </c>
      <c r="J33" s="60">
        <v>0</v>
      </c>
      <c r="K33" s="60">
        <v>0</v>
      </c>
      <c r="L33" s="60">
        <v>0</v>
      </c>
      <c r="M33" s="60">
        <v>0</v>
      </c>
      <c r="N33" s="60">
        <v>0</v>
      </c>
      <c r="O33" s="60">
        <v>0</v>
      </c>
    </row>
    <row r="34" spans="2:15" s="16" customFormat="1" ht="13.8" x14ac:dyDescent="0.3">
      <c r="B34" s="49" t="s">
        <v>11</v>
      </c>
      <c r="C34" s="37" t="s">
        <v>24</v>
      </c>
      <c r="E34" s="60">
        <f>-$G$12*E20/1000</f>
        <v>-400</v>
      </c>
      <c r="F34" s="60">
        <f>-$G$11*F20/1000</f>
        <v>-400</v>
      </c>
      <c r="G34" s="60">
        <f t="shared" ref="G34:O34" si="11">-$G$11*G20/1000</f>
        <v>-400</v>
      </c>
      <c r="H34" s="60">
        <f t="shared" si="11"/>
        <v>-400</v>
      </c>
      <c r="I34" s="60">
        <f t="shared" si="11"/>
        <v>-400</v>
      </c>
      <c r="J34" s="60">
        <f t="shared" si="11"/>
        <v>-400</v>
      </c>
      <c r="K34" s="60">
        <f t="shared" si="11"/>
        <v>-400</v>
      </c>
      <c r="L34" s="60">
        <f t="shared" si="11"/>
        <v>-400</v>
      </c>
      <c r="M34" s="60">
        <f t="shared" si="11"/>
        <v>-400</v>
      </c>
      <c r="N34" s="60">
        <f t="shared" si="11"/>
        <v>-400</v>
      </c>
      <c r="O34" s="60">
        <f t="shared" si="11"/>
        <v>-400</v>
      </c>
    </row>
    <row r="35" spans="2:15" s="16" customFormat="1" ht="13.8" x14ac:dyDescent="0.3">
      <c r="B35" s="49" t="s">
        <v>13</v>
      </c>
      <c r="C35" s="37" t="s">
        <v>24</v>
      </c>
      <c r="E35" s="60">
        <f>-$C$13*$E$13*E20/1000</f>
        <v>-720</v>
      </c>
      <c r="F35" s="60">
        <f t="shared" ref="F35:O35" si="12">-$C$13*$E$13*F20/1000</f>
        <v>-720</v>
      </c>
      <c r="G35" s="60">
        <f t="shared" si="12"/>
        <v>-720</v>
      </c>
      <c r="H35" s="60">
        <f t="shared" si="12"/>
        <v>-720</v>
      </c>
      <c r="I35" s="60">
        <f t="shared" si="12"/>
        <v>-720</v>
      </c>
      <c r="J35" s="60">
        <f t="shared" si="12"/>
        <v>-720</v>
      </c>
      <c r="K35" s="60">
        <f t="shared" si="12"/>
        <v>-720</v>
      </c>
      <c r="L35" s="60">
        <f t="shared" si="12"/>
        <v>-720</v>
      </c>
      <c r="M35" s="60">
        <f t="shared" si="12"/>
        <v>-720</v>
      </c>
      <c r="N35" s="60">
        <f t="shared" si="12"/>
        <v>-720</v>
      </c>
      <c r="O35" s="60">
        <f t="shared" si="12"/>
        <v>-720</v>
      </c>
    </row>
    <row r="36" spans="2:15" s="16" customFormat="1" ht="13.8" x14ac:dyDescent="0.3">
      <c r="B36" s="55" t="s">
        <v>93</v>
      </c>
      <c r="C36" s="56" t="s">
        <v>24</v>
      </c>
      <c r="D36" s="59"/>
      <c r="E36" s="61">
        <f>SUM(E33:E35)</f>
        <v>-77251.306928989812</v>
      </c>
      <c r="F36" s="61">
        <f t="shared" ref="F36:O36" si="13">SUM(F33:F35)</f>
        <v>-1120</v>
      </c>
      <c r="G36" s="61">
        <f t="shared" si="13"/>
        <v>-1120</v>
      </c>
      <c r="H36" s="61">
        <f t="shared" si="13"/>
        <v>-1120</v>
      </c>
      <c r="I36" s="61">
        <f t="shared" si="13"/>
        <v>-1120</v>
      </c>
      <c r="J36" s="61">
        <f t="shared" si="13"/>
        <v>-1120</v>
      </c>
      <c r="K36" s="61">
        <f t="shared" si="13"/>
        <v>-1120</v>
      </c>
      <c r="L36" s="61">
        <f t="shared" si="13"/>
        <v>-1120</v>
      </c>
      <c r="M36" s="61">
        <f t="shared" si="13"/>
        <v>-1120</v>
      </c>
      <c r="N36" s="61">
        <f t="shared" si="13"/>
        <v>-1120</v>
      </c>
      <c r="O36" s="61">
        <f t="shared" si="13"/>
        <v>-1120</v>
      </c>
    </row>
    <row r="37" spans="2:15" s="16" customFormat="1" ht="13.8" x14ac:dyDescent="0.3">
      <c r="B37" s="58"/>
      <c r="C37" s="37"/>
      <c r="E37" s="50"/>
      <c r="F37" s="50"/>
      <c r="G37" s="50"/>
      <c r="H37" s="50"/>
      <c r="I37" s="50"/>
      <c r="J37" s="50"/>
      <c r="K37" s="50"/>
      <c r="L37" s="50"/>
      <c r="M37" s="50"/>
      <c r="N37" s="50"/>
      <c r="O37" s="50"/>
    </row>
    <row r="38" spans="2:15" s="16" customFormat="1" ht="13.8" x14ac:dyDescent="0.3">
      <c r="B38" s="21" t="s">
        <v>97</v>
      </c>
      <c r="C38" s="37" t="s">
        <v>24</v>
      </c>
      <c r="D38" s="66">
        <f>NPV($G$13,$E$31:$O$31)+NPV($G$13,$E$36:$O$36)</f>
        <v>116258.47012872247</v>
      </c>
      <c r="E38" s="41"/>
      <c r="F38" s="41"/>
      <c r="G38" s="41"/>
      <c r="H38" s="41"/>
      <c r="I38" s="41"/>
      <c r="J38" s="41"/>
      <c r="K38" s="41"/>
      <c r="L38" s="41"/>
      <c r="M38" s="41"/>
      <c r="N38" s="41"/>
      <c r="O38" s="41"/>
    </row>
    <row r="39" spans="2:15" s="16" customFormat="1" ht="13.8" x14ac:dyDescent="0.3">
      <c r="B39" s="49"/>
      <c r="C39" s="37"/>
      <c r="E39" s="41"/>
      <c r="F39" s="41"/>
      <c r="G39" s="41"/>
      <c r="H39" s="41"/>
      <c r="I39" s="41"/>
      <c r="J39" s="41"/>
      <c r="K39" s="41"/>
      <c r="L39" s="41"/>
      <c r="M39" s="41"/>
      <c r="N39" s="41"/>
      <c r="O39" s="41"/>
    </row>
    <row r="40" spans="2:15" s="16" customFormat="1" ht="13.8" x14ac:dyDescent="0.3">
      <c r="B40" s="43" t="s">
        <v>99</v>
      </c>
      <c r="C40" s="37"/>
      <c r="E40" s="36"/>
      <c r="F40" s="36"/>
      <c r="G40" s="36"/>
      <c r="H40" s="36"/>
      <c r="I40" s="36"/>
      <c r="J40" s="36"/>
      <c r="K40" s="36"/>
      <c r="L40" s="36"/>
      <c r="M40" s="36"/>
      <c r="N40" s="36"/>
      <c r="O40" s="36"/>
    </row>
    <row r="41" spans="2:15" s="16" customFormat="1" ht="13.8" x14ac:dyDescent="0.3">
      <c r="B41" s="49" t="s">
        <v>72</v>
      </c>
      <c r="C41" s="37" t="s">
        <v>24</v>
      </c>
      <c r="E41" s="60">
        <f>-E30</f>
        <v>-22839.392078696943</v>
      </c>
      <c r="F41" s="60">
        <f t="shared" ref="F41:O41" si="14">-F30</f>
        <v>0</v>
      </c>
      <c r="G41" s="60">
        <f t="shared" si="14"/>
        <v>0</v>
      </c>
      <c r="H41" s="60">
        <f t="shared" si="14"/>
        <v>0</v>
      </c>
      <c r="I41" s="60">
        <f t="shared" si="14"/>
        <v>0</v>
      </c>
      <c r="J41" s="60">
        <f t="shared" si="14"/>
        <v>0</v>
      </c>
      <c r="K41" s="60">
        <f t="shared" si="14"/>
        <v>0</v>
      </c>
      <c r="L41" s="60">
        <f t="shared" si="14"/>
        <v>0</v>
      </c>
      <c r="M41" s="60">
        <f t="shared" si="14"/>
        <v>0</v>
      </c>
      <c r="N41" s="60">
        <f t="shared" si="14"/>
        <v>0</v>
      </c>
      <c r="O41" s="60">
        <f t="shared" si="14"/>
        <v>0</v>
      </c>
    </row>
    <row r="42" spans="2:15" s="16" customFormat="1" ht="13.8" x14ac:dyDescent="0.3">
      <c r="B42" s="49" t="s">
        <v>20</v>
      </c>
      <c r="C42" s="37" t="s">
        <v>24</v>
      </c>
      <c r="E42" s="60">
        <f>-$C$11*$E$11*E20/1000</f>
        <v>-28</v>
      </c>
      <c r="F42" s="60">
        <f t="shared" ref="F42:O42" si="15">-$C$11*$E$11*F20/1000</f>
        <v>-28</v>
      </c>
      <c r="G42" s="60">
        <f t="shared" si="15"/>
        <v>-28</v>
      </c>
      <c r="H42" s="60">
        <f t="shared" si="15"/>
        <v>-28</v>
      </c>
      <c r="I42" s="60">
        <f t="shared" si="15"/>
        <v>-28</v>
      </c>
      <c r="J42" s="60">
        <f t="shared" si="15"/>
        <v>-28</v>
      </c>
      <c r="K42" s="60">
        <f t="shared" si="15"/>
        <v>-28</v>
      </c>
      <c r="L42" s="60">
        <f t="shared" si="15"/>
        <v>-28</v>
      </c>
      <c r="M42" s="60">
        <f t="shared" si="15"/>
        <v>-28</v>
      </c>
      <c r="N42" s="60">
        <f t="shared" si="15"/>
        <v>-28</v>
      </c>
      <c r="O42" s="60">
        <f t="shared" si="15"/>
        <v>-28</v>
      </c>
    </row>
    <row r="43" spans="2:15" s="16" customFormat="1" ht="13.8" x14ac:dyDescent="0.3">
      <c r="B43" s="49" t="s">
        <v>21</v>
      </c>
      <c r="C43" s="37" t="s">
        <v>24</v>
      </c>
      <c r="E43" s="60">
        <f>-$C$12*$E$12*E20/1000</f>
        <v>-80</v>
      </c>
      <c r="F43" s="60">
        <f t="shared" ref="F43:O43" si="16">-$C$12*$E$12*F20/1000</f>
        <v>-80</v>
      </c>
      <c r="G43" s="60">
        <f t="shared" si="16"/>
        <v>-80</v>
      </c>
      <c r="H43" s="60">
        <f t="shared" si="16"/>
        <v>-80</v>
      </c>
      <c r="I43" s="60">
        <f t="shared" si="16"/>
        <v>-80</v>
      </c>
      <c r="J43" s="60">
        <f t="shared" si="16"/>
        <v>-80</v>
      </c>
      <c r="K43" s="60">
        <f t="shared" si="16"/>
        <v>-80</v>
      </c>
      <c r="L43" s="60">
        <f t="shared" si="16"/>
        <v>-80</v>
      </c>
      <c r="M43" s="60">
        <f t="shared" si="16"/>
        <v>-80</v>
      </c>
      <c r="N43" s="60">
        <f t="shared" si="16"/>
        <v>-80</v>
      </c>
      <c r="O43" s="60">
        <f t="shared" si="16"/>
        <v>-80</v>
      </c>
    </row>
    <row r="44" spans="2:15" s="16" customFormat="1" ht="27.6" x14ac:dyDescent="0.3">
      <c r="B44" s="49" t="s">
        <v>71</v>
      </c>
      <c r="C44" s="37" t="s">
        <v>24</v>
      </c>
      <c r="E44" s="60">
        <f>-E29</f>
        <v>0</v>
      </c>
      <c r="F44" s="60">
        <f t="shared" ref="F44:O44" si="17">-F29</f>
        <v>-87.0002759259161</v>
      </c>
      <c r="G44" s="60">
        <f t="shared" si="17"/>
        <v>-174.0005518518322</v>
      </c>
      <c r="H44" s="60">
        <f t="shared" si="17"/>
        <v>-174.0005518518322</v>
      </c>
      <c r="I44" s="60">
        <f t="shared" si="17"/>
        <v>-174.0005518518322</v>
      </c>
      <c r="J44" s="60">
        <f t="shared" si="17"/>
        <v>-174.0005518518322</v>
      </c>
      <c r="K44" s="60">
        <f t="shared" si="17"/>
        <v>-174.0005518518322</v>
      </c>
      <c r="L44" s="60">
        <f t="shared" si="17"/>
        <v>-174.0005518518322</v>
      </c>
      <c r="M44" s="60">
        <f t="shared" si="17"/>
        <v>-174.0005518518322</v>
      </c>
      <c r="N44" s="60">
        <f t="shared" si="17"/>
        <v>-174.0005518518322</v>
      </c>
      <c r="O44" s="60">
        <f t="shared" si="17"/>
        <v>-174.0005518518322</v>
      </c>
    </row>
    <row r="45" spans="2:15" s="16" customFormat="1" ht="13.8" x14ac:dyDescent="0.3">
      <c r="B45" s="55" t="s">
        <v>95</v>
      </c>
      <c r="C45" s="56"/>
      <c r="D45" s="59"/>
      <c r="E45" s="61">
        <f t="shared" ref="E45:O45" si="18">SUM(E41:E44)</f>
        <v>-22947.392078696943</v>
      </c>
      <c r="F45" s="61">
        <f t="shared" si="18"/>
        <v>-195.0002759259161</v>
      </c>
      <c r="G45" s="61">
        <f t="shared" si="18"/>
        <v>-282.0005518518322</v>
      </c>
      <c r="H45" s="61">
        <f t="shared" si="18"/>
        <v>-282.0005518518322</v>
      </c>
      <c r="I45" s="61">
        <f t="shared" si="18"/>
        <v>-282.0005518518322</v>
      </c>
      <c r="J45" s="61">
        <f t="shared" si="18"/>
        <v>-282.0005518518322</v>
      </c>
      <c r="K45" s="61">
        <f t="shared" si="18"/>
        <v>-282.0005518518322</v>
      </c>
      <c r="L45" s="61">
        <f t="shared" si="18"/>
        <v>-282.0005518518322</v>
      </c>
      <c r="M45" s="61">
        <f t="shared" si="18"/>
        <v>-282.0005518518322</v>
      </c>
      <c r="N45" s="61">
        <f t="shared" si="18"/>
        <v>-282.0005518518322</v>
      </c>
      <c r="O45" s="61">
        <f t="shared" si="18"/>
        <v>-282.0005518518322</v>
      </c>
    </row>
    <row r="46" spans="2:15" s="16" customFormat="1" ht="13.8" x14ac:dyDescent="0.3">
      <c r="B46" s="58"/>
      <c r="C46" s="37"/>
      <c r="E46" s="50"/>
      <c r="F46" s="50"/>
      <c r="G46" s="50"/>
      <c r="H46" s="50"/>
      <c r="I46" s="50"/>
      <c r="J46" s="50"/>
      <c r="K46" s="50"/>
      <c r="L46" s="50"/>
      <c r="M46" s="50"/>
      <c r="N46" s="50"/>
      <c r="O46" s="50"/>
    </row>
    <row r="47" spans="2:15" s="16" customFormat="1" ht="13.8" x14ac:dyDescent="0.3">
      <c r="B47" s="21" t="s">
        <v>100</v>
      </c>
      <c r="C47" s="37" t="s">
        <v>24</v>
      </c>
      <c r="D47" s="66">
        <f>NPV($G$13,$E$45:$O$45)</f>
        <v>-23849.588746987527</v>
      </c>
      <c r="E47" s="50"/>
      <c r="F47" s="50"/>
      <c r="G47" s="50"/>
      <c r="H47" s="50"/>
      <c r="I47" s="50"/>
      <c r="J47" s="50"/>
      <c r="K47" s="50"/>
      <c r="L47" s="50"/>
      <c r="M47" s="50"/>
      <c r="N47" s="50"/>
      <c r="O47" s="50"/>
    </row>
    <row r="48" spans="2:15" s="16" customFormat="1" ht="13.8" x14ac:dyDescent="0.3">
      <c r="B48" s="58"/>
      <c r="C48" s="37"/>
      <c r="E48" s="50"/>
      <c r="F48" s="50"/>
      <c r="G48" s="50"/>
      <c r="H48" s="50"/>
      <c r="I48" s="50"/>
      <c r="J48" s="50"/>
      <c r="K48" s="50"/>
      <c r="L48" s="50"/>
      <c r="M48" s="50"/>
      <c r="N48" s="50"/>
      <c r="O48" s="50"/>
    </row>
    <row r="49" spans="2:15" s="16" customFormat="1" ht="13.8" x14ac:dyDescent="0.3">
      <c r="B49" s="123" t="s">
        <v>160</v>
      </c>
      <c r="C49" s="124"/>
      <c r="D49" s="125"/>
      <c r="E49" s="126" t="str">
        <f t="shared" ref="E49:O49" si="19">IF(E30&gt;$E$10,"Above max compensaiton", "ok")</f>
        <v>ok</v>
      </c>
      <c r="F49" s="126" t="str">
        <f t="shared" si="19"/>
        <v>ok</v>
      </c>
      <c r="G49" s="126" t="str">
        <f t="shared" si="19"/>
        <v>ok</v>
      </c>
      <c r="H49" s="126" t="str">
        <f t="shared" si="19"/>
        <v>ok</v>
      </c>
      <c r="I49" s="126" t="str">
        <f t="shared" si="19"/>
        <v>ok</v>
      </c>
      <c r="J49" s="126" t="str">
        <f t="shared" si="19"/>
        <v>ok</v>
      </c>
      <c r="K49" s="126" t="str">
        <f t="shared" si="19"/>
        <v>ok</v>
      </c>
      <c r="L49" s="126" t="str">
        <f t="shared" si="19"/>
        <v>ok</v>
      </c>
      <c r="M49" s="126" t="str">
        <f t="shared" si="19"/>
        <v>ok</v>
      </c>
      <c r="N49" s="126" t="str">
        <f t="shared" si="19"/>
        <v>ok</v>
      </c>
      <c r="O49" s="126" t="str">
        <f t="shared" si="19"/>
        <v>ok</v>
      </c>
    </row>
    <row r="50" spans="2:15" s="16" customFormat="1" ht="13.8" x14ac:dyDescent="0.3">
      <c r="B50" s="58"/>
      <c r="C50" s="37"/>
      <c r="E50" s="50"/>
      <c r="F50" s="50"/>
      <c r="G50" s="50"/>
      <c r="H50" s="50"/>
      <c r="I50" s="50"/>
      <c r="J50" s="50"/>
      <c r="K50" s="50"/>
      <c r="L50" s="50"/>
      <c r="M50" s="50"/>
      <c r="N50" s="50"/>
      <c r="O50" s="50"/>
    </row>
    <row r="51" spans="2:15" s="16" customFormat="1" ht="13.8" x14ac:dyDescent="0.3">
      <c r="B51" s="43" t="s">
        <v>96</v>
      </c>
      <c r="C51" s="37"/>
      <c r="E51" s="36"/>
      <c r="F51" s="36"/>
      <c r="G51" s="36"/>
      <c r="H51" s="36"/>
      <c r="I51" s="36"/>
      <c r="J51" s="36"/>
      <c r="K51" s="36"/>
      <c r="L51" s="36"/>
      <c r="M51" s="36"/>
      <c r="N51" s="36"/>
      <c r="O51" s="36"/>
    </row>
    <row r="52" spans="2:15" s="16" customFormat="1" ht="13.8" x14ac:dyDescent="0.3">
      <c r="B52" s="55" t="s">
        <v>64</v>
      </c>
      <c r="C52" s="56" t="s">
        <v>24</v>
      </c>
      <c r="D52" s="59"/>
      <c r="E52" s="57">
        <f t="shared" ref="E52:O52" si="20">E23*$I$11*$I$9/1000</f>
        <v>0</v>
      </c>
      <c r="F52" s="57">
        <f t="shared" si="20"/>
        <v>1753.7027570817802</v>
      </c>
      <c r="G52" s="57">
        <f t="shared" si="20"/>
        <v>3507.4055141635604</v>
      </c>
      <c r="H52" s="57">
        <f t="shared" si="20"/>
        <v>3507.4055141635604</v>
      </c>
      <c r="I52" s="57">
        <f t="shared" si="20"/>
        <v>3507.4055141635604</v>
      </c>
      <c r="J52" s="57">
        <f t="shared" si="20"/>
        <v>3507.4055141635604</v>
      </c>
      <c r="K52" s="57">
        <f t="shared" si="20"/>
        <v>3507.4055141635604</v>
      </c>
      <c r="L52" s="57">
        <f t="shared" si="20"/>
        <v>3507.4055141635604</v>
      </c>
      <c r="M52" s="57">
        <f t="shared" si="20"/>
        <v>3507.4055141635604</v>
      </c>
      <c r="N52" s="57">
        <f t="shared" si="20"/>
        <v>3507.4055141635604</v>
      </c>
      <c r="O52" s="57">
        <f t="shared" si="20"/>
        <v>3507.4055141635604</v>
      </c>
    </row>
    <row r="53" spans="2:15" s="16" customFormat="1" ht="13.8" x14ac:dyDescent="0.3">
      <c r="B53" s="36"/>
      <c r="C53" s="37"/>
      <c r="E53" s="36"/>
      <c r="F53" s="36"/>
      <c r="G53" s="36"/>
      <c r="H53" s="36"/>
      <c r="I53" s="36"/>
      <c r="J53" s="36"/>
      <c r="K53" s="36"/>
      <c r="L53" s="36"/>
      <c r="M53" s="36"/>
      <c r="N53" s="36"/>
      <c r="O53" s="36"/>
    </row>
    <row r="54" spans="2:15" s="16" customFormat="1" ht="13.8" x14ac:dyDescent="0.3">
      <c r="B54" s="21" t="s">
        <v>101</v>
      </c>
      <c r="C54" s="37" t="s">
        <v>24</v>
      </c>
      <c r="D54" s="66">
        <f>NPV($G$13,$E$52:$O$52)</f>
        <v>24202.91673099955</v>
      </c>
      <c r="E54" s="36"/>
      <c r="F54" s="36"/>
      <c r="G54" s="36"/>
      <c r="H54" s="36"/>
      <c r="I54" s="36"/>
      <c r="J54" s="36"/>
      <c r="K54" s="36"/>
      <c r="L54" s="36"/>
      <c r="M54" s="36"/>
      <c r="N54" s="36"/>
      <c r="O54" s="36"/>
    </row>
    <row r="55" spans="2:15" s="16" customFormat="1" ht="13.8" x14ac:dyDescent="0.3">
      <c r="B55" s="36"/>
      <c r="C55" s="37"/>
      <c r="E55" s="36"/>
      <c r="F55" s="36"/>
      <c r="G55" s="36"/>
      <c r="H55" s="36"/>
      <c r="I55" s="36"/>
      <c r="J55" s="36"/>
      <c r="K55" s="36"/>
      <c r="L55" s="36"/>
      <c r="M55" s="36"/>
      <c r="N55" s="36"/>
      <c r="O55" s="36"/>
    </row>
    <row r="56" spans="2:15" s="16" customFormat="1" ht="13.8" x14ac:dyDescent="0.3">
      <c r="B56" s="34" t="s">
        <v>31</v>
      </c>
    </row>
    <row r="57" spans="2:15" s="16" customFormat="1" ht="13.8" x14ac:dyDescent="0.3">
      <c r="B57" s="42" t="str">
        <f>B27</f>
        <v>Enterprise cash flow, costs and benefits</v>
      </c>
      <c r="C57" s="37" t="s">
        <v>24</v>
      </c>
      <c r="E57" s="60">
        <f t="shared" ref="E57:O57" si="21">E31+E36</f>
        <v>-54411.914850292873</v>
      </c>
      <c r="F57" s="60">
        <f t="shared" si="21"/>
        <v>11655.551430757554</v>
      </c>
      <c r="G57" s="60">
        <f t="shared" si="21"/>
        <v>24431.102861515108</v>
      </c>
      <c r="H57" s="60">
        <f t="shared" si="21"/>
        <v>24431.102861515108</v>
      </c>
      <c r="I57" s="60">
        <f t="shared" si="21"/>
        <v>24431.102861515108</v>
      </c>
      <c r="J57" s="60">
        <f t="shared" si="21"/>
        <v>24431.102861515108</v>
      </c>
      <c r="K57" s="60">
        <f t="shared" si="21"/>
        <v>24431.102861515108</v>
      </c>
      <c r="L57" s="60">
        <f t="shared" si="21"/>
        <v>24431.102861515108</v>
      </c>
      <c r="M57" s="60">
        <f t="shared" si="21"/>
        <v>24431.102861515108</v>
      </c>
      <c r="N57" s="60">
        <f t="shared" si="21"/>
        <v>24431.102861515108</v>
      </c>
      <c r="O57" s="60">
        <f t="shared" si="21"/>
        <v>24431.102861515108</v>
      </c>
    </row>
    <row r="58" spans="2:15" s="16" customFormat="1" ht="13.8" x14ac:dyDescent="0.3">
      <c r="B58" s="42" t="str">
        <f>B40</f>
        <v>Government cash flow, costs and benefits</v>
      </c>
      <c r="C58" s="37" t="s">
        <v>24</v>
      </c>
      <c r="E58" s="60">
        <f t="shared" ref="E58:O58" si="22">E45</f>
        <v>-22947.392078696943</v>
      </c>
      <c r="F58" s="60">
        <f t="shared" si="22"/>
        <v>-195.0002759259161</v>
      </c>
      <c r="G58" s="60">
        <f t="shared" si="22"/>
        <v>-282.0005518518322</v>
      </c>
      <c r="H58" s="60">
        <f t="shared" si="22"/>
        <v>-282.0005518518322</v>
      </c>
      <c r="I58" s="60">
        <f t="shared" si="22"/>
        <v>-282.0005518518322</v>
      </c>
      <c r="J58" s="60">
        <f t="shared" si="22"/>
        <v>-282.0005518518322</v>
      </c>
      <c r="K58" s="60">
        <f t="shared" si="22"/>
        <v>-282.0005518518322</v>
      </c>
      <c r="L58" s="60">
        <f t="shared" si="22"/>
        <v>-282.0005518518322</v>
      </c>
      <c r="M58" s="60">
        <f t="shared" si="22"/>
        <v>-282.0005518518322</v>
      </c>
      <c r="N58" s="60">
        <f t="shared" si="22"/>
        <v>-282.0005518518322</v>
      </c>
      <c r="O58" s="60">
        <f t="shared" si="22"/>
        <v>-282.0005518518322</v>
      </c>
    </row>
    <row r="59" spans="2:15" s="16" customFormat="1" ht="13.8" x14ac:dyDescent="0.3">
      <c r="B59" s="42" t="str">
        <f>B51</f>
        <v>Environmental benefits</v>
      </c>
      <c r="C59" s="37" t="s">
        <v>24</v>
      </c>
      <c r="E59" s="60">
        <f>E52</f>
        <v>0</v>
      </c>
      <c r="F59" s="60">
        <f t="shared" ref="F59:O59" si="23">F52</f>
        <v>1753.7027570817802</v>
      </c>
      <c r="G59" s="60">
        <f t="shared" si="23"/>
        <v>3507.4055141635604</v>
      </c>
      <c r="H59" s="60">
        <f t="shared" si="23"/>
        <v>3507.4055141635604</v>
      </c>
      <c r="I59" s="60">
        <f t="shared" si="23"/>
        <v>3507.4055141635604</v>
      </c>
      <c r="J59" s="60">
        <f t="shared" si="23"/>
        <v>3507.4055141635604</v>
      </c>
      <c r="K59" s="60">
        <f t="shared" si="23"/>
        <v>3507.4055141635604</v>
      </c>
      <c r="L59" s="60">
        <f t="shared" si="23"/>
        <v>3507.4055141635604</v>
      </c>
      <c r="M59" s="60">
        <f t="shared" si="23"/>
        <v>3507.4055141635604</v>
      </c>
      <c r="N59" s="60">
        <f t="shared" si="23"/>
        <v>3507.4055141635604</v>
      </c>
      <c r="O59" s="60">
        <f t="shared" si="23"/>
        <v>3507.4055141635604</v>
      </c>
    </row>
    <row r="60" spans="2:15" s="16" customFormat="1" ht="14.4" thickBot="1" x14ac:dyDescent="0.35">
      <c r="B60" s="62" t="s">
        <v>31</v>
      </c>
      <c r="C60" s="63" t="s">
        <v>24</v>
      </c>
      <c r="D60" s="64"/>
      <c r="E60" s="65">
        <f>SUM(E57:E59)</f>
        <v>-77359.306928989812</v>
      </c>
      <c r="F60" s="65">
        <f t="shared" ref="F60:O60" si="24">SUM(F57:F59)</f>
        <v>13214.253911913418</v>
      </c>
      <c r="G60" s="65">
        <f t="shared" si="24"/>
        <v>27656.507823826836</v>
      </c>
      <c r="H60" s="65">
        <f t="shared" si="24"/>
        <v>27656.507823826836</v>
      </c>
      <c r="I60" s="65">
        <f t="shared" si="24"/>
        <v>27656.507823826836</v>
      </c>
      <c r="J60" s="65">
        <f t="shared" si="24"/>
        <v>27656.507823826836</v>
      </c>
      <c r="K60" s="65">
        <f t="shared" si="24"/>
        <v>27656.507823826836</v>
      </c>
      <c r="L60" s="65">
        <f t="shared" si="24"/>
        <v>27656.507823826836</v>
      </c>
      <c r="M60" s="65">
        <f t="shared" si="24"/>
        <v>27656.507823826836</v>
      </c>
      <c r="N60" s="65">
        <f t="shared" si="24"/>
        <v>27656.507823826836</v>
      </c>
      <c r="O60" s="65">
        <f t="shared" si="24"/>
        <v>27656.507823826836</v>
      </c>
    </row>
    <row r="61" spans="2:15" s="16" customFormat="1" ht="14.4" thickTop="1" x14ac:dyDescent="0.3"/>
    <row r="62" spans="2:15" s="16" customFormat="1" ht="13.8" x14ac:dyDescent="0.3">
      <c r="B62" s="55" t="s">
        <v>121</v>
      </c>
      <c r="C62" s="56" t="s">
        <v>24</v>
      </c>
      <c r="D62" s="59"/>
      <c r="E62" s="61">
        <f>NPV($G$13,$E$60:E$60)</f>
        <v>-73675.530408561724</v>
      </c>
      <c r="F62" s="61">
        <f>NPV($G$13,$E$60:F$60)</f>
        <v>-61689.812574626652</v>
      </c>
      <c r="G62" s="61">
        <f>NPV($G$13,$E$60:G$60)</f>
        <v>-37799.0812723251</v>
      </c>
      <c r="H62" s="61">
        <f>NPV($G$13,$E$60:H$60)</f>
        <v>-15046.003841561718</v>
      </c>
      <c r="I62" s="61">
        <f>NPV($G$13,$E$60:I$60)</f>
        <v>6623.5937115462621</v>
      </c>
      <c r="J62" s="61">
        <f>NPV($G$13,$E$60:J$60)</f>
        <v>27261.305666887194</v>
      </c>
      <c r="K62" s="61">
        <f>NPV($G$13,$E$60:K$60)</f>
        <v>46916.269433878559</v>
      </c>
      <c r="L62" s="61">
        <f>NPV($G$13,$E$60:L$60)</f>
        <v>65635.282545298905</v>
      </c>
      <c r="M62" s="61">
        <f>NPV($G$13,$E$60:M$60)</f>
        <v>83462.914079984956</v>
      </c>
      <c r="N62" s="61">
        <f>NPV($G$13,$E$60:N$60)</f>
        <v>100441.61077968596</v>
      </c>
      <c r="O62" s="61">
        <f>NPV($G$13,$E$60:O$60)</f>
        <v>116611.79811273451</v>
      </c>
    </row>
    <row r="63" spans="2:15" s="16" customFormat="1" ht="13.8" x14ac:dyDescent="0.3">
      <c r="B63" s="58"/>
      <c r="C63" s="37"/>
      <c r="D63" s="36"/>
      <c r="E63" s="50"/>
      <c r="F63" s="50"/>
      <c r="G63" s="50"/>
      <c r="H63" s="50"/>
      <c r="I63" s="50"/>
      <c r="J63" s="50"/>
      <c r="K63" s="50"/>
      <c r="L63" s="50"/>
      <c r="M63" s="50"/>
      <c r="N63" s="50"/>
      <c r="O63" s="50"/>
    </row>
    <row r="64" spans="2:15" s="16" customFormat="1" ht="13.8" x14ac:dyDescent="0.3">
      <c r="B64" s="21" t="s">
        <v>97</v>
      </c>
      <c r="C64" s="37" t="s">
        <v>24</v>
      </c>
      <c r="D64" s="66">
        <f>NPV($G$13,$E57:$O57)</f>
        <v>116258.47012872247</v>
      </c>
      <c r="E64" s="50"/>
      <c r="F64" s="50"/>
      <c r="G64" s="50"/>
      <c r="H64" s="50"/>
      <c r="I64" s="50"/>
      <c r="J64" s="50"/>
      <c r="K64" s="50"/>
      <c r="L64" s="50"/>
      <c r="M64" s="50"/>
      <c r="N64" s="50"/>
      <c r="O64" s="50"/>
    </row>
    <row r="65" spans="2:15" s="16" customFormat="1" ht="13.8" x14ac:dyDescent="0.3">
      <c r="B65" s="21" t="s">
        <v>100</v>
      </c>
      <c r="C65" s="37" t="s">
        <v>24</v>
      </c>
      <c r="D65" s="66">
        <f>NPV($G$13,$E58:$O58)</f>
        <v>-23849.588746987527</v>
      </c>
      <c r="E65" s="50"/>
      <c r="F65" s="50"/>
      <c r="G65" s="50"/>
      <c r="H65" s="50"/>
      <c r="I65" s="50"/>
      <c r="J65" s="50"/>
      <c r="K65" s="50"/>
      <c r="L65" s="50"/>
      <c r="M65" s="50"/>
      <c r="N65" s="50"/>
      <c r="O65" s="50"/>
    </row>
    <row r="66" spans="2:15" s="16" customFormat="1" ht="13.8" x14ac:dyDescent="0.3">
      <c r="B66" s="21" t="s">
        <v>158</v>
      </c>
      <c r="C66" s="37" t="s">
        <v>24</v>
      </c>
      <c r="D66" s="66">
        <f>NPV($G$13,$E59:$O59)</f>
        <v>24202.91673099955</v>
      </c>
      <c r="E66" s="50"/>
      <c r="F66" s="50"/>
      <c r="G66" s="50"/>
      <c r="H66" s="50"/>
      <c r="I66" s="50"/>
      <c r="J66" s="50"/>
      <c r="K66" s="50"/>
      <c r="L66" s="50"/>
      <c r="M66" s="50"/>
      <c r="N66" s="50"/>
      <c r="O66" s="50"/>
    </row>
    <row r="67" spans="2:15" s="16" customFormat="1" ht="14.4" thickBot="1" x14ac:dyDescent="0.35">
      <c r="B67" s="21" t="s">
        <v>32</v>
      </c>
      <c r="C67" s="37" t="s">
        <v>24</v>
      </c>
      <c r="D67" s="67">
        <f>NPV($G$13,$E$60:$O$60)</f>
        <v>116611.79811273451</v>
      </c>
    </row>
    <row r="68" spans="2:15" s="16" customFormat="1" ht="14.4" thickTop="1" x14ac:dyDescent="0.3"/>
    <row r="69" spans="2:15" s="16" customFormat="1" ht="13.8" x14ac:dyDescent="0.3">
      <c r="B69" s="34" t="s">
        <v>77</v>
      </c>
    </row>
    <row r="70" spans="2:15" s="16" customFormat="1" ht="12" customHeight="1" x14ac:dyDescent="0.3">
      <c r="B70" s="21" t="s">
        <v>74</v>
      </c>
      <c r="C70" s="37" t="s">
        <v>24</v>
      </c>
      <c r="D70" s="66">
        <f>-SUM(E41:O41)</f>
        <v>22839.392078696943</v>
      </c>
    </row>
    <row r="71" spans="2:15" s="16" customFormat="1" ht="13.8" x14ac:dyDescent="0.3"/>
    <row r="72" spans="2:15" s="16" customFormat="1" ht="13.8" x14ac:dyDescent="0.3">
      <c r="B72" s="34" t="s">
        <v>16</v>
      </c>
    </row>
    <row r="73" spans="2:15" s="16" customFormat="1" ht="12" customHeight="1" x14ac:dyDescent="0.3">
      <c r="B73" s="16" t="s">
        <v>17</v>
      </c>
    </row>
    <row r="74" spans="2:15" s="16" customFormat="1" ht="12" customHeight="1" x14ac:dyDescent="0.3">
      <c r="B74" s="16" t="s">
        <v>69</v>
      </c>
    </row>
    <row r="75" spans="2:15" s="16" customFormat="1" ht="12" customHeight="1" x14ac:dyDescent="0.3">
      <c r="B75" s="16" t="s">
        <v>65</v>
      </c>
    </row>
    <row r="76" spans="2:15" s="16" customFormat="1" ht="12" customHeight="1" x14ac:dyDescent="0.3">
      <c r="B76" s="16" t="s">
        <v>18</v>
      </c>
    </row>
    <row r="77" spans="2:15" s="16" customFormat="1" ht="12" customHeight="1" x14ac:dyDescent="0.3">
      <c r="B77" s="16" t="s">
        <v>19</v>
      </c>
    </row>
    <row r="78" spans="2:15" s="16" customFormat="1" ht="13.8" x14ac:dyDescent="0.3">
      <c r="B78" s="16" t="s">
        <v>56</v>
      </c>
    </row>
    <row r="79" spans="2:15" s="16" customFormat="1" ht="13.8" x14ac:dyDescent="0.3"/>
  </sheetData>
  <conditionalFormatting sqref="E17:O17">
    <cfRule type="cellIs" dxfId="1" priority="3" operator="greaterThan">
      <formula>0</formula>
    </cfRule>
    <cfRule type="cellIs" dxfId="0" priority="4" operator="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9267-73DD-4F54-B159-52FCEB64EB71}">
  <sheetPr>
    <tabColor rgb="FFBDD7EE"/>
  </sheetPr>
  <dimension ref="A1:Y67"/>
  <sheetViews>
    <sheetView topLeftCell="A2" zoomScale="60" zoomScaleNormal="60" workbookViewId="0">
      <selection activeCell="B6" sqref="B6"/>
    </sheetView>
  </sheetViews>
  <sheetFormatPr defaultColWidth="9" defaultRowHeight="13.8" x14ac:dyDescent="0.25"/>
  <cols>
    <col min="1" max="1" width="8.69921875" style="1" customWidth="1"/>
    <col min="2" max="2" width="79" style="1" customWidth="1"/>
    <col min="3" max="8" width="20.59765625" style="1" customWidth="1"/>
    <col min="9" max="14" width="9" style="1"/>
    <col min="15" max="15" width="21.59765625" style="1" customWidth="1"/>
    <col min="16" max="16" width="36.3984375" style="1" customWidth="1"/>
    <col min="17" max="17" width="9" style="1"/>
    <col min="18" max="18" width="18.8984375" style="1" customWidth="1"/>
    <col min="19" max="16384" width="9" style="1"/>
  </cols>
  <sheetData>
    <row r="1" spans="1:21" s="24" customFormat="1" ht="18" x14ac:dyDescent="0.35">
      <c r="A1" s="14"/>
      <c r="B1" s="14" t="str">
        <f>'Front page'!$B$3</f>
        <v>UA VA - Cost Benefit Analysis (CBA) tool</v>
      </c>
      <c r="C1" s="23"/>
    </row>
    <row r="2" spans="1:21" s="24" customFormat="1" ht="18" x14ac:dyDescent="0.35">
      <c r="A2" s="14"/>
      <c r="B2" s="14" t="s">
        <v>105</v>
      </c>
      <c r="C2" s="23"/>
    </row>
    <row r="4" spans="1:21" s="25" customFormat="1" x14ac:dyDescent="0.3">
      <c r="B4" s="25" t="s">
        <v>117</v>
      </c>
    </row>
    <row r="5" spans="1:21" ht="15" customHeight="1" x14ac:dyDescent="0.25">
      <c r="B5" s="72"/>
      <c r="C5" s="73"/>
      <c r="D5" s="73"/>
      <c r="E5" s="73"/>
      <c r="F5" s="73"/>
      <c r="G5" s="73"/>
      <c r="S5" s="98"/>
      <c r="T5" s="98"/>
      <c r="U5" s="98"/>
    </row>
    <row r="6" spans="1:21" ht="15" customHeight="1" x14ac:dyDescent="0.25">
      <c r="B6" s="129" t="s">
        <v>68</v>
      </c>
      <c r="C6" s="81">
        <v>3</v>
      </c>
      <c r="D6" s="80" t="s">
        <v>118</v>
      </c>
      <c r="S6" s="98"/>
      <c r="T6" s="98"/>
      <c r="U6" s="98"/>
    </row>
    <row r="7" spans="1:21" ht="15" customHeight="1" x14ac:dyDescent="0.3">
      <c r="B7" s="78" t="s">
        <v>75</v>
      </c>
      <c r="C7" s="70">
        <v>0.05</v>
      </c>
      <c r="D7" s="80" t="s">
        <v>118</v>
      </c>
      <c r="S7" s="98"/>
      <c r="T7" s="98"/>
      <c r="U7" s="98"/>
    </row>
    <row r="8" spans="1:21" ht="15" customHeight="1" x14ac:dyDescent="0.3">
      <c r="B8" s="78" t="s">
        <v>76</v>
      </c>
      <c r="C8" s="70">
        <v>0.13</v>
      </c>
      <c r="D8" s="80" t="s">
        <v>118</v>
      </c>
      <c r="S8" s="98"/>
      <c r="T8" s="98"/>
      <c r="U8" s="98"/>
    </row>
    <row r="9" spans="1:21" ht="15" customHeight="1" x14ac:dyDescent="0.25">
      <c r="B9" s="78"/>
      <c r="S9" s="98"/>
      <c r="T9" s="98"/>
      <c r="U9" s="98"/>
    </row>
    <row r="10" spans="1:21" ht="15" customHeight="1" x14ac:dyDescent="0.25">
      <c r="B10" s="78" t="s">
        <v>73</v>
      </c>
      <c r="C10" s="81">
        <v>10</v>
      </c>
      <c r="D10" s="80" t="s">
        <v>118</v>
      </c>
      <c r="S10" s="98"/>
      <c r="T10" s="98"/>
      <c r="U10" s="98"/>
    </row>
    <row r="11" spans="1:21" ht="15" customHeight="1" x14ac:dyDescent="0.3">
      <c r="B11" s="78" t="s">
        <v>112</v>
      </c>
      <c r="C11" s="70">
        <v>0.3</v>
      </c>
      <c r="D11" s="80" t="s">
        <v>118</v>
      </c>
      <c r="S11" s="98"/>
      <c r="T11" s="98"/>
      <c r="U11" s="98"/>
    </row>
    <row r="13" spans="1:21" s="25" customFormat="1" x14ac:dyDescent="0.3">
      <c r="B13" s="25" t="s">
        <v>116</v>
      </c>
    </row>
    <row r="14" spans="1:21" x14ac:dyDescent="0.25">
      <c r="B14" s="72"/>
      <c r="C14" s="73"/>
      <c r="D14" s="73"/>
      <c r="E14" s="73"/>
      <c r="F14" s="73"/>
      <c r="G14" s="73"/>
    </row>
    <row r="15" spans="1:21" x14ac:dyDescent="0.25">
      <c r="B15" s="78" t="s">
        <v>34</v>
      </c>
      <c r="C15" s="79">
        <v>80</v>
      </c>
      <c r="D15" s="80" t="s">
        <v>118</v>
      </c>
    </row>
    <row r="16" spans="1:21" x14ac:dyDescent="0.25">
      <c r="B16" s="78" t="s">
        <v>80</v>
      </c>
      <c r="C16" s="79">
        <v>1</v>
      </c>
      <c r="D16" s="80" t="s">
        <v>118</v>
      </c>
    </row>
    <row r="18" spans="2:8" s="25" customFormat="1" x14ac:dyDescent="0.3">
      <c r="B18" s="25" t="s">
        <v>103</v>
      </c>
    </row>
    <row r="19" spans="2:8" s="28" customFormat="1" x14ac:dyDescent="0.3"/>
    <row r="20" spans="2:8" s="15" customFormat="1" ht="14.4" x14ac:dyDescent="0.3">
      <c r="C20" s="68" t="s">
        <v>106</v>
      </c>
      <c r="D20" s="68" t="s">
        <v>111</v>
      </c>
      <c r="E20" s="28"/>
    </row>
    <row r="21" spans="2:8" s="15" customFormat="1" ht="15" customHeight="1" x14ac:dyDescent="0.3">
      <c r="B21" s="78" t="s">
        <v>108</v>
      </c>
      <c r="C21" s="79">
        <v>1</v>
      </c>
      <c r="D21" s="79">
        <v>350</v>
      </c>
      <c r="E21" s="80" t="s">
        <v>107</v>
      </c>
    </row>
    <row r="22" spans="2:8" s="15" customFormat="1" ht="15" customHeight="1" x14ac:dyDescent="0.3">
      <c r="B22" s="78" t="s">
        <v>109</v>
      </c>
      <c r="C22" s="79">
        <v>2</v>
      </c>
      <c r="D22" s="79">
        <v>500</v>
      </c>
      <c r="E22" s="80" t="s">
        <v>107</v>
      </c>
    </row>
    <row r="23" spans="2:8" s="15" customFormat="1" ht="15" customHeight="1" x14ac:dyDescent="0.3">
      <c r="B23" s="78" t="s">
        <v>110</v>
      </c>
      <c r="C23" s="79">
        <v>12</v>
      </c>
      <c r="D23" s="79">
        <v>750</v>
      </c>
      <c r="E23" s="80" t="s">
        <v>107</v>
      </c>
    </row>
    <row r="24" spans="2:8" s="15" customFormat="1" ht="14.4" x14ac:dyDescent="0.3"/>
    <row r="25" spans="2:8" s="25" customFormat="1" x14ac:dyDescent="0.3">
      <c r="B25" s="25" t="s">
        <v>115</v>
      </c>
    </row>
    <row r="26" spans="2:8" s="15" customFormat="1" ht="14.4" x14ac:dyDescent="0.3">
      <c r="E26" s="68"/>
    </row>
    <row r="27" spans="2:8" s="15" customFormat="1" ht="14.4" x14ac:dyDescent="0.3">
      <c r="B27" s="78" t="s">
        <v>113</v>
      </c>
      <c r="C27" s="79">
        <v>5000</v>
      </c>
      <c r="D27" s="80" t="s">
        <v>107</v>
      </c>
      <c r="E27" s="68"/>
    </row>
    <row r="28" spans="2:8" s="15" customFormat="1" ht="14.4" x14ac:dyDescent="0.3">
      <c r="B28" s="78" t="s">
        <v>114</v>
      </c>
      <c r="C28" s="79">
        <v>5000</v>
      </c>
      <c r="D28" s="80" t="s">
        <v>107</v>
      </c>
      <c r="E28" s="68"/>
    </row>
    <row r="29" spans="2:8" s="15" customFormat="1" ht="14.4" x14ac:dyDescent="0.3">
      <c r="E29" s="68"/>
    </row>
    <row r="30" spans="2:8" s="25" customFormat="1" x14ac:dyDescent="0.3">
      <c r="B30" s="25" t="s">
        <v>125</v>
      </c>
    </row>
    <row r="31" spans="2:8" ht="15" customHeight="1" x14ac:dyDescent="0.25">
      <c r="B31" s="72"/>
      <c r="C31" s="73"/>
      <c r="D31" s="73"/>
      <c r="E31" s="73"/>
      <c r="F31" s="73"/>
      <c r="G31" s="73"/>
    </row>
    <row r="32" spans="2:8" ht="15" customHeight="1" thickBot="1" x14ac:dyDescent="0.3">
      <c r="B32" s="72"/>
      <c r="C32" s="74" t="s">
        <v>38</v>
      </c>
      <c r="D32" s="74" t="s">
        <v>66</v>
      </c>
      <c r="E32" s="74" t="s">
        <v>0</v>
      </c>
      <c r="F32" s="74" t="s">
        <v>1</v>
      </c>
      <c r="G32" s="74" t="s">
        <v>2</v>
      </c>
      <c r="H32" s="72"/>
    </row>
    <row r="33" spans="2:25" ht="15" customHeight="1" thickBot="1" x14ac:dyDescent="0.3">
      <c r="B33" s="72" t="s">
        <v>6</v>
      </c>
      <c r="C33" s="74" t="s">
        <v>40</v>
      </c>
      <c r="D33" s="74" t="s">
        <v>41</v>
      </c>
      <c r="E33" s="74" t="s">
        <v>42</v>
      </c>
      <c r="F33" s="74" t="s">
        <v>43</v>
      </c>
      <c r="G33" s="74" t="s">
        <v>44</v>
      </c>
      <c r="H33" s="72"/>
      <c r="I33" s="98"/>
      <c r="J33" s="72"/>
      <c r="O33" s="114" t="s">
        <v>152</v>
      </c>
      <c r="P33" s="115" t="s">
        <v>151</v>
      </c>
    </row>
    <row r="34" spans="2:25" ht="15" customHeight="1" thickBot="1" x14ac:dyDescent="0.35">
      <c r="B34" s="72" t="s">
        <v>39</v>
      </c>
      <c r="C34" s="71">
        <v>15</v>
      </c>
      <c r="D34" s="71">
        <v>4200</v>
      </c>
      <c r="E34" s="71">
        <v>8860</v>
      </c>
      <c r="F34" s="128">
        <v>3.6</v>
      </c>
      <c r="G34" s="71">
        <v>2180</v>
      </c>
      <c r="H34" s="69" t="s">
        <v>107</v>
      </c>
      <c r="I34" s="98"/>
      <c r="J34" s="98"/>
      <c r="K34" s="98"/>
      <c r="L34" s="98"/>
      <c r="M34" s="98"/>
      <c r="N34" s="98"/>
      <c r="O34" s="116" t="s">
        <v>38</v>
      </c>
      <c r="P34" s="117">
        <v>37.225241129988099</v>
      </c>
      <c r="Q34" s="98"/>
      <c r="R34" s="98"/>
      <c r="S34" s="98"/>
      <c r="T34" s="98"/>
      <c r="U34" s="98"/>
      <c r="V34" s="98"/>
      <c r="W34" s="98"/>
      <c r="X34" s="98"/>
      <c r="Y34" s="98"/>
    </row>
    <row r="35" spans="2:25" s="98" customFormat="1" ht="15" customHeight="1" thickBot="1" x14ac:dyDescent="0.3">
      <c r="O35" s="118" t="s">
        <v>66</v>
      </c>
      <c r="P35" s="119">
        <v>12.739304742262593</v>
      </c>
    </row>
    <row r="36" spans="2:25" ht="15" customHeight="1" thickBot="1" x14ac:dyDescent="0.3">
      <c r="B36" s="72" t="s">
        <v>45</v>
      </c>
      <c r="C36" s="120" t="s">
        <v>47</v>
      </c>
      <c r="D36" s="120" t="s">
        <v>49</v>
      </c>
      <c r="E36" s="120" t="s">
        <v>46</v>
      </c>
      <c r="F36" s="120" t="s">
        <v>48</v>
      </c>
      <c r="G36" s="120" t="s">
        <v>50</v>
      </c>
      <c r="H36" s="72"/>
      <c r="I36" s="72"/>
      <c r="J36" s="72"/>
      <c r="O36" s="116" t="s">
        <v>0</v>
      </c>
      <c r="P36" s="117">
        <v>24.806646157460783</v>
      </c>
    </row>
    <row r="37" spans="2:25" ht="15" customHeight="1" thickBot="1" x14ac:dyDescent="0.3">
      <c r="B37" s="72" t="s">
        <v>51</v>
      </c>
      <c r="C37" s="120">
        <v>0.34090909090909088</v>
      </c>
      <c r="D37" s="120">
        <v>0.11666666666666667</v>
      </c>
      <c r="E37" s="120">
        <v>0.22717948717948716</v>
      </c>
      <c r="F37" s="120">
        <v>1</v>
      </c>
      <c r="G37" s="120">
        <v>0.52078356426182515</v>
      </c>
      <c r="H37" s="72"/>
      <c r="I37" s="72"/>
      <c r="J37" s="72"/>
      <c r="O37" s="118" t="s">
        <v>1</v>
      </c>
      <c r="P37" s="119">
        <v>109.19404064796508</v>
      </c>
    </row>
    <row r="38" spans="2:25" ht="15" customHeight="1" thickBot="1" x14ac:dyDescent="0.3">
      <c r="B38" s="72" t="s">
        <v>54</v>
      </c>
      <c r="C38" s="120">
        <v>1.2272727272727273</v>
      </c>
      <c r="D38" s="120">
        <v>0.42000000000000004</v>
      </c>
      <c r="E38" s="120">
        <v>0.81784615384615378</v>
      </c>
      <c r="F38" s="120">
        <v>3.6</v>
      </c>
      <c r="G38" s="120">
        <v>1.8748208313425705</v>
      </c>
      <c r="H38" s="72"/>
      <c r="I38" s="72"/>
      <c r="J38" s="72"/>
      <c r="O38" s="116" t="s">
        <v>2</v>
      </c>
      <c r="P38" s="117">
        <v>56.866461684797862</v>
      </c>
    </row>
    <row r="39" spans="2:25" ht="15" customHeight="1" x14ac:dyDescent="0.25">
      <c r="B39" s="72" t="s">
        <v>53</v>
      </c>
      <c r="C39" s="120">
        <f>C38/$C$67</f>
        <v>3.7124608335382066E-2</v>
      </c>
      <c r="D39" s="120">
        <f t="shared" ref="D39:G39" si="0">D38/$C$67</f>
        <v>1.2704865963664085E-2</v>
      </c>
      <c r="E39" s="120">
        <f t="shared" si="0"/>
        <v>2.4739585151222807E-2</v>
      </c>
      <c r="F39" s="120">
        <f t="shared" si="0"/>
        <v>0.10889885111712072</v>
      </c>
      <c r="G39" s="120">
        <f t="shared" si="0"/>
        <v>5.6712731828791968E-2</v>
      </c>
      <c r="H39" s="72"/>
      <c r="I39" s="72"/>
      <c r="J39" s="72"/>
    </row>
    <row r="40" spans="2:25" s="98" customFormat="1" ht="15" customHeight="1" x14ac:dyDescent="0.25">
      <c r="B40" s="72"/>
      <c r="C40" s="75"/>
      <c r="D40" s="75"/>
      <c r="E40" s="75"/>
      <c r="F40" s="75"/>
      <c r="G40" s="75"/>
      <c r="H40" s="72"/>
      <c r="I40" s="72"/>
      <c r="J40" s="72"/>
    </row>
    <row r="41" spans="2:25" s="98" customFormat="1" ht="15" customHeight="1" x14ac:dyDescent="0.25">
      <c r="B41" s="72"/>
      <c r="C41" s="75" t="s">
        <v>38</v>
      </c>
      <c r="D41" s="75" t="s">
        <v>66</v>
      </c>
      <c r="E41" s="75" t="s">
        <v>0</v>
      </c>
      <c r="F41" s="75" t="s">
        <v>1</v>
      </c>
      <c r="G41" s="75" t="s">
        <v>2</v>
      </c>
      <c r="H41" s="72"/>
      <c r="I41" s="72"/>
      <c r="J41" s="72"/>
    </row>
    <row r="42" spans="2:25" s="98" customFormat="1" ht="15" customHeight="1" x14ac:dyDescent="0.25">
      <c r="B42" s="72" t="s">
        <v>155</v>
      </c>
      <c r="C42" s="84">
        <v>452.94019298748498</v>
      </c>
      <c r="D42" s="84">
        <v>5101.1961402503102</v>
      </c>
      <c r="E42" s="84">
        <v>2926.7841788478099</v>
      </c>
      <c r="F42" s="84">
        <v>4447.7214101461695</v>
      </c>
      <c r="G42" s="84">
        <v>3541.7263781408201</v>
      </c>
      <c r="H42" s="72"/>
      <c r="I42" s="72"/>
      <c r="J42" s="72"/>
    </row>
    <row r="43" spans="2:25" ht="15" customHeight="1" x14ac:dyDescent="0.3">
      <c r="B43" s="72" t="s">
        <v>150</v>
      </c>
      <c r="C43" s="122">
        <f>C42/SUM($C$42:$G$42)</f>
        <v>2.7500307505402808E-2</v>
      </c>
      <c r="D43" s="122">
        <f t="shared" ref="D43:G43" si="1">D42/SUM($C$42:$G$42)</f>
        <v>0.30971961568915918</v>
      </c>
      <c r="E43" s="122">
        <f t="shared" si="1"/>
        <v>0.17769998372055831</v>
      </c>
      <c r="F43" s="122">
        <f t="shared" si="1"/>
        <v>0.27004383442023894</v>
      </c>
      <c r="G43" s="122">
        <f t="shared" si="1"/>
        <v>0.21503625866464068</v>
      </c>
      <c r="H43" s="69" t="s">
        <v>107</v>
      </c>
      <c r="I43" s="72"/>
      <c r="J43" s="72"/>
    </row>
    <row r="44" spans="2:25" ht="15" customHeight="1" x14ac:dyDescent="0.25">
      <c r="B44" s="77" t="s">
        <v>52</v>
      </c>
      <c r="C44" s="120">
        <f>SUMPRODUCT(C43:G43,C39:G39)</f>
        <v>5.0954865218255138E-2</v>
      </c>
      <c r="D44" s="2"/>
      <c r="E44" s="2"/>
      <c r="F44" s="2"/>
      <c r="G44" s="2"/>
    </row>
    <row r="45" spans="2:25" ht="15" customHeight="1" x14ac:dyDescent="0.25">
      <c r="B45" s="77"/>
      <c r="C45" s="75"/>
      <c r="D45" s="2"/>
      <c r="E45" s="2"/>
      <c r="F45" s="2"/>
      <c r="G45" s="2"/>
    </row>
    <row r="46" spans="2:25" s="15" customFormat="1" ht="15" customHeight="1" x14ac:dyDescent="0.3">
      <c r="B46" s="83" t="s">
        <v>63</v>
      </c>
      <c r="C46" s="79">
        <v>41</v>
      </c>
      <c r="D46" s="80" t="s">
        <v>118</v>
      </c>
      <c r="E46" s="68"/>
    </row>
    <row r="47" spans="2:25" s="15" customFormat="1" ht="14.4" x14ac:dyDescent="0.3">
      <c r="D47" s="68"/>
    </row>
    <row r="48" spans="2:25" s="25" customFormat="1" x14ac:dyDescent="0.3">
      <c r="B48" s="25" t="s">
        <v>129</v>
      </c>
    </row>
    <row r="49" spans="2:10" x14ac:dyDescent="0.25">
      <c r="B49" s="72"/>
      <c r="C49" s="73"/>
      <c r="D49" s="73"/>
      <c r="E49" s="73"/>
      <c r="F49" s="73"/>
      <c r="G49" s="73"/>
    </row>
    <row r="50" spans="2:10" s="15" customFormat="1" ht="15" customHeight="1" x14ac:dyDescent="0.3">
      <c r="B50" s="83" t="s">
        <v>156</v>
      </c>
      <c r="C50" s="121">
        <f>SUM(C42:G42)*11.63*1000</f>
        <v>191550383.33333331</v>
      </c>
      <c r="D50" s="80"/>
      <c r="E50" s="68"/>
    </row>
    <row r="51" spans="2:10" s="15" customFormat="1" ht="15" customHeight="1" x14ac:dyDescent="0.3">
      <c r="E51" s="68"/>
    </row>
    <row r="52" spans="2:10" s="25" customFormat="1" x14ac:dyDescent="0.3">
      <c r="B52" s="25" t="s">
        <v>126</v>
      </c>
    </row>
    <row r="53" spans="2:10" x14ac:dyDescent="0.25">
      <c r="B53" s="72"/>
      <c r="C53" s="73"/>
      <c r="D53" s="80"/>
      <c r="E53" s="73"/>
      <c r="F53" s="73"/>
      <c r="G53" s="73"/>
    </row>
    <row r="54" spans="2:10" s="98" customFormat="1" x14ac:dyDescent="0.25">
      <c r="B54" s="72"/>
      <c r="C54" s="75" t="s">
        <v>38</v>
      </c>
      <c r="D54" s="75" t="s">
        <v>66</v>
      </c>
      <c r="E54" s="75" t="s">
        <v>0</v>
      </c>
      <c r="F54" s="75" t="s">
        <v>1</v>
      </c>
      <c r="G54" s="75" t="s">
        <v>2</v>
      </c>
      <c r="H54" s="72"/>
      <c r="I54" s="72"/>
      <c r="J54" s="72"/>
    </row>
    <row r="55" spans="2:10" s="98" customFormat="1" x14ac:dyDescent="0.25">
      <c r="B55" s="72" t="s">
        <v>157</v>
      </c>
      <c r="C55" s="75">
        <v>2.23</v>
      </c>
      <c r="D55" s="75">
        <v>3.96</v>
      </c>
      <c r="E55" s="75">
        <v>2.34</v>
      </c>
      <c r="F55" s="75">
        <v>3.96</v>
      </c>
      <c r="G55" s="75">
        <v>2.34</v>
      </c>
      <c r="H55" s="72"/>
      <c r="I55" s="72"/>
      <c r="J55" s="72"/>
    </row>
    <row r="56" spans="2:10" s="98" customFormat="1" x14ac:dyDescent="0.25">
      <c r="B56" s="72"/>
      <c r="C56" s="73"/>
      <c r="D56" s="80"/>
      <c r="E56" s="73"/>
      <c r="F56" s="73"/>
      <c r="G56" s="73"/>
    </row>
    <row r="57" spans="2:10" x14ac:dyDescent="0.25">
      <c r="B57" s="72" t="s">
        <v>127</v>
      </c>
      <c r="C57" s="84">
        <f>SUMPRODUCT(C42:G42,C55:G55)/C50*1000</f>
        <v>0.28170178463900514</v>
      </c>
      <c r="D57" s="80" t="s">
        <v>154</v>
      </c>
      <c r="E57" s="74"/>
      <c r="F57" s="74"/>
      <c r="G57" s="74"/>
      <c r="H57" s="72"/>
      <c r="I57" s="72"/>
      <c r="J57" s="72"/>
    </row>
    <row r="58" spans="2:10" s="15" customFormat="1" ht="14.4" x14ac:dyDescent="0.3">
      <c r="E58" s="68"/>
    </row>
    <row r="59" spans="2:10" s="25" customFormat="1" x14ac:dyDescent="0.3">
      <c r="B59" s="25" t="s">
        <v>123</v>
      </c>
    </row>
    <row r="60" spans="2:10" x14ac:dyDescent="0.25">
      <c r="B60" s="72"/>
      <c r="C60" s="73"/>
      <c r="D60" s="73"/>
      <c r="E60" s="73"/>
      <c r="F60" s="73"/>
      <c r="G60" s="73"/>
    </row>
    <row r="61" spans="2:10" s="15" customFormat="1" ht="14.4" x14ac:dyDescent="0.3">
      <c r="B61" s="78" t="s">
        <v>119</v>
      </c>
      <c r="C61" s="70">
        <v>0.05</v>
      </c>
      <c r="D61" s="80" t="s">
        <v>118</v>
      </c>
      <c r="E61" s="68"/>
    </row>
    <row r="62" spans="2:10" s="15" customFormat="1" ht="14.4" x14ac:dyDescent="0.3">
      <c r="B62" s="78"/>
      <c r="C62" s="78"/>
      <c r="D62" s="78"/>
      <c r="E62" s="68"/>
    </row>
    <row r="63" spans="2:10" s="15" customFormat="1" ht="14.4" x14ac:dyDescent="0.3">
      <c r="B63" s="78" t="s">
        <v>67</v>
      </c>
      <c r="C63" s="79">
        <v>25</v>
      </c>
      <c r="D63" s="80" t="s">
        <v>128</v>
      </c>
      <c r="E63" s="68"/>
    </row>
    <row r="64" spans="2:10" s="15" customFormat="1" ht="14.4" x14ac:dyDescent="0.3">
      <c r="E64" s="68"/>
    </row>
    <row r="65" spans="2:7" s="25" customFormat="1" x14ac:dyDescent="0.3">
      <c r="B65" s="25" t="s">
        <v>120</v>
      </c>
    </row>
    <row r="66" spans="2:7" x14ac:dyDescent="0.25">
      <c r="B66" s="72"/>
      <c r="C66" s="73"/>
      <c r="D66" s="73"/>
      <c r="E66" s="73"/>
      <c r="F66" s="73"/>
      <c r="G66" s="73"/>
    </row>
    <row r="67" spans="2:7" s="15" customFormat="1" ht="14.4" x14ac:dyDescent="0.3">
      <c r="B67" s="15" t="s">
        <v>10</v>
      </c>
      <c r="C67" s="81">
        <v>33.058199999999999</v>
      </c>
      <c r="D67" s="80" t="s">
        <v>122</v>
      </c>
      <c r="E67" s="68"/>
    </row>
  </sheetData>
  <pageMargins left="0.7" right="0.7" top="0.75" bottom="0.75" header="0.3" footer="0.3"/>
  <pageSetup paperSize="9" orientation="portrait" r:id="rId1"/>
  <drawing r:id="rId2"/>
</worksheet>
</file>

<file path=customUI/customUI14.xml>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9B095D7A-941D-47A9-A75E-A52DE24852F7}"/>
</file>

<file path=customXml/itemProps2.xml><?xml version="1.0" encoding="utf-8"?>
<ds:datastoreItem xmlns:ds="http://schemas.openxmlformats.org/officeDocument/2006/customXml" ds:itemID="{D97988CA-2EF9-4CC6-A062-0E3565B9A0BF}"/>
</file>

<file path=customXml/itemProps3.xml><?xml version="1.0" encoding="utf-8"?>
<ds:datastoreItem xmlns:ds="http://schemas.openxmlformats.org/officeDocument/2006/customXml" ds:itemID="{977AB405-CDA5-4A3B-81C9-B8A1945FB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Front page</vt:lpstr>
      <vt:lpstr>Introduction</vt:lpstr>
      <vt:lpstr>Cost Benefit Analysis</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Glenting | Viegand Maagøe</dc:creator>
  <cp:lastModifiedBy>Carsten Glenting | Viegand Maagøe</cp:lastModifiedBy>
  <dcterms:created xsi:type="dcterms:W3CDTF">2016-11-09T13:19:28Z</dcterms:created>
  <dcterms:modified xsi:type="dcterms:W3CDTF">2021-03-24T08:43:43Z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