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3.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726"/>
  <workbookPr defaultThemeVersion="166925"/>
  <mc:AlternateContent xmlns:mc="http://schemas.openxmlformats.org/markup-compatibility/2006">
    <mc:Choice Requires="x15">
      <x15ac:absPath xmlns:x15ac="http://schemas.microsoft.com/office/spreadsheetml/2010/11/ac" url="https://vmas.sharepoint.com/sites/VMHome/Projekter/2182 - ENS - DEA FWC Position 4/EE_VN02 (EE Incentive Scheme 2021)/VN DE3 TOR2 CBA VA scheme/"/>
    </mc:Choice>
  </mc:AlternateContent>
  <xr:revisionPtr revIDLastSave="1866" documentId="8_{BFB9C6FC-DF28-43AC-AD7C-127FF1ECAE15}" xr6:coauthVersionLast="47" xr6:coauthVersionMax="47" xr10:uidLastSave="{E5217C29-8FAF-49DE-98FA-681A264800A7}"/>
  <bookViews>
    <workbookView xWindow="-120" yWindow="-120" windowWidth="29040" windowHeight="15720" xr2:uid="{A2E1E42D-7A9F-48BF-BE2C-3DA9B985CD65}"/>
  </bookViews>
  <sheets>
    <sheet name="Front page" sheetId="7" r:id="rId1"/>
    <sheet name="Introduction" sheetId="1" r:id="rId2"/>
    <sheet name="Cockpit" sheetId="4" r:id="rId3"/>
    <sheet name="Calculations" sheetId="3" r:id="rId4"/>
    <sheet name="Input" sheetId="2" r:id="rId5"/>
    <sheet name="Lists" sheetId="5" r:id="rId6"/>
    <sheet name="Figures &amp; tables" sheetId="8" state="hidden" r:id="rId7"/>
  </sheets>
  <definedNames>
    <definedName name="zzDato" localSheetId="0">'Front page'!$C$8</definedName>
    <definedName name="zzEAN" localSheetId="0">'Front page'!$C$10</definedName>
    <definedName name="zzForfatter" localSheetId="0">'Front page'!$C$11</definedName>
    <definedName name="zzKopiTil" localSheetId="0">'Front page'!$C$14</definedName>
    <definedName name="zzLedetekstDato" localSheetId="0">'Front page'!$B$18</definedName>
    <definedName name="zzLedetekstProjektnr" localSheetId="0">'Front page'!$B$19</definedName>
    <definedName name="zzProjektnr" localSheetId="0">'Front page'!$C$9</definedName>
    <definedName name="zzTilbud" localSheetId="0">'Front page'!$C$12</definedName>
  </definedNames>
  <calcPr calcId="191028" calcMode="autoNoTable"/>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29" i="4" l="1"/>
  <c r="E31" i="4"/>
  <c r="H32" i="4"/>
  <c r="E26" i="4"/>
  <c r="E22" i="4"/>
  <c r="E33" i="4" l="1"/>
  <c r="E24" i="4"/>
  <c r="G27" i="3" s="1"/>
  <c r="E23" i="4"/>
  <c r="E25" i="4"/>
  <c r="F25" i="3"/>
  <c r="I28" i="3"/>
  <c r="J28" i="3"/>
  <c r="K28" i="3"/>
  <c r="L28" i="3"/>
  <c r="M28" i="3"/>
  <c r="N28" i="3"/>
  <c r="O28" i="3"/>
  <c r="P28" i="3"/>
  <c r="Q28" i="3"/>
  <c r="P27" i="3" l="1"/>
  <c r="H27" i="3"/>
  <c r="O27" i="3"/>
  <c r="N27" i="3"/>
  <c r="I27" i="3"/>
  <c r="M27" i="3"/>
  <c r="L27" i="3"/>
  <c r="K27" i="3"/>
  <c r="F27" i="3"/>
  <c r="J27" i="3"/>
  <c r="Q27" i="3"/>
  <c r="F28" i="3"/>
  <c r="H28" i="3"/>
  <c r="G28" i="3"/>
  <c r="C91" i="2" l="1" a="1"/>
  <c r="C91" i="2" s="1"/>
  <c r="B94" i="2"/>
  <c r="B95" i="2"/>
  <c r="B96" i="2"/>
  <c r="B97" i="2"/>
  <c r="B98" i="2"/>
  <c r="B99" i="2"/>
  <c r="B100" i="2"/>
  <c r="B101" i="2"/>
  <c r="B102" i="2"/>
  <c r="B103" i="2"/>
  <c r="B104" i="2"/>
  <c r="B105" i="2"/>
  <c r="B106" i="2"/>
  <c r="B107" i="2"/>
  <c r="B108" i="2"/>
  <c r="B109" i="2"/>
  <c r="B110" i="2"/>
  <c r="B111" i="2"/>
  <c r="B112" i="2"/>
  <c r="B113" i="2"/>
  <c r="B114" i="2"/>
  <c r="B115" i="2"/>
  <c r="B116" i="2"/>
  <c r="B117" i="2"/>
  <c r="B118" i="2"/>
  <c r="B119" i="2"/>
  <c r="B120" i="2"/>
  <c r="B121" i="2"/>
  <c r="B93" i="2"/>
  <c r="E84" i="2" s="1"/>
  <c r="H134" i="2" s="1"/>
  <c r="E80" i="2" l="1"/>
  <c r="H130" i="2" s="1"/>
  <c r="E81" i="2"/>
  <c r="H131" i="2" s="1"/>
  <c r="E82" i="2"/>
  <c r="H132" i="2" s="1"/>
  <c r="E83" i="2"/>
  <c r="H133" i="2" s="1"/>
  <c r="E32" i="4"/>
  <c r="E35" i="4"/>
  <c r="E34" i="4"/>
  <c r="F40" i="3"/>
  <c r="H36" i="4"/>
  <c r="E140" i="2"/>
  <c r="E141" i="2"/>
  <c r="E142" i="2"/>
  <c r="E143" i="2"/>
  <c r="D85" i="2" l="1"/>
  <c r="E36" i="4"/>
  <c r="D13" i="2" l="1"/>
  <c r="D14" i="2" s="1"/>
  <c r="N7" i="4"/>
  <c r="N6" i="4"/>
  <c r="D22" i="4"/>
  <c r="N15" i="4"/>
  <c r="D19" i="4"/>
  <c r="D14" i="4"/>
  <c r="B131" i="2"/>
  <c r="B132" i="2"/>
  <c r="B133" i="2"/>
  <c r="B134" i="2"/>
  <c r="B135" i="2"/>
  <c r="B130" i="2"/>
  <c r="B81" i="2"/>
  <c r="B82" i="2"/>
  <c r="B83" i="2"/>
  <c r="B84" i="2"/>
  <c r="B85" i="2"/>
  <c r="B80" i="2"/>
  <c r="F61" i="2"/>
  <c r="G61" i="2"/>
  <c r="E61" i="2"/>
  <c r="D61" i="2"/>
  <c r="D44" i="3"/>
  <c r="H14" i="4" l="1"/>
  <c r="F5" i="3"/>
  <c r="E14" i="4" l="1"/>
  <c r="H16" i="4" s="1"/>
  <c r="F9" i="3"/>
  <c r="F39" i="3"/>
  <c r="F26" i="3"/>
  <c r="F22" i="3"/>
  <c r="G5" i="3"/>
  <c r="D16" i="4"/>
  <c r="N14" i="4"/>
  <c r="E24" i="2"/>
  <c r="D24" i="2"/>
  <c r="B26" i="2"/>
  <c r="B27" i="2"/>
  <c r="B28" i="2"/>
  <c r="B29" i="2"/>
  <c r="B30" i="2"/>
  <c r="B31" i="2"/>
  <c r="B32" i="2"/>
  <c r="B33" i="2"/>
  <c r="B34" i="2"/>
  <c r="B35" i="2"/>
  <c r="B36" i="2"/>
  <c r="B37" i="2"/>
  <c r="B38" i="2"/>
  <c r="B39" i="2"/>
  <c r="B40" i="2"/>
  <c r="B41" i="2"/>
  <c r="B42" i="2"/>
  <c r="B43" i="2"/>
  <c r="B44" i="2"/>
  <c r="B45" i="2"/>
  <c r="B46" i="2"/>
  <c r="B47" i="2"/>
  <c r="B48" i="2"/>
  <c r="B49" i="2"/>
  <c r="B50" i="2"/>
  <c r="B51" i="2"/>
  <c r="B52" i="2"/>
  <c r="B53" i="2"/>
  <c r="B25" i="2"/>
  <c r="F14" i="3" l="1"/>
  <c r="G25" i="3"/>
  <c r="G26" i="3"/>
  <c r="G39" i="3"/>
  <c r="F44" i="3"/>
  <c r="F38" i="3"/>
  <c r="H9" i="4"/>
  <c r="E9" i="4" s="1"/>
  <c r="H5" i="3"/>
  <c r="G9" i="3"/>
  <c r="G14" i="3" s="1"/>
  <c r="P10" i="4" l="1"/>
  <c r="H25" i="3"/>
  <c r="H26" i="3"/>
  <c r="H22" i="3"/>
  <c r="I5" i="3"/>
  <c r="P14" i="4" l="1"/>
  <c r="H9" i="3"/>
  <c r="H14" i="3" s="1"/>
  <c r="P15" i="4"/>
  <c r="H38" i="3"/>
  <c r="H44" i="3"/>
  <c r="I26" i="3"/>
  <c r="I25" i="3"/>
  <c r="I22" i="3"/>
  <c r="I9" i="3"/>
  <c r="I14" i="3" s="1"/>
  <c r="J5" i="3"/>
  <c r="J26" i="3" l="1"/>
  <c r="J25" i="3"/>
  <c r="I44" i="3"/>
  <c r="I38" i="3"/>
  <c r="J22" i="3"/>
  <c r="K5" i="3"/>
  <c r="J9" i="3"/>
  <c r="J14" i="3" s="1"/>
  <c r="J38" i="3" l="1"/>
  <c r="J44" i="3"/>
  <c r="K26" i="3"/>
  <c r="K25" i="3"/>
  <c r="K22" i="3"/>
  <c r="L5" i="3"/>
  <c r="K9" i="3"/>
  <c r="K14" i="3" s="1"/>
  <c r="K44" i="3" l="1"/>
  <c r="K38" i="3"/>
  <c r="L25" i="3"/>
  <c r="L26" i="3"/>
  <c r="L22" i="3"/>
  <c r="M5" i="3"/>
  <c r="L9" i="3"/>
  <c r="L14" i="3" s="1"/>
  <c r="L44" i="3" l="1"/>
  <c r="L38" i="3"/>
  <c r="M25" i="3"/>
  <c r="M26" i="3"/>
  <c r="M22" i="3"/>
  <c r="N5" i="3"/>
  <c r="M9" i="3"/>
  <c r="M14" i="3" s="1"/>
  <c r="M44" i="3" l="1"/>
  <c r="M38" i="3"/>
  <c r="N25" i="3"/>
  <c r="N26" i="3"/>
  <c r="N22" i="3"/>
  <c r="O5" i="3"/>
  <c r="N9" i="3"/>
  <c r="N14" i="3" s="1"/>
  <c r="N38" i="3" l="1"/>
  <c r="N44" i="3"/>
  <c r="O25" i="3"/>
  <c r="O26" i="3"/>
  <c r="O22" i="3"/>
  <c r="P5" i="3"/>
  <c r="O9" i="3"/>
  <c r="O14" i="3" s="1"/>
  <c r="O38" i="3" l="1"/>
  <c r="O44" i="3"/>
  <c r="P25" i="3"/>
  <c r="P26" i="3"/>
  <c r="P22" i="3"/>
  <c r="Q5" i="3"/>
  <c r="P9" i="3"/>
  <c r="P14" i="3" s="1"/>
  <c r="P38" i="3" l="1"/>
  <c r="P44" i="3"/>
  <c r="Q26" i="3"/>
  <c r="Q33" i="3" s="1"/>
  <c r="Q25" i="3"/>
  <c r="Q22" i="3"/>
  <c r="Q9" i="3"/>
  <c r="Q14" i="3" s="1"/>
  <c r="Q38" i="3" l="1"/>
  <c r="Q44" i="3"/>
  <c r="Q63" i="3"/>
  <c r="Q50" i="3"/>
  <c r="Q32" i="3"/>
  <c r="Q34" i="3" s="1"/>
  <c r="Q29" i="3"/>
  <c r="Q51" i="3" l="1"/>
  <c r="Q64" i="3"/>
  <c r="Q54" i="3"/>
  <c r="Q67" i="3"/>
  <c r="E135" i="2" l="1"/>
  <c r="F135" i="2"/>
  <c r="G135" i="2"/>
  <c r="D135" i="2"/>
  <c r="F18" i="3" s="1"/>
  <c r="H135" i="2"/>
  <c r="D67" i="3"/>
  <c r="D66" i="3"/>
  <c r="D54" i="3"/>
  <c r="D53" i="3"/>
  <c r="D26" i="4"/>
  <c r="D144" i="2"/>
  <c r="E144" i="2" s="1"/>
  <c r="H19" i="4" s="1"/>
  <c r="E19" i="4" s="1"/>
  <c r="D19" i="3"/>
  <c r="D34" i="3"/>
  <c r="D33" i="3"/>
  <c r="D32" i="3"/>
  <c r="G33" i="3"/>
  <c r="H33" i="3"/>
  <c r="I33" i="3"/>
  <c r="J33" i="3"/>
  <c r="K33" i="3"/>
  <c r="L33" i="3"/>
  <c r="M33" i="3"/>
  <c r="N33" i="3"/>
  <c r="O33" i="3"/>
  <c r="P33" i="3"/>
  <c r="F33" i="3"/>
  <c r="D23" i="4"/>
  <c r="D26" i="3"/>
  <c r="E85" i="2"/>
  <c r="F37" i="3"/>
  <c r="F8" i="3"/>
  <c r="F13" i="3" s="1"/>
  <c r="D28" i="3"/>
  <c r="D68" i="3"/>
  <c r="D69" i="3"/>
  <c r="D65" i="3"/>
  <c r="D64" i="3"/>
  <c r="D63" i="3"/>
  <c r="F19" i="3" l="1"/>
  <c r="P11" i="4"/>
  <c r="Q18" i="3"/>
  <c r="Q19" i="3" s="1"/>
  <c r="Q65" i="3"/>
  <c r="G22" i="3"/>
  <c r="H18" i="3"/>
  <c r="H19" i="3" s="1"/>
  <c r="D145" i="2"/>
  <c r="M18" i="3"/>
  <c r="M19" i="3" s="1"/>
  <c r="O18" i="3"/>
  <c r="O19" i="3" s="1"/>
  <c r="I18" i="3"/>
  <c r="I19" i="3" s="1"/>
  <c r="G8" i="3"/>
  <c r="G13" i="3" s="1"/>
  <c r="D55" i="3"/>
  <c r="D52" i="3"/>
  <c r="D51" i="3"/>
  <c r="D50" i="3"/>
  <c r="G32" i="3"/>
  <c r="G34" i="3" s="1"/>
  <c r="H32" i="3"/>
  <c r="H34" i="3" s="1"/>
  <c r="I32" i="3"/>
  <c r="I34" i="3" s="1"/>
  <c r="J32" i="3"/>
  <c r="J34" i="3" s="1"/>
  <c r="K32" i="3"/>
  <c r="K34" i="3" s="1"/>
  <c r="L32" i="3"/>
  <c r="L34" i="3" s="1"/>
  <c r="M32" i="3"/>
  <c r="M34" i="3" s="1"/>
  <c r="N32" i="3"/>
  <c r="N34" i="3" s="1"/>
  <c r="O32" i="3"/>
  <c r="O34" i="3" s="1"/>
  <c r="P32" i="3"/>
  <c r="P34" i="3" s="1"/>
  <c r="F32" i="3"/>
  <c r="F34" i="3" s="1"/>
  <c r="D80" i="3"/>
  <c r="D73" i="3"/>
  <c r="D72" i="3"/>
  <c r="D71" i="3"/>
  <c r="D41" i="3"/>
  <c r="D40" i="3"/>
  <c r="D37" i="3"/>
  <c r="D39" i="3"/>
  <c r="D38" i="3"/>
  <c r="D59" i="3"/>
  <c r="D58" i="3"/>
  <c r="D57" i="3"/>
  <c r="D29" i="3"/>
  <c r="D27" i="3"/>
  <c r="D25" i="3"/>
  <c r="D22" i="3"/>
  <c r="D14" i="3"/>
  <c r="D15" i="3"/>
  <c r="D13" i="3"/>
  <c r="G38" i="3" l="1"/>
  <c r="G44" i="3"/>
  <c r="I66" i="3"/>
  <c r="O66" i="3"/>
  <c r="M53" i="3"/>
  <c r="Q52" i="3"/>
  <c r="H53" i="3"/>
  <c r="F53" i="3"/>
  <c r="P18" i="3"/>
  <c r="J18" i="3"/>
  <c r="K18" i="3"/>
  <c r="L18" i="3"/>
  <c r="N18" i="3"/>
  <c r="G18" i="3"/>
  <c r="M54" i="3"/>
  <c r="M67" i="3"/>
  <c r="L54" i="3"/>
  <c r="L67" i="3"/>
  <c r="K67" i="3"/>
  <c r="K54" i="3"/>
  <c r="F67" i="3"/>
  <c r="F54" i="3"/>
  <c r="J67" i="3"/>
  <c r="J54" i="3"/>
  <c r="I67" i="3"/>
  <c r="I54" i="3"/>
  <c r="P67" i="3"/>
  <c r="P54" i="3"/>
  <c r="H67" i="3"/>
  <c r="H54" i="3"/>
  <c r="O54" i="3"/>
  <c r="O67" i="3"/>
  <c r="G54" i="3"/>
  <c r="G67" i="3"/>
  <c r="N54" i="3"/>
  <c r="N67" i="3"/>
  <c r="I63" i="3"/>
  <c r="I50" i="3"/>
  <c r="P63" i="3"/>
  <c r="P50" i="3"/>
  <c r="H63" i="3"/>
  <c r="H50" i="3"/>
  <c r="L50" i="3"/>
  <c r="L63" i="3"/>
  <c r="K50" i="3"/>
  <c r="K63" i="3"/>
  <c r="J63" i="3"/>
  <c r="J50" i="3"/>
  <c r="O63" i="3"/>
  <c r="O50" i="3"/>
  <c r="G63" i="3"/>
  <c r="G50" i="3"/>
  <c r="F52" i="3"/>
  <c r="F65" i="3"/>
  <c r="N63" i="3"/>
  <c r="N50" i="3"/>
  <c r="M50" i="3"/>
  <c r="M63" i="3"/>
  <c r="F50" i="3"/>
  <c r="F63" i="3"/>
  <c r="F15" i="3"/>
  <c r="H8" i="3"/>
  <c r="H13" i="3" s="1"/>
  <c r="N29" i="3"/>
  <c r="P29" i="3"/>
  <c r="H29" i="3"/>
  <c r="L29" i="3"/>
  <c r="F29" i="3"/>
  <c r="I29" i="3"/>
  <c r="O29" i="3"/>
  <c r="G29" i="3"/>
  <c r="M29" i="3"/>
  <c r="K29" i="3"/>
  <c r="J29" i="3"/>
  <c r="F10" i="3"/>
  <c r="M39" i="3" l="1"/>
  <c r="N39" i="3"/>
  <c r="O39" i="3"/>
  <c r="P39" i="3"/>
  <c r="Q39" i="3"/>
  <c r="H39" i="3"/>
  <c r="I39" i="3"/>
  <c r="J39" i="3"/>
  <c r="K39" i="3"/>
  <c r="L39" i="3"/>
  <c r="J19" i="3"/>
  <c r="J53" i="3" s="1"/>
  <c r="P19" i="3"/>
  <c r="P66" i="3" s="1"/>
  <c r="G19" i="3"/>
  <c r="G66" i="3" s="1"/>
  <c r="N19" i="3"/>
  <c r="N66" i="3" s="1"/>
  <c r="L19" i="3"/>
  <c r="L53" i="3" s="1"/>
  <c r="K19" i="3"/>
  <c r="K66" i="3" s="1"/>
  <c r="M66" i="3"/>
  <c r="I53" i="3"/>
  <c r="O53" i="3"/>
  <c r="H66" i="3"/>
  <c r="F66" i="3"/>
  <c r="P25" i="4"/>
  <c r="F68" i="3"/>
  <c r="Q66" i="3"/>
  <c r="Q53" i="3"/>
  <c r="Q55" i="3" s="1"/>
  <c r="G52" i="3"/>
  <c r="L52" i="3"/>
  <c r="N52" i="3"/>
  <c r="J65" i="3"/>
  <c r="O51" i="3"/>
  <c r="O64" i="3"/>
  <c r="I51" i="3"/>
  <c r="I64" i="3"/>
  <c r="L64" i="3"/>
  <c r="L51" i="3"/>
  <c r="F51" i="3"/>
  <c r="F55" i="3" s="1"/>
  <c r="F64" i="3"/>
  <c r="J64" i="3"/>
  <c r="J51" i="3"/>
  <c r="H51" i="3"/>
  <c r="H64" i="3"/>
  <c r="K64" i="3"/>
  <c r="K51" i="3"/>
  <c r="P51" i="3"/>
  <c r="P64" i="3"/>
  <c r="M64" i="3"/>
  <c r="M51" i="3"/>
  <c r="N64" i="3"/>
  <c r="N51" i="3"/>
  <c r="G51" i="3"/>
  <c r="G64" i="3"/>
  <c r="H52" i="3"/>
  <c r="H65" i="3"/>
  <c r="P52" i="3"/>
  <c r="P65" i="3"/>
  <c r="I65" i="3"/>
  <c r="I52" i="3"/>
  <c r="K65" i="3"/>
  <c r="K52" i="3"/>
  <c r="M65" i="3"/>
  <c r="M52" i="3"/>
  <c r="O52" i="3"/>
  <c r="O65" i="3"/>
  <c r="F41" i="3"/>
  <c r="G40" i="3" s="1"/>
  <c r="I8" i="3"/>
  <c r="H15" i="3"/>
  <c r="G10" i="3"/>
  <c r="H10" i="3"/>
  <c r="J66" i="3" l="1"/>
  <c r="I10" i="3"/>
  <c r="I13" i="3"/>
  <c r="I15" i="3" s="1"/>
  <c r="N53" i="3"/>
  <c r="G53" i="3"/>
  <c r="G55" i="3" s="1"/>
  <c r="K53" i="3"/>
  <c r="K55" i="3" s="1"/>
  <c r="L66" i="3"/>
  <c r="P53" i="3"/>
  <c r="P55" i="3" s="1"/>
  <c r="G68" i="3"/>
  <c r="L65" i="3"/>
  <c r="G15" i="3"/>
  <c r="G65" i="3"/>
  <c r="N65" i="3"/>
  <c r="J52" i="3"/>
  <c r="J55" i="3" s="1"/>
  <c r="F69" i="3"/>
  <c r="G37" i="3"/>
  <c r="G41" i="3" s="1"/>
  <c r="J8" i="3"/>
  <c r="J13" i="3" s="1"/>
  <c r="H55" i="3"/>
  <c r="I55" i="3"/>
  <c r="O55" i="3"/>
  <c r="L55" i="3"/>
  <c r="F57" i="3"/>
  <c r="F58" i="3" s="1"/>
  <c r="N55" i="3"/>
  <c r="M55" i="3"/>
  <c r="H40" i="3" l="1"/>
  <c r="H68" i="3" s="1"/>
  <c r="F80" i="3"/>
  <c r="O22" i="4" s="1"/>
  <c r="F71" i="3"/>
  <c r="F72" i="3" s="1"/>
  <c r="F79" i="3"/>
  <c r="O21" i="4" s="1"/>
  <c r="Q57" i="3"/>
  <c r="Q58" i="3" s="1"/>
  <c r="K8" i="3"/>
  <c r="K13" i="3" s="1"/>
  <c r="J15" i="3"/>
  <c r="J10" i="3"/>
  <c r="I57" i="3"/>
  <c r="I58" i="3" s="1"/>
  <c r="F59" i="3"/>
  <c r="J57" i="3"/>
  <c r="J58" i="3" s="1"/>
  <c r="H57" i="3"/>
  <c r="H58" i="3" s="1"/>
  <c r="K57" i="3"/>
  <c r="K58" i="3" s="1"/>
  <c r="N57" i="3"/>
  <c r="N58" i="3" s="1"/>
  <c r="L57" i="3"/>
  <c r="L58" i="3" s="1"/>
  <c r="G57" i="3"/>
  <c r="G58" i="3" s="1"/>
  <c r="G59" i="3" s="1"/>
  <c r="O57" i="3"/>
  <c r="O58" i="3" s="1"/>
  <c r="M57" i="3"/>
  <c r="M58" i="3" s="1"/>
  <c r="P57" i="3"/>
  <c r="P58" i="3" s="1"/>
  <c r="F73" i="3" l="1"/>
  <c r="Q59" i="3"/>
  <c r="G69" i="3"/>
  <c r="H37" i="3"/>
  <c r="L8" i="3"/>
  <c r="L13" i="3" s="1"/>
  <c r="K10" i="3"/>
  <c r="K15" i="3"/>
  <c r="K59" i="3"/>
  <c r="J59" i="3"/>
  <c r="I59" i="3"/>
  <c r="L59" i="3"/>
  <c r="O59" i="3"/>
  <c r="H59" i="3"/>
  <c r="P59" i="3"/>
  <c r="M59" i="3"/>
  <c r="N59" i="3"/>
  <c r="F81" i="3" l="1"/>
  <c r="O23" i="4" s="1"/>
  <c r="G71" i="3"/>
  <c r="G72" i="3" s="1"/>
  <c r="H41" i="3"/>
  <c r="M8" i="3"/>
  <c r="M13" i="3" s="1"/>
  <c r="L10" i="3"/>
  <c r="L15" i="3"/>
  <c r="I40" i="3" l="1"/>
  <c r="I68" i="3" s="1"/>
  <c r="I69" i="3" s="1"/>
  <c r="G73" i="3"/>
  <c r="I37" i="3"/>
  <c r="I41" i="3" s="1"/>
  <c r="H69" i="3"/>
  <c r="N8" i="3"/>
  <c r="N13" i="3" s="1"/>
  <c r="M15" i="3"/>
  <c r="M10" i="3"/>
  <c r="J40" i="3" l="1"/>
  <c r="J68" i="3" s="1"/>
  <c r="H71" i="3"/>
  <c r="H72" i="3" s="1"/>
  <c r="H73" i="3" s="1"/>
  <c r="J37" i="3"/>
  <c r="J41" i="3" s="1"/>
  <c r="I71" i="3"/>
  <c r="I72" i="3" s="1"/>
  <c r="O8" i="3"/>
  <c r="O13" i="3" s="1"/>
  <c r="N15" i="3"/>
  <c r="N10" i="3"/>
  <c r="K40" i="3" l="1"/>
  <c r="K68" i="3" s="1"/>
  <c r="K69" i="3" s="1"/>
  <c r="I73" i="3"/>
  <c r="K37" i="3"/>
  <c r="K41" i="3" s="1"/>
  <c r="J69" i="3"/>
  <c r="P8" i="3"/>
  <c r="O15" i="3"/>
  <c r="O10" i="3"/>
  <c r="Q8" i="3" l="1"/>
  <c r="Q13" i="3" s="1"/>
  <c r="Q15" i="3" s="1"/>
  <c r="P13" i="3"/>
  <c r="P15" i="3" s="1"/>
  <c r="L40" i="3"/>
  <c r="L68" i="3" s="1"/>
  <c r="L69" i="3" s="1"/>
  <c r="L71" i="3" s="1"/>
  <c r="L72" i="3" s="1"/>
  <c r="J71" i="3"/>
  <c r="J72" i="3" s="1"/>
  <c r="L37" i="3"/>
  <c r="L41" i="3" s="1"/>
  <c r="Q10" i="3"/>
  <c r="K71" i="3"/>
  <c r="K72" i="3" s="1"/>
  <c r="P10" i="3"/>
  <c r="M40" i="3" l="1"/>
  <c r="M68" i="3" s="1"/>
  <c r="M69" i="3" s="1"/>
  <c r="K73" i="3"/>
  <c r="M37" i="3"/>
  <c r="M41" i="3" s="1"/>
  <c r="J73" i="3"/>
  <c r="L73" i="3"/>
  <c r="N40" i="3" l="1"/>
  <c r="N68" i="3" s="1"/>
  <c r="N37" i="3"/>
  <c r="N41" i="3" s="1"/>
  <c r="M71" i="3"/>
  <c r="M72" i="3" s="1"/>
  <c r="M73" i="3" s="1"/>
  <c r="O40" i="3" l="1"/>
  <c r="O68" i="3" s="1"/>
  <c r="O69" i="3" s="1"/>
  <c r="O37" i="3"/>
  <c r="O41" i="3" s="1"/>
  <c r="N69" i="3"/>
  <c r="N71" i="3" s="1"/>
  <c r="N72" i="3" s="1"/>
  <c r="N73" i="3" s="1"/>
  <c r="P40" i="3" l="1"/>
  <c r="P68" i="3" s="1"/>
  <c r="P37" i="3"/>
  <c r="P41" i="3" s="1"/>
  <c r="Q40" i="3" s="1"/>
  <c r="O71" i="3"/>
  <c r="O72" i="3" s="1"/>
  <c r="O73" i="3" s="1"/>
  <c r="Q37" i="3" l="1"/>
  <c r="Q41" i="3" s="1"/>
  <c r="Q68" i="3"/>
  <c r="Q69" i="3" s="1"/>
  <c r="P69" i="3"/>
  <c r="G80" i="3" l="1"/>
  <c r="P22" i="4" s="1"/>
  <c r="G79" i="3"/>
  <c r="P21" i="4" s="1"/>
  <c r="Q71" i="3"/>
  <c r="Q72" i="3" s="1"/>
  <c r="P71" i="3"/>
  <c r="P72" i="3" s="1"/>
  <c r="Q73" i="3" l="1"/>
  <c r="P73" i="3"/>
  <c r="G81" i="3" l="1"/>
  <c r="P23" i="4"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<sst xmlns="http://schemas.openxmlformats.org/spreadsheetml/2006/main" count="374" uniqueCount="241">
  <si>
    <t>Financial Analysis Tool to Enable analysis of Financial Benefits to Enterprises of Participating in a Voluntary Agreement Scheme in Vietnam</t>
  </si>
  <si>
    <t>Date:</t>
  </si>
  <si>
    <t>2 November 2022</t>
  </si>
  <si>
    <t>Project no:</t>
  </si>
  <si>
    <t>Technical assistance on EE Incentive Scheme for energy intensive industries (DE3, Work Programme 2022, Output 2)</t>
  </si>
  <si>
    <t>Version:</t>
  </si>
  <si>
    <t>Prepared by:</t>
  </si>
  <si>
    <t>Astrid Estrup Enemark</t>
  </si>
  <si>
    <t>Prepared for:</t>
  </si>
  <si>
    <t>Danish Energy Agency/EESD</t>
  </si>
  <si>
    <t>QA by:</t>
  </si>
  <si>
    <t>Approved by:</t>
  </si>
  <si>
    <t>Introduction</t>
  </si>
  <si>
    <t xml:space="preserve">Introduction to model </t>
  </si>
  <si>
    <t>The financial analysis tool is developed by Viegand Maagøe for the Danish Energy Agency, Global Cooperation and MOIT to model the financial benefits for enterprises in specific sectors of participating in a voluntary agreement (VA) scheme for the energy intensive industry in Vietnam. The data input is based on sector specific values on energy saving potentials and standard values of energy prices, emission factors and costs related to participation in the VA scheme.  The aim of the model is to illustrate to enterprises the potential financial benefits of joining an incentive scheme.</t>
  </si>
  <si>
    <t>Model structure</t>
  </si>
  <si>
    <t>Colour code sheets</t>
  </si>
  <si>
    <t>Input sheets</t>
  </si>
  <si>
    <t>Calculations</t>
  </si>
  <si>
    <t>Results</t>
  </si>
  <si>
    <t>Cockpit</t>
  </si>
  <si>
    <t>Extra functionalities</t>
  </si>
  <si>
    <t>Explanatory sheet</t>
  </si>
  <si>
    <t>Colour code cells</t>
  </si>
  <si>
    <t>Input</t>
  </si>
  <si>
    <t>User input</t>
  </si>
  <si>
    <t>Formula</t>
  </si>
  <si>
    <t>Link</t>
  </si>
  <si>
    <t>Sheet</t>
  </si>
  <si>
    <t>Description</t>
  </si>
  <si>
    <t>Contains calculations of annual energy savings, emission reductions, investment cost, O&amp;M cost, energy cost savings, CO2-quota savings, financing terms and cashflow before and after financing.</t>
  </si>
  <si>
    <t xml:space="preserve">Contains the input factors used in the analysis such as sector specific energy saving potentials, energy prices and emission factors. </t>
  </si>
  <si>
    <t>Lists</t>
  </si>
  <si>
    <t>Lists of sectors, provinces, fuel types, energy conversion factors</t>
  </si>
  <si>
    <t xml:space="preserve">Cockpit </t>
  </si>
  <si>
    <t>Key parameters</t>
  </si>
  <si>
    <t>Key output</t>
  </si>
  <si>
    <t>Timing</t>
  </si>
  <si>
    <t>Cash flow before financing</t>
  </si>
  <si>
    <t>Energy audit (in base year)</t>
  </si>
  <si>
    <t>year</t>
  </si>
  <si>
    <t>Sector:</t>
  </si>
  <si>
    <t>Investment (in year after base year)</t>
  </si>
  <si>
    <t>Energy type:</t>
  </si>
  <si>
    <t>Energy savings (from year after investment)</t>
  </si>
  <si>
    <t>Energy efficiency saving potential</t>
  </si>
  <si>
    <t>Expected energy saving per year</t>
  </si>
  <si>
    <t>toe/year</t>
  </si>
  <si>
    <t>Select sector</t>
  </si>
  <si>
    <t>drop-down</t>
  </si>
  <si>
    <t>Food products</t>
  </si>
  <si>
    <t>CO2 emission reduction</t>
  </si>
  <si>
    <t>tCO2/year</t>
  </si>
  <si>
    <t>Select payback period (up to ... years)</t>
  </si>
  <si>
    <t>Energy saving potential in sector</t>
  </si>
  <si>
    <t>%</t>
  </si>
  <si>
    <t>Investment cost</t>
  </si>
  <si>
    <t>Energy consumption and cost</t>
  </si>
  <si>
    <t>Expected energy cost saving</t>
  </si>
  <si>
    <t>Energy consumption before EE project</t>
  </si>
  <si>
    <t>Select energy type</t>
  </si>
  <si>
    <t>Weighted average energy mix</t>
  </si>
  <si>
    <t>Energy price</t>
  </si>
  <si>
    <t>Financial indicators</t>
  </si>
  <si>
    <t>Cash flow after financing</t>
  </si>
  <si>
    <t>Investment per toe</t>
  </si>
  <si>
    <t>KPI</t>
  </si>
  <si>
    <t>Unit</t>
  </si>
  <si>
    <t>Before financing</t>
  </si>
  <si>
    <t>After financing</t>
  </si>
  <si>
    <t>IRR</t>
  </si>
  <si>
    <t>NPV</t>
  </si>
  <si>
    <t>VND million</t>
  </si>
  <si>
    <t>Payback period</t>
  </si>
  <si>
    <t>years</t>
  </si>
  <si>
    <t>Other related costs</t>
  </si>
  <si>
    <t>Energy audit</t>
  </si>
  <si>
    <t>WACC</t>
  </si>
  <si>
    <t>Energy management system implementation</t>
  </si>
  <si>
    <t xml:space="preserve">Energy manager employed (%) of time per year </t>
  </si>
  <si>
    <t xml:space="preserve">Average salary </t>
  </si>
  <si>
    <t>Financing terms</t>
  </si>
  <si>
    <t>Payment profile for bank loan</t>
  </si>
  <si>
    <t>Loan</t>
  </si>
  <si>
    <t>Equity</t>
  </si>
  <si>
    <t>Cost of EE bank loan</t>
  </si>
  <si>
    <t>Cost of Equity</t>
  </si>
  <si>
    <t>Tax rate</t>
  </si>
  <si>
    <t xml:space="preserve">EE measure related CAPEX, OPEX and energy savings </t>
  </si>
  <si>
    <t>Year</t>
  </si>
  <si>
    <t>Energy consumption</t>
  </si>
  <si>
    <t>Energy consumption before EE</t>
  </si>
  <si>
    <t>toe</t>
  </si>
  <si>
    <t>Expected energy saving</t>
  </si>
  <si>
    <t>Energy consumption after EE</t>
  </si>
  <si>
    <t>Energy saving</t>
  </si>
  <si>
    <t>Energy cost before EE</t>
  </si>
  <si>
    <t>Energy cost saving</t>
  </si>
  <si>
    <t>Energy cost after EE</t>
  </si>
  <si>
    <t>CO2-emission avoidance</t>
  </si>
  <si>
    <t>CO2-emission reduction</t>
  </si>
  <si>
    <t>Saving CO2-quotes</t>
  </si>
  <si>
    <t>Investment costs</t>
  </si>
  <si>
    <t>Additional operation and maintenance costs</t>
  </si>
  <si>
    <t>Energy management system</t>
  </si>
  <si>
    <t>Energy manager</t>
  </si>
  <si>
    <t>Administration in relation to VA scheme</t>
  </si>
  <si>
    <t>Total additional O&amp;M costs</t>
  </si>
  <si>
    <t>VA scheme incentives</t>
  </si>
  <si>
    <t>Donor financed energy audit</t>
  </si>
  <si>
    <t>Donor financed energy management system</t>
  </si>
  <si>
    <t>Total VA sceme incentives</t>
  </si>
  <si>
    <t>Financing</t>
  </si>
  <si>
    <t>Outstanding beginning of period</t>
  </si>
  <si>
    <t>Principal repayment</t>
  </si>
  <si>
    <t>Interest</t>
  </si>
  <si>
    <t>Outstanding end of period</t>
  </si>
  <si>
    <t>Cash flow</t>
  </si>
  <si>
    <t>Investment</t>
  </si>
  <si>
    <t>Additional O&amp;M</t>
  </si>
  <si>
    <t>Energy cost savings</t>
  </si>
  <si>
    <t>CO2-quota savings</t>
  </si>
  <si>
    <t>Accumulated cash flow before financing</t>
  </si>
  <si>
    <t>Years with negative cash flow</t>
  </si>
  <si>
    <t>Share of first year with positive cahs flow</t>
  </si>
  <si>
    <t>Accumulated cash flow after financing</t>
  </si>
  <si>
    <t>Financial ratios</t>
  </si>
  <si>
    <t>Payback</t>
  </si>
  <si>
    <t>General assumptions</t>
  </si>
  <si>
    <t>Currency</t>
  </si>
  <si>
    <t>Exchange rate, VND/USD</t>
  </si>
  <si>
    <t>VND/USD</t>
  </si>
  <si>
    <t>Updated 02.11.2022</t>
  </si>
  <si>
    <t>Energy saving potentials</t>
  </si>
  <si>
    <t xml:space="preserve">Sector specific energy saving potential </t>
  </si>
  <si>
    <t>Sector</t>
  </si>
  <si>
    <t>Payback time (years)</t>
  </si>
  <si>
    <t>Years</t>
  </si>
  <si>
    <t>EE measure</t>
  </si>
  <si>
    <t>Type</t>
  </si>
  <si>
    <t xml:space="preserve">Mediane payback time in EU (years) </t>
  </si>
  <si>
    <t xml:space="preserve"> Standard lifetime </t>
  </si>
  <si>
    <t xml:space="preserve"> Avoidance cost undiscounted Eurocent/kWh over lifetime of measure </t>
  </si>
  <si>
    <t xml:space="preserve"> Mediane investment in EUR per kWh/year saved </t>
  </si>
  <si>
    <t>Process (average)</t>
  </si>
  <si>
    <t>Process</t>
  </si>
  <si>
    <t>Compressed Air</t>
  </si>
  <si>
    <t>Motors</t>
  </si>
  <si>
    <t>Process heating</t>
  </si>
  <si>
    <t>Process cooling</t>
  </si>
  <si>
    <t>Metering, Monitoring and Energy Management</t>
  </si>
  <si>
    <t>Power Systems</t>
  </si>
  <si>
    <t>Waste heat utilization</t>
  </si>
  <si>
    <t>Pumps</t>
  </si>
  <si>
    <t>Refrigeration</t>
  </si>
  <si>
    <t>Lighting</t>
  </si>
  <si>
    <t>Building</t>
  </si>
  <si>
    <t>*Source: Derisking Energy Efficiency Platform (DEEP), www.deep.eefig.eu, and consultants calculations</t>
  </si>
  <si>
    <t>Energy prices (average energy prices for DEUs )</t>
  </si>
  <si>
    <t>Energy type</t>
  </si>
  <si>
    <t>Share of fuelmix (industry)</t>
  </si>
  <si>
    <t>VND/toe</t>
  </si>
  <si>
    <t>Emission factors for calculation</t>
  </si>
  <si>
    <t>CO2</t>
  </si>
  <si>
    <t>SO2</t>
  </si>
  <si>
    <t>NOx</t>
  </si>
  <si>
    <t>PM2,5</t>
  </si>
  <si>
    <t>Share of fuelmix</t>
  </si>
  <si>
    <t>Fuel type</t>
  </si>
  <si>
    <t>kg/toe</t>
  </si>
  <si>
    <t>Reference prices for CO2</t>
  </si>
  <si>
    <t>China</t>
  </si>
  <si>
    <t>Beijing</t>
  </si>
  <si>
    <t>USD/tCO2</t>
  </si>
  <si>
    <t>Shanghai</t>
  </si>
  <si>
    <t>Singapore</t>
  </si>
  <si>
    <t>Korea</t>
  </si>
  <si>
    <t>Average price</t>
  </si>
  <si>
    <t xml:space="preserve">Average price VND </t>
  </si>
  <si>
    <t>VND/tCO2</t>
  </si>
  <si>
    <t>Mining of coal and lignite</t>
  </si>
  <si>
    <t>Extraction of crude petroleum and natural gas</t>
  </si>
  <si>
    <t>Mining of metal ores</t>
  </si>
  <si>
    <t>Other mining and quarrying</t>
  </si>
  <si>
    <t>Mining support service activities</t>
  </si>
  <si>
    <t>Beverages</t>
  </si>
  <si>
    <t>Tobacco products</t>
  </si>
  <si>
    <t>Textiles</t>
  </si>
  <si>
    <t>Wearing apparel</t>
  </si>
  <si>
    <t>Leather and related products</t>
  </si>
  <si>
    <t>Wood and products of wood and cork, except furniture</t>
  </si>
  <si>
    <t>Paper and paper products</t>
  </si>
  <si>
    <t>Printing and reproduction of recorded media</t>
  </si>
  <si>
    <t>Coke and refined petroleum products</t>
  </si>
  <si>
    <t>Chemicals and chemical products</t>
  </si>
  <si>
    <t>Pharmaceuticals, medicinal chemical and botanical products</t>
  </si>
  <si>
    <t>Rubber and plastics products</t>
  </si>
  <si>
    <t>Other non-metallic mineral products</t>
  </si>
  <si>
    <t>Basic metals</t>
  </si>
  <si>
    <t>Fabricated metal products, except machinery and equipment</t>
  </si>
  <si>
    <t>Computer, electronic and optical products</t>
  </si>
  <si>
    <t>Electrical equipment</t>
  </si>
  <si>
    <t>Machinery and equipment n.e.c.</t>
  </si>
  <si>
    <t>Motor vehicles, trailers and semi-trailers</t>
  </si>
  <si>
    <t>Other transport equipment</t>
  </si>
  <si>
    <t>Furniture</t>
  </si>
  <si>
    <t>Other manufacturing</t>
  </si>
  <si>
    <t>Repair and installation of machinery and equipment</t>
  </si>
  <si>
    <t>Payback period (years)</t>
  </si>
  <si>
    <t>Electricity</t>
  </si>
  <si>
    <t>Coal</t>
  </si>
  <si>
    <t>Heavy fuel oil</t>
  </si>
  <si>
    <t>Gas</t>
  </si>
  <si>
    <t>Biomass</t>
  </si>
  <si>
    <t xml:space="preserve">Figures &amp; tables for reporting </t>
  </si>
  <si>
    <t>Standard values</t>
  </si>
  <si>
    <t>Select CO2-quota reference price</t>
  </si>
  <si>
    <t>Select payback time</t>
  </si>
  <si>
    <t>Select CO2-price</t>
  </si>
  <si>
    <t>Select and adjust parameters</t>
  </si>
  <si>
    <t>USD/Kwh</t>
  </si>
  <si>
    <t>Input local consultant</t>
  </si>
  <si>
    <t>USD/ton</t>
  </si>
  <si>
    <t>USD/barrel</t>
  </si>
  <si>
    <t>USD/MMBTU</t>
  </si>
  <si>
    <t>Input local consultant, 2 times the coal price</t>
  </si>
  <si>
    <t>Industry subsector</t>
  </si>
  <si>
    <t>Administrative resource to VA-scheme management</t>
  </si>
  <si>
    <t>Import steam</t>
  </si>
  <si>
    <t>Total energy consumption</t>
  </si>
  <si>
    <t/>
  </si>
  <si>
    <t>Varies with sector</t>
  </si>
  <si>
    <t>This is the key sheet for external users. This is where key input parameter can be adjusted such as selection of sector, enterprise energy consumption, energy type and financing terms . This is also where key output is displayed such as expected energy savings and related energy cost savings, financial KPIs such as net present value (NPV) and internal reate of return (IRR) as well as cashflow before and after financing.</t>
  </si>
  <si>
    <t>Energy mix by sector (based on DEU data 2020)</t>
  </si>
  <si>
    <t>Carsten Glenting</t>
  </si>
  <si>
    <t>Average price (4,7 USD/tCO2)</t>
  </si>
  <si>
    <t>Preparation for expanding to specific measures</t>
  </si>
  <si>
    <t>Payback time for specific energy efficiency measures*</t>
  </si>
  <si>
    <t>Varies with sectors</t>
  </si>
  <si>
    <t>Length of VA participation</t>
  </si>
  <si>
    <t>Excel model supporting Deliverables of Output 2, Activity 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</si>
</sst>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 #,##0.00\ &quot;kr.&quot;_-;\-* #,##0.00\ &quot;kr.&quot;_-;_-* &quot;-&quot;??\ &quot;kr.&quot;_-;_-@_-"/>
    <numFmt numFmtId="164" formatCode="#,##0.0"/>
    <numFmt numFmtId="165" formatCode="0.0"/>
    <numFmt numFmtId="166" formatCode="0.0%"/>
  </numFmts>
  <fonts count="25" x14ac:knownFonts="1">
    <font>
      <sz val="11"/>
      <color theme="1"/>
      <name val="Calibri"/>
      <family val="2"/>
      <scheme val="minor"/>
    </font>
    <font>
      <sz val="11"/>
      <color theme="1"/>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b/>
      <sz val="14"/>
      <color theme="0"/>
      <name val="Calibri"/>
      <family val="2"/>
      <scheme val="minor"/>
    </font>
    <font>
      <b/>
      <sz val="12"/>
      <color theme="0"/>
      <name val="Calibri"/>
      <family val="2"/>
      <scheme val="minor"/>
    </font>
    <font>
      <sz val="11"/>
      <name val="Calibri"/>
      <family val="2"/>
      <scheme val="minor"/>
    </font>
    <font>
      <b/>
      <sz val="20"/>
      <color theme="1"/>
      <name val="Calibri"/>
      <family val="2"/>
      <scheme val="minor"/>
    </font>
    <font>
      <b/>
      <sz val="9"/>
      <color theme="1"/>
      <name val="Arial"/>
      <family val="2"/>
    </font>
    <font>
      <sz val="11"/>
      <color rgb="FF00882F"/>
      <name val="Calibri"/>
      <family val="2"/>
      <scheme val="minor"/>
    </font>
    <font>
      <sz val="11"/>
      <color rgb="FF0078E1"/>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u/>
      <sz val="11"/>
      <color theme="10"/>
      <name val="Calibri"/>
      <family val="2"/>
      <scheme val="minor"/>
    </font>
    <font>
      <b/>
      <sz val="11"/>
      <color rgb="FF000000"/>
      <name val="Calibri"/>
      <family val="2"/>
      <scheme val="minor"/>
    </font>
    <font>
      <sz val="11"/>
      <color rgb="FF000000"/>
      <name val="Calibri"/>
      <family val="2"/>
      <scheme val="minor"/>
    </font>
    <font>
      <b/>
      <sz val="11"/>
      <color rgb="FF00882F"/>
      <name val="Calibri"/>
      <family val="2"/>
      <scheme val="minor"/>
    </font>
    <font>
      <b/>
      <sz val="18"/>
      <color theme="1"/>
      <name val="Calibri"/>
      <family val="2"/>
      <scheme val="minor"/>
    </font>
    <font>
      <b/>
      <sz val="14"/>
      <color theme="1"/>
      <name val="Calibri"/>
      <family val="2"/>
      <scheme val="minor"/>
    </font>
    <font>
      <i/>
      <sz val="11"/>
      <color theme="1"/>
      <name val="Calibri"/>
      <family val="2"/>
      <scheme val="minor"/>
    </font>
    <font>
      <b/>
      <sz val="11"/>
      <color rgb="FF0078E1"/>
      <name val="Calibri"/>
      <family val="2"/>
      <scheme val="minor"/>
    </font>
  </fonts>
  <fills count="14">
    <fill>
      <patternFill patternType="none"/>
    </fill>
    <fill>
      <patternFill patternType="gray125"/>
    </fill>
    <fill>
      <patternFill patternType="solid">
        <fgColor theme="0"/>
        <bgColor indexed="64"/>
      </patternFill>
    </fill>
    <fill>
      <patternFill patternType="solid">
        <fgColor theme="8" tint="0.59996337778862885"/>
        <bgColor indexed="64"/>
      </patternFill>
    </fill>
    <fill>
      <patternFill patternType="solid">
        <fgColor rgb="FF002D3E"/>
        <bgColor indexed="64"/>
      </patternFill>
    </fill>
    <fill>
      <patternFill patternType="solid">
        <fgColor rgb="FF0078E1"/>
        <bgColor indexed="64"/>
      </patternFill>
    </fill>
    <fill>
      <patternFill patternType="solid">
        <fgColor rgb="FF00882F"/>
        <bgColor indexed="64"/>
      </patternFill>
    </fill>
    <fill>
      <patternFill patternType="solid">
        <fgColor rgb="FFD87E0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8" tint="0.79998168889431442"/>
        <bgColor indexed="64"/>
      </patternFill>
    </fill>
  </fills>
  <borders count="17">
    <border>
      <left/>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ck">
        <color rgb="FF0078E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s>
  <cellStyleXfs count="19">
    <xf numFmtId="0" fontId="0" fillId="2" borderId="0" applyBorder="0"/>
    <xf numFmtId="0" fontId="7" fillId="5" borderId="12" applyNumberFormat="0" applyAlignment="0" applyProtection="0"/>
    <xf numFmtId="0" fontId="8" fillId="4" borderId="0" applyNumberFormat="0" applyBorder="0" applyAlignment="0" applyProtection="0"/>
    <xf numFmtId="0" fontId="2" fillId="4" borderId="0" applyNumberFormat="0" applyAlignment="0" applyProtection="0"/>
    <xf numFmtId="164" fontId="1" fillId="3" borderId="0" applyBorder="0" applyAlignment="0" applyProtection="0"/>
    <xf numFmtId="0" fontId="9" fillId="0" borderId="0" applyNumberFormat="0" applyBorder="0" applyAlignment="0" applyProtection="0"/>
    <xf numFmtId="164" fontId="1" fillId="2" borderId="0" applyBorder="0" applyAlignment="0" applyProtection="0"/>
    <xf numFmtId="3" fontId="12" fillId="2" borderId="0" applyBorder="0" applyAlignment="0" applyProtection="0"/>
    <xf numFmtId="0" fontId="3" fillId="2" borderId="0" applyNumberFormat="0" applyBorder="0" applyAlignment="0" applyProtection="0"/>
    <xf numFmtId="0" fontId="4" fillId="2" borderId="0" applyNumberFormat="0" applyBorder="0" applyAlignment="0" applyProtection="0"/>
    <xf numFmtId="0" fontId="13" fillId="2" borderId="0" applyBorder="0" applyAlignment="0" applyProtection="0"/>
    <xf numFmtId="0" fontId="14" fillId="8" borderId="0" applyNumberFormat="0" applyBorder="0" applyAlignment="0" applyProtection="0"/>
    <xf numFmtId="0" fontId="15" fillId="9" borderId="0" applyNumberFormat="0" applyBorder="0" applyAlignment="0" applyProtection="0"/>
    <xf numFmtId="0" fontId="16" fillId="10" borderId="0" applyNumberFormat="0" applyBorder="0" applyAlignment="0" applyProtection="0"/>
    <xf numFmtId="0" fontId="4" fillId="2" borderId="0" applyNumberFormat="0" applyBorder="0" applyAlignment="0" applyProtection="0"/>
    <xf numFmtId="0" fontId="3" fillId="2" borderId="0" applyNumberFormat="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7" fillId="2" borderId="0" applyNumberFormat="0" applyFill="0" applyBorder="0" applyAlignment="0" applyProtection="0"/>
  </cellStyleXfs>
  <cellXfs count="230">
    <xf numFmtId="0" fontId="0" fillId="2" borderId="0" xfId="0"/>
    <xf numFmtId="0" fontId="7" fillId="5" borderId="12" xfId="1"/>
    <xf numFmtId="0" fontId="8" fillId="4" borderId="0" xfId="2"/>
    <xf numFmtId="0" fontId="5" fillId="2" borderId="0" xfId="0" applyFont="1"/>
    <xf numFmtId="164" fontId="1" fillId="3" borderId="1" xfId="4" applyBorder="1"/>
    <xf numFmtId="3" fontId="12" fillId="2" borderId="3" xfId="7" applyBorder="1"/>
    <xf numFmtId="0" fontId="0" fillId="2" borderId="3" xfId="0" applyBorder="1"/>
    <xf numFmtId="164" fontId="1" fillId="2" borderId="2" xfId="6" applyBorder="1"/>
    <xf numFmtId="0" fontId="0" fillId="2" borderId="4" xfId="0" applyBorder="1"/>
    <xf numFmtId="0" fontId="5" fillId="2" borderId="4" xfId="0" applyFont="1" applyBorder="1"/>
    <xf numFmtId="0" fontId="13" fillId="2" borderId="2" xfId="10" applyBorder="1"/>
    <xf numFmtId="0" fontId="5" fillId="2" borderId="5" xfId="0" applyFont="1" applyBorder="1"/>
    <xf numFmtId="0" fontId="0" fillId="2" borderId="5" xfId="0" applyBorder="1"/>
    <xf numFmtId="0" fontId="10" fillId="2" borderId="0" xfId="0" applyFont="1"/>
    <xf numFmtId="0" fontId="11" fillId="2" borderId="0" xfId="0" applyFont="1" applyAlignment="1">
      <alignment vertical="center" wrapText="1"/>
    </xf>
    <xf numFmtId="0" fontId="0" fillId="2" borderId="9" xfId="0" applyBorder="1"/>
    <xf numFmtId="0" fontId="0" fillId="2" borderId="11" xfId="0" applyBorder="1"/>
    <xf numFmtId="0" fontId="9" fillId="7" borderId="2" xfId="0" applyFont="1" applyFill="1" applyBorder="1"/>
    <xf numFmtId="0" fontId="13" fillId="2" borderId="0" xfId="10"/>
    <xf numFmtId="0" fontId="6" fillId="4" borderId="2" xfId="0" applyFont="1" applyFill="1" applyBorder="1"/>
    <xf numFmtId="0" fontId="9" fillId="6" borderId="2" xfId="0" applyFont="1" applyFill="1" applyBorder="1"/>
    <xf numFmtId="0" fontId="11" fillId="2" borderId="6" xfId="0" applyFont="1" applyBorder="1" applyAlignment="1">
      <alignment vertical="center" wrapText="1"/>
    </xf>
    <xf numFmtId="0" fontId="11" fillId="2" borderId="8" xfId="0" applyFont="1" applyBorder="1" applyAlignment="1">
      <alignment vertical="center" wrapText="1"/>
    </xf>
    <xf numFmtId="0" fontId="11" fillId="2" borderId="10" xfId="0" applyFont="1" applyBorder="1" applyAlignment="1">
      <alignment vertical="center" wrapText="1"/>
    </xf>
    <xf numFmtId="0" fontId="9" fillId="5" borderId="2" xfId="0" applyFont="1" applyFill="1" applyBorder="1"/>
    <xf numFmtId="0" fontId="5" fillId="2" borderId="13" xfId="0" applyFont="1" applyBorder="1"/>
    <xf numFmtId="0" fontId="5" fillId="2" borderId="14" xfId="0" applyFont="1" applyBorder="1"/>
    <xf numFmtId="0" fontId="0" fillId="2" borderId="8" xfId="0" applyBorder="1"/>
    <xf numFmtId="0" fontId="0" fillId="2" borderId="0" xfId="0" applyBorder="1"/>
    <xf numFmtId="164" fontId="1" fillId="3" borderId="0" xfId="4" applyBorder="1"/>
    <xf numFmtId="0" fontId="0" fillId="2" borderId="10" xfId="0" applyBorder="1"/>
    <xf numFmtId="3" fontId="3" fillId="2" borderId="0" xfId="8" applyNumberFormat="1"/>
    <xf numFmtId="9" fontId="1" fillId="3" borderId="2" xfId="17" applyFill="1" applyBorder="1"/>
    <xf numFmtId="3" fontId="12" fillId="2" borderId="6" xfId="7" applyBorder="1"/>
    <xf numFmtId="3" fontId="12" fillId="2" borderId="5" xfId="7" applyBorder="1"/>
    <xf numFmtId="3" fontId="12" fillId="2" borderId="7" xfId="7" applyBorder="1"/>
    <xf numFmtId="3" fontId="1" fillId="2" borderId="10" xfId="6" applyNumberFormat="1" applyBorder="1"/>
    <xf numFmtId="3" fontId="1" fillId="2" borderId="4" xfId="6" applyNumberFormat="1" applyBorder="1"/>
    <xf numFmtId="3" fontId="1" fillId="2" borderId="11" xfId="6" applyNumberFormat="1" applyBorder="1"/>
    <xf numFmtId="3" fontId="1" fillId="2" borderId="13" xfId="6" applyNumberFormat="1" applyBorder="1"/>
    <xf numFmtId="3" fontId="1" fillId="2" borderId="14" xfId="6" applyNumberFormat="1" applyBorder="1"/>
    <xf numFmtId="3" fontId="1" fillId="2" borderId="15" xfId="6" applyNumberFormat="1" applyBorder="1"/>
    <xf numFmtId="3" fontId="1" fillId="2" borderId="6" xfId="6" applyNumberFormat="1" applyBorder="1"/>
    <xf numFmtId="3" fontId="1" fillId="2" borderId="5" xfId="6" applyNumberFormat="1" applyBorder="1"/>
    <xf numFmtId="3" fontId="1" fillId="2" borderId="7" xfId="6" applyNumberFormat="1" applyBorder="1"/>
    <xf numFmtId="3" fontId="12" fillId="2" borderId="13" xfId="7" applyBorder="1"/>
    <xf numFmtId="3" fontId="12" fillId="2" borderId="14" xfId="7" applyBorder="1"/>
    <xf numFmtId="3" fontId="12" fillId="2" borderId="15" xfId="7" applyBorder="1"/>
    <xf numFmtId="3" fontId="0" fillId="2" borderId="13" xfId="0" applyNumberFormat="1" applyBorder="1"/>
    <xf numFmtId="3" fontId="0" fillId="2" borderId="14" xfId="0" applyNumberFormat="1" applyBorder="1"/>
    <xf numFmtId="3" fontId="0" fillId="2" borderId="15" xfId="0" applyNumberFormat="1" applyBorder="1"/>
    <xf numFmtId="3" fontId="0" fillId="2" borderId="6" xfId="0" applyNumberFormat="1" applyBorder="1"/>
    <xf numFmtId="3" fontId="0" fillId="2" borderId="5" xfId="0" applyNumberFormat="1" applyBorder="1"/>
    <xf numFmtId="3" fontId="0" fillId="2" borderId="7" xfId="0" applyNumberFormat="1" applyBorder="1"/>
    <xf numFmtId="3" fontId="0" fillId="2" borderId="8" xfId="0" applyNumberFormat="1" applyBorder="1"/>
    <xf numFmtId="3" fontId="0" fillId="2" borderId="0" xfId="0" applyNumberFormat="1" applyBorder="1"/>
    <xf numFmtId="3" fontId="0" fillId="2" borderId="9" xfId="0" applyNumberFormat="1" applyBorder="1"/>
    <xf numFmtId="3" fontId="0" fillId="2" borderId="10" xfId="0" applyNumberFormat="1" applyBorder="1"/>
    <xf numFmtId="3" fontId="0" fillId="2" borderId="4" xfId="0" applyNumberFormat="1" applyBorder="1"/>
    <xf numFmtId="165" fontId="0" fillId="2" borderId="4" xfId="0" applyNumberFormat="1" applyBorder="1"/>
    <xf numFmtId="0" fontId="0" fillId="2" borderId="14" xfId="0" applyBorder="1"/>
    <xf numFmtId="0" fontId="0" fillId="2" borderId="6" xfId="0" applyBorder="1"/>
    <xf numFmtId="3" fontId="12" fillId="2" borderId="0" xfId="7" applyBorder="1"/>
    <xf numFmtId="164" fontId="1" fillId="2" borderId="6" xfId="6" applyBorder="1"/>
    <xf numFmtId="164" fontId="1" fillId="2" borderId="10" xfId="6" applyBorder="1"/>
    <xf numFmtId="3" fontId="1" fillId="2" borderId="8" xfId="6" applyNumberFormat="1" applyBorder="1"/>
    <xf numFmtId="3" fontId="1" fillId="2" borderId="0" xfId="6" applyNumberFormat="1" applyBorder="1"/>
    <xf numFmtId="3" fontId="1" fillId="2" borderId="9" xfId="6" applyNumberFormat="1" applyBorder="1"/>
    <xf numFmtId="9" fontId="5" fillId="2" borderId="11" xfId="17" applyFont="1" applyFill="1" applyBorder="1"/>
    <xf numFmtId="165" fontId="0" fillId="2" borderId="10" xfId="0" applyNumberFormat="1" applyBorder="1"/>
    <xf numFmtId="165" fontId="0" fillId="2" borderId="11" xfId="0" applyNumberFormat="1" applyBorder="1"/>
    <xf numFmtId="0" fontId="5" fillId="2" borderId="0" xfId="0" applyFont="1" applyBorder="1"/>
    <xf numFmtId="0" fontId="5" fillId="2" borderId="15" xfId="0" applyFont="1" applyBorder="1" applyAlignment="1">
      <alignment wrapText="1"/>
    </xf>
    <xf numFmtId="3" fontId="12" fillId="2" borderId="8" xfId="7" applyBorder="1"/>
    <xf numFmtId="3" fontId="12" fillId="2" borderId="9" xfId="7" applyBorder="1"/>
    <xf numFmtId="0" fontId="5" fillId="2" borderId="1" xfId="0" applyFont="1" applyBorder="1"/>
    <xf numFmtId="0" fontId="5" fillId="2" borderId="3" xfId="0" applyFont="1" applyBorder="1"/>
    <xf numFmtId="0" fontId="5" fillId="2" borderId="10" xfId="0" applyFont="1" applyBorder="1"/>
    <xf numFmtId="164" fontId="1" fillId="2" borderId="5" xfId="6" applyBorder="1" applyAlignment="1">
      <alignment horizontal="left"/>
    </xf>
    <xf numFmtId="164" fontId="1" fillId="2" borderId="4" xfId="6" applyBorder="1" applyAlignment="1">
      <alignment horizontal="left"/>
    </xf>
    <xf numFmtId="3" fontId="5" fillId="2" borderId="10" xfId="0" applyNumberFormat="1" applyFont="1" applyBorder="1"/>
    <xf numFmtId="3" fontId="5" fillId="2" borderId="4" xfId="0" applyNumberFormat="1" applyFont="1" applyBorder="1"/>
    <xf numFmtId="0" fontId="5" fillId="2" borderId="0" xfId="0" applyFont="1" applyAlignment="1">
      <alignment wrapText="1"/>
    </xf>
    <xf numFmtId="0" fontId="5" fillId="2" borderId="6" xfId="0" applyFont="1" applyBorder="1"/>
    <xf numFmtId="0" fontId="5" fillId="2" borderId="5" xfId="0" applyFont="1" applyBorder="1" applyAlignment="1">
      <alignment horizontal="center"/>
    </xf>
    <xf numFmtId="0" fontId="5" fillId="2" borderId="7" xfId="0" applyFont="1" applyBorder="1" applyAlignment="1">
      <alignment horizontal="center"/>
    </xf>
    <xf numFmtId="9" fontId="0" fillId="2" borderId="5" xfId="0" applyNumberFormat="1" applyBorder="1" applyAlignment="1">
      <alignment horizontal="center"/>
    </xf>
    <xf numFmtId="9" fontId="0" fillId="2" borderId="7" xfId="0" applyNumberFormat="1" applyBorder="1" applyAlignment="1">
      <alignment horizontal="center"/>
    </xf>
    <xf numFmtId="3" fontId="1" fillId="2" borderId="0" xfId="6" applyNumberFormat="1" applyBorder="1" applyAlignment="1">
      <alignment horizontal="center"/>
    </xf>
    <xf numFmtId="3" fontId="1" fillId="2" borderId="9" xfId="6" applyNumberFormat="1" applyBorder="1" applyAlignment="1">
      <alignment horizontal="center"/>
    </xf>
    <xf numFmtId="3" fontId="1" fillId="3" borderId="8" xfId="4" applyNumberFormat="1" applyBorder="1"/>
    <xf numFmtId="9" fontId="5" fillId="2" borderId="16" xfId="17" applyFont="1" applyFill="1" applyBorder="1"/>
    <xf numFmtId="164" fontId="1" fillId="3" borderId="2" xfId="4" applyBorder="1"/>
    <xf numFmtId="9" fontId="1" fillId="3" borderId="3" xfId="17" applyFill="1" applyBorder="1"/>
    <xf numFmtId="0" fontId="0" fillId="2" borderId="2" xfId="0" applyBorder="1"/>
    <xf numFmtId="0" fontId="5" fillId="2" borderId="16" xfId="0" applyFont="1" applyBorder="1"/>
    <xf numFmtId="164" fontId="1" fillId="3" borderId="3" xfId="4" applyBorder="1"/>
    <xf numFmtId="164" fontId="1" fillId="3" borderId="2" xfId="4" applyBorder="1" applyAlignment="1"/>
    <xf numFmtId="164" fontId="1" fillId="3" borderId="3" xfId="4" applyBorder="1" applyAlignment="1"/>
    <xf numFmtId="3" fontId="12" fillId="2" borderId="2" xfId="7" applyBorder="1"/>
    <xf numFmtId="3" fontId="12" fillId="2" borderId="11" xfId="7" applyBorder="1" applyAlignment="1">
      <alignment horizontal="center"/>
    </xf>
    <xf numFmtId="3" fontId="12" fillId="2" borderId="10" xfId="7" applyBorder="1"/>
    <xf numFmtId="3" fontId="12" fillId="2" borderId="16" xfId="7" applyBorder="1" applyAlignment="1">
      <alignment horizontal="center" wrapText="1"/>
    </xf>
    <xf numFmtId="0" fontId="2" fillId="4" borderId="0" xfId="3"/>
    <xf numFmtId="164" fontId="1" fillId="2" borderId="1" xfId="6" applyBorder="1"/>
    <xf numFmtId="164" fontId="1" fillId="2" borderId="3" xfId="6" applyBorder="1"/>
    <xf numFmtId="3" fontId="1" fillId="3" borderId="1" xfId="4" applyNumberFormat="1" applyBorder="1"/>
    <xf numFmtId="3" fontId="1" fillId="3" borderId="2" xfId="4" applyNumberFormat="1" applyBorder="1"/>
    <xf numFmtId="3" fontId="1" fillId="3" borderId="3" xfId="4" applyNumberFormat="1" applyBorder="1"/>
    <xf numFmtId="3" fontId="5" fillId="2" borderId="3" xfId="6" applyNumberFormat="1" applyFont="1" applyBorder="1"/>
    <xf numFmtId="0" fontId="18" fillId="2" borderId="0" xfId="0" applyFont="1" applyBorder="1" applyAlignment="1">
      <alignment vertical="center"/>
    </xf>
    <xf numFmtId="0" fontId="19" fillId="2" borderId="14" xfId="0" applyFont="1" applyBorder="1" applyAlignment="1">
      <alignment vertical="top"/>
    </xf>
    <xf numFmtId="0" fontId="19" fillId="2" borderId="14" xfId="0" applyFont="1" applyBorder="1" applyAlignment="1">
      <alignment horizontal="center" vertical="top" wrapText="1"/>
    </xf>
    <xf numFmtId="0" fontId="19" fillId="2" borderId="5" xfId="0" applyFont="1" applyBorder="1" applyAlignment="1">
      <alignment vertical="center"/>
    </xf>
    <xf numFmtId="165" fontId="19" fillId="2" borderId="5" xfId="0" applyNumberFormat="1" applyFont="1" applyBorder="1" applyAlignment="1">
      <alignment horizontal="center" vertical="center"/>
    </xf>
    <xf numFmtId="1" fontId="19" fillId="2" borderId="5" xfId="0" applyNumberFormat="1" applyFont="1" applyBorder="1" applyAlignment="1">
      <alignment horizontal="center" vertical="center"/>
    </xf>
    <xf numFmtId="2" fontId="19" fillId="2" borderId="5" xfId="0" applyNumberFormat="1" applyFont="1" applyBorder="1" applyAlignment="1">
      <alignment horizontal="center" vertical="center"/>
    </xf>
    <xf numFmtId="0" fontId="19" fillId="2" borderId="0" xfId="0" applyFont="1" applyBorder="1" applyAlignment="1">
      <alignment vertical="center"/>
    </xf>
    <xf numFmtId="0" fontId="19" fillId="2" borderId="4" xfId="0" applyFont="1" applyBorder="1" applyAlignment="1">
      <alignment vertical="center"/>
    </xf>
    <xf numFmtId="0" fontId="19" fillId="2" borderId="5" xfId="0" applyFont="1" applyBorder="1" applyAlignment="1">
      <alignment vertical="top"/>
    </xf>
    <xf numFmtId="164" fontId="1" fillId="3" borderId="0" xfId="4" applyBorder="1" applyAlignment="1">
      <alignment horizontal="center" vertical="center"/>
    </xf>
    <xf numFmtId="164" fontId="1" fillId="3" borderId="4" xfId="4" applyBorder="1" applyAlignment="1">
      <alignment horizontal="center" vertical="center"/>
    </xf>
    <xf numFmtId="164" fontId="1" fillId="3" borderId="0" xfId="4" applyBorder="1" applyAlignment="1">
      <alignment horizontal="center"/>
    </xf>
    <xf numFmtId="164" fontId="1" fillId="3" borderId="4" xfId="4" applyBorder="1" applyAlignment="1">
      <alignment horizontal="center"/>
    </xf>
    <xf numFmtId="3" fontId="20" fillId="2" borderId="10" xfId="7" applyFont="1" applyBorder="1"/>
    <xf numFmtId="164" fontId="1" fillId="3" borderId="16" xfId="4" applyBorder="1" applyAlignment="1">
      <alignment horizontal="center" wrapText="1"/>
    </xf>
    <xf numFmtId="3" fontId="1" fillId="2" borderId="1" xfId="6" applyNumberFormat="1" applyBorder="1" applyAlignment="1">
      <alignment horizontal="center"/>
    </xf>
    <xf numFmtId="3" fontId="1" fillId="2" borderId="3" xfId="6" applyNumberFormat="1" applyBorder="1" applyAlignment="1">
      <alignment horizontal="center"/>
    </xf>
    <xf numFmtId="0" fontId="7" fillId="5" borderId="12" xfId="1" applyAlignment="1">
      <alignment wrapText="1"/>
    </xf>
    <xf numFmtId="0" fontId="0" fillId="2" borderId="0" xfId="0" applyAlignment="1">
      <alignment wrapText="1"/>
    </xf>
    <xf numFmtId="3" fontId="1" fillId="3" borderId="16" xfId="4" applyNumberFormat="1" applyBorder="1" applyAlignment="1">
      <alignment horizontal="center" wrapText="1"/>
    </xf>
    <xf numFmtId="9" fontId="12" fillId="2" borderId="16" xfId="17" applyFont="1" applyFill="1" applyBorder="1" applyAlignment="1">
      <alignment horizontal="center" wrapText="1"/>
    </xf>
    <xf numFmtId="164" fontId="12" fillId="2" borderId="16" xfId="7" applyNumberFormat="1" applyBorder="1" applyAlignment="1">
      <alignment horizontal="center" wrapText="1"/>
    </xf>
    <xf numFmtId="3" fontId="0" fillId="2" borderId="16" xfId="16" applyNumberFormat="1" applyFont="1" applyFill="1" applyBorder="1" applyAlignment="1">
      <alignment horizontal="center" wrapText="1"/>
    </xf>
    <xf numFmtId="3" fontId="1" fillId="3" borderId="1" xfId="4" applyNumberFormat="1" applyBorder="1" applyAlignment="1">
      <alignment horizontal="center" wrapText="1"/>
    </xf>
    <xf numFmtId="3" fontId="1" fillId="3" borderId="2" xfId="4" applyNumberFormat="1" applyBorder="1" applyAlignment="1">
      <alignment horizontal="center" wrapText="1"/>
    </xf>
    <xf numFmtId="3" fontId="1" fillId="3" borderId="3" xfId="4" applyNumberFormat="1" applyBorder="1" applyAlignment="1">
      <alignment horizontal="center" wrapText="1"/>
    </xf>
    <xf numFmtId="9" fontId="1" fillId="3" borderId="1" xfId="17" applyFill="1" applyBorder="1" applyAlignment="1">
      <alignment horizontal="center" wrapText="1"/>
    </xf>
    <xf numFmtId="9" fontId="1" fillId="2" borderId="3" xfId="17" applyFill="1" applyBorder="1" applyAlignment="1">
      <alignment horizontal="center" wrapText="1"/>
    </xf>
    <xf numFmtId="9" fontId="1" fillId="3" borderId="2" xfId="17" applyFill="1" applyBorder="1" applyAlignment="1">
      <alignment horizontal="center" wrapText="1"/>
    </xf>
    <xf numFmtId="9" fontId="1" fillId="3" borderId="3" xfId="17" applyFill="1" applyBorder="1" applyAlignment="1">
      <alignment horizontal="center" wrapText="1"/>
    </xf>
    <xf numFmtId="9" fontId="5" fillId="2" borderId="3" xfId="17" applyFont="1" applyFill="1" applyBorder="1" applyAlignment="1">
      <alignment horizontal="center" wrapText="1"/>
    </xf>
    <xf numFmtId="0" fontId="0" fillId="11" borderId="0" xfId="0" applyFill="1" applyBorder="1"/>
    <xf numFmtId="9" fontId="5" fillId="11" borderId="0" xfId="17" applyFont="1" applyFill="1" applyBorder="1" applyAlignment="1">
      <alignment wrapText="1"/>
    </xf>
    <xf numFmtId="0" fontId="8" fillId="4" borderId="13" xfId="2" applyBorder="1"/>
    <xf numFmtId="0" fontId="8" fillId="4" borderId="14" xfId="2" applyBorder="1"/>
    <xf numFmtId="0" fontId="8" fillId="4" borderId="15" xfId="2" applyBorder="1"/>
    <xf numFmtId="0" fontId="8" fillId="4" borderId="14" xfId="2" applyBorder="1" applyAlignment="1">
      <alignment wrapText="1"/>
    </xf>
    <xf numFmtId="0" fontId="0" fillId="11" borderId="6" xfId="0" applyFill="1" applyBorder="1"/>
    <xf numFmtId="0" fontId="0" fillId="11" borderId="5" xfId="0" applyFill="1" applyBorder="1"/>
    <xf numFmtId="0" fontId="0" fillId="11" borderId="7" xfId="0" applyFill="1" applyBorder="1"/>
    <xf numFmtId="0" fontId="0" fillId="11" borderId="8" xfId="0" applyFill="1" applyBorder="1"/>
    <xf numFmtId="0" fontId="5" fillId="11" borderId="0" xfId="0" applyFont="1" applyFill="1" applyBorder="1"/>
    <xf numFmtId="0" fontId="0" fillId="11" borderId="9" xfId="0" applyFill="1" applyBorder="1"/>
    <xf numFmtId="164" fontId="0" fillId="11" borderId="0" xfId="0" applyNumberFormat="1" applyFill="1" applyBorder="1"/>
    <xf numFmtId="0" fontId="0" fillId="11" borderId="10" xfId="0" applyFill="1" applyBorder="1"/>
    <xf numFmtId="0" fontId="0" fillId="11" borderId="4" xfId="0" applyFill="1" applyBorder="1"/>
    <xf numFmtId="0" fontId="0" fillId="11" borderId="11" xfId="0" applyFill="1" applyBorder="1"/>
    <xf numFmtId="0" fontId="0" fillId="11" borderId="5" xfId="0" applyFill="1" applyBorder="1" applyAlignment="1">
      <alignment wrapText="1"/>
    </xf>
    <xf numFmtId="0" fontId="0" fillId="11" borderId="0" xfId="0" applyFill="1" applyBorder="1" applyAlignment="1">
      <alignment wrapText="1"/>
    </xf>
    <xf numFmtId="0" fontId="0" fillId="11" borderId="4" xfId="0" applyFill="1" applyBorder="1" applyAlignment="1">
      <alignment wrapText="1"/>
    </xf>
    <xf numFmtId="9" fontId="1" fillId="2" borderId="1" xfId="17" applyFill="1" applyBorder="1"/>
    <xf numFmtId="3" fontId="1" fillId="2" borderId="2" xfId="6" applyNumberFormat="1" applyBorder="1"/>
    <xf numFmtId="9" fontId="1" fillId="2" borderId="6" xfId="17" applyFill="1" applyBorder="1"/>
    <xf numFmtId="3" fontId="5" fillId="2" borderId="14" xfId="0" applyNumberFormat="1" applyFont="1" applyBorder="1"/>
    <xf numFmtId="3" fontId="5" fillId="2" borderId="15" xfId="0" applyNumberFormat="1" applyFont="1" applyBorder="1"/>
    <xf numFmtId="14" fontId="0" fillId="2" borderId="7" xfId="0" quotePrefix="1" applyNumberFormat="1" applyBorder="1"/>
    <xf numFmtId="0" fontId="0" fillId="2" borderId="9" xfId="0" applyBorder="1" applyAlignment="1">
      <alignment wrapText="1"/>
    </xf>
    <xf numFmtId="0" fontId="0" fillId="2" borderId="9" xfId="0" applyBorder="1" applyAlignment="1">
      <alignment horizontal="left"/>
    </xf>
    <xf numFmtId="0" fontId="22" fillId="2" borderId="0" xfId="0" applyFont="1"/>
    <xf numFmtId="0" fontId="5" fillId="2" borderId="13" xfId="0" applyFont="1" applyBorder="1" applyAlignment="1">
      <alignment vertical="center"/>
    </xf>
    <xf numFmtId="0" fontId="0" fillId="2" borderId="15" xfId="0" applyBorder="1" applyAlignment="1">
      <alignment vertical="center" wrapText="1"/>
    </xf>
    <xf numFmtId="0" fontId="5" fillId="2" borderId="8" xfId="0" applyFont="1" applyBorder="1" applyAlignment="1">
      <alignment vertical="center"/>
    </xf>
    <xf numFmtId="0" fontId="0" fillId="2" borderId="9" xfId="0" applyBorder="1" applyAlignment="1">
      <alignment vertical="center" wrapText="1"/>
    </xf>
    <xf numFmtId="0" fontId="0" fillId="2" borderId="15" xfId="0" applyBorder="1" applyAlignment="1">
      <alignment vertical="center"/>
    </xf>
    <xf numFmtId="0" fontId="5" fillId="2" borderId="15" xfId="0" applyFont="1" applyBorder="1" applyAlignment="1">
      <alignment vertical="center"/>
    </xf>
    <xf numFmtId="9" fontId="1" fillId="3" borderId="2" xfId="4" applyNumberFormat="1" applyBorder="1" applyAlignment="1">
      <alignment horizontal="center" wrapText="1"/>
    </xf>
    <xf numFmtId="164" fontId="1" fillId="2" borderId="4" xfId="6" applyBorder="1" applyAlignment="1">
      <alignment horizontal="center"/>
    </xf>
    <xf numFmtId="164" fontId="1" fillId="2" borderId="11" xfId="6" applyBorder="1" applyAlignment="1">
      <alignment horizontal="center"/>
    </xf>
    <xf numFmtId="0" fontId="0" fillId="11" borderId="0" xfId="0" applyFill="1" applyAlignment="1">
      <alignment wrapText="1"/>
    </xf>
    <xf numFmtId="0" fontId="0" fillId="11" borderId="0" xfId="0" applyFill="1"/>
    <xf numFmtId="9" fontId="5" fillId="12" borderId="0" xfId="17" applyFont="1" applyFill="1" applyBorder="1" applyAlignment="1">
      <alignment wrapText="1"/>
    </xf>
    <xf numFmtId="0" fontId="0" fillId="12" borderId="0" xfId="0" applyFill="1" applyAlignment="1">
      <alignment wrapText="1"/>
    </xf>
    <xf numFmtId="0" fontId="5" fillId="2" borderId="2" xfId="0" applyFont="1" applyBorder="1"/>
    <xf numFmtId="3" fontId="12" fillId="2" borderId="1" xfId="7" applyBorder="1" applyAlignment="1">
      <alignment horizontal="center" wrapText="1"/>
    </xf>
    <xf numFmtId="3" fontId="12" fillId="2" borderId="2" xfId="7" applyBorder="1" applyAlignment="1">
      <alignment horizontal="center" wrapText="1"/>
    </xf>
    <xf numFmtId="3" fontId="12" fillId="2" borderId="3" xfId="7" applyBorder="1" applyAlignment="1">
      <alignment horizontal="center" wrapText="1"/>
    </xf>
    <xf numFmtId="9" fontId="12" fillId="2" borderId="2" xfId="17" applyFont="1" applyFill="1" applyBorder="1" applyAlignment="1">
      <alignment horizontal="center" wrapText="1"/>
    </xf>
    <xf numFmtId="9" fontId="12" fillId="2" borderId="1" xfId="17" applyFont="1" applyFill="1" applyBorder="1" applyAlignment="1">
      <alignment horizontal="center" wrapText="1"/>
    </xf>
    <xf numFmtId="9" fontId="12" fillId="2" borderId="3" xfId="17" applyFont="1" applyFill="1" applyBorder="1" applyAlignment="1">
      <alignment horizontal="center" wrapText="1"/>
    </xf>
    <xf numFmtId="0" fontId="2" fillId="4" borderId="0" xfId="3" applyAlignment="1">
      <alignment horizontal="center" wrapText="1"/>
    </xf>
    <xf numFmtId="0" fontId="2" fillId="4" borderId="0" xfId="3" applyAlignment="1">
      <alignment horizontal="center" vertical="center" wrapText="1"/>
    </xf>
    <xf numFmtId="9" fontId="5" fillId="11" borderId="0" xfId="17" applyFont="1" applyFill="1" applyBorder="1" applyAlignment="1">
      <alignment vertical="center" wrapText="1"/>
    </xf>
    <xf numFmtId="3" fontId="20" fillId="2" borderId="2" xfId="7" applyFont="1" applyBorder="1" applyAlignment="1">
      <alignment wrapText="1"/>
    </xf>
    <xf numFmtId="9" fontId="5" fillId="3" borderId="2" xfId="17" applyFont="1" applyFill="1" applyBorder="1"/>
    <xf numFmtId="3" fontId="20" fillId="2" borderId="2" xfId="7" applyFont="1" applyBorder="1"/>
    <xf numFmtId="166" fontId="5" fillId="3" borderId="2" xfId="17" applyNumberFormat="1" applyFont="1" applyFill="1" applyBorder="1"/>
    <xf numFmtId="0" fontId="5" fillId="2" borderId="15" xfId="0" applyFont="1" applyBorder="1"/>
    <xf numFmtId="0" fontId="4" fillId="2" borderId="0" xfId="14" applyBorder="1"/>
    <xf numFmtId="3" fontId="1" fillId="3" borderId="9" xfId="4" applyNumberFormat="1" applyBorder="1"/>
    <xf numFmtId="4" fontId="1" fillId="3" borderId="9" xfId="4" applyNumberFormat="1" applyBorder="1"/>
    <xf numFmtId="3" fontId="1" fillId="3" borderId="11" xfId="4" applyNumberFormat="1" applyBorder="1"/>
    <xf numFmtId="9" fontId="0" fillId="2" borderId="0" xfId="17" applyFont="1" applyFill="1"/>
    <xf numFmtId="0" fontId="0" fillId="2" borderId="11" xfId="0" applyBorder="1" applyAlignment="1">
      <alignment horizontal="center"/>
    </xf>
    <xf numFmtId="0" fontId="0" fillId="2" borderId="4" xfId="0" applyBorder="1" applyAlignment="1">
      <alignment horizontal="center"/>
    </xf>
    <xf numFmtId="0" fontId="0" fillId="2" borderId="1" xfId="0" applyBorder="1"/>
    <xf numFmtId="0" fontId="0" fillId="2" borderId="5" xfId="0" applyBorder="1" applyAlignment="1">
      <alignment horizontal="center" wrapText="1"/>
    </xf>
    <xf numFmtId="0" fontId="0" fillId="2" borderId="7" xfId="0" applyBorder="1" applyAlignment="1">
      <alignment horizontal="center" wrapText="1"/>
    </xf>
    <xf numFmtId="9" fontId="1" fillId="3" borderId="0" xfId="17" applyFill="1" applyBorder="1"/>
    <xf numFmtId="9" fontId="1" fillId="3" borderId="9" xfId="17" applyFill="1" applyBorder="1"/>
    <xf numFmtId="9" fontId="1" fillId="3" borderId="4" xfId="17" applyFill="1" applyBorder="1"/>
    <xf numFmtId="9" fontId="1" fillId="3" borderId="11" xfId="17" applyFill="1" applyBorder="1"/>
    <xf numFmtId="9" fontId="12" fillId="2" borderId="2" xfId="17" applyFont="1" applyFill="1" applyBorder="1"/>
    <xf numFmtId="9" fontId="1" fillId="2" borderId="2" xfId="17" applyFill="1" applyBorder="1"/>
    <xf numFmtId="9" fontId="1" fillId="2" borderId="3" xfId="17" applyFill="1" applyBorder="1"/>
    <xf numFmtId="0" fontId="23" fillId="2" borderId="0" xfId="0" applyFont="1"/>
    <xf numFmtId="164" fontId="1" fillId="2" borderId="16" xfId="6" applyBorder="1" applyAlignment="1">
      <alignment horizontal="center" wrapText="1"/>
    </xf>
    <xf numFmtId="9" fontId="1" fillId="2" borderId="16" xfId="17" applyFill="1" applyBorder="1" applyAlignment="1">
      <alignment horizontal="center" wrapText="1"/>
    </xf>
    <xf numFmtId="0" fontId="24" fillId="13" borderId="16" xfId="10" applyFont="1" applyFill="1" applyBorder="1" applyAlignment="1">
      <alignment horizontal="center" wrapText="1"/>
    </xf>
    <xf numFmtId="9" fontId="0" fillId="11" borderId="16" xfId="0" applyNumberFormat="1" applyFill="1" applyBorder="1" applyAlignment="1">
      <alignment horizontal="center"/>
    </xf>
    <xf numFmtId="0" fontId="21" fillId="2" borderId="0" xfId="0" applyFont="1" applyAlignment="1">
      <alignment horizontal="left" wrapText="1"/>
    </xf>
    <xf numFmtId="0" fontId="0" fillId="2" borderId="6" xfId="0" applyBorder="1" applyAlignment="1">
      <alignment horizontal="left" vertical="top" wrapText="1"/>
    </xf>
    <xf numFmtId="0" fontId="0" fillId="2" borderId="7" xfId="0" applyBorder="1" applyAlignment="1">
      <alignment horizontal="left" vertical="top" wrapText="1"/>
    </xf>
    <xf numFmtId="0" fontId="0" fillId="2" borderId="8" xfId="0" applyBorder="1" applyAlignment="1">
      <alignment horizontal="left" vertical="top" wrapText="1"/>
    </xf>
    <xf numFmtId="0" fontId="0" fillId="2" borderId="9" xfId="0" applyBorder="1" applyAlignment="1">
      <alignment horizontal="left" vertical="top" wrapText="1"/>
    </xf>
    <xf numFmtId="0" fontId="0" fillId="2" borderId="10" xfId="0" applyBorder="1" applyAlignment="1">
      <alignment horizontal="left" vertical="top" wrapText="1"/>
    </xf>
    <xf numFmtId="0" fontId="0" fillId="2" borderId="11" xfId="0" applyBorder="1" applyAlignment="1">
      <alignment horizontal="left" vertical="top" wrapText="1"/>
    </xf>
    <xf numFmtId="0" fontId="5" fillId="2" borderId="13" xfId="0" applyFont="1" applyBorder="1" applyAlignment="1">
      <alignment horizontal="center" wrapText="1"/>
    </xf>
    <xf numFmtId="0" fontId="5" fillId="2" borderId="15" xfId="0" applyFont="1" applyBorder="1" applyAlignment="1">
      <alignment horizontal="center" wrapText="1"/>
    </xf>
    <xf numFmtId="0" fontId="17" fillId="2" borderId="0" xfId="18" applyFill="1" applyBorder="1" applyAlignment="1">
      <alignment vertical="center"/>
    </xf>
  </cellXfs>
  <cellStyles count="19">
    <cellStyle name="Advarselstekst" xfId="15" builtinId="11" customBuiltin="1"/>
    <cellStyle name="Bemærk!" xfId="9" builtinId="10" customBuiltin="1"/>
    <cellStyle name="Beregning" xfId="6" builtinId="22" customBuiltin="1"/>
    <cellStyle name="Forklarende tekst" xfId="14" builtinId="53" customBuiltin="1"/>
    <cellStyle name="God" xfId="11" builtinId="26" hidden="1"/>
    <cellStyle name="Input" xfId="4" builtinId="20" customBuiltin="1"/>
    <cellStyle name="Kontrollér celle" xfId="8" builtinId="23" customBuiltin="1"/>
    <cellStyle name="Link" xfId="18" builtinId="8"/>
    <cellStyle name="Neutral" xfId="13" builtinId="28" hidden="1"/>
    <cellStyle name="Normal" xfId="0" builtinId="0" customBuiltin="1"/>
    <cellStyle name="Output" xfId="5" builtinId="21" customBuiltin="1"/>
    <cellStyle name="Overskrift 1" xfId="1" builtinId="16" customBuiltin="1"/>
    <cellStyle name="Overskrift 2" xfId="2" builtinId="17" customBuiltin="1"/>
    <cellStyle name="Overskrift 3" xfId="3" builtinId="18" customBuiltin="1"/>
    <cellStyle name="Procent" xfId="17" builtinId="5"/>
    <cellStyle name="Sammenkædet celle" xfId="7" builtinId="24" customBuiltin="1"/>
    <cellStyle name="Ugyldig" xfId="12" builtinId="27" hidden="1"/>
    <cellStyle name="User input" xfId="10" xr:uid="{3DA67DE5-82FE-44AC-8CFD-A6814C507317}"/>
    <cellStyle name="Valuta" xfId="16" builtinId="4"/>
  </cellStyles>
  <dxfs count="0"/>
  <tableStyles count="0" defaultTableStyle="TableStyleMedium2" defaultPivotStyle="PivotStyleLight16"/>
  <colors>
    <mruColors>
      <color rgb="FF0078E1"/>
      <color rgb="FF004161"/>
      <color rgb="FF002D3E"/>
      <color rgb="FFD87E00"/>
      <color rgb="FF00882F"/>
      <color rgb="FFF5CC00"/>
      <color rgb="FFD80000"/>
      <color rgb="FF0091AC"/>
      <color rgb="FF50842D"/>
      <color rgb="FF0087C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areaChart>
        <c:grouping val="standard"/>
        <c:varyColors val="0"/>
        <c:ser>
          <c:idx val="1"/>
          <c:order val="1"/>
          <c:tx>
            <c:strRef>
              <c:f>Calculations!$B$71</c:f>
              <c:strCache>
                <c:ptCount val="1"/>
                <c:pt idx="0">
                  <c:v>Accumulated cash flow after financing</c:v>
                </c:pt>
              </c:strCache>
            </c:strRef>
          </c:tx>
          <c:spPr>
            <a:solidFill>
              <a:schemeClr val="accent1">
                <a:lumMod val="40000"/>
                <a:lumOff val="60000"/>
              </a:schemeClr>
            </a:solidFill>
            <a:ln w="25400">
              <a:noFill/>
            </a:ln>
            <a:effectLst/>
          </c:spPr>
          <c:cat>
            <c:numRef>
              <c:f>Calculations!$F$5:$Q$5</c:f>
              <c:numCache>
                <c:formatCode>General</c:formatCode>
                <c:ptCount val="12"/>
                <c:pt idx="0">
                  <c:v>1</c:v>
                </c:pt>
                <c:pt idx="1">
                  <c:v>2</c:v>
                </c:pt>
                <c:pt idx="2">
                  <c:v>3</c:v>
                </c:pt>
                <c:pt idx="3">
                  <c:v>4</c:v>
                </c:pt>
                <c:pt idx="4">
                  <c:v>5</c:v>
                </c:pt>
                <c:pt idx="5">
                  <c:v>6</c:v>
                </c:pt>
                <c:pt idx="6">
                  <c:v>7</c:v>
                </c:pt>
                <c:pt idx="7">
                  <c:v>8</c:v>
                </c:pt>
                <c:pt idx="8">
                  <c:v>9</c:v>
                </c:pt>
                <c:pt idx="9">
                  <c:v>10</c:v>
                </c:pt>
                <c:pt idx="10">
                  <c:v>11</c:v>
                </c:pt>
                <c:pt idx="11">
                  <c:v>12</c:v>
                </c:pt>
              </c:numCache>
            </c:numRef>
          </c:cat>
          <c:val>
            <c:numRef>
              <c:f>Calculations!$F$71:$Q$71</c:f>
              <c:numCache>
                <c:formatCode>#,##0</c:formatCode>
                <c:ptCount val="12"/>
                <c:pt idx="0">
                  <c:v>-400</c:v>
                </c:pt>
                <c:pt idx="1">
                  <c:v>-800</c:v>
                </c:pt>
                <c:pt idx="2">
                  <c:v>-164.57235683592455</c:v>
                </c:pt>
                <c:pt idx="3">
                  <c:v>489.53905588380064</c:v>
                </c:pt>
                <c:pt idx="4">
                  <c:v>1162.3342381591756</c:v>
                </c:pt>
                <c:pt idx="5">
                  <c:v>1853.8131899902003</c:v>
                </c:pt>
                <c:pt idx="6">
                  <c:v>2563.9759113768746</c:v>
                </c:pt>
                <c:pt idx="7">
                  <c:v>3292.8224023191988</c:v>
                </c:pt>
                <c:pt idx="8">
                  <c:v>4040.3526628171726</c:v>
                </c:pt>
                <c:pt idx="9">
                  <c:v>4806.566692870796</c:v>
                </c:pt>
                <c:pt idx="10">
                  <c:v>5591.4644924800696</c:v>
                </c:pt>
                <c:pt idx="11">
                  <c:v>6395.0460616449927</c:v>
                </c:pt>
              </c:numCache>
            </c:numRef>
          </c:val>
          <c:extLst>
            <c:ext xmlns:c16="http://schemas.microsoft.com/office/drawing/2014/chart" uri="{C3380CC4-5D6E-409C-BE32-E72D297353CC}">
              <c16:uniqueId val="{00000000-F41A-4959-9355-FF22A75F2B0D}"/>
            </c:ext>
          </c:extLst>
        </c:ser>
        <c:dLbls>
          <c:showLegendKey val="0"/>
          <c:showVal val="0"/>
          <c:showCatName val="0"/>
          <c:showSerName val="0"/>
          <c:showPercent val="0"/>
          <c:showBubbleSize val="0"/>
        </c:dLbls>
        <c:axId val="643483440"/>
        <c:axId val="643481776"/>
      </c:areaChart>
      <c:barChart>
        <c:barDir val="col"/>
        <c:grouping val="clustered"/>
        <c:varyColors val="0"/>
        <c:ser>
          <c:idx val="0"/>
          <c:order val="0"/>
          <c:tx>
            <c:strRef>
              <c:f>Calculations!$B$69</c:f>
              <c:strCache>
                <c:ptCount val="1"/>
                <c:pt idx="0">
                  <c:v>Cash flow after financing</c:v>
                </c:pt>
              </c:strCache>
            </c:strRef>
          </c:tx>
          <c:spPr>
            <a:solidFill>
              <a:srgbClr val="0078E1"/>
            </a:solidFill>
            <a:ln>
              <a:solidFill>
                <a:srgbClr val="0078E1"/>
              </a:solidFill>
            </a:ln>
            <a:effectLst/>
          </c:spPr>
          <c:invertIfNegative val="0"/>
          <c:cat>
            <c:numRef>
              <c:f>Calculations!$F$5:$Q$5</c:f>
              <c:numCache>
                <c:formatCode>General</c:formatCode>
                <c:ptCount val="12"/>
                <c:pt idx="0">
                  <c:v>1</c:v>
                </c:pt>
                <c:pt idx="1">
                  <c:v>2</c:v>
                </c:pt>
                <c:pt idx="2">
                  <c:v>3</c:v>
                </c:pt>
                <c:pt idx="3">
                  <c:v>4</c:v>
                </c:pt>
                <c:pt idx="4">
                  <c:v>5</c:v>
                </c:pt>
                <c:pt idx="5">
                  <c:v>6</c:v>
                </c:pt>
                <c:pt idx="6">
                  <c:v>7</c:v>
                </c:pt>
                <c:pt idx="7">
                  <c:v>8</c:v>
                </c:pt>
                <c:pt idx="8">
                  <c:v>9</c:v>
                </c:pt>
                <c:pt idx="9">
                  <c:v>10</c:v>
                </c:pt>
                <c:pt idx="10">
                  <c:v>11</c:v>
                </c:pt>
                <c:pt idx="11">
                  <c:v>12</c:v>
                </c:pt>
              </c:numCache>
            </c:numRef>
          </c:cat>
          <c:val>
            <c:numRef>
              <c:f>Calculations!$F$69:$Q$69</c:f>
              <c:numCache>
                <c:formatCode>#,##0</c:formatCode>
                <c:ptCount val="12"/>
                <c:pt idx="0">
                  <c:v>-400</c:v>
                </c:pt>
                <c:pt idx="1">
                  <c:v>-400</c:v>
                </c:pt>
                <c:pt idx="2">
                  <c:v>635.42764316407545</c:v>
                </c:pt>
                <c:pt idx="3">
                  <c:v>654.11141271972519</c:v>
                </c:pt>
                <c:pt idx="4">
                  <c:v>672.79518227537483</c:v>
                </c:pt>
                <c:pt idx="5">
                  <c:v>691.47895183102469</c:v>
                </c:pt>
                <c:pt idx="6">
                  <c:v>710.16272138667432</c:v>
                </c:pt>
                <c:pt idx="7">
                  <c:v>728.84649094232418</c:v>
                </c:pt>
                <c:pt idx="8">
                  <c:v>747.53026049797381</c:v>
                </c:pt>
                <c:pt idx="9">
                  <c:v>766.21403005362367</c:v>
                </c:pt>
                <c:pt idx="10">
                  <c:v>784.89779960927342</c:v>
                </c:pt>
                <c:pt idx="11">
                  <c:v>803.58156916492317</c:v>
                </c:pt>
              </c:numCache>
            </c:numRef>
          </c:val>
          <c:extLst>
            <c:ext xmlns:c16="http://schemas.microsoft.com/office/drawing/2014/chart" uri="{C3380CC4-5D6E-409C-BE32-E72D297353CC}">
              <c16:uniqueId val="{00000001-F41A-4959-9355-FF22A75F2B0D}"/>
            </c:ext>
          </c:extLst>
        </c:ser>
        <c:dLbls>
          <c:showLegendKey val="0"/>
          <c:showVal val="0"/>
          <c:showCatName val="0"/>
          <c:showSerName val="0"/>
          <c:showPercent val="0"/>
          <c:showBubbleSize val="0"/>
        </c:dLbls>
        <c:gapWidth val="219"/>
        <c:axId val="643483440"/>
        <c:axId val="643481776"/>
      </c:barChart>
      <c:catAx>
        <c:axId val="643483440"/>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a-DK"/>
          </a:p>
        </c:txPr>
        <c:crossAx val="643481776"/>
        <c:crosses val="autoZero"/>
        <c:auto val="1"/>
        <c:lblAlgn val="ctr"/>
        <c:lblOffset val="100"/>
        <c:noMultiLvlLbl val="0"/>
      </c:catAx>
      <c:valAx>
        <c:axId val="643481776"/>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VND million</a:t>
                </a:r>
              </a:p>
            </c:rich>
          </c:tx>
          <c:layout>
            <c:manualLayout>
              <c:xMode val="edge"/>
              <c:yMode val="edge"/>
              <c:x val="1.9444444444444445E-2"/>
              <c:y val="0.2515189964371275"/>
            </c:manualLayout>
          </c:layout>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a-DK"/>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a-DK"/>
          </a:p>
        </c:txPr>
        <c:crossAx val="64348344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a-DK"/>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da-DK"/>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areaChart>
        <c:grouping val="standard"/>
        <c:varyColors val="0"/>
        <c:ser>
          <c:idx val="1"/>
          <c:order val="1"/>
          <c:tx>
            <c:strRef>
              <c:f>Calculations!$B$57</c:f>
              <c:strCache>
                <c:ptCount val="1"/>
                <c:pt idx="0">
                  <c:v>Accumulated cash flow before financing</c:v>
                </c:pt>
              </c:strCache>
            </c:strRef>
          </c:tx>
          <c:spPr>
            <a:solidFill>
              <a:schemeClr val="accent1">
                <a:lumMod val="40000"/>
                <a:lumOff val="60000"/>
              </a:schemeClr>
            </a:solidFill>
            <a:ln>
              <a:noFill/>
            </a:ln>
            <a:effectLst/>
          </c:spPr>
          <c:cat>
            <c:numRef>
              <c:f>Calculations!$F$5:$Q$5</c:f>
              <c:numCache>
                <c:formatCode>General</c:formatCode>
                <c:ptCount val="12"/>
                <c:pt idx="0">
                  <c:v>1</c:v>
                </c:pt>
                <c:pt idx="1">
                  <c:v>2</c:v>
                </c:pt>
                <c:pt idx="2">
                  <c:v>3</c:v>
                </c:pt>
                <c:pt idx="3">
                  <c:v>4</c:v>
                </c:pt>
                <c:pt idx="4">
                  <c:v>5</c:v>
                </c:pt>
                <c:pt idx="5">
                  <c:v>6</c:v>
                </c:pt>
                <c:pt idx="6">
                  <c:v>7</c:v>
                </c:pt>
                <c:pt idx="7">
                  <c:v>8</c:v>
                </c:pt>
                <c:pt idx="8">
                  <c:v>9</c:v>
                </c:pt>
                <c:pt idx="9">
                  <c:v>10</c:v>
                </c:pt>
                <c:pt idx="10">
                  <c:v>11</c:v>
                </c:pt>
                <c:pt idx="11">
                  <c:v>12</c:v>
                </c:pt>
              </c:numCache>
            </c:numRef>
          </c:cat>
          <c:val>
            <c:numRef>
              <c:f>Calculations!$F$57:$Q$57</c:f>
              <c:numCache>
                <c:formatCode>#,##0</c:formatCode>
                <c:ptCount val="12"/>
                <c:pt idx="0">
                  <c:v>-400</c:v>
                </c:pt>
                <c:pt idx="1">
                  <c:v>-3469.1099365213945</c:v>
                </c:pt>
                <c:pt idx="2">
                  <c:v>-2428.867286318241</c:v>
                </c:pt>
                <c:pt idx="3">
                  <c:v>-1388.6246361150875</c:v>
                </c:pt>
                <c:pt idx="4">
                  <c:v>-348.38198591193395</c:v>
                </c:pt>
                <c:pt idx="5">
                  <c:v>691.86066429121956</c:v>
                </c:pt>
                <c:pt idx="6">
                  <c:v>1732.1033144943731</c:v>
                </c:pt>
                <c:pt idx="7">
                  <c:v>2772.3459646975266</c:v>
                </c:pt>
                <c:pt idx="8">
                  <c:v>3812.5886149006801</c:v>
                </c:pt>
                <c:pt idx="9">
                  <c:v>4852.8312651038341</c:v>
                </c:pt>
                <c:pt idx="10">
                  <c:v>5893.0739153069881</c:v>
                </c:pt>
                <c:pt idx="11">
                  <c:v>6933.316565510142</c:v>
                </c:pt>
              </c:numCache>
            </c:numRef>
          </c:val>
          <c:extLst>
            <c:ext xmlns:c16="http://schemas.microsoft.com/office/drawing/2014/chart" uri="{C3380CC4-5D6E-409C-BE32-E72D297353CC}">
              <c16:uniqueId val="{00000000-EC9C-41C2-A76C-7E898AC997D2}"/>
            </c:ext>
          </c:extLst>
        </c:ser>
        <c:dLbls>
          <c:showLegendKey val="0"/>
          <c:showVal val="0"/>
          <c:showCatName val="0"/>
          <c:showSerName val="0"/>
          <c:showPercent val="0"/>
          <c:showBubbleSize val="0"/>
        </c:dLbls>
        <c:axId val="643483440"/>
        <c:axId val="643481776"/>
      </c:areaChart>
      <c:barChart>
        <c:barDir val="col"/>
        <c:grouping val="clustered"/>
        <c:varyColors val="0"/>
        <c:ser>
          <c:idx val="0"/>
          <c:order val="0"/>
          <c:tx>
            <c:strRef>
              <c:f>Calculations!$B$55</c:f>
              <c:strCache>
                <c:ptCount val="1"/>
                <c:pt idx="0">
                  <c:v>Cash flow before financing</c:v>
                </c:pt>
              </c:strCache>
            </c:strRef>
          </c:tx>
          <c:spPr>
            <a:solidFill>
              <a:srgbClr val="0078E1"/>
            </a:solidFill>
            <a:ln>
              <a:solidFill>
                <a:srgbClr val="0078E1"/>
              </a:solidFill>
            </a:ln>
            <a:effectLst/>
          </c:spPr>
          <c:invertIfNegative val="0"/>
          <c:cat>
            <c:numRef>
              <c:f>Calculations!$F$5:$Q$5</c:f>
              <c:numCache>
                <c:formatCode>General</c:formatCode>
                <c:ptCount val="12"/>
                <c:pt idx="0">
                  <c:v>1</c:v>
                </c:pt>
                <c:pt idx="1">
                  <c:v>2</c:v>
                </c:pt>
                <c:pt idx="2">
                  <c:v>3</c:v>
                </c:pt>
                <c:pt idx="3">
                  <c:v>4</c:v>
                </c:pt>
                <c:pt idx="4">
                  <c:v>5</c:v>
                </c:pt>
                <c:pt idx="5">
                  <c:v>6</c:v>
                </c:pt>
                <c:pt idx="6">
                  <c:v>7</c:v>
                </c:pt>
                <c:pt idx="7">
                  <c:v>8</c:v>
                </c:pt>
                <c:pt idx="8">
                  <c:v>9</c:v>
                </c:pt>
                <c:pt idx="9">
                  <c:v>10</c:v>
                </c:pt>
                <c:pt idx="10">
                  <c:v>11</c:v>
                </c:pt>
                <c:pt idx="11">
                  <c:v>12</c:v>
                </c:pt>
              </c:numCache>
            </c:numRef>
          </c:cat>
          <c:val>
            <c:numRef>
              <c:f>Calculations!$F$55:$Q$55</c:f>
              <c:numCache>
                <c:formatCode>#,##0</c:formatCode>
                <c:ptCount val="12"/>
                <c:pt idx="0">
                  <c:v>-400</c:v>
                </c:pt>
                <c:pt idx="1">
                  <c:v>-3069.1099365213945</c:v>
                </c:pt>
                <c:pt idx="2">
                  <c:v>1040.2426502031535</c:v>
                </c:pt>
                <c:pt idx="3">
                  <c:v>1040.2426502031535</c:v>
                </c:pt>
                <c:pt idx="4">
                  <c:v>1040.2426502031535</c:v>
                </c:pt>
                <c:pt idx="5">
                  <c:v>1040.2426502031535</c:v>
                </c:pt>
                <c:pt idx="6">
                  <c:v>1040.2426502031535</c:v>
                </c:pt>
                <c:pt idx="7">
                  <c:v>1040.2426502031535</c:v>
                </c:pt>
                <c:pt idx="8">
                  <c:v>1040.2426502031535</c:v>
                </c:pt>
                <c:pt idx="9">
                  <c:v>1040.2426502031535</c:v>
                </c:pt>
                <c:pt idx="10">
                  <c:v>1040.2426502031535</c:v>
                </c:pt>
                <c:pt idx="11">
                  <c:v>1040.2426502031535</c:v>
                </c:pt>
              </c:numCache>
            </c:numRef>
          </c:val>
          <c:extLst>
            <c:ext xmlns:c16="http://schemas.microsoft.com/office/drawing/2014/chart" uri="{C3380CC4-5D6E-409C-BE32-E72D297353CC}">
              <c16:uniqueId val="{00000001-EC9C-41C2-A76C-7E898AC997D2}"/>
            </c:ext>
          </c:extLst>
        </c:ser>
        <c:dLbls>
          <c:showLegendKey val="0"/>
          <c:showVal val="0"/>
          <c:showCatName val="0"/>
          <c:showSerName val="0"/>
          <c:showPercent val="0"/>
          <c:showBubbleSize val="0"/>
        </c:dLbls>
        <c:gapWidth val="219"/>
        <c:axId val="643483440"/>
        <c:axId val="643481776"/>
      </c:barChart>
      <c:catAx>
        <c:axId val="643483440"/>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a-DK"/>
          </a:p>
        </c:txPr>
        <c:crossAx val="643481776"/>
        <c:crosses val="autoZero"/>
        <c:auto val="1"/>
        <c:lblAlgn val="ctr"/>
        <c:lblOffset val="100"/>
        <c:noMultiLvlLbl val="0"/>
      </c:catAx>
      <c:valAx>
        <c:axId val="643481776"/>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VND million</a:t>
                </a:r>
              </a:p>
            </c:rich>
          </c:tx>
          <c:layout>
            <c:manualLayout>
              <c:xMode val="edge"/>
              <c:yMode val="edge"/>
              <c:x val="1.9444444444444445E-2"/>
              <c:y val="0.2515189964371275"/>
            </c:manualLayout>
          </c:layout>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a-DK"/>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a-DK"/>
          </a:p>
        </c:txPr>
        <c:crossAx val="64348344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a-DK"/>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da-DK"/>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areaChart>
        <c:grouping val="standard"/>
        <c:varyColors val="0"/>
        <c:ser>
          <c:idx val="1"/>
          <c:order val="1"/>
          <c:tx>
            <c:strRef>
              <c:f>Calculations!$B$71</c:f>
              <c:strCache>
                <c:ptCount val="1"/>
                <c:pt idx="0">
                  <c:v>Accumulated cash flow after financing</c:v>
                </c:pt>
              </c:strCache>
            </c:strRef>
          </c:tx>
          <c:spPr>
            <a:solidFill>
              <a:schemeClr val="accent1">
                <a:lumMod val="40000"/>
                <a:lumOff val="60000"/>
              </a:schemeClr>
            </a:solidFill>
            <a:ln w="25400">
              <a:noFill/>
            </a:ln>
            <a:effectLst/>
          </c:spPr>
          <c:val>
            <c:numRef>
              <c:f>Calculations!$F$71:$Q$71</c:f>
              <c:numCache>
                <c:formatCode>#,##0</c:formatCode>
                <c:ptCount val="12"/>
                <c:pt idx="0">
                  <c:v>-400</c:v>
                </c:pt>
                <c:pt idx="1">
                  <c:v>-800</c:v>
                </c:pt>
                <c:pt idx="2">
                  <c:v>-164.57235683592455</c:v>
                </c:pt>
                <c:pt idx="3">
                  <c:v>489.53905588380064</c:v>
                </c:pt>
                <c:pt idx="4">
                  <c:v>1162.3342381591756</c:v>
                </c:pt>
                <c:pt idx="5">
                  <c:v>1853.8131899902003</c:v>
                </c:pt>
                <c:pt idx="6">
                  <c:v>2563.9759113768746</c:v>
                </c:pt>
                <c:pt idx="7">
                  <c:v>3292.8224023191988</c:v>
                </c:pt>
                <c:pt idx="8">
                  <c:v>4040.3526628171726</c:v>
                </c:pt>
                <c:pt idx="9">
                  <c:v>4806.566692870796</c:v>
                </c:pt>
                <c:pt idx="10">
                  <c:v>5591.4644924800696</c:v>
                </c:pt>
                <c:pt idx="11">
                  <c:v>6395.0460616449927</c:v>
                </c:pt>
              </c:numCache>
            </c:numRef>
          </c:val>
          <c:extLst>
            <c:ext xmlns:c16="http://schemas.microsoft.com/office/drawing/2014/chart" uri="{C3380CC4-5D6E-409C-BE32-E72D297353CC}">
              <c16:uniqueId val="{00000000-D612-4404-B8CE-033FE4FB6504}"/>
            </c:ext>
          </c:extLst>
        </c:ser>
        <c:dLbls>
          <c:showLegendKey val="0"/>
          <c:showVal val="0"/>
          <c:showCatName val="0"/>
          <c:showSerName val="0"/>
          <c:showPercent val="0"/>
          <c:showBubbleSize val="0"/>
        </c:dLbls>
        <c:axId val="643483440"/>
        <c:axId val="643481776"/>
      </c:areaChart>
      <c:barChart>
        <c:barDir val="col"/>
        <c:grouping val="clustered"/>
        <c:varyColors val="0"/>
        <c:ser>
          <c:idx val="0"/>
          <c:order val="0"/>
          <c:tx>
            <c:strRef>
              <c:f>Calculations!$B$69</c:f>
              <c:strCache>
                <c:ptCount val="1"/>
                <c:pt idx="0">
                  <c:v>Cash flow after financing</c:v>
                </c:pt>
              </c:strCache>
            </c:strRef>
          </c:tx>
          <c:spPr>
            <a:solidFill>
              <a:srgbClr val="0078E1"/>
            </a:solidFill>
            <a:ln>
              <a:solidFill>
                <a:srgbClr val="0078E1"/>
              </a:solidFill>
            </a:ln>
            <a:effectLst/>
          </c:spPr>
          <c:invertIfNegative val="0"/>
          <c:cat>
            <c:numRef>
              <c:f>Calculations!$F$5:$P$5</c:f>
              <c:numCache>
                <c:formatCode>General</c:formatCode>
                <c:ptCount val="11"/>
                <c:pt idx="0">
                  <c:v>1</c:v>
                </c:pt>
                <c:pt idx="1">
                  <c:v>2</c:v>
                </c:pt>
                <c:pt idx="2">
                  <c:v>3</c:v>
                </c:pt>
                <c:pt idx="3">
                  <c:v>4</c:v>
                </c:pt>
                <c:pt idx="4">
                  <c:v>5</c:v>
                </c:pt>
                <c:pt idx="5">
                  <c:v>6</c:v>
                </c:pt>
                <c:pt idx="6">
                  <c:v>7</c:v>
                </c:pt>
                <c:pt idx="7">
                  <c:v>8</c:v>
                </c:pt>
                <c:pt idx="8">
                  <c:v>9</c:v>
                </c:pt>
                <c:pt idx="9">
                  <c:v>10</c:v>
                </c:pt>
                <c:pt idx="10">
                  <c:v>11</c:v>
                </c:pt>
              </c:numCache>
            </c:numRef>
          </c:cat>
          <c:val>
            <c:numRef>
              <c:f>Calculations!$F$69:$Q$69</c:f>
              <c:numCache>
                <c:formatCode>#,##0</c:formatCode>
                <c:ptCount val="12"/>
                <c:pt idx="0">
                  <c:v>-400</c:v>
                </c:pt>
                <c:pt idx="1">
                  <c:v>-400</c:v>
                </c:pt>
                <c:pt idx="2">
                  <c:v>635.42764316407545</c:v>
                </c:pt>
                <c:pt idx="3">
                  <c:v>654.11141271972519</c:v>
                </c:pt>
                <c:pt idx="4">
                  <c:v>672.79518227537483</c:v>
                </c:pt>
                <c:pt idx="5">
                  <c:v>691.47895183102469</c:v>
                </c:pt>
                <c:pt idx="6">
                  <c:v>710.16272138667432</c:v>
                </c:pt>
                <c:pt idx="7">
                  <c:v>728.84649094232418</c:v>
                </c:pt>
                <c:pt idx="8">
                  <c:v>747.53026049797381</c:v>
                </c:pt>
                <c:pt idx="9">
                  <c:v>766.21403005362367</c:v>
                </c:pt>
                <c:pt idx="10">
                  <c:v>784.89779960927342</c:v>
                </c:pt>
                <c:pt idx="11">
                  <c:v>803.58156916492317</c:v>
                </c:pt>
              </c:numCache>
            </c:numRef>
          </c:val>
          <c:extLst>
            <c:ext xmlns:c16="http://schemas.microsoft.com/office/drawing/2014/chart" uri="{C3380CC4-5D6E-409C-BE32-E72D297353CC}">
              <c16:uniqueId val="{00000001-D612-4404-B8CE-033FE4FB6504}"/>
            </c:ext>
          </c:extLst>
        </c:ser>
        <c:dLbls>
          <c:showLegendKey val="0"/>
          <c:showVal val="0"/>
          <c:showCatName val="0"/>
          <c:showSerName val="0"/>
          <c:showPercent val="0"/>
          <c:showBubbleSize val="0"/>
        </c:dLbls>
        <c:gapWidth val="219"/>
        <c:axId val="643483440"/>
        <c:axId val="643481776"/>
      </c:barChart>
      <c:catAx>
        <c:axId val="643483440"/>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a-DK"/>
          </a:p>
        </c:txPr>
        <c:crossAx val="643481776"/>
        <c:crosses val="autoZero"/>
        <c:auto val="1"/>
        <c:lblAlgn val="ctr"/>
        <c:lblOffset val="100"/>
        <c:noMultiLvlLbl val="0"/>
      </c:catAx>
      <c:valAx>
        <c:axId val="643481776"/>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VND million</a:t>
                </a:r>
              </a:p>
            </c:rich>
          </c:tx>
          <c:layout>
            <c:manualLayout>
              <c:xMode val="edge"/>
              <c:yMode val="edge"/>
              <c:x val="1.9444444444444445E-2"/>
              <c:y val="0.2515189964371275"/>
            </c:manualLayout>
          </c:layout>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a-DK"/>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a-DK"/>
          </a:p>
        </c:txPr>
        <c:crossAx val="64348344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a-DK"/>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da-DK"/>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areaChart>
        <c:grouping val="standard"/>
        <c:varyColors val="0"/>
        <c:ser>
          <c:idx val="1"/>
          <c:order val="1"/>
          <c:tx>
            <c:strRef>
              <c:f>Calculations!$B$57</c:f>
              <c:strCache>
                <c:ptCount val="1"/>
                <c:pt idx="0">
                  <c:v>Accumulated cash flow before financing</c:v>
                </c:pt>
              </c:strCache>
            </c:strRef>
          </c:tx>
          <c:spPr>
            <a:solidFill>
              <a:schemeClr val="accent1">
                <a:lumMod val="40000"/>
                <a:lumOff val="60000"/>
              </a:schemeClr>
            </a:solidFill>
            <a:ln>
              <a:noFill/>
            </a:ln>
            <a:effectLst/>
          </c:spPr>
          <c:val>
            <c:numRef>
              <c:f>Calculations!$F$57:$Q$57</c:f>
              <c:numCache>
                <c:formatCode>#,##0</c:formatCode>
                <c:ptCount val="12"/>
                <c:pt idx="0">
                  <c:v>-400</c:v>
                </c:pt>
                <c:pt idx="1">
                  <c:v>-3469.1099365213945</c:v>
                </c:pt>
                <c:pt idx="2">
                  <c:v>-2428.867286318241</c:v>
                </c:pt>
                <c:pt idx="3">
                  <c:v>-1388.6246361150875</c:v>
                </c:pt>
                <c:pt idx="4">
                  <c:v>-348.38198591193395</c:v>
                </c:pt>
                <c:pt idx="5">
                  <c:v>691.86066429121956</c:v>
                </c:pt>
                <c:pt idx="6">
                  <c:v>1732.1033144943731</c:v>
                </c:pt>
                <c:pt idx="7">
                  <c:v>2772.3459646975266</c:v>
                </c:pt>
                <c:pt idx="8">
                  <c:v>3812.5886149006801</c:v>
                </c:pt>
                <c:pt idx="9">
                  <c:v>4852.8312651038341</c:v>
                </c:pt>
                <c:pt idx="10">
                  <c:v>5893.0739153069881</c:v>
                </c:pt>
                <c:pt idx="11">
                  <c:v>6933.316565510142</c:v>
                </c:pt>
              </c:numCache>
            </c:numRef>
          </c:val>
          <c:extLst>
            <c:ext xmlns:c16="http://schemas.microsoft.com/office/drawing/2014/chart" uri="{C3380CC4-5D6E-409C-BE32-E72D297353CC}">
              <c16:uniqueId val="{00000000-87E6-460E-A060-0190D014D734}"/>
            </c:ext>
          </c:extLst>
        </c:ser>
        <c:dLbls>
          <c:showLegendKey val="0"/>
          <c:showVal val="0"/>
          <c:showCatName val="0"/>
          <c:showSerName val="0"/>
          <c:showPercent val="0"/>
          <c:showBubbleSize val="0"/>
        </c:dLbls>
        <c:axId val="643483440"/>
        <c:axId val="643481776"/>
      </c:areaChart>
      <c:barChart>
        <c:barDir val="col"/>
        <c:grouping val="clustered"/>
        <c:varyColors val="0"/>
        <c:ser>
          <c:idx val="0"/>
          <c:order val="0"/>
          <c:tx>
            <c:strRef>
              <c:f>Calculations!$B$55</c:f>
              <c:strCache>
                <c:ptCount val="1"/>
                <c:pt idx="0">
                  <c:v>Cash flow before financing</c:v>
                </c:pt>
              </c:strCache>
            </c:strRef>
          </c:tx>
          <c:spPr>
            <a:solidFill>
              <a:srgbClr val="0078E1"/>
            </a:solidFill>
            <a:ln>
              <a:solidFill>
                <a:srgbClr val="0078E1"/>
              </a:solidFill>
            </a:ln>
            <a:effectLst/>
          </c:spPr>
          <c:invertIfNegative val="0"/>
          <c:cat>
            <c:numRef>
              <c:f>Calculations!$F$5:$P$5</c:f>
              <c:numCache>
                <c:formatCode>General</c:formatCode>
                <c:ptCount val="11"/>
                <c:pt idx="0">
                  <c:v>1</c:v>
                </c:pt>
                <c:pt idx="1">
                  <c:v>2</c:v>
                </c:pt>
                <c:pt idx="2">
                  <c:v>3</c:v>
                </c:pt>
                <c:pt idx="3">
                  <c:v>4</c:v>
                </c:pt>
                <c:pt idx="4">
                  <c:v>5</c:v>
                </c:pt>
                <c:pt idx="5">
                  <c:v>6</c:v>
                </c:pt>
                <c:pt idx="6">
                  <c:v>7</c:v>
                </c:pt>
                <c:pt idx="7">
                  <c:v>8</c:v>
                </c:pt>
                <c:pt idx="8">
                  <c:v>9</c:v>
                </c:pt>
                <c:pt idx="9">
                  <c:v>10</c:v>
                </c:pt>
                <c:pt idx="10">
                  <c:v>11</c:v>
                </c:pt>
              </c:numCache>
            </c:numRef>
          </c:cat>
          <c:val>
            <c:numRef>
              <c:f>Calculations!$F$55:$Q$55</c:f>
              <c:numCache>
                <c:formatCode>#,##0</c:formatCode>
                <c:ptCount val="12"/>
                <c:pt idx="0">
                  <c:v>-400</c:v>
                </c:pt>
                <c:pt idx="1">
                  <c:v>-3069.1099365213945</c:v>
                </c:pt>
                <c:pt idx="2">
                  <c:v>1040.2426502031535</c:v>
                </c:pt>
                <c:pt idx="3">
                  <c:v>1040.2426502031535</c:v>
                </c:pt>
                <c:pt idx="4">
                  <c:v>1040.2426502031535</c:v>
                </c:pt>
                <c:pt idx="5">
                  <c:v>1040.2426502031535</c:v>
                </c:pt>
                <c:pt idx="6">
                  <c:v>1040.2426502031535</c:v>
                </c:pt>
                <c:pt idx="7">
                  <c:v>1040.2426502031535</c:v>
                </c:pt>
                <c:pt idx="8">
                  <c:v>1040.2426502031535</c:v>
                </c:pt>
                <c:pt idx="9">
                  <c:v>1040.2426502031535</c:v>
                </c:pt>
                <c:pt idx="10">
                  <c:v>1040.2426502031535</c:v>
                </c:pt>
                <c:pt idx="11">
                  <c:v>1040.2426502031535</c:v>
                </c:pt>
              </c:numCache>
            </c:numRef>
          </c:val>
          <c:extLst>
            <c:ext xmlns:c16="http://schemas.microsoft.com/office/drawing/2014/chart" uri="{C3380CC4-5D6E-409C-BE32-E72D297353CC}">
              <c16:uniqueId val="{00000001-87E6-460E-A060-0190D014D734}"/>
            </c:ext>
          </c:extLst>
        </c:ser>
        <c:dLbls>
          <c:showLegendKey val="0"/>
          <c:showVal val="0"/>
          <c:showCatName val="0"/>
          <c:showSerName val="0"/>
          <c:showPercent val="0"/>
          <c:showBubbleSize val="0"/>
        </c:dLbls>
        <c:gapWidth val="219"/>
        <c:axId val="643483440"/>
        <c:axId val="643481776"/>
      </c:barChart>
      <c:catAx>
        <c:axId val="643483440"/>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a-DK"/>
          </a:p>
        </c:txPr>
        <c:crossAx val="643481776"/>
        <c:crosses val="autoZero"/>
        <c:auto val="1"/>
        <c:lblAlgn val="ctr"/>
        <c:lblOffset val="100"/>
        <c:noMultiLvlLbl val="0"/>
      </c:catAx>
      <c:valAx>
        <c:axId val="643481776"/>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VND million</a:t>
                </a:r>
              </a:p>
            </c:rich>
          </c:tx>
          <c:layout>
            <c:manualLayout>
              <c:xMode val="edge"/>
              <c:yMode val="edge"/>
              <c:x val="1.9444444444444445E-2"/>
              <c:y val="0.2515189964371275"/>
            </c:manualLayout>
          </c:layout>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a-DK"/>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a-DK"/>
          </a:p>
        </c:txPr>
        <c:crossAx val="64348344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a-DK"/>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da-DK"/>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2" Type="http://schemas.openxmlformats.org/officeDocument/2006/relationships/chart" Target="../charts/chart4.xml"/><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editAs="oneCell">
    <xdr:from>
      <xdr:col>8</xdr:col>
      <xdr:colOff>464820</xdr:colOff>
      <xdr:row>2</xdr:row>
      <xdr:rowOff>66675</xdr:rowOff>
    </xdr:from>
    <xdr:to>
      <xdr:col>13</xdr:col>
      <xdr:colOff>133585</xdr:colOff>
      <xdr:row>9</xdr:row>
      <xdr:rowOff>34637</xdr:rowOff>
    </xdr:to>
    <xdr:pic>
      <xdr:nvPicPr>
        <xdr:cNvPr id="4" name="Picture 3">
          <a:extLst>
            <a:ext uri="{FF2B5EF4-FFF2-40B4-BE49-F238E27FC236}">
              <a16:creationId xmlns:a16="http://schemas.microsoft.com/office/drawing/2014/main" id="{32D3B60C-88D5-4E09-829D-1466B26A6175}"/>
            </a:ext>
          </a:extLst>
        </xdr:cNvPr>
        <xdr:cNvPicPr>
          <a:picLocks noChangeAspect="1"/>
        </xdr:cNvPicPr>
      </xdr:nvPicPr>
      <xdr:blipFill>
        <a:blip xmlns:r="http://schemas.openxmlformats.org/officeDocument/2006/relationships" r:embed="rId1"/>
        <a:stretch>
          <a:fillRect/>
        </a:stretch>
      </xdr:blipFill>
      <xdr:spPr>
        <a:xfrm>
          <a:off x="9418320" y="428625"/>
          <a:ext cx="2716765" cy="182248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17</xdr:col>
      <xdr:colOff>0</xdr:colOff>
      <xdr:row>19</xdr:row>
      <xdr:rowOff>0</xdr:rowOff>
    </xdr:from>
    <xdr:to>
      <xdr:col>24</xdr:col>
      <xdr:colOff>10584</xdr:colOff>
      <xdr:row>31</xdr:row>
      <xdr:rowOff>107156</xdr:rowOff>
    </xdr:to>
    <xdr:graphicFrame macro="">
      <xdr:nvGraphicFramePr>
        <xdr:cNvPr id="6" name="Diagram 5">
          <a:extLst>
            <a:ext uri="{FF2B5EF4-FFF2-40B4-BE49-F238E27FC236}">
              <a16:creationId xmlns:a16="http://schemas.microsoft.com/office/drawing/2014/main" id="{51137ADA-03D0-4C93-B632-AFF74402E76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17</xdr:col>
      <xdr:colOff>1</xdr:colOff>
      <xdr:row>5</xdr:row>
      <xdr:rowOff>0</xdr:rowOff>
    </xdr:from>
    <xdr:to>
      <xdr:col>24</xdr:col>
      <xdr:colOff>23814</xdr:colOff>
      <xdr:row>16</xdr:row>
      <xdr:rowOff>186928</xdr:rowOff>
    </xdr:to>
    <xdr:graphicFrame macro="">
      <xdr:nvGraphicFramePr>
        <xdr:cNvPr id="7" name="Diagram 6">
          <a:extLst>
            <a:ext uri="{FF2B5EF4-FFF2-40B4-BE49-F238E27FC236}">
              <a16:creationId xmlns:a16="http://schemas.microsoft.com/office/drawing/2014/main" id="{9D0B9652-F9DB-4468-BD9B-9957660BF45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18</xdr:col>
      <xdr:colOff>0</xdr:colOff>
      <xdr:row>63</xdr:row>
      <xdr:rowOff>0</xdr:rowOff>
    </xdr:from>
    <xdr:to>
      <xdr:col>25</xdr:col>
      <xdr:colOff>404812</xdr:colOff>
      <xdr:row>74</xdr:row>
      <xdr:rowOff>186928</xdr:rowOff>
    </xdr:to>
    <xdr:graphicFrame macro="">
      <xdr:nvGraphicFramePr>
        <xdr:cNvPr id="3" name="Diagram 2">
          <a:extLst>
            <a:ext uri="{FF2B5EF4-FFF2-40B4-BE49-F238E27FC236}">
              <a16:creationId xmlns:a16="http://schemas.microsoft.com/office/drawing/2014/main" id="{A7F1E809-6843-4DDF-BEFF-8DBAF0AB4D6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18</xdr:col>
      <xdr:colOff>0</xdr:colOff>
      <xdr:row>49</xdr:row>
      <xdr:rowOff>0</xdr:rowOff>
    </xdr:from>
    <xdr:to>
      <xdr:col>25</xdr:col>
      <xdr:colOff>404812</xdr:colOff>
      <xdr:row>60</xdr:row>
      <xdr:rowOff>186928</xdr:rowOff>
    </xdr:to>
    <xdr:graphicFrame macro="">
      <xdr:nvGraphicFramePr>
        <xdr:cNvPr id="4" name="Diagram 3">
          <a:extLst>
            <a:ext uri="{FF2B5EF4-FFF2-40B4-BE49-F238E27FC236}">
              <a16:creationId xmlns:a16="http://schemas.microsoft.com/office/drawing/2014/main" id="{0B427112-FF37-4F33-A1FC-5C8A92A877D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theme/theme1.xml><?xml version="1.0" encoding="utf-8"?>
<a:theme xmlns:a="http://schemas.openxmlformats.org/drawingml/2006/main" name="Office-te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www.deep.eefig.eu/"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86D93C-9C79-48B0-8554-1EA85B1EF0AF}">
  <sheetPr>
    <tabColor theme="0"/>
  </sheetPr>
  <dimension ref="B3:H24"/>
  <sheetViews>
    <sheetView tabSelected="1" zoomScale="90" zoomScaleNormal="90" workbookViewId="0"/>
  </sheetViews>
  <sheetFormatPr defaultColWidth="8.85546875" defaultRowHeight="15" x14ac:dyDescent="0.25"/>
  <cols>
    <col min="2" max="2" width="31" customWidth="1"/>
    <col min="3" max="3" width="49.5703125" customWidth="1"/>
  </cols>
  <sheetData>
    <row r="3" spans="2:8" ht="57.75" customHeight="1" x14ac:dyDescent="0.35">
      <c r="B3" s="220" t="s">
        <v>0</v>
      </c>
      <c r="C3" s="220"/>
      <c r="D3" s="220"/>
      <c r="E3" s="220"/>
      <c r="F3" s="220"/>
      <c r="G3" s="220"/>
      <c r="H3" s="220"/>
    </row>
    <row r="4" spans="2:8" ht="18.75" x14ac:dyDescent="0.3">
      <c r="B4" s="169" t="s">
        <v>240</v>
      </c>
    </row>
    <row r="8" spans="2:8" x14ac:dyDescent="0.25">
      <c r="C8" s="14"/>
    </row>
    <row r="9" spans="2:8" x14ac:dyDescent="0.25">
      <c r="C9" s="14"/>
    </row>
    <row r="10" spans="2:8" x14ac:dyDescent="0.25">
      <c r="C10" s="14"/>
    </row>
    <row r="11" spans="2:8" x14ac:dyDescent="0.25">
      <c r="C11" s="14"/>
    </row>
    <row r="12" spans="2:8" x14ac:dyDescent="0.25">
      <c r="C12" s="14"/>
    </row>
    <row r="13" spans="2:8" x14ac:dyDescent="0.25">
      <c r="C13" s="14"/>
    </row>
    <row r="14" spans="2:8" x14ac:dyDescent="0.25">
      <c r="C14" s="14"/>
      <c r="F14" s="31"/>
    </row>
    <row r="18" spans="2:3" x14ac:dyDescent="0.25">
      <c r="B18" s="21" t="s">
        <v>1</v>
      </c>
      <c r="C18" s="166" t="s">
        <v>2</v>
      </c>
    </row>
    <row r="19" spans="2:3" ht="45" x14ac:dyDescent="0.25">
      <c r="B19" s="22" t="s">
        <v>3</v>
      </c>
      <c r="C19" s="167" t="s">
        <v>4</v>
      </c>
    </row>
    <row r="20" spans="2:3" x14ac:dyDescent="0.25">
      <c r="B20" s="22" t="s">
        <v>5</v>
      </c>
      <c r="C20" s="168">
        <v>1</v>
      </c>
    </row>
    <row r="21" spans="2:3" x14ac:dyDescent="0.25">
      <c r="B21" s="22" t="s">
        <v>6</v>
      </c>
      <c r="C21" s="15" t="s">
        <v>7</v>
      </c>
    </row>
    <row r="22" spans="2:3" x14ac:dyDescent="0.25">
      <c r="B22" s="22" t="s">
        <v>8</v>
      </c>
      <c r="C22" s="15" t="s">
        <v>9</v>
      </c>
    </row>
    <row r="23" spans="2:3" x14ac:dyDescent="0.25">
      <c r="B23" s="22" t="s">
        <v>10</v>
      </c>
      <c r="C23" s="15" t="s">
        <v>234</v>
      </c>
    </row>
    <row r="24" spans="2:3" x14ac:dyDescent="0.25">
      <c r="B24" s="23" t="s">
        <v>11</v>
      </c>
      <c r="C24" s="16"/>
    </row>
  </sheetData>
  <mergeCells count="1">
    <mergeCell ref="B3:H3"/>
  </mergeCell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88DB47-B020-4B44-8C71-402E75C0DB66}">
  <sheetPr>
    <tabColor theme="0"/>
  </sheetPr>
  <dimension ref="B1:I36"/>
  <sheetViews>
    <sheetView zoomScale="80" zoomScaleNormal="80" workbookViewId="0"/>
  </sheetViews>
  <sheetFormatPr defaultColWidth="8.85546875" defaultRowHeight="15" x14ac:dyDescent="0.25"/>
  <cols>
    <col min="1" max="1" width="2.5703125" customWidth="1"/>
    <col min="2" max="2" width="23.85546875" bestFit="1" customWidth="1"/>
    <col min="3" max="3" width="95.140625" customWidth="1"/>
    <col min="4" max="4" width="17.140625" customWidth="1"/>
  </cols>
  <sheetData>
    <row r="1" spans="2:3" s="1" customFormat="1" ht="19.5" thickBot="1" x14ac:dyDescent="0.35">
      <c r="B1" s="1" t="s">
        <v>12</v>
      </c>
    </row>
    <row r="2" spans="2:3" ht="15.75" thickTop="1" x14ac:dyDescent="0.25"/>
    <row r="3" spans="2:3" ht="18.75" customHeight="1" x14ac:dyDescent="0.4">
      <c r="B3" s="13"/>
    </row>
    <row r="5" spans="2:3" ht="15.75" x14ac:dyDescent="0.25">
      <c r="B5" s="2" t="s">
        <v>13</v>
      </c>
      <c r="C5" s="2"/>
    </row>
    <row r="7" spans="2:3" x14ac:dyDescent="0.25">
      <c r="B7" s="221" t="s">
        <v>14</v>
      </c>
      <c r="C7" s="222"/>
    </row>
    <row r="8" spans="2:3" x14ac:dyDescent="0.25">
      <c r="B8" s="223"/>
      <c r="C8" s="224"/>
    </row>
    <row r="9" spans="2:3" x14ac:dyDescent="0.25">
      <c r="B9" s="223"/>
      <c r="C9" s="224"/>
    </row>
    <row r="10" spans="2:3" x14ac:dyDescent="0.25">
      <c r="B10" s="223"/>
      <c r="C10" s="224"/>
    </row>
    <row r="11" spans="2:3" x14ac:dyDescent="0.25">
      <c r="B11" s="223"/>
      <c r="C11" s="224"/>
    </row>
    <row r="12" spans="2:3" x14ac:dyDescent="0.25">
      <c r="B12" s="223"/>
      <c r="C12" s="224"/>
    </row>
    <row r="13" spans="2:3" x14ac:dyDescent="0.25">
      <c r="B13" s="225"/>
      <c r="C13" s="226"/>
    </row>
    <row r="15" spans="2:3" ht="15.75" x14ac:dyDescent="0.25">
      <c r="B15" s="2" t="s">
        <v>15</v>
      </c>
      <c r="C15" s="2"/>
    </row>
    <row r="17" spans="2:9" x14ac:dyDescent="0.25">
      <c r="B17" s="3" t="s">
        <v>16</v>
      </c>
    </row>
    <row r="18" spans="2:9" x14ac:dyDescent="0.25">
      <c r="B18" s="4" t="s">
        <v>17</v>
      </c>
    </row>
    <row r="19" spans="2:9" x14ac:dyDescent="0.25">
      <c r="B19" s="24" t="s">
        <v>18</v>
      </c>
    </row>
    <row r="20" spans="2:9" x14ac:dyDescent="0.25">
      <c r="B20" s="19" t="s">
        <v>19</v>
      </c>
    </row>
    <row r="21" spans="2:9" x14ac:dyDescent="0.25">
      <c r="B21" s="17" t="s">
        <v>20</v>
      </c>
    </row>
    <row r="22" spans="2:9" x14ac:dyDescent="0.25">
      <c r="B22" s="20" t="s">
        <v>21</v>
      </c>
    </row>
    <row r="23" spans="2:9" x14ac:dyDescent="0.25">
      <c r="B23" s="6" t="s">
        <v>22</v>
      </c>
    </row>
    <row r="25" spans="2:9" x14ac:dyDescent="0.25">
      <c r="B25" s="3" t="s">
        <v>23</v>
      </c>
      <c r="F25" s="18"/>
      <c r="G25" s="18"/>
      <c r="H25" s="18"/>
      <c r="I25" s="18"/>
    </row>
    <row r="26" spans="2:9" x14ac:dyDescent="0.25">
      <c r="B26" s="4" t="s">
        <v>24</v>
      </c>
    </row>
    <row r="27" spans="2:9" x14ac:dyDescent="0.25">
      <c r="B27" s="10" t="s">
        <v>25</v>
      </c>
      <c r="F27" s="18"/>
      <c r="G27" s="18"/>
    </row>
    <row r="28" spans="2:9" x14ac:dyDescent="0.25">
      <c r="B28" s="7" t="s">
        <v>26</v>
      </c>
    </row>
    <row r="29" spans="2:9" x14ac:dyDescent="0.25">
      <c r="B29" s="5" t="s">
        <v>27</v>
      </c>
    </row>
    <row r="32" spans="2:9" ht="18" customHeight="1" x14ac:dyDescent="0.25">
      <c r="B32" s="170" t="s">
        <v>28</v>
      </c>
      <c r="C32" s="175" t="s">
        <v>29</v>
      </c>
    </row>
    <row r="33" spans="2:3" ht="85.5" customHeight="1" x14ac:dyDescent="0.25">
      <c r="B33" s="172" t="s">
        <v>20</v>
      </c>
      <c r="C33" s="173" t="s">
        <v>232</v>
      </c>
    </row>
    <row r="34" spans="2:3" ht="38.25" customHeight="1" x14ac:dyDescent="0.25">
      <c r="B34" s="170" t="s">
        <v>18</v>
      </c>
      <c r="C34" s="171" t="s">
        <v>30</v>
      </c>
    </row>
    <row r="35" spans="2:3" ht="41.25" customHeight="1" x14ac:dyDescent="0.25">
      <c r="B35" s="172" t="s">
        <v>24</v>
      </c>
      <c r="C35" s="173" t="s">
        <v>31</v>
      </c>
    </row>
    <row r="36" spans="2:3" ht="22.5" customHeight="1" x14ac:dyDescent="0.25">
      <c r="B36" s="170" t="s">
        <v>32</v>
      </c>
      <c r="C36" s="174" t="s">
        <v>33</v>
      </c>
    </row>
  </sheetData>
  <mergeCells count="1">
    <mergeCell ref="B7:C13"/>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1E2001-EF8F-4B60-8417-5B2F370849C8}">
  <sheetPr>
    <tabColor rgb="FFD87E00"/>
  </sheetPr>
  <dimension ref="B1:Y42"/>
  <sheetViews>
    <sheetView zoomScale="80" zoomScaleNormal="80" workbookViewId="0"/>
  </sheetViews>
  <sheetFormatPr defaultColWidth="8.85546875" defaultRowHeight="15" x14ac:dyDescent="0.25"/>
  <cols>
    <col min="1" max="1" width="2.140625" customWidth="1"/>
    <col min="2" max="2" width="2.5703125" customWidth="1"/>
    <col min="3" max="3" width="54.42578125" bestFit="1" customWidth="1"/>
    <col min="4" max="4" width="22.85546875" bestFit="1" customWidth="1"/>
    <col min="5" max="5" width="21.85546875" style="129" customWidth="1"/>
    <col min="6" max="6" width="3.42578125" style="129" customWidth="1"/>
    <col min="7" max="7" width="3.28515625" style="129" customWidth="1"/>
    <col min="8" max="8" width="15.28515625" style="129" customWidth="1"/>
    <col min="9" max="9" width="2.42578125" style="129" customWidth="1"/>
    <col min="10" max="10" width="2.28515625" customWidth="1"/>
    <col min="11" max="11" width="1.85546875" customWidth="1"/>
    <col min="12" max="12" width="2" customWidth="1"/>
    <col min="13" max="13" width="30.7109375" bestFit="1" customWidth="1"/>
    <col min="14" max="14" width="17.28515625" customWidth="1"/>
    <col min="15" max="15" width="15.85546875" customWidth="1"/>
    <col min="16" max="16" width="14.42578125" customWidth="1"/>
    <col min="17" max="17" width="4.28515625" customWidth="1"/>
    <col min="25" max="25" width="2.42578125" customWidth="1"/>
  </cols>
  <sheetData>
    <row r="1" spans="2:25" s="1" customFormat="1" ht="19.5" thickBot="1" x14ac:dyDescent="0.35">
      <c r="B1" s="1" t="s">
        <v>34</v>
      </c>
      <c r="E1" s="128"/>
      <c r="F1" s="128"/>
      <c r="G1" s="128"/>
      <c r="H1" s="128"/>
      <c r="I1" s="128"/>
    </row>
    <row r="2" spans="2:25" ht="15.75" thickTop="1" x14ac:dyDescent="0.25"/>
    <row r="3" spans="2:25" ht="15.75" x14ac:dyDescent="0.25">
      <c r="B3" s="144"/>
      <c r="C3" s="145" t="s">
        <v>35</v>
      </c>
      <c r="D3" s="145"/>
      <c r="E3" s="147"/>
      <c r="F3" s="147"/>
      <c r="G3" s="147"/>
      <c r="H3" s="147"/>
      <c r="I3" s="147"/>
      <c r="J3" s="146"/>
      <c r="L3" s="144"/>
      <c r="M3" s="145" t="s">
        <v>36</v>
      </c>
      <c r="N3" s="145"/>
      <c r="O3" s="145"/>
      <c r="P3" s="145"/>
      <c r="Q3" s="145"/>
      <c r="R3" s="145"/>
      <c r="S3" s="145"/>
      <c r="T3" s="145"/>
      <c r="U3" s="145"/>
      <c r="V3" s="145"/>
      <c r="W3" s="145"/>
      <c r="X3" s="145"/>
      <c r="Y3" s="146"/>
    </row>
    <row r="4" spans="2:25" x14ac:dyDescent="0.25">
      <c r="B4" s="148"/>
      <c r="C4" s="149"/>
      <c r="D4" s="149"/>
      <c r="E4" s="158"/>
      <c r="F4" s="158"/>
      <c r="G4" s="158"/>
      <c r="H4" s="158"/>
      <c r="I4" s="158"/>
      <c r="J4" s="150"/>
      <c r="L4" s="148"/>
      <c r="M4" s="149"/>
      <c r="N4" s="149"/>
      <c r="O4" s="149"/>
      <c r="P4" s="149"/>
      <c r="Q4" s="149"/>
      <c r="R4" s="149"/>
      <c r="S4" s="149"/>
      <c r="T4" s="149"/>
      <c r="U4" s="149"/>
      <c r="V4" s="149"/>
      <c r="W4" s="149"/>
      <c r="X4" s="149"/>
      <c r="Y4" s="150"/>
    </row>
    <row r="5" spans="2:25" ht="30" x14ac:dyDescent="0.25">
      <c r="B5" s="151"/>
      <c r="C5" s="180"/>
      <c r="D5" s="180"/>
      <c r="E5" s="191" t="s">
        <v>219</v>
      </c>
      <c r="F5" s="192"/>
      <c r="G5" s="191"/>
      <c r="H5" s="191" t="s">
        <v>215</v>
      </c>
      <c r="I5" s="190"/>
      <c r="J5" s="153"/>
      <c r="L5" s="151"/>
      <c r="M5" s="142"/>
      <c r="N5" s="142"/>
      <c r="O5" s="142"/>
      <c r="P5" s="142"/>
      <c r="Q5" s="142"/>
      <c r="R5" s="152" t="s">
        <v>38</v>
      </c>
      <c r="S5" s="152"/>
      <c r="T5" s="152"/>
      <c r="U5" s="152"/>
      <c r="V5" s="142"/>
      <c r="W5" s="142"/>
      <c r="X5" s="142"/>
      <c r="Y5" s="153"/>
    </row>
    <row r="6" spans="2:25" x14ac:dyDescent="0.25">
      <c r="B6" s="151"/>
      <c r="C6" s="152" t="s">
        <v>45</v>
      </c>
      <c r="D6" s="142"/>
      <c r="E6" s="143"/>
      <c r="F6" s="143"/>
      <c r="G6" s="181"/>
      <c r="H6" s="181"/>
      <c r="I6" s="181"/>
      <c r="J6" s="153"/>
      <c r="L6" s="151"/>
      <c r="M6" s="152" t="s">
        <v>41</v>
      </c>
      <c r="N6" s="154" t="str">
        <f>E7</f>
        <v>Food products</v>
      </c>
      <c r="O6" s="142"/>
      <c r="P6" s="142"/>
      <c r="Q6" s="142"/>
      <c r="R6" s="142"/>
      <c r="S6" s="142"/>
      <c r="T6" s="142"/>
      <c r="U6" s="142"/>
      <c r="V6" s="142"/>
      <c r="W6" s="142"/>
      <c r="X6" s="142"/>
      <c r="Y6" s="153"/>
    </row>
    <row r="7" spans="2:25" x14ac:dyDescent="0.25">
      <c r="B7" s="151"/>
      <c r="C7" s="142" t="s">
        <v>48</v>
      </c>
      <c r="D7" s="142" t="s">
        <v>49</v>
      </c>
      <c r="E7" s="218" t="s">
        <v>50</v>
      </c>
      <c r="F7" s="143"/>
      <c r="G7" s="181"/>
      <c r="H7" s="181"/>
      <c r="I7" s="181"/>
      <c r="J7" s="153"/>
      <c r="L7" s="151"/>
      <c r="M7" s="152" t="s">
        <v>43</v>
      </c>
      <c r="N7" s="154" t="str">
        <f>E13</f>
        <v>Weighted average energy mix</v>
      </c>
      <c r="O7" s="142"/>
      <c r="P7" s="142"/>
      <c r="Q7" s="142"/>
      <c r="R7" s="142"/>
      <c r="S7" s="142"/>
      <c r="T7" s="142"/>
      <c r="U7" s="142"/>
      <c r="V7" s="142"/>
      <c r="W7" s="142"/>
      <c r="X7" s="142"/>
      <c r="Y7" s="153"/>
    </row>
    <row r="8" spans="2:25" x14ac:dyDescent="0.25">
      <c r="B8" s="151"/>
      <c r="C8" s="142" t="s">
        <v>53</v>
      </c>
      <c r="D8" s="142" t="s">
        <v>49</v>
      </c>
      <c r="E8" s="218">
        <v>2</v>
      </c>
      <c r="F8" s="143"/>
      <c r="G8" s="181"/>
      <c r="H8" s="181"/>
      <c r="I8" s="181"/>
      <c r="J8" s="153"/>
      <c r="L8" s="151"/>
      <c r="M8" s="142"/>
      <c r="N8" s="142"/>
      <c r="O8" s="142"/>
      <c r="P8" s="142"/>
      <c r="Q8" s="142"/>
      <c r="R8" s="142"/>
      <c r="S8" s="142"/>
      <c r="T8" s="142"/>
      <c r="U8" s="142"/>
      <c r="V8" s="142"/>
      <c r="W8" s="142"/>
      <c r="X8" s="142"/>
      <c r="Y8" s="153"/>
    </row>
    <row r="9" spans="2:25" x14ac:dyDescent="0.25">
      <c r="B9" s="151"/>
      <c r="C9" s="142" t="s">
        <v>54</v>
      </c>
      <c r="D9" s="142" t="s">
        <v>55</v>
      </c>
      <c r="E9" s="131">
        <f>H9</f>
        <v>0.05</v>
      </c>
      <c r="F9" s="143"/>
      <c r="G9" s="181"/>
      <c r="H9" s="217">
        <f>IF($E$8=Lists!$B$39,INDEX(Input!$D$25:$D$53,MATCH(Cockpit!$E$7,Input!$B$25:$B$53,FALSE)),IF($E$8=Lists!$B$40,INDEX(Input!$E$25:$E$53,MATCH(Cockpit!$E$7,Input!$B$25:$B$53,FALSE)),0))</f>
        <v>0.05</v>
      </c>
      <c r="I9" s="181"/>
      <c r="J9" s="153"/>
      <c r="L9" s="151"/>
      <c r="M9" s="142"/>
      <c r="N9" s="142"/>
      <c r="O9" s="142"/>
      <c r="P9" s="142"/>
      <c r="Q9" s="142"/>
      <c r="R9" s="142"/>
      <c r="S9" s="142"/>
      <c r="T9" s="142"/>
      <c r="U9" s="142"/>
      <c r="V9" s="142"/>
      <c r="W9" s="142"/>
      <c r="X9" s="142"/>
      <c r="Y9" s="153"/>
    </row>
    <row r="10" spans="2:25" x14ac:dyDescent="0.25">
      <c r="B10" s="151"/>
      <c r="C10" s="142"/>
      <c r="D10" s="142"/>
      <c r="E10" s="159"/>
      <c r="F10" s="143"/>
      <c r="G10" s="181"/>
      <c r="H10" s="181"/>
      <c r="I10" s="181"/>
      <c r="J10" s="153"/>
      <c r="L10" s="151"/>
      <c r="M10" s="152" t="s">
        <v>46</v>
      </c>
      <c r="N10" s="142" t="s">
        <v>47</v>
      </c>
      <c r="O10" s="142"/>
      <c r="P10" s="126">
        <f>IFERROR(IF(E9=0,E12*H9,E12*E9),"")</f>
        <v>125</v>
      </c>
      <c r="Q10" s="142"/>
      <c r="R10" s="142"/>
      <c r="S10" s="142"/>
      <c r="T10" s="142"/>
      <c r="U10" s="142"/>
      <c r="V10" s="142"/>
      <c r="W10" s="142"/>
      <c r="X10" s="142"/>
      <c r="Y10" s="153"/>
    </row>
    <row r="11" spans="2:25" x14ac:dyDescent="0.25">
      <c r="B11" s="151"/>
      <c r="C11" s="152" t="s">
        <v>57</v>
      </c>
      <c r="D11" s="142"/>
      <c r="E11" s="159"/>
      <c r="F11" s="143"/>
      <c r="G11" s="181"/>
      <c r="H11" s="181"/>
      <c r="I11" s="181"/>
      <c r="J11" s="153"/>
      <c r="L11" s="151"/>
      <c r="M11" s="152" t="s">
        <v>51</v>
      </c>
      <c r="N11" s="142" t="s">
        <v>52</v>
      </c>
      <c r="O11" s="142"/>
      <c r="P11" s="127">
        <f>P10*INDEX(Input!$D$130:$D$135,MATCH(Cockpit!$E$13,Input!$B$130:$B$135,FALSE))/1000</f>
        <v>912.4273968107899</v>
      </c>
      <c r="Q11" s="142"/>
      <c r="R11" s="142"/>
      <c r="S11" s="142"/>
      <c r="T11" s="142"/>
      <c r="U11" s="142"/>
      <c r="V11" s="142"/>
      <c r="W11" s="142"/>
      <c r="X11" s="142"/>
      <c r="Y11" s="153"/>
    </row>
    <row r="12" spans="2:25" x14ac:dyDescent="0.25">
      <c r="B12" s="151"/>
      <c r="C12" s="142" t="s">
        <v>59</v>
      </c>
      <c r="D12" s="142" t="s">
        <v>47</v>
      </c>
      <c r="E12" s="218">
        <v>2500</v>
      </c>
      <c r="F12" s="143"/>
      <c r="G12" s="181"/>
      <c r="H12" s="181"/>
      <c r="I12" s="181"/>
      <c r="J12" s="153"/>
      <c r="L12" s="151"/>
      <c r="M12" s="152"/>
      <c r="N12" s="142"/>
      <c r="O12" s="142"/>
      <c r="P12" s="142"/>
      <c r="Q12" s="142"/>
      <c r="R12" s="142"/>
      <c r="S12" s="142"/>
      <c r="T12" s="142"/>
      <c r="U12" s="142"/>
      <c r="V12" s="142"/>
      <c r="W12" s="142"/>
      <c r="X12" s="142"/>
      <c r="Y12" s="153"/>
    </row>
    <row r="13" spans="2:25" ht="30" x14ac:dyDescent="0.25">
      <c r="B13" s="151"/>
      <c r="C13" s="142" t="s">
        <v>60</v>
      </c>
      <c r="D13" s="142" t="s">
        <v>49</v>
      </c>
      <c r="E13" s="218" t="s">
        <v>61</v>
      </c>
      <c r="F13" s="143"/>
      <c r="G13" s="181"/>
      <c r="H13" s="181"/>
      <c r="I13" s="181"/>
      <c r="J13" s="153"/>
      <c r="L13" s="151"/>
      <c r="M13" s="152"/>
      <c r="N13" s="142"/>
      <c r="O13" s="142"/>
      <c r="P13" s="142"/>
      <c r="Q13" s="142"/>
      <c r="R13" s="142"/>
      <c r="S13" s="142"/>
      <c r="T13" s="142"/>
      <c r="U13" s="142"/>
      <c r="V13" s="142"/>
      <c r="W13" s="142"/>
      <c r="X13" s="142"/>
      <c r="Y13" s="153"/>
    </row>
    <row r="14" spans="2:25" x14ac:dyDescent="0.25">
      <c r="B14" s="151"/>
      <c r="C14" s="142" t="s">
        <v>62</v>
      </c>
      <c r="D14" s="142" t="str">
        <f>Input!$D$6&amp;"/toe"</f>
        <v>VND million/toe</v>
      </c>
      <c r="E14" s="132">
        <f>H14</f>
        <v>10.676439746085578</v>
      </c>
      <c r="F14" s="143"/>
      <c r="G14" s="181"/>
      <c r="H14" s="216">
        <f>INDEX(Input!$D$80:$D$85,MATCH(Cockpit!$E$13,Input!$B$80:$B$85,FALSE))/1000000</f>
        <v>10.676439746085578</v>
      </c>
      <c r="I14" s="181"/>
      <c r="J14" s="153"/>
      <c r="L14" s="151"/>
      <c r="M14" s="152" t="s">
        <v>56</v>
      </c>
      <c r="N14" s="154" t="str">
        <f>Input!$D$6</f>
        <v>VND million</v>
      </c>
      <c r="O14" s="142"/>
      <c r="P14" s="126">
        <f>H16*P10</f>
        <v>2669.1099365213945</v>
      </c>
      <c r="Q14" s="142"/>
      <c r="R14" s="142"/>
      <c r="S14" s="142"/>
      <c r="T14" s="142"/>
      <c r="U14" s="142"/>
      <c r="V14" s="142"/>
      <c r="W14" s="142"/>
      <c r="X14" s="142"/>
      <c r="Y14" s="153"/>
    </row>
    <row r="15" spans="2:25" x14ac:dyDescent="0.25">
      <c r="B15" s="151"/>
      <c r="C15" s="142"/>
      <c r="D15" s="142"/>
      <c r="E15" s="159"/>
      <c r="F15" s="143"/>
      <c r="G15" s="181"/>
      <c r="H15" s="181"/>
      <c r="I15" s="181"/>
      <c r="J15" s="153"/>
      <c r="L15" s="151"/>
      <c r="M15" s="152" t="s">
        <v>58</v>
      </c>
      <c r="N15" s="142" t="str">
        <f>Input!$D$6&amp;"/toe"</f>
        <v>VND million/toe</v>
      </c>
      <c r="O15" s="142"/>
      <c r="P15" s="127">
        <f>IF(E14=0,P10*H14,P10*E14)</f>
        <v>1334.5549682606973</v>
      </c>
      <c r="Q15" s="142"/>
      <c r="R15" s="142"/>
      <c r="S15" s="142"/>
      <c r="T15" s="142"/>
      <c r="U15" s="142"/>
      <c r="V15" s="142"/>
      <c r="W15" s="142"/>
      <c r="X15" s="142"/>
      <c r="Y15" s="153"/>
    </row>
    <row r="16" spans="2:25" x14ac:dyDescent="0.25">
      <c r="B16" s="151"/>
      <c r="C16" s="142" t="s">
        <v>65</v>
      </c>
      <c r="D16" s="142" t="str">
        <f>Input!$D$6&amp;"/toe/year"</f>
        <v>VND million/toe/year</v>
      </c>
      <c r="E16" s="159"/>
      <c r="F16" s="143"/>
      <c r="G16" s="181"/>
      <c r="H16" s="133">
        <f>IF(E14=0,E8*H14,E8*E14)</f>
        <v>21.352879492171155</v>
      </c>
      <c r="I16" s="181"/>
      <c r="J16" s="153"/>
      <c r="L16" s="151"/>
      <c r="M16" s="142"/>
      <c r="N16" s="142"/>
      <c r="O16" s="142"/>
      <c r="P16" s="142"/>
      <c r="Q16" s="142"/>
      <c r="R16" s="142"/>
      <c r="S16" s="142"/>
      <c r="T16" s="142"/>
      <c r="U16" s="142"/>
      <c r="V16" s="142"/>
      <c r="W16" s="142"/>
      <c r="X16" s="142"/>
      <c r="Y16" s="153"/>
    </row>
    <row r="17" spans="2:25" x14ac:dyDescent="0.25">
      <c r="B17" s="151"/>
      <c r="C17" s="142"/>
      <c r="D17" s="142"/>
      <c r="E17" s="142"/>
      <c r="F17" s="142"/>
      <c r="G17" s="181"/>
      <c r="H17" s="181"/>
      <c r="I17" s="181"/>
      <c r="J17" s="153"/>
      <c r="L17" s="151"/>
      <c r="M17" s="142"/>
      <c r="N17" s="142"/>
      <c r="O17" s="142"/>
      <c r="P17" s="142"/>
      <c r="Q17" s="142"/>
      <c r="R17" s="142"/>
      <c r="S17" s="142"/>
      <c r="T17" s="142"/>
      <c r="U17" s="142"/>
      <c r="V17" s="142"/>
      <c r="W17" s="142"/>
      <c r="X17" s="142"/>
      <c r="Y17" s="153"/>
    </row>
    <row r="18" spans="2:25" ht="30" x14ac:dyDescent="0.25">
      <c r="B18" s="151"/>
      <c r="C18" s="142" t="s">
        <v>216</v>
      </c>
      <c r="D18" s="142" t="s">
        <v>173</v>
      </c>
      <c r="E18" s="218" t="s">
        <v>235</v>
      </c>
      <c r="F18" s="143"/>
      <c r="G18" s="181"/>
      <c r="H18" s="181"/>
      <c r="I18" s="181"/>
      <c r="J18" s="153"/>
      <c r="L18" s="151"/>
      <c r="M18" s="142"/>
      <c r="N18" s="142"/>
      <c r="O18" s="142"/>
      <c r="P18" s="142"/>
      <c r="Q18" s="142"/>
      <c r="R18" s="142"/>
      <c r="S18" s="142"/>
      <c r="T18" s="142"/>
      <c r="U18" s="142"/>
      <c r="V18" s="142"/>
      <c r="W18" s="142"/>
      <c r="X18" s="142"/>
      <c r="Y18" s="153"/>
    </row>
    <row r="19" spans="2:25" x14ac:dyDescent="0.25">
      <c r="B19" s="151"/>
      <c r="C19" s="142"/>
      <c r="D19" s="142" t="str">
        <f>Input!$D$6&amp;"/tCO2"</f>
        <v>VND million/tCO2</v>
      </c>
      <c r="E19" s="132">
        <f>H19</f>
        <v>0.11583133333333334</v>
      </c>
      <c r="F19" s="143"/>
      <c r="G19" s="181"/>
      <c r="H19" s="216">
        <f>INDEX(Input!$D$140:$D$144,MATCH(Cockpit!$E$18,Input!$E$140:$E$144,FALSE))*Input!$D$8/1000000</f>
        <v>0.11583133333333334</v>
      </c>
      <c r="I19" s="181"/>
      <c r="J19" s="153"/>
      <c r="L19" s="151"/>
      <c r="M19" s="152" t="s">
        <v>63</v>
      </c>
      <c r="N19" s="152"/>
      <c r="O19" s="142"/>
      <c r="P19" s="142"/>
      <c r="Q19" s="142"/>
      <c r="R19" s="152" t="s">
        <v>64</v>
      </c>
      <c r="S19" s="152"/>
      <c r="T19" s="152"/>
      <c r="U19" s="152"/>
      <c r="V19" s="142"/>
      <c r="W19" s="142"/>
      <c r="X19" s="142"/>
      <c r="Y19" s="153"/>
    </row>
    <row r="20" spans="2:25" x14ac:dyDescent="0.25">
      <c r="B20" s="151"/>
      <c r="C20" s="180"/>
      <c r="D20" s="180"/>
      <c r="E20" s="179"/>
      <c r="F20" s="179"/>
      <c r="G20" s="182"/>
      <c r="H20" s="182"/>
      <c r="I20" s="182"/>
      <c r="J20" s="153"/>
      <c r="L20" s="151"/>
      <c r="M20" s="83" t="s">
        <v>66</v>
      </c>
      <c r="N20" s="11" t="s">
        <v>67</v>
      </c>
      <c r="O20" s="84" t="s">
        <v>68</v>
      </c>
      <c r="P20" s="85" t="s">
        <v>69</v>
      </c>
      <c r="Q20" s="142"/>
      <c r="R20" s="142"/>
      <c r="S20" s="142"/>
      <c r="T20" s="142"/>
      <c r="U20" s="142"/>
      <c r="V20" s="142"/>
      <c r="W20" s="142"/>
      <c r="X20" s="142"/>
      <c r="Y20" s="153"/>
    </row>
    <row r="21" spans="2:25" x14ac:dyDescent="0.25">
      <c r="B21" s="151"/>
      <c r="C21" s="152" t="s">
        <v>75</v>
      </c>
      <c r="D21" s="142"/>
      <c r="E21" s="159"/>
      <c r="F21" s="143"/>
      <c r="G21" s="181"/>
      <c r="H21" s="181"/>
      <c r="I21" s="181"/>
      <c r="J21" s="153"/>
      <c r="L21" s="151"/>
      <c r="M21" s="61" t="s">
        <v>70</v>
      </c>
      <c r="N21" s="12" t="s">
        <v>55</v>
      </c>
      <c r="O21" s="86">
        <f>Calculations!F79</f>
        <v>0.26282040345156288</v>
      </c>
      <c r="P21" s="87">
        <f>Calculations!G79</f>
        <v>0.62686193607877083</v>
      </c>
      <c r="Q21" s="142"/>
      <c r="R21" s="142"/>
      <c r="S21" s="142"/>
      <c r="T21" s="142"/>
      <c r="U21" s="142"/>
      <c r="V21" s="142"/>
      <c r="W21" s="142"/>
      <c r="X21" s="142"/>
      <c r="Y21" s="153"/>
    </row>
    <row r="22" spans="2:25" x14ac:dyDescent="0.25">
      <c r="B22" s="151"/>
      <c r="C22" s="142" t="s">
        <v>76</v>
      </c>
      <c r="D22" s="154" t="str">
        <f>Input!$D$6&amp;" per audit"</f>
        <v>VND million per audit</v>
      </c>
      <c r="E22" s="184">
        <f>H22</f>
        <v>125</v>
      </c>
      <c r="F22" s="143"/>
      <c r="G22" s="181"/>
      <c r="H22" s="134">
        <v>125</v>
      </c>
      <c r="I22" s="181"/>
      <c r="J22" s="153"/>
      <c r="L22" s="151"/>
      <c r="M22" s="27" t="s">
        <v>71</v>
      </c>
      <c r="N22" s="28" t="s">
        <v>72</v>
      </c>
      <c r="O22" s="88">
        <f>Calculations!F80</f>
        <v>1269.1911337970082</v>
      </c>
      <c r="P22" s="89">
        <f>Calculations!G80</f>
        <v>2146.2607136391894</v>
      </c>
      <c r="Q22" s="142"/>
      <c r="R22" s="142"/>
      <c r="S22" s="142"/>
      <c r="T22" s="142"/>
      <c r="U22" s="142"/>
      <c r="V22" s="142"/>
      <c r="W22" s="142"/>
      <c r="X22" s="142"/>
      <c r="Y22" s="153"/>
    </row>
    <row r="23" spans="2:25" x14ac:dyDescent="0.25">
      <c r="B23" s="151"/>
      <c r="C23" s="142" t="s">
        <v>78</v>
      </c>
      <c r="D23" s="154" t="str">
        <f>Input!$D$6</f>
        <v>VND million</v>
      </c>
      <c r="E23" s="185">
        <f t="shared" ref="E23:E26" si="0">H23</f>
        <v>500</v>
      </c>
      <c r="F23" s="143"/>
      <c r="G23" s="181"/>
      <c r="H23" s="135">
        <v>500</v>
      </c>
      <c r="I23" s="181"/>
      <c r="J23" s="153"/>
      <c r="L23" s="151"/>
      <c r="M23" s="30" t="s">
        <v>73</v>
      </c>
      <c r="N23" s="8" t="s">
        <v>74</v>
      </c>
      <c r="O23" s="177">
        <f>Calculations!F81</f>
        <v>3.334904539670525</v>
      </c>
      <c r="P23" s="178">
        <f>Calculations!G81</f>
        <v>1.2515968283623891</v>
      </c>
      <c r="Q23" s="142"/>
      <c r="R23" s="142"/>
      <c r="S23" s="142"/>
      <c r="T23" s="142"/>
      <c r="U23" s="142"/>
      <c r="V23" s="142"/>
      <c r="W23" s="142"/>
      <c r="X23" s="142"/>
      <c r="Y23" s="153"/>
    </row>
    <row r="24" spans="2:25" x14ac:dyDescent="0.25">
      <c r="B24" s="151"/>
      <c r="C24" s="142" t="s">
        <v>79</v>
      </c>
      <c r="D24" s="142" t="s">
        <v>55</v>
      </c>
      <c r="E24" s="187">
        <f t="shared" si="0"/>
        <v>1</v>
      </c>
      <c r="F24" s="143"/>
      <c r="G24" s="181"/>
      <c r="H24" s="176">
        <v>1</v>
      </c>
      <c r="I24" s="181"/>
      <c r="J24" s="153"/>
      <c r="L24" s="151"/>
      <c r="M24" s="142"/>
      <c r="N24" s="142"/>
      <c r="O24" s="142"/>
      <c r="P24" s="142"/>
      <c r="Q24" s="142"/>
      <c r="R24" s="142"/>
      <c r="S24" s="142"/>
      <c r="T24" s="142"/>
      <c r="U24" s="142"/>
      <c r="V24" s="142"/>
      <c r="W24" s="142"/>
      <c r="X24" s="142"/>
      <c r="Y24" s="153"/>
    </row>
    <row r="25" spans="2:25" x14ac:dyDescent="0.25">
      <c r="B25" s="151"/>
      <c r="C25" s="142" t="s">
        <v>227</v>
      </c>
      <c r="D25" s="142" t="s">
        <v>55</v>
      </c>
      <c r="E25" s="187">
        <f t="shared" si="0"/>
        <v>0.1</v>
      </c>
      <c r="F25" s="143"/>
      <c r="G25" s="181"/>
      <c r="H25" s="176">
        <v>0.1</v>
      </c>
      <c r="I25" s="181"/>
      <c r="J25" s="153"/>
      <c r="L25" s="151"/>
      <c r="M25" s="142" t="s">
        <v>77</v>
      </c>
      <c r="N25" s="142" t="s">
        <v>55</v>
      </c>
      <c r="O25" s="142"/>
      <c r="P25" s="219">
        <f>E36</f>
        <v>0.16110000000000002</v>
      </c>
      <c r="Q25" s="142"/>
      <c r="R25" s="142"/>
      <c r="S25" s="142"/>
      <c r="T25" s="142"/>
      <c r="U25" s="142"/>
      <c r="V25" s="142"/>
      <c r="W25" s="142"/>
      <c r="X25" s="142"/>
      <c r="Y25" s="153"/>
    </row>
    <row r="26" spans="2:25" x14ac:dyDescent="0.25">
      <c r="B26" s="151"/>
      <c r="C26" s="142" t="s">
        <v>80</v>
      </c>
      <c r="D26" s="142" t="str">
        <f>Input!$D$6&amp;"/year"</f>
        <v>VND million/year</v>
      </c>
      <c r="E26" s="186">
        <f t="shared" si="0"/>
        <v>400</v>
      </c>
      <c r="F26" s="143"/>
      <c r="G26" s="181"/>
      <c r="H26" s="136">
        <v>400</v>
      </c>
      <c r="I26" s="181"/>
      <c r="J26" s="153"/>
      <c r="L26" s="151"/>
      <c r="M26" s="142"/>
      <c r="N26" s="142"/>
      <c r="O26" s="142"/>
      <c r="P26" s="142"/>
      <c r="Q26" s="142"/>
      <c r="R26" s="142"/>
      <c r="S26" s="142"/>
      <c r="T26" s="142"/>
      <c r="U26" s="142"/>
      <c r="V26" s="142"/>
      <c r="W26" s="142"/>
      <c r="X26" s="142"/>
      <c r="Y26" s="153"/>
    </row>
    <row r="27" spans="2:25" x14ac:dyDescent="0.25">
      <c r="B27" s="151"/>
      <c r="C27" s="142"/>
      <c r="D27" s="142"/>
      <c r="E27" s="159"/>
      <c r="F27" s="143"/>
      <c r="G27" s="181"/>
      <c r="H27" s="181"/>
      <c r="I27" s="181"/>
      <c r="J27" s="153"/>
      <c r="L27" s="151"/>
      <c r="M27" s="142"/>
      <c r="N27" s="142"/>
      <c r="O27" s="142"/>
      <c r="P27" s="142"/>
      <c r="Q27" s="142"/>
      <c r="R27" s="142"/>
      <c r="S27" s="142"/>
      <c r="T27" s="142"/>
      <c r="U27" s="142"/>
      <c r="V27" s="142"/>
      <c r="W27" s="142"/>
      <c r="X27" s="142"/>
      <c r="Y27" s="153"/>
    </row>
    <row r="28" spans="2:25" x14ac:dyDescent="0.25">
      <c r="B28" s="151"/>
      <c r="C28" s="152" t="s">
        <v>81</v>
      </c>
      <c r="D28" s="142"/>
      <c r="E28" s="159"/>
      <c r="F28" s="143"/>
      <c r="G28" s="181"/>
      <c r="H28" s="181"/>
      <c r="I28" s="181"/>
      <c r="J28" s="153"/>
      <c r="L28" s="151"/>
      <c r="M28" s="142"/>
      <c r="N28" s="142"/>
      <c r="O28" s="142"/>
      <c r="P28" s="142"/>
      <c r="Q28" s="142"/>
      <c r="R28" s="142"/>
      <c r="S28" s="142"/>
      <c r="T28" s="142"/>
      <c r="U28" s="142"/>
      <c r="V28" s="142"/>
      <c r="W28" s="142"/>
      <c r="X28" s="142"/>
      <c r="Y28" s="153"/>
    </row>
    <row r="29" spans="2:25" x14ac:dyDescent="0.25">
      <c r="B29" s="151"/>
      <c r="C29" s="142" t="s">
        <v>82</v>
      </c>
      <c r="D29" s="142" t="s">
        <v>40</v>
      </c>
      <c r="E29" s="102">
        <f>H29</f>
        <v>15</v>
      </c>
      <c r="F29" s="143"/>
      <c r="G29" s="181"/>
      <c r="H29" s="130">
        <v>15</v>
      </c>
      <c r="I29" s="181"/>
      <c r="J29" s="153"/>
      <c r="L29" s="151"/>
      <c r="M29" s="142"/>
      <c r="N29" s="142"/>
      <c r="O29" s="142"/>
      <c r="P29" s="142"/>
      <c r="Q29" s="142"/>
      <c r="R29" s="142"/>
      <c r="S29" s="142"/>
      <c r="T29" s="142"/>
      <c r="U29" s="142"/>
      <c r="V29" s="142"/>
      <c r="W29" s="142"/>
      <c r="X29" s="142"/>
      <c r="Y29" s="153"/>
    </row>
    <row r="30" spans="2:25" x14ac:dyDescent="0.25">
      <c r="B30" s="151"/>
      <c r="C30" s="142"/>
      <c r="D30" s="142"/>
      <c r="E30" s="159"/>
      <c r="F30" s="143"/>
      <c r="G30" s="181"/>
      <c r="H30" s="181"/>
      <c r="I30" s="181"/>
      <c r="J30" s="153"/>
      <c r="L30" s="151"/>
      <c r="M30" s="142"/>
      <c r="N30" s="142"/>
      <c r="O30" s="142"/>
      <c r="P30" s="142"/>
      <c r="Q30" s="142"/>
      <c r="R30" s="142"/>
      <c r="S30" s="142"/>
      <c r="T30" s="142"/>
      <c r="U30" s="142"/>
      <c r="V30" s="142"/>
      <c r="W30" s="142"/>
      <c r="X30" s="142"/>
      <c r="Y30" s="153"/>
    </row>
    <row r="31" spans="2:25" x14ac:dyDescent="0.25">
      <c r="B31" s="151"/>
      <c r="C31" s="142" t="s">
        <v>83</v>
      </c>
      <c r="D31" s="142" t="s">
        <v>55</v>
      </c>
      <c r="E31" s="188">
        <f>H31</f>
        <v>0.7</v>
      </c>
      <c r="F31" s="143"/>
      <c r="G31" s="181"/>
      <c r="H31" s="137">
        <v>0.7</v>
      </c>
      <c r="I31" s="181"/>
      <c r="J31" s="153"/>
      <c r="L31" s="151"/>
      <c r="M31" s="142"/>
      <c r="N31" s="142"/>
      <c r="O31" s="142"/>
      <c r="P31" s="142"/>
      <c r="Q31" s="142"/>
      <c r="R31" s="142"/>
      <c r="S31" s="142"/>
      <c r="T31" s="142"/>
      <c r="U31" s="142"/>
      <c r="V31" s="142"/>
      <c r="W31" s="142"/>
      <c r="X31" s="142"/>
      <c r="Y31" s="153"/>
    </row>
    <row r="32" spans="2:25" x14ac:dyDescent="0.25">
      <c r="B32" s="151"/>
      <c r="C32" s="142" t="s">
        <v>84</v>
      </c>
      <c r="D32" s="142" t="s">
        <v>55</v>
      </c>
      <c r="E32" s="138">
        <f>100%-E31</f>
        <v>0.30000000000000004</v>
      </c>
      <c r="F32" s="143"/>
      <c r="G32" s="181"/>
      <c r="H32" s="138">
        <f>1-H31</f>
        <v>0.30000000000000004</v>
      </c>
      <c r="I32" s="181"/>
      <c r="J32" s="153"/>
      <c r="L32" s="151"/>
      <c r="M32" s="142"/>
      <c r="N32" s="142"/>
      <c r="O32" s="142"/>
      <c r="P32" s="142"/>
      <c r="Q32" s="142"/>
      <c r="R32" s="142"/>
      <c r="S32" s="142"/>
      <c r="T32" s="142"/>
      <c r="U32" s="142"/>
      <c r="V32" s="142"/>
      <c r="W32" s="142"/>
      <c r="X32" s="142"/>
      <c r="Y32" s="153"/>
    </row>
    <row r="33" spans="2:25" x14ac:dyDescent="0.25">
      <c r="B33" s="151"/>
      <c r="C33" s="142" t="s">
        <v>85</v>
      </c>
      <c r="D33" s="142" t="s">
        <v>55</v>
      </c>
      <c r="E33" s="187">
        <f t="shared" ref="E33:E35" si="1">H33</f>
        <v>0.15</v>
      </c>
      <c r="F33" s="143"/>
      <c r="G33" s="181"/>
      <c r="H33" s="139">
        <v>0.15</v>
      </c>
      <c r="I33" s="181"/>
      <c r="J33" s="153"/>
      <c r="L33" s="151"/>
      <c r="M33" s="142"/>
      <c r="N33" s="142"/>
      <c r="O33" s="142"/>
      <c r="P33" s="142"/>
      <c r="Q33" s="142"/>
      <c r="R33" s="142"/>
      <c r="S33" s="142"/>
      <c r="T33" s="142"/>
      <c r="U33" s="142"/>
      <c r="V33" s="142"/>
      <c r="W33" s="142"/>
      <c r="X33" s="142"/>
      <c r="Y33" s="153"/>
    </row>
    <row r="34" spans="2:25" x14ac:dyDescent="0.25">
      <c r="B34" s="151"/>
      <c r="C34" s="142" t="s">
        <v>86</v>
      </c>
      <c r="D34" s="142" t="s">
        <v>55</v>
      </c>
      <c r="E34" s="189">
        <f t="shared" si="1"/>
        <v>0.25</v>
      </c>
      <c r="F34" s="143"/>
      <c r="G34" s="181"/>
      <c r="H34" s="140">
        <v>0.25</v>
      </c>
      <c r="I34" s="181"/>
      <c r="J34" s="153"/>
      <c r="L34" s="151"/>
      <c r="M34" s="142"/>
      <c r="N34" s="142"/>
      <c r="O34" s="142"/>
      <c r="P34" s="142"/>
      <c r="Q34" s="142"/>
      <c r="R34" s="142"/>
      <c r="S34" s="142"/>
      <c r="T34" s="142"/>
      <c r="U34" s="142"/>
      <c r="V34" s="142"/>
      <c r="W34" s="142"/>
      <c r="X34" s="142"/>
      <c r="Y34" s="153"/>
    </row>
    <row r="35" spans="2:25" x14ac:dyDescent="0.25">
      <c r="B35" s="151"/>
      <c r="C35" s="142" t="s">
        <v>87</v>
      </c>
      <c r="D35" s="142" t="s">
        <v>55</v>
      </c>
      <c r="E35" s="189">
        <f t="shared" si="1"/>
        <v>0.18</v>
      </c>
      <c r="F35" s="143"/>
      <c r="G35" s="181"/>
      <c r="H35" s="140">
        <v>0.18</v>
      </c>
      <c r="I35" s="181"/>
      <c r="J35" s="153"/>
      <c r="L35" s="151"/>
      <c r="M35" s="142"/>
      <c r="N35" s="142"/>
      <c r="O35" s="142"/>
      <c r="P35" s="142"/>
      <c r="Q35" s="142"/>
      <c r="R35" s="142"/>
      <c r="S35" s="142"/>
      <c r="T35" s="142"/>
      <c r="U35" s="142"/>
      <c r="V35" s="142"/>
      <c r="W35" s="142"/>
      <c r="X35" s="142"/>
      <c r="Y35" s="153"/>
    </row>
    <row r="36" spans="2:25" x14ac:dyDescent="0.25">
      <c r="B36" s="151"/>
      <c r="C36" s="142" t="s">
        <v>77</v>
      </c>
      <c r="D36" s="142" t="s">
        <v>55</v>
      </c>
      <c r="E36" s="141">
        <f>E31*E33*(1-E35)+E32*E34</f>
        <v>0.16110000000000002</v>
      </c>
      <c r="F36" s="143"/>
      <c r="G36" s="181"/>
      <c r="H36" s="141">
        <f>H31*H33*(1-H35)+H32*H34</f>
        <v>0.16110000000000002</v>
      </c>
      <c r="I36" s="181"/>
      <c r="J36" s="153"/>
      <c r="L36" s="151"/>
      <c r="M36" s="142"/>
      <c r="N36" s="142"/>
      <c r="O36" s="142"/>
      <c r="P36" s="142"/>
      <c r="Q36" s="142"/>
      <c r="R36" s="142"/>
      <c r="S36" s="142"/>
      <c r="T36" s="142"/>
      <c r="U36" s="142"/>
      <c r="V36" s="142"/>
      <c r="W36" s="142"/>
      <c r="X36" s="142"/>
      <c r="Y36" s="153"/>
    </row>
    <row r="37" spans="2:25" x14ac:dyDescent="0.25">
      <c r="B37" s="151"/>
      <c r="C37" s="180"/>
      <c r="D37" s="180"/>
      <c r="E37" s="179"/>
      <c r="F37" s="143"/>
      <c r="G37" s="181"/>
      <c r="H37" s="181"/>
      <c r="I37" s="181"/>
      <c r="J37" s="153"/>
      <c r="L37" s="151"/>
      <c r="M37" s="142"/>
      <c r="N37" s="142"/>
      <c r="O37" s="142"/>
      <c r="P37" s="142"/>
      <c r="Q37" s="142"/>
      <c r="R37" s="142"/>
      <c r="S37" s="142"/>
      <c r="T37" s="142"/>
      <c r="U37" s="142"/>
      <c r="V37" s="142"/>
      <c r="W37" s="142"/>
      <c r="X37" s="142"/>
      <c r="Y37" s="153"/>
    </row>
    <row r="38" spans="2:25" x14ac:dyDescent="0.25">
      <c r="B38" s="155"/>
      <c r="C38" s="156"/>
      <c r="D38" s="156"/>
      <c r="E38" s="160"/>
      <c r="F38" s="160"/>
      <c r="G38" s="160"/>
      <c r="H38" s="160"/>
      <c r="I38" s="160"/>
      <c r="J38" s="157"/>
      <c r="L38" s="155"/>
      <c r="M38" s="156"/>
      <c r="N38" s="156"/>
      <c r="O38" s="156"/>
      <c r="P38" s="156"/>
      <c r="Q38" s="156"/>
      <c r="R38" s="156"/>
      <c r="S38" s="156"/>
      <c r="T38" s="156"/>
      <c r="U38" s="156"/>
      <c r="V38" s="156"/>
      <c r="W38" s="156"/>
      <c r="X38" s="156"/>
      <c r="Y38" s="157"/>
    </row>
    <row r="42" spans="2:25" x14ac:dyDescent="0.25">
      <c r="E42"/>
      <c r="F42"/>
      <c r="G42"/>
      <c r="H42"/>
      <c r="I42"/>
    </row>
  </sheetData>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5D930414-5E99-4715-BB99-4805AA630F21}">
          <x14:formula1>
            <xm:f>Lists!$B$38:$B$40</xm:f>
          </x14:formula1>
          <xm:sqref>E8</xm:sqref>
        </x14:dataValidation>
        <x14:dataValidation type="list" allowBlank="1" showInputMessage="1" showErrorMessage="1" xr:uid="{AC4BEE58-7C15-4CF2-B1EA-CBBDAAEB8A34}">
          <x14:formula1>
            <xm:f>Lists!$B$5:$B$34</xm:f>
          </x14:formula1>
          <xm:sqref>E7</xm:sqref>
        </x14:dataValidation>
        <x14:dataValidation type="list" allowBlank="1" showInputMessage="1" showErrorMessage="1" xr:uid="{5379C518-A2C6-4B23-B582-B92352D88CE5}">
          <x14:formula1>
            <xm:f>Lists!$B$44:$B$50</xm:f>
          </x14:formula1>
          <xm:sqref>E13</xm:sqref>
        </x14:dataValidation>
        <x14:dataValidation type="list" allowBlank="1" showInputMessage="1" showErrorMessage="1" xr:uid="{E0C1A3BA-D9B9-4830-B84B-2E2AE72DC3C4}">
          <x14:formula1>
            <xm:f>Input!$E$139:$E$144</xm:f>
          </x14:formula1>
          <xm:sqref>E18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A269E2-1D19-4E68-AFCE-425220224333}">
  <sheetPr>
    <tabColor rgb="FF0078E1"/>
  </sheetPr>
  <dimension ref="B1:S81"/>
  <sheetViews>
    <sheetView zoomScale="80" zoomScaleNormal="80" workbookViewId="0"/>
  </sheetViews>
  <sheetFormatPr defaultColWidth="8.85546875" defaultRowHeight="15" x14ac:dyDescent="0.25"/>
  <cols>
    <col min="1" max="1" width="4.42578125" customWidth="1"/>
    <col min="2" max="2" width="46.7109375" bestFit="1" customWidth="1"/>
    <col min="6" max="17" width="10.5703125" customWidth="1"/>
  </cols>
  <sheetData>
    <row r="1" spans="2:17" s="1" customFormat="1" ht="19.5" thickBot="1" x14ac:dyDescent="0.35">
      <c r="B1" s="1" t="s">
        <v>18</v>
      </c>
    </row>
    <row r="2" spans="2:17" ht="15.75" thickTop="1" x14ac:dyDescent="0.25"/>
    <row r="3" spans="2:17" ht="15.75" x14ac:dyDescent="0.25">
      <c r="B3" s="2" t="s">
        <v>88</v>
      </c>
      <c r="C3" s="2"/>
      <c r="D3" s="2"/>
      <c r="E3" s="2"/>
      <c r="F3" s="2"/>
      <c r="G3" s="2"/>
      <c r="H3" s="2"/>
      <c r="I3" s="2"/>
      <c r="J3" s="2"/>
      <c r="K3" s="2"/>
      <c r="L3" s="2"/>
      <c r="M3" s="2"/>
      <c r="N3" s="2"/>
      <c r="O3" s="2"/>
      <c r="P3" s="2"/>
      <c r="Q3" s="2"/>
    </row>
    <row r="5" spans="2:17" x14ac:dyDescent="0.25">
      <c r="B5" t="s">
        <v>89</v>
      </c>
      <c r="F5" s="3">
        <f>Input!D12</f>
        <v>1</v>
      </c>
      <c r="G5" s="3">
        <f>F5+1</f>
        <v>2</v>
      </c>
      <c r="H5" s="3">
        <f t="shared" ref="H5:Q5" si="0">G5+1</f>
        <v>3</v>
      </c>
      <c r="I5" s="3">
        <f t="shared" si="0"/>
        <v>4</v>
      </c>
      <c r="J5" s="3">
        <f t="shared" si="0"/>
        <v>5</v>
      </c>
      <c r="K5" s="3">
        <f t="shared" si="0"/>
        <v>6</v>
      </c>
      <c r="L5" s="3">
        <f t="shared" si="0"/>
        <v>7</v>
      </c>
      <c r="M5" s="3">
        <f t="shared" si="0"/>
        <v>8</v>
      </c>
      <c r="N5" s="3">
        <f t="shared" si="0"/>
        <v>9</v>
      </c>
      <c r="O5" s="3">
        <f t="shared" si="0"/>
        <v>10</v>
      </c>
      <c r="P5" s="3">
        <f t="shared" si="0"/>
        <v>11</v>
      </c>
      <c r="Q5" s="3">
        <f t="shared" si="0"/>
        <v>12</v>
      </c>
    </row>
    <row r="7" spans="2:17" x14ac:dyDescent="0.25">
      <c r="B7" s="3" t="s">
        <v>90</v>
      </c>
    </row>
    <row r="8" spans="2:17" x14ac:dyDescent="0.25">
      <c r="B8" t="s">
        <v>91</v>
      </c>
      <c r="D8" t="s">
        <v>92</v>
      </c>
      <c r="F8" s="33">
        <f>Cockpit!E12</f>
        <v>2500</v>
      </c>
      <c r="G8" s="34">
        <f>F8</f>
        <v>2500</v>
      </c>
      <c r="H8" s="34">
        <f t="shared" ref="H8:Q8" si="1">G8</f>
        <v>2500</v>
      </c>
      <c r="I8" s="34">
        <f t="shared" si="1"/>
        <v>2500</v>
      </c>
      <c r="J8" s="34">
        <f t="shared" si="1"/>
        <v>2500</v>
      </c>
      <c r="K8" s="34">
        <f t="shared" si="1"/>
        <v>2500</v>
      </c>
      <c r="L8" s="34">
        <f t="shared" si="1"/>
        <v>2500</v>
      </c>
      <c r="M8" s="34">
        <f t="shared" si="1"/>
        <v>2500</v>
      </c>
      <c r="N8" s="34">
        <f t="shared" si="1"/>
        <v>2500</v>
      </c>
      <c r="O8" s="34">
        <f t="shared" si="1"/>
        <v>2500</v>
      </c>
      <c r="P8" s="34">
        <f t="shared" si="1"/>
        <v>2500</v>
      </c>
      <c r="Q8" s="35">
        <f t="shared" si="1"/>
        <v>2500</v>
      </c>
    </row>
    <row r="9" spans="2:17" x14ac:dyDescent="0.25">
      <c r="B9" t="s">
        <v>93</v>
      </c>
      <c r="D9" t="s">
        <v>92</v>
      </c>
      <c r="F9" s="36">
        <f>IF(F5&gt;=Input!$D$14,Cockpit!$P$10,0)</f>
        <v>0</v>
      </c>
      <c r="G9" s="37">
        <f>IF(G5&gt;=Input!$D$14,Cockpit!$P$10,0)</f>
        <v>0</v>
      </c>
      <c r="H9" s="37">
        <f>IF(H5&gt;=Input!$D$14,Cockpit!$P$10,0)</f>
        <v>125</v>
      </c>
      <c r="I9" s="37">
        <f>IF(I5&gt;=Input!$D$14,Cockpit!$P$10,0)</f>
        <v>125</v>
      </c>
      <c r="J9" s="37">
        <f>IF(J5&gt;=Input!$D$14,Cockpit!$P$10,0)</f>
        <v>125</v>
      </c>
      <c r="K9" s="37">
        <f>IF(K5&gt;=Input!$D$14,Cockpit!$P$10,0)</f>
        <v>125</v>
      </c>
      <c r="L9" s="37">
        <f>IF(L5&gt;=Input!$D$14,Cockpit!$P$10,0)</f>
        <v>125</v>
      </c>
      <c r="M9" s="37">
        <f>IF(M5&gt;=Input!$D$14,Cockpit!$P$10,0)</f>
        <v>125</v>
      </c>
      <c r="N9" s="37">
        <f>IF(N5&gt;=Input!$D$14,Cockpit!$P$10,0)</f>
        <v>125</v>
      </c>
      <c r="O9" s="37">
        <f>IF(O5&gt;=Input!$D$14,Cockpit!$P$10,0)</f>
        <v>125</v>
      </c>
      <c r="P9" s="66">
        <f>IF(P5&gt;=Input!$D$14,Cockpit!$P$10,0)</f>
        <v>125</v>
      </c>
      <c r="Q9" s="67">
        <f>IF(Q5&gt;=Input!$D$14,Cockpit!$P$10,0)</f>
        <v>125</v>
      </c>
    </row>
    <row r="10" spans="2:17" x14ac:dyDescent="0.25">
      <c r="B10" t="s">
        <v>94</v>
      </c>
      <c r="D10" t="s">
        <v>92</v>
      </c>
      <c r="F10" s="39">
        <f>F8-F9</f>
        <v>2500</v>
      </c>
      <c r="G10" s="40">
        <f>G8-G9</f>
        <v>2500</v>
      </c>
      <c r="H10" s="40">
        <f t="shared" ref="H10:P10" si="2">H8-H9</f>
        <v>2375</v>
      </c>
      <c r="I10" s="40">
        <f t="shared" si="2"/>
        <v>2375</v>
      </c>
      <c r="J10" s="40">
        <f t="shared" si="2"/>
        <v>2375</v>
      </c>
      <c r="K10" s="40">
        <f t="shared" si="2"/>
        <v>2375</v>
      </c>
      <c r="L10" s="40">
        <f t="shared" si="2"/>
        <v>2375</v>
      </c>
      <c r="M10" s="40">
        <f t="shared" si="2"/>
        <v>2375</v>
      </c>
      <c r="N10" s="40">
        <f t="shared" si="2"/>
        <v>2375</v>
      </c>
      <c r="O10" s="40">
        <f t="shared" si="2"/>
        <v>2375</v>
      </c>
      <c r="P10" s="40">
        <f t="shared" si="2"/>
        <v>2375</v>
      </c>
      <c r="Q10" s="41">
        <f t="shared" ref="Q10" si="3">Q8-Q9</f>
        <v>2375</v>
      </c>
    </row>
    <row r="12" spans="2:17" x14ac:dyDescent="0.25">
      <c r="B12" s="3" t="s">
        <v>95</v>
      </c>
    </row>
    <row r="13" spans="2:17" x14ac:dyDescent="0.25">
      <c r="B13" t="s">
        <v>96</v>
      </c>
      <c r="D13" t="str">
        <f>Input!$D$6</f>
        <v>VND million</v>
      </c>
      <c r="F13" s="42">
        <f>IF(Cockpit!$E$14=0,F8*Cockpit!$H$14,F8*Cockpit!$E$14)</f>
        <v>26691.099365213944</v>
      </c>
      <c r="G13" s="43">
        <f>IF(Cockpit!$E$14=0,G8*Cockpit!$H$14,G8*Cockpit!$E$14)</f>
        <v>26691.099365213944</v>
      </c>
      <c r="H13" s="43">
        <f>IF(Cockpit!$E$14=0,H8*Cockpit!$H$14,H8*Cockpit!$E$14)</f>
        <v>26691.099365213944</v>
      </c>
      <c r="I13" s="43">
        <f>IF(Cockpit!$E$14=0,I8*Cockpit!$H$14,I8*Cockpit!$E$14)</f>
        <v>26691.099365213944</v>
      </c>
      <c r="J13" s="43">
        <f>IF(Cockpit!$E$14=0,J8*Cockpit!$H$14,J8*Cockpit!$E$14)</f>
        <v>26691.099365213944</v>
      </c>
      <c r="K13" s="43">
        <f>IF(Cockpit!$E$14=0,K8*Cockpit!$H$14,K8*Cockpit!$E$14)</f>
        <v>26691.099365213944</v>
      </c>
      <c r="L13" s="43">
        <f>IF(Cockpit!$E$14=0,L8*Cockpit!$H$14,L8*Cockpit!$E$14)</f>
        <v>26691.099365213944</v>
      </c>
      <c r="M13" s="43">
        <f>IF(Cockpit!$E$14=0,M8*Cockpit!$H$14,M8*Cockpit!$E$14)</f>
        <v>26691.099365213944</v>
      </c>
      <c r="N13" s="43">
        <f>IF(Cockpit!$E$14=0,N8*Cockpit!$H$14,N8*Cockpit!$E$14)</f>
        <v>26691.099365213944</v>
      </c>
      <c r="O13" s="43">
        <f>IF(Cockpit!$E$14=0,O8*Cockpit!$H$14,O8*Cockpit!$E$14)</f>
        <v>26691.099365213944</v>
      </c>
      <c r="P13" s="43">
        <f>IF(Cockpit!$E$14=0,P8*Cockpit!$H$14,P8*Cockpit!$E$14)</f>
        <v>26691.099365213944</v>
      </c>
      <c r="Q13" s="44">
        <f>IF(Cockpit!$E$14=0,Q8*Cockpit!$H$14,Q8*Cockpit!$E$14)</f>
        <v>26691.099365213944</v>
      </c>
    </row>
    <row r="14" spans="2:17" x14ac:dyDescent="0.25">
      <c r="B14" t="s">
        <v>97</v>
      </c>
      <c r="D14" t="str">
        <f>Input!$D$6</f>
        <v>VND million</v>
      </c>
      <c r="F14" s="36">
        <f>IF(Cockpit!$E$14=0,F9*Cockpit!$H$14,F9*Cockpit!$E$14)</f>
        <v>0</v>
      </c>
      <c r="G14" s="37">
        <f>IF(Cockpit!$E$14=0,G9*Cockpit!$H$14,G9*Cockpit!$E$14)</f>
        <v>0</v>
      </c>
      <c r="H14" s="37">
        <f>IF(Cockpit!$E$14=0,H9*Cockpit!$H$14,H9*Cockpit!$E$14)</f>
        <v>1334.5549682606973</v>
      </c>
      <c r="I14" s="37">
        <f>IF(Cockpit!$E$14=0,I9*Cockpit!$H$14,I9*Cockpit!$E$14)</f>
        <v>1334.5549682606973</v>
      </c>
      <c r="J14" s="37">
        <f>IF(Cockpit!$E$14=0,J9*Cockpit!$H$14,J9*Cockpit!$E$14)</f>
        <v>1334.5549682606973</v>
      </c>
      <c r="K14" s="37">
        <f>IF(Cockpit!$E$14=0,K9*Cockpit!$H$14,K9*Cockpit!$E$14)</f>
        <v>1334.5549682606973</v>
      </c>
      <c r="L14" s="37">
        <f>IF(Cockpit!$E$14=0,L9*Cockpit!$H$14,L9*Cockpit!$E$14)</f>
        <v>1334.5549682606973</v>
      </c>
      <c r="M14" s="37">
        <f>IF(Cockpit!$E$14=0,M9*Cockpit!$H$14,M9*Cockpit!$E$14)</f>
        <v>1334.5549682606973</v>
      </c>
      <c r="N14" s="37">
        <f>IF(Cockpit!$E$14=0,N9*Cockpit!$H$14,N9*Cockpit!$E$14)</f>
        <v>1334.5549682606973</v>
      </c>
      <c r="O14" s="37">
        <f>IF(Cockpit!$E$14=0,O9*Cockpit!$H$14,O9*Cockpit!$E$14)</f>
        <v>1334.5549682606973</v>
      </c>
      <c r="P14" s="66">
        <f>IF(Cockpit!$E$14=0,P9*Cockpit!$H$14,P9*Cockpit!$E$14)</f>
        <v>1334.5549682606973</v>
      </c>
      <c r="Q14" s="67">
        <f>IF(Cockpit!$E$14=0,Q9*Cockpit!$H$14,Q9*Cockpit!$E$14)</f>
        <v>1334.5549682606973</v>
      </c>
    </row>
    <row r="15" spans="2:17" x14ac:dyDescent="0.25">
      <c r="B15" t="s">
        <v>98</v>
      </c>
      <c r="D15" t="str">
        <f>Input!$D$6</f>
        <v>VND million</v>
      </c>
      <c r="F15" s="39">
        <f>F13-F14</f>
        <v>26691.099365213944</v>
      </c>
      <c r="G15" s="40">
        <f t="shared" ref="G15:P15" si="4">G13-G14</f>
        <v>26691.099365213944</v>
      </c>
      <c r="H15" s="40">
        <f t="shared" si="4"/>
        <v>25356.544396953246</v>
      </c>
      <c r="I15" s="40">
        <f t="shared" si="4"/>
        <v>25356.544396953246</v>
      </c>
      <c r="J15" s="40">
        <f t="shared" si="4"/>
        <v>25356.544396953246</v>
      </c>
      <c r="K15" s="40">
        <f t="shared" si="4"/>
        <v>25356.544396953246</v>
      </c>
      <c r="L15" s="40">
        <f t="shared" si="4"/>
        <v>25356.544396953246</v>
      </c>
      <c r="M15" s="40">
        <f t="shared" si="4"/>
        <v>25356.544396953246</v>
      </c>
      <c r="N15" s="40">
        <f t="shared" si="4"/>
        <v>25356.544396953246</v>
      </c>
      <c r="O15" s="40">
        <f t="shared" si="4"/>
        <v>25356.544396953246</v>
      </c>
      <c r="P15" s="40">
        <f t="shared" si="4"/>
        <v>25356.544396953246</v>
      </c>
      <c r="Q15" s="41">
        <f t="shared" ref="Q15" si="5">Q13-Q14</f>
        <v>25356.544396953246</v>
      </c>
    </row>
    <row r="17" spans="2:17" x14ac:dyDescent="0.25">
      <c r="B17" s="3" t="s">
        <v>99</v>
      </c>
    </row>
    <row r="18" spans="2:17" x14ac:dyDescent="0.25">
      <c r="B18" t="s">
        <v>100</v>
      </c>
      <c r="D18" t="s">
        <v>52</v>
      </c>
      <c r="F18" s="42">
        <f>F9*INDEX(Input!$D$130:$D$135,MATCH(Cockpit!$E$13,Input!$B$130:$B$135,FALSE))/1000</f>
        <v>0</v>
      </c>
      <c r="G18" s="43">
        <f>G9*INDEX(Input!$D$130:$D$135,MATCH(Cockpit!$E$13,Input!$B$130:$B$135,FALSE))/1000</f>
        <v>0</v>
      </c>
      <c r="H18" s="43">
        <f>H9*INDEX(Input!$D$130:$D$135,MATCH(Cockpit!$E$13,Input!$B$130:$B$135,FALSE))/1000</f>
        <v>912.4273968107899</v>
      </c>
      <c r="I18" s="43">
        <f>I9*INDEX(Input!$D$130:$D$135,MATCH(Cockpit!$E$13,Input!$B$130:$B$135,FALSE))/1000</f>
        <v>912.4273968107899</v>
      </c>
      <c r="J18" s="43">
        <f>J9*INDEX(Input!$D$130:$D$135,MATCH(Cockpit!$E$13,Input!$B$130:$B$135,FALSE))/1000</f>
        <v>912.4273968107899</v>
      </c>
      <c r="K18" s="43">
        <f>K9*INDEX(Input!$D$130:$D$135,MATCH(Cockpit!$E$13,Input!$B$130:$B$135,FALSE))/1000</f>
        <v>912.4273968107899</v>
      </c>
      <c r="L18" s="43">
        <f>L9*INDEX(Input!$D$130:$D$135,MATCH(Cockpit!$E$13,Input!$B$130:$B$135,FALSE))/1000</f>
        <v>912.4273968107899</v>
      </c>
      <c r="M18" s="43">
        <f>M9*INDEX(Input!$D$130:$D$135,MATCH(Cockpit!$E$13,Input!$B$130:$B$135,FALSE))/1000</f>
        <v>912.4273968107899</v>
      </c>
      <c r="N18" s="43">
        <f>N9*INDEX(Input!$D$130:$D$135,MATCH(Cockpit!$E$13,Input!$B$130:$B$135,FALSE))/1000</f>
        <v>912.4273968107899</v>
      </c>
      <c r="O18" s="43">
        <f>O9*INDEX(Input!$D$130:$D$135,MATCH(Cockpit!$E$13,Input!$B$130:$B$135,FALSE))/1000</f>
        <v>912.4273968107899</v>
      </c>
      <c r="P18" s="43">
        <f>P9*INDEX(Input!$D$130:$D$135,MATCH(Cockpit!$E$13,Input!$B$130:$B$135,FALSE))/1000</f>
        <v>912.4273968107899</v>
      </c>
      <c r="Q18" s="44">
        <f>Q9*INDEX(Input!$D$130:$D$135,MATCH(Cockpit!$E$13,Input!$B$130:$B$135,FALSE))/1000</f>
        <v>912.4273968107899</v>
      </c>
    </row>
    <row r="19" spans="2:17" x14ac:dyDescent="0.25">
      <c r="B19" t="s">
        <v>101</v>
      </c>
      <c r="D19" t="str">
        <f>Input!$D$6</f>
        <v>VND million</v>
      </c>
      <c r="F19" s="36">
        <f>IF(Cockpit!$E$19=0,F18*Cockpit!$H$19,F18*Cockpit!$E$19)</f>
        <v>0</v>
      </c>
      <c r="G19" s="37">
        <f>IF(Cockpit!$E$19=0,G18*Cockpit!$H$19,G18*Cockpit!$E$19)</f>
        <v>0</v>
      </c>
      <c r="H19" s="37">
        <f>IF(Cockpit!$E$19=0,H18*Cockpit!$H$19,H18*Cockpit!$E$19)</f>
        <v>105.68768194245622</v>
      </c>
      <c r="I19" s="37">
        <f>IF(Cockpit!$E$19=0,I18*Cockpit!$H$19,I18*Cockpit!$E$19)</f>
        <v>105.68768194245622</v>
      </c>
      <c r="J19" s="37">
        <f>IF(Cockpit!$E$19=0,J18*Cockpit!$H$19,J18*Cockpit!$E$19)</f>
        <v>105.68768194245622</v>
      </c>
      <c r="K19" s="37">
        <f>IF(Cockpit!$E$19=0,K18*Cockpit!$H$19,K18*Cockpit!$E$19)</f>
        <v>105.68768194245622</v>
      </c>
      <c r="L19" s="37">
        <f>IF(Cockpit!$E$19=0,L18*Cockpit!$H$19,L18*Cockpit!$E$19)</f>
        <v>105.68768194245622</v>
      </c>
      <c r="M19" s="37">
        <f>IF(Cockpit!$E$19=0,M18*Cockpit!$H$19,M18*Cockpit!$E$19)</f>
        <v>105.68768194245622</v>
      </c>
      <c r="N19" s="37">
        <f>IF(Cockpit!$E$19=0,N18*Cockpit!$H$19,N18*Cockpit!$E$19)</f>
        <v>105.68768194245622</v>
      </c>
      <c r="O19" s="37">
        <f>IF(Cockpit!$E$19=0,O18*Cockpit!$H$19,O18*Cockpit!$E$19)</f>
        <v>105.68768194245622</v>
      </c>
      <c r="P19" s="37">
        <f>IF(Cockpit!$E$19=0,P18*Cockpit!$H$19,P18*Cockpit!$E$19)</f>
        <v>105.68768194245622</v>
      </c>
      <c r="Q19" s="38">
        <f>IF(Cockpit!$E$19=0,Q18*Cockpit!$H$19,Q18*Cockpit!$E$19)</f>
        <v>105.68768194245622</v>
      </c>
    </row>
    <row r="20" spans="2:17" x14ac:dyDescent="0.25">
      <c r="B20" s="3"/>
    </row>
    <row r="21" spans="2:17" x14ac:dyDescent="0.25">
      <c r="B21" s="3" t="s">
        <v>102</v>
      </c>
    </row>
    <row r="22" spans="2:17" x14ac:dyDescent="0.25">
      <c r="B22" t="s">
        <v>102</v>
      </c>
      <c r="D22" t="str">
        <f>Input!$D$6</f>
        <v>VND million</v>
      </c>
      <c r="F22" s="45">
        <f>IF(F5=Input!$D$13,Cockpit!$P$14,0)</f>
        <v>0</v>
      </c>
      <c r="G22" s="46">
        <f>IF(G5=Input!$D$13,Cockpit!$P$14,0)</f>
        <v>2669.1099365213945</v>
      </c>
      <c r="H22" s="46">
        <f>IF(H5=Input!$D$13,Cockpit!$P$14,0)</f>
        <v>0</v>
      </c>
      <c r="I22" s="46">
        <f>IF(I5=Input!$D$13,Cockpit!$P$14,0)</f>
        <v>0</v>
      </c>
      <c r="J22" s="46">
        <f>IF(J5=Input!$D$13,Cockpit!$P$14,0)</f>
        <v>0</v>
      </c>
      <c r="K22" s="46">
        <f>IF(K5=Input!$D$13,Cockpit!$P$14,0)</f>
        <v>0</v>
      </c>
      <c r="L22" s="46">
        <f>IF(L5=Input!$D$13,Cockpit!$P$14,0)</f>
        <v>0</v>
      </c>
      <c r="M22" s="46">
        <f>IF(M5=Input!$D$13,Cockpit!$P$14,0)</f>
        <v>0</v>
      </c>
      <c r="N22" s="46">
        <f>IF(N5=Input!$D$13,Cockpit!$P$14,0)</f>
        <v>0</v>
      </c>
      <c r="O22" s="46">
        <f>IF(O5=Input!$D$13,Cockpit!$P$14,0)</f>
        <v>0</v>
      </c>
      <c r="P22" s="46">
        <f>IF(P5=Input!$D$13,Cockpit!$P$14,0)</f>
        <v>0</v>
      </c>
      <c r="Q22" s="47">
        <f>IF(Q5=Input!$D$13,Cockpit!$P$14,0)</f>
        <v>0</v>
      </c>
    </row>
    <row r="24" spans="2:17" x14ac:dyDescent="0.25">
      <c r="B24" s="3" t="s">
        <v>103</v>
      </c>
    </row>
    <row r="25" spans="2:17" x14ac:dyDescent="0.25">
      <c r="B25" t="s">
        <v>76</v>
      </c>
      <c r="D25" t="str">
        <f>Input!$D$6</f>
        <v>VND million</v>
      </c>
      <c r="F25" s="33">
        <f>IF(F$5=Input!$D$12,IF(Cockpit!$E$22=0,Cockpit!$H$22,Cockpit!$E$22),0)</f>
        <v>125</v>
      </c>
      <c r="G25" s="34">
        <f>IF(G$5=Input!$D$12,IF(Cockpit!$E$22=0,Cockpit!$H$22,Cockpit!$E$22),0)</f>
        <v>0</v>
      </c>
      <c r="H25" s="34">
        <f>IF(H$5=Input!$D$12,IF(Cockpit!$E$22=0,Cockpit!$H$22,Cockpit!$E$22),0)</f>
        <v>0</v>
      </c>
      <c r="I25" s="34">
        <f>IF(I$5=Input!$D$12,IF(Cockpit!$E$22=0,Cockpit!$H$22,Cockpit!$E$22),0)</f>
        <v>0</v>
      </c>
      <c r="J25" s="34">
        <f>IF(J$5=Input!$D$12,IF(Cockpit!$E$22=0,Cockpit!$H$22,Cockpit!$E$22),0)</f>
        <v>0</v>
      </c>
      <c r="K25" s="34">
        <f>IF(K$5=Input!$D$12,IF(Cockpit!$E$22=0,Cockpit!$H$22,Cockpit!$E$22),0)</f>
        <v>0</v>
      </c>
      <c r="L25" s="34">
        <f>IF(L$5=Input!$D$12,IF(Cockpit!$E$22=0,Cockpit!$H$22,Cockpit!$E$22),0)</f>
        <v>0</v>
      </c>
      <c r="M25" s="34">
        <f>IF(M$5=Input!$D$12,IF(Cockpit!$E$22=0,Cockpit!$H$22,Cockpit!$E$22),0)</f>
        <v>0</v>
      </c>
      <c r="N25" s="34">
        <f>IF(N$5=Input!$D$12,IF(Cockpit!$E$22=0,Cockpit!$H$22,Cockpit!$E$22),0)</f>
        <v>0</v>
      </c>
      <c r="O25" s="34">
        <f>IF(O$5=Input!$D$12,IF(Cockpit!$E$22=0,Cockpit!$H$22,Cockpit!$E$22),0)</f>
        <v>0</v>
      </c>
      <c r="P25" s="34">
        <f>IF(P$5=Input!$D$12,IF(Cockpit!$E$22=0,Cockpit!$H$22,Cockpit!$E$22),0)</f>
        <v>0</v>
      </c>
      <c r="Q25" s="35">
        <f>IF(Q$5=Input!$D$12,IF(Cockpit!$E$22=0,Cockpit!$H$22,Cockpit!$E$22),0)</f>
        <v>0</v>
      </c>
    </row>
    <row r="26" spans="2:17" x14ac:dyDescent="0.25">
      <c r="B26" t="s">
        <v>104</v>
      </c>
      <c r="D26" t="str">
        <f>Input!$D$6</f>
        <v>VND million</v>
      </c>
      <c r="F26" s="73">
        <f>IF(F$5=Input!$D$12,IF(Cockpit!$E$23=0,Cockpit!$H$23,Cockpit!$E$23),0)</f>
        <v>500</v>
      </c>
      <c r="G26" s="62">
        <f>IF(G$5=Input!$D$12,IF(Cockpit!$E$23=0,Cockpit!$H$23,Cockpit!$E$23),0)</f>
        <v>0</v>
      </c>
      <c r="H26" s="62">
        <f>IF(H$5=Input!$D$12,IF(Cockpit!$E$23=0,Cockpit!$H$23,Cockpit!$E$23),0)</f>
        <v>0</v>
      </c>
      <c r="I26" s="62">
        <f>IF(I$5=Input!$D$12,IF(Cockpit!$E$23=0,Cockpit!$H$23,Cockpit!$E$23),0)</f>
        <v>0</v>
      </c>
      <c r="J26" s="62">
        <f>IF(J$5=Input!$D$12,IF(Cockpit!$E$23=0,Cockpit!$H$23,Cockpit!$E$23),0)</f>
        <v>0</v>
      </c>
      <c r="K26" s="62">
        <f>IF(K$5=Input!$D$12,IF(Cockpit!$E$23=0,Cockpit!$H$23,Cockpit!$E$23),0)</f>
        <v>0</v>
      </c>
      <c r="L26" s="62">
        <f>IF(L$5=Input!$D$12,IF(Cockpit!$E$23=0,Cockpit!$H$23,Cockpit!$E$23),0)</f>
        <v>0</v>
      </c>
      <c r="M26" s="62">
        <f>IF(M$5=Input!$D$12,IF(Cockpit!$E$23=0,Cockpit!$H$23,Cockpit!$E$23),0)</f>
        <v>0</v>
      </c>
      <c r="N26" s="62">
        <f>IF(N$5=Input!$D$12,IF(Cockpit!$E$23=0,Cockpit!$H$23,Cockpit!$E$23),0)</f>
        <v>0</v>
      </c>
      <c r="O26" s="62">
        <f>IF(O$5=Input!$D$12,IF(Cockpit!$E$23=0,Cockpit!$H$23,Cockpit!$E$23),0)</f>
        <v>0</v>
      </c>
      <c r="P26" s="62">
        <f>IF(P$5=Input!$D$12,IF(Cockpit!$E$23=0,Cockpit!$H$23,Cockpit!$E$23),0)</f>
        <v>0</v>
      </c>
      <c r="Q26" s="74">
        <f>IF(Q$5=Input!$D$12,IF(Cockpit!$E$23=0,Cockpit!$H$23,Cockpit!$E$23),0)</f>
        <v>0</v>
      </c>
    </row>
    <row r="27" spans="2:17" x14ac:dyDescent="0.25">
      <c r="B27" t="s">
        <v>105</v>
      </c>
      <c r="D27" t="str">
        <f>Input!$D$6</f>
        <v>VND million</v>
      </c>
      <c r="F27" s="65">
        <f>IF(F$5&gt;=Input!$D$12,IF(OR(Cockpit!$E$26=0,Cockpit!$E$24=0),Cockpit!$H$26*Cockpit!$H$24,Cockpit!$E$26*Cockpit!$E$24),0)</f>
        <v>400</v>
      </c>
      <c r="G27" s="66">
        <f>IF(G$5&gt;=Input!$D$12,IF(OR(Cockpit!$E$26=0,Cockpit!$E$24=0),Cockpit!$H$26*Cockpit!$H$24,Cockpit!$E$26*Cockpit!$E$24),0)</f>
        <v>400</v>
      </c>
      <c r="H27" s="66">
        <f>IF(H$5&gt;=Input!$D$12,IF(OR(Cockpit!$E$26=0,Cockpit!$E$24=0),Cockpit!$H$26*Cockpit!$H$24,Cockpit!$E$26*Cockpit!$E$24),0)</f>
        <v>400</v>
      </c>
      <c r="I27" s="66">
        <f>IF(I$5&gt;=Input!$D$12,IF(OR(Cockpit!$E$26=0,Cockpit!$E$24=0),Cockpit!$H$26*Cockpit!$H$24,Cockpit!$E$26*Cockpit!$E$24),0)</f>
        <v>400</v>
      </c>
      <c r="J27" s="66">
        <f>IF(J$5&gt;=Input!$D$12,IF(OR(Cockpit!$E$26=0,Cockpit!$E$24=0),Cockpit!$H$26*Cockpit!$H$24,Cockpit!$E$26*Cockpit!$E$24),0)</f>
        <v>400</v>
      </c>
      <c r="K27" s="66">
        <f>IF(K$5&gt;=Input!$D$12,IF(OR(Cockpit!$E$26=0,Cockpit!$E$24=0),Cockpit!$H$26*Cockpit!$H$24,Cockpit!$E$26*Cockpit!$E$24),0)</f>
        <v>400</v>
      </c>
      <c r="L27" s="66">
        <f>IF(L$5&gt;=Input!$D$12,IF(OR(Cockpit!$E$26=0,Cockpit!$E$24=0),Cockpit!$H$26*Cockpit!$H$24,Cockpit!$E$26*Cockpit!$E$24),0)</f>
        <v>400</v>
      </c>
      <c r="M27" s="66">
        <f>IF(M$5&gt;=Input!$D$12,IF(OR(Cockpit!$E$26=0,Cockpit!$E$24=0),Cockpit!$H$26*Cockpit!$H$24,Cockpit!$E$26*Cockpit!$E$24),0)</f>
        <v>400</v>
      </c>
      <c r="N27" s="66">
        <f>IF(N$5&gt;=Input!$D$12,IF(OR(Cockpit!$E$26=0,Cockpit!$E$24=0),Cockpit!$H$26*Cockpit!$H$24,Cockpit!$E$26*Cockpit!$E$24),0)</f>
        <v>400</v>
      </c>
      <c r="O27" s="66">
        <f>IF(O$5&gt;=Input!$D$12,IF(OR(Cockpit!$E$26=0,Cockpit!$E$24=0),Cockpit!$H$26*Cockpit!$H$24,Cockpit!$E$26*Cockpit!$E$24),0)</f>
        <v>400</v>
      </c>
      <c r="P27" s="66">
        <f>IF(P$5&gt;=Input!$D$12,IF(OR(Cockpit!$E$26=0,Cockpit!$E$24=0),Cockpit!$H$26*Cockpit!$H$24,Cockpit!$E$26*Cockpit!$E$24),0)</f>
        <v>400</v>
      </c>
      <c r="Q27" s="67">
        <f>IF(Q$5&gt;=Input!$D$12,IF(OR(Cockpit!$E$26=0,Cockpit!$E$24=0),Cockpit!$H$26*Cockpit!$H$24,Cockpit!$E$26*Cockpit!$E$24),0)</f>
        <v>400</v>
      </c>
    </row>
    <row r="28" spans="2:17" x14ac:dyDescent="0.25">
      <c r="B28" t="s">
        <v>106</v>
      </c>
      <c r="D28" t="str">
        <f>Input!$D$6</f>
        <v>VND million</v>
      </c>
      <c r="F28" s="36">
        <f>IF(AND(F$5&gt;=Input!$D$12,F$5&lt;=Input!$D$16),IF(OR(Cockpit!$E$25=0,Cockpit!$E$26=0),Cockpit!$H$25*Cockpit!$H$26,Cockpit!$E$25*Cockpit!$E$26),0)</f>
        <v>40</v>
      </c>
      <c r="G28" s="37">
        <f>IF(AND(G$5&gt;=Input!$D$12,G$5&lt;=Input!$D$16),IF(OR(Cockpit!$E$25=0,Cockpit!$E$26=0),Cockpit!$H$25*Cockpit!$H$26,Cockpit!$E$25*Cockpit!$E$26),0)</f>
        <v>40</v>
      </c>
      <c r="H28" s="37">
        <f>IF(AND(H$5&gt;=Input!$D$12,H$5&lt;=Input!$D$16),IF(OR(Cockpit!$E$25=0,Cockpit!$E$26=0),Cockpit!$H$25*Cockpit!$H$26,Cockpit!$E$25*Cockpit!$E$26),0)</f>
        <v>40</v>
      </c>
      <c r="I28" s="37">
        <f>IF(AND(I$5&gt;=Input!$D$12,I$5&lt;=Input!$D$16),IF(OR(Cockpit!$E$25=0,Cockpit!$E$26=0),Cockpit!$H$25*Cockpit!$H$26,Cockpit!$E$25*Cockpit!$E$26),0)</f>
        <v>0</v>
      </c>
      <c r="J28" s="37">
        <f>IF(AND(J$5&gt;=Input!$D$12,J$5&lt;=Input!$D$16),IF(OR(Cockpit!$E$25=0,Cockpit!$E$26=0),Cockpit!$H$25*Cockpit!$H$26,Cockpit!$E$25*Cockpit!$E$26),0)</f>
        <v>0</v>
      </c>
      <c r="K28" s="37">
        <f>IF(AND(K$5&gt;=Input!$D$12,K$5&lt;=Input!$D$16),IF(OR(Cockpit!$E$25=0,Cockpit!$E$26=0),Cockpit!$H$25*Cockpit!$H$26,Cockpit!$E$25*Cockpit!$E$26),0)</f>
        <v>0</v>
      </c>
      <c r="L28" s="37">
        <f>IF(AND(L$5&gt;=Input!$D$12,L$5&lt;=Input!$D$16),IF(OR(Cockpit!$E$25=0,Cockpit!$E$26=0),Cockpit!$H$25*Cockpit!$H$26,Cockpit!$E$25*Cockpit!$E$26),0)</f>
        <v>0</v>
      </c>
      <c r="M28" s="37">
        <f>IF(AND(M$5&gt;=Input!$D$12,M$5&lt;=Input!$D$16),IF(OR(Cockpit!$E$25=0,Cockpit!$E$26=0),Cockpit!$H$25*Cockpit!$H$26,Cockpit!$E$25*Cockpit!$E$26),0)</f>
        <v>0</v>
      </c>
      <c r="N28" s="37">
        <f>IF(AND(N$5&gt;=Input!$D$12,N$5&lt;=Input!$D$16),IF(OR(Cockpit!$E$25=0,Cockpit!$E$26=0),Cockpit!$H$25*Cockpit!$H$26,Cockpit!$E$25*Cockpit!$E$26),0)</f>
        <v>0</v>
      </c>
      <c r="O28" s="37">
        <f>IF(AND(O$5&gt;=Input!$D$12,O$5&lt;=Input!$D$16),IF(OR(Cockpit!$E$25=0,Cockpit!$E$26=0),Cockpit!$H$25*Cockpit!$H$26,Cockpit!$E$25*Cockpit!$E$26),0)</f>
        <v>0</v>
      </c>
      <c r="P28" s="66">
        <f>IF(AND(P$5&gt;=Input!$D$12,P$5&lt;=Input!$D$16),IF(OR(Cockpit!$E$25=0,Cockpit!$E$26=0),Cockpit!$H$25*Cockpit!$H$26,Cockpit!$E$25*Cockpit!$E$26),0)</f>
        <v>0</v>
      </c>
      <c r="Q28" s="67">
        <f>IF(AND(Q$5&gt;=Input!$D$12,Q$5&lt;=Input!$D$16),IF(OR(Cockpit!$E$25=0,Cockpit!$E$26=0),Cockpit!$H$25*Cockpit!$H$26,Cockpit!$E$25*Cockpit!$E$26),0)</f>
        <v>0</v>
      </c>
    </row>
    <row r="29" spans="2:17" x14ac:dyDescent="0.25">
      <c r="B29" t="s">
        <v>107</v>
      </c>
      <c r="D29" t="str">
        <f>Input!$D$6</f>
        <v>VND million</v>
      </c>
      <c r="F29" s="57">
        <f>SUM(F25:F27)</f>
        <v>1025</v>
      </c>
      <c r="G29" s="58">
        <f t="shared" ref="G29:P29" si="6">SUM(G25:G27)</f>
        <v>400</v>
      </c>
      <c r="H29" s="58">
        <f t="shared" si="6"/>
        <v>400</v>
      </c>
      <c r="I29" s="58">
        <f t="shared" si="6"/>
        <v>400</v>
      </c>
      <c r="J29" s="58">
        <f t="shared" si="6"/>
        <v>400</v>
      </c>
      <c r="K29" s="58">
        <f t="shared" si="6"/>
        <v>400</v>
      </c>
      <c r="L29" s="58">
        <f t="shared" si="6"/>
        <v>400</v>
      </c>
      <c r="M29" s="58">
        <f t="shared" si="6"/>
        <v>400</v>
      </c>
      <c r="N29" s="58">
        <f t="shared" si="6"/>
        <v>400</v>
      </c>
      <c r="O29" s="58">
        <f t="shared" si="6"/>
        <v>400</v>
      </c>
      <c r="P29" s="49">
        <f t="shared" si="6"/>
        <v>400</v>
      </c>
      <c r="Q29" s="50">
        <f t="shared" ref="Q29" si="7">SUM(Q25:Q27)</f>
        <v>400</v>
      </c>
    </row>
    <row r="31" spans="2:17" x14ac:dyDescent="0.25">
      <c r="B31" s="3" t="s">
        <v>108</v>
      </c>
    </row>
    <row r="32" spans="2:17" x14ac:dyDescent="0.25">
      <c r="B32" t="s">
        <v>109</v>
      </c>
      <c r="D32" t="str">
        <f>Input!$D$6</f>
        <v>VND million</v>
      </c>
      <c r="F32" s="51">
        <f>F25</f>
        <v>125</v>
      </c>
      <c r="G32" s="52">
        <f t="shared" ref="G32:P32" si="8">G25</f>
        <v>0</v>
      </c>
      <c r="H32" s="52">
        <f t="shared" si="8"/>
        <v>0</v>
      </c>
      <c r="I32" s="52">
        <f t="shared" si="8"/>
        <v>0</v>
      </c>
      <c r="J32" s="52">
        <f t="shared" si="8"/>
        <v>0</v>
      </c>
      <c r="K32" s="52">
        <f t="shared" si="8"/>
        <v>0</v>
      </c>
      <c r="L32" s="52">
        <f t="shared" si="8"/>
        <v>0</v>
      </c>
      <c r="M32" s="52">
        <f t="shared" si="8"/>
        <v>0</v>
      </c>
      <c r="N32" s="52">
        <f t="shared" si="8"/>
        <v>0</v>
      </c>
      <c r="O32" s="52">
        <f t="shared" si="8"/>
        <v>0</v>
      </c>
      <c r="P32" s="52">
        <f t="shared" si="8"/>
        <v>0</v>
      </c>
      <c r="Q32" s="53">
        <f t="shared" ref="Q32" si="9">Q25</f>
        <v>0</v>
      </c>
    </row>
    <row r="33" spans="2:17" x14ac:dyDescent="0.25">
      <c r="B33" t="s">
        <v>110</v>
      </c>
      <c r="D33" t="str">
        <f>Input!$D$6</f>
        <v>VND million</v>
      </c>
      <c r="F33" s="54">
        <f>F26</f>
        <v>500</v>
      </c>
      <c r="G33" s="55">
        <f t="shared" ref="G33:P33" si="10">G26</f>
        <v>0</v>
      </c>
      <c r="H33" s="55">
        <f t="shared" si="10"/>
        <v>0</v>
      </c>
      <c r="I33" s="55">
        <f t="shared" si="10"/>
        <v>0</v>
      </c>
      <c r="J33" s="55">
        <f t="shared" si="10"/>
        <v>0</v>
      </c>
      <c r="K33" s="55">
        <f t="shared" si="10"/>
        <v>0</v>
      </c>
      <c r="L33" s="55">
        <f t="shared" si="10"/>
        <v>0</v>
      </c>
      <c r="M33" s="55">
        <f t="shared" si="10"/>
        <v>0</v>
      </c>
      <c r="N33" s="55">
        <f t="shared" si="10"/>
        <v>0</v>
      </c>
      <c r="O33" s="55">
        <f t="shared" si="10"/>
        <v>0</v>
      </c>
      <c r="P33" s="55">
        <f t="shared" si="10"/>
        <v>0</v>
      </c>
      <c r="Q33" s="56">
        <f t="shared" ref="Q33" si="11">Q26</f>
        <v>0</v>
      </c>
    </row>
    <row r="34" spans="2:17" x14ac:dyDescent="0.25">
      <c r="B34" t="s">
        <v>111</v>
      </c>
      <c r="D34" t="str">
        <f>Input!$D$6</f>
        <v>VND million</v>
      </c>
      <c r="F34" s="48">
        <f>SUM(F32:F33)</f>
        <v>625</v>
      </c>
      <c r="G34" s="49">
        <f t="shared" ref="G34:P34" si="12">SUM(G32:G33)</f>
        <v>0</v>
      </c>
      <c r="H34" s="49">
        <f t="shared" si="12"/>
        <v>0</v>
      </c>
      <c r="I34" s="49">
        <f t="shared" si="12"/>
        <v>0</v>
      </c>
      <c r="J34" s="49">
        <f t="shared" si="12"/>
        <v>0</v>
      </c>
      <c r="K34" s="49">
        <f t="shared" si="12"/>
        <v>0</v>
      </c>
      <c r="L34" s="49">
        <f t="shared" si="12"/>
        <v>0</v>
      </c>
      <c r="M34" s="49">
        <f t="shared" si="12"/>
        <v>0</v>
      </c>
      <c r="N34" s="49">
        <f t="shared" si="12"/>
        <v>0</v>
      </c>
      <c r="O34" s="49">
        <f t="shared" si="12"/>
        <v>0</v>
      </c>
      <c r="P34" s="49">
        <f t="shared" si="12"/>
        <v>0</v>
      </c>
      <c r="Q34" s="50">
        <f t="shared" ref="Q34" si="13">SUM(Q32:Q33)</f>
        <v>0</v>
      </c>
    </row>
    <row r="36" spans="2:17" x14ac:dyDescent="0.25">
      <c r="B36" s="3" t="s">
        <v>112</v>
      </c>
    </row>
    <row r="37" spans="2:17" x14ac:dyDescent="0.25">
      <c r="B37" t="s">
        <v>113</v>
      </c>
      <c r="D37" t="str">
        <f>Input!$D$6</f>
        <v>VND million</v>
      </c>
      <c r="F37" s="42">
        <f>E41</f>
        <v>0</v>
      </c>
      <c r="G37" s="43">
        <f t="shared" ref="G37:Q37" si="14">F41</f>
        <v>0</v>
      </c>
      <c r="H37" s="43">
        <f t="shared" si="14"/>
        <v>1868.376955564976</v>
      </c>
      <c r="I37" s="43">
        <f t="shared" si="14"/>
        <v>1743.8184918606444</v>
      </c>
      <c r="J37" s="43">
        <f t="shared" si="14"/>
        <v>1619.2600281563127</v>
      </c>
      <c r="K37" s="43">
        <f t="shared" si="14"/>
        <v>1494.7015644519811</v>
      </c>
      <c r="L37" s="43">
        <f t="shared" si="14"/>
        <v>1370.1431007476494</v>
      </c>
      <c r="M37" s="43">
        <f t="shared" si="14"/>
        <v>1245.5846370433178</v>
      </c>
      <c r="N37" s="43">
        <f t="shared" si="14"/>
        <v>1121.0261733389862</v>
      </c>
      <c r="O37" s="43">
        <f t="shared" si="14"/>
        <v>996.4677096346544</v>
      </c>
      <c r="P37" s="40">
        <f t="shared" si="14"/>
        <v>871.90924593032264</v>
      </c>
      <c r="Q37" s="41">
        <f t="shared" si="14"/>
        <v>747.35078222599088</v>
      </c>
    </row>
    <row r="38" spans="2:17" x14ac:dyDescent="0.25">
      <c r="B38" t="s">
        <v>83</v>
      </c>
      <c r="D38" t="str">
        <f>Input!$D$6</f>
        <v>VND million</v>
      </c>
      <c r="F38" s="42">
        <f>IF(Cockpit!$E$31=0,F22*Cockpit!$H$31,F22*Cockpit!$E$31)</f>
        <v>0</v>
      </c>
      <c r="G38" s="43">
        <f>IF(Cockpit!$E$31=0,G22*Cockpit!$H$31,G22*Cockpit!$E$31)</f>
        <v>1868.376955564976</v>
      </c>
      <c r="H38" s="43">
        <f>IF(Cockpit!$E$31=0,H22*Cockpit!$H$31,H22*Cockpit!$E$31)</f>
        <v>0</v>
      </c>
      <c r="I38" s="43">
        <f>IF(Cockpit!$E$31=0,I22*Cockpit!$H$31,I22*Cockpit!$E$31)</f>
        <v>0</v>
      </c>
      <c r="J38" s="43">
        <f>IF(Cockpit!$E$31=0,J22*Cockpit!$H$31,J22*Cockpit!$E$31)</f>
        <v>0</v>
      </c>
      <c r="K38" s="43">
        <f>IF(Cockpit!$E$31=0,K22*Cockpit!$H$31,K22*Cockpit!$E$31)</f>
        <v>0</v>
      </c>
      <c r="L38" s="43">
        <f>IF(Cockpit!$E$31=0,L22*Cockpit!$H$31,L22*Cockpit!$E$31)</f>
        <v>0</v>
      </c>
      <c r="M38" s="43">
        <f>IF(Cockpit!$E$31=0,M22*Cockpit!$H$31,M22*Cockpit!$E$31)</f>
        <v>0</v>
      </c>
      <c r="N38" s="43">
        <f>IF(Cockpit!$E$31=0,N22*Cockpit!$H$31,N22*Cockpit!$E$31)</f>
        <v>0</v>
      </c>
      <c r="O38" s="43">
        <f>IF(Cockpit!$E$31=0,O22*Cockpit!$H$31,O22*Cockpit!$E$31)</f>
        <v>0</v>
      </c>
      <c r="P38" s="66">
        <f>IF(Cockpit!$E$31=0,P22*Cockpit!$H$31,P22*Cockpit!$E$31)</f>
        <v>0</v>
      </c>
      <c r="Q38" s="67">
        <f>IF(Cockpit!$E$31=0,Q22*Cockpit!$H$31,Q22*Cockpit!$E$31)</f>
        <v>0</v>
      </c>
    </row>
    <row r="39" spans="2:17" x14ac:dyDescent="0.25">
      <c r="B39" t="s">
        <v>114</v>
      </c>
      <c r="D39" t="str">
        <f>Input!$D$6</f>
        <v>VND million</v>
      </c>
      <c r="F39" s="65">
        <f>IF(OR(F$5&lt;=Input!$D$13,F$5&gt;IF(Cockpit!$E$29=0,Cockpit!$H$29,Cockpit!$E$29)+Input!$D$13),0,IF(Cockpit!$E$29=0,-SUM($F$38:$Q$38)/Cockpit!$H$29,-SUM($F$38:$Q$38)/Cockpit!$E$29))</f>
        <v>0</v>
      </c>
      <c r="G39" s="66">
        <f>IF(OR(G$5&lt;=Input!$D$13,G$5&gt;IF(Cockpit!$E$29=0,Cockpit!$H$29,Cockpit!$E$29)+Input!$D$13),0,IF(Cockpit!$E$29=0,-SUM($F$38:$Q$38)/Cockpit!$H$29,-SUM($F$38:$Q$38)/Cockpit!$E$29))</f>
        <v>0</v>
      </c>
      <c r="H39" s="66">
        <f>IF(OR(H$5&lt;=Input!$D$13,H$5&gt;IF(Cockpit!$E$29=0,Cockpit!$H$29,Cockpit!$E$29)+Input!$D$13),0,IF(Cockpit!$E$29=0,-SUM($F$38:$Q$38)/Cockpit!$H$29,-SUM($F$38:$Q$38)/Cockpit!$E$29))</f>
        <v>-124.55846370433173</v>
      </c>
      <c r="I39" s="66">
        <f>IF(OR(I$5&lt;=Input!$D$13,I$5&gt;IF(Cockpit!$E$29=0,Cockpit!$H$29,Cockpit!$E$29)+Input!$D$13),0,IF(Cockpit!$E$29=0,-SUM($F$38:$Q$38)/Cockpit!$H$29,-SUM($F$38:$Q$38)/Cockpit!$E$29))</f>
        <v>-124.55846370433173</v>
      </c>
      <c r="J39" s="66">
        <f>IF(OR(J$5&lt;=Input!$D$13,J$5&gt;IF(Cockpit!$E$29=0,Cockpit!$H$29,Cockpit!$E$29)+Input!$D$13),0,IF(Cockpit!$E$29=0,-SUM($F$38:$Q$38)/Cockpit!$H$29,-SUM($F$38:$Q$38)/Cockpit!$E$29))</f>
        <v>-124.55846370433173</v>
      </c>
      <c r="K39" s="66">
        <f>IF(OR(K$5&lt;=Input!$D$13,K$5&gt;IF(Cockpit!$E$29=0,Cockpit!$H$29,Cockpit!$E$29)+Input!$D$13),0,IF(Cockpit!$E$29=0,-SUM($F$38:$Q$38)/Cockpit!$H$29,-SUM($F$38:$Q$38)/Cockpit!$E$29))</f>
        <v>-124.55846370433173</v>
      </c>
      <c r="L39" s="66">
        <f>IF(OR(L$5&lt;=Input!$D$13,L$5&gt;IF(Cockpit!$E$29=0,Cockpit!$H$29,Cockpit!$E$29)+Input!$D$13),0,IF(Cockpit!$E$29=0,-SUM($F$38:$Q$38)/Cockpit!$H$29,-SUM($F$38:$Q$38)/Cockpit!$E$29))</f>
        <v>-124.55846370433173</v>
      </c>
      <c r="M39" s="66">
        <f>IF(OR(M$5&lt;=Input!$D$13,M$5&gt;IF(Cockpit!$E$29=0,Cockpit!$H$29,Cockpit!$E$29)+Input!$D$13),0,IF(Cockpit!$E$29=0,-SUM($F$38:$Q$38)/Cockpit!$H$29,-SUM($F$38:$Q$38)/Cockpit!$E$29))</f>
        <v>-124.55846370433173</v>
      </c>
      <c r="N39" s="66">
        <f>IF(OR(N$5&lt;=Input!$D$13,N$5&gt;IF(Cockpit!$E$29=0,Cockpit!$H$29,Cockpit!$E$29)+Input!$D$13),0,IF(Cockpit!$E$29=0,-SUM($F$38:$Q$38)/Cockpit!$H$29,-SUM($F$38:$Q$38)/Cockpit!$E$29))</f>
        <v>-124.55846370433173</v>
      </c>
      <c r="O39" s="66">
        <f>IF(OR(O$5&lt;=Input!$D$13,O$5&gt;IF(Cockpit!$E$29=0,Cockpit!$H$29,Cockpit!$E$29)+Input!$D$13),0,IF(Cockpit!$E$29=0,-SUM($F$38:$Q$38)/Cockpit!$H$29,-SUM($F$38:$Q$38)/Cockpit!$E$29))</f>
        <v>-124.55846370433173</v>
      </c>
      <c r="P39" s="66">
        <f>IF(OR(P$5&lt;=Input!$D$13,P$5&gt;IF(Cockpit!$E$29=0,Cockpit!$H$29,Cockpit!$E$29)+Input!$D$13),0,IF(Cockpit!$E$29=0,-SUM($F$38:$Q$38)/Cockpit!$H$29,-SUM($F$38:$Q$38)/Cockpit!$E$29))</f>
        <v>-124.55846370433173</v>
      </c>
      <c r="Q39" s="67">
        <f>IF(OR(Q$5&lt;=Input!$D$13,Q$5&gt;IF(Cockpit!$E$29=0,Cockpit!$H$29,Cockpit!$E$29)+Input!$D$13),0,IF(Cockpit!$E$29=0,-SUM($F$38:$Q$38)/Cockpit!$H$29,-SUM($F$38:$Q$38)/Cockpit!$E$29))</f>
        <v>-124.55846370433173</v>
      </c>
    </row>
    <row r="40" spans="2:17" x14ac:dyDescent="0.25">
      <c r="B40" t="s">
        <v>115</v>
      </c>
      <c r="D40" t="str">
        <f>Input!$D$6</f>
        <v>VND million</v>
      </c>
      <c r="F40" s="36">
        <f>IF(Cockpit!$E$33=0,-41*Cockpit!$H$33,-E41*Cockpit!$E$33)</f>
        <v>0</v>
      </c>
      <c r="G40" s="37">
        <f>IF(Cockpit!$E$33=0,-41*Cockpit!$H$33,-F41*Cockpit!$E$33)</f>
        <v>0</v>
      </c>
      <c r="H40" s="37">
        <f>IF(Cockpit!$E$33=0,-41*Cockpit!$H$33,-G41*Cockpit!$E$33)</f>
        <v>-280.25654333474637</v>
      </c>
      <c r="I40" s="37">
        <f>IF(Cockpit!$E$33=0,-41*Cockpit!$H$33,-H41*Cockpit!$E$33)</f>
        <v>-261.57277377909662</v>
      </c>
      <c r="J40" s="37">
        <f>IF(Cockpit!$E$33=0,-41*Cockpit!$H$33,-I41*Cockpit!$E$33)</f>
        <v>-242.8890042234469</v>
      </c>
      <c r="K40" s="37">
        <f>IF(Cockpit!$E$33=0,-41*Cockpit!$H$33,-J41*Cockpit!$E$33)</f>
        <v>-224.20523466779716</v>
      </c>
      <c r="L40" s="37">
        <f>IF(Cockpit!$E$33=0,-41*Cockpit!$H$33,-K41*Cockpit!$E$33)</f>
        <v>-205.52146511214741</v>
      </c>
      <c r="M40" s="37">
        <f>IF(Cockpit!$E$33=0,-41*Cockpit!$H$33,-L41*Cockpit!$E$33)</f>
        <v>-186.83769555649766</v>
      </c>
      <c r="N40" s="37">
        <f>IF(Cockpit!$E$33=0,-41*Cockpit!$H$33,-M41*Cockpit!$E$33)</f>
        <v>-168.15392600084792</v>
      </c>
      <c r="O40" s="37">
        <f>IF(Cockpit!$E$33=0,-41*Cockpit!$H$33,-N41*Cockpit!$E$33)</f>
        <v>-149.47015644519814</v>
      </c>
      <c r="P40" s="66">
        <f>IF(Cockpit!$E$33=0,-41*Cockpit!$H$33,-O41*Cockpit!$E$33)</f>
        <v>-130.7863868895484</v>
      </c>
      <c r="Q40" s="67">
        <f>IF(Cockpit!$E$33=0,-41*Cockpit!$H$33,-P41*Cockpit!$E$33)</f>
        <v>-112.10261733389864</v>
      </c>
    </row>
    <row r="41" spans="2:17" x14ac:dyDescent="0.25">
      <c r="B41" t="s">
        <v>116</v>
      </c>
      <c r="D41" t="str">
        <f>Input!$D$6</f>
        <v>VND million</v>
      </c>
      <c r="F41" s="39">
        <f>F37+F38+F39</f>
        <v>0</v>
      </c>
      <c r="G41" s="40">
        <f t="shared" ref="G41:P41" si="15">G37+G38+G39</f>
        <v>1868.376955564976</v>
      </c>
      <c r="H41" s="40">
        <f>H37+H38+H39</f>
        <v>1743.8184918606444</v>
      </c>
      <c r="I41" s="40">
        <f t="shared" si="15"/>
        <v>1619.2600281563127</v>
      </c>
      <c r="J41" s="40">
        <f>J37+J38+J39</f>
        <v>1494.7015644519811</v>
      </c>
      <c r="K41" s="40">
        <f t="shared" si="15"/>
        <v>1370.1431007476494</v>
      </c>
      <c r="L41" s="40">
        <f t="shared" si="15"/>
        <v>1245.5846370433178</v>
      </c>
      <c r="M41" s="40">
        <f t="shared" si="15"/>
        <v>1121.0261733389862</v>
      </c>
      <c r="N41" s="40">
        <f t="shared" si="15"/>
        <v>996.4677096346544</v>
      </c>
      <c r="O41" s="40">
        <f t="shared" si="15"/>
        <v>871.90924593032264</v>
      </c>
      <c r="P41" s="40">
        <f t="shared" si="15"/>
        <v>747.35078222599088</v>
      </c>
      <c r="Q41" s="41">
        <f t="shared" ref="Q41" si="16">Q37+Q38+Q39</f>
        <v>622.79231852165913</v>
      </c>
    </row>
    <row r="44" spans="2:17" x14ac:dyDescent="0.25">
      <c r="B44" t="s">
        <v>84</v>
      </c>
      <c r="D44" t="str">
        <f>Input!$D$6</f>
        <v>VND million</v>
      </c>
      <c r="F44" s="39">
        <f>IF(Cockpit!$E$32=0,F22*Cockpit!$H$32,F22*Cockpit!$E$32)</f>
        <v>0</v>
      </c>
      <c r="G44" s="40">
        <f>IF(Cockpit!$E$32=0,G22*Cockpit!$H$32,G22*Cockpit!$E$32)</f>
        <v>800.73298095641849</v>
      </c>
      <c r="H44" s="40">
        <f>IF(Cockpit!$E$32=0,H22*Cockpit!$H$32,H22*Cockpit!$E$32)</f>
        <v>0</v>
      </c>
      <c r="I44" s="40">
        <f>IF(Cockpit!$E$32=0,I22*Cockpit!$H$32,I22*Cockpit!$E$32)</f>
        <v>0</v>
      </c>
      <c r="J44" s="40">
        <f>IF(Cockpit!$E$32=0,J22*Cockpit!$H$32,J22*Cockpit!$E$32)</f>
        <v>0</v>
      </c>
      <c r="K44" s="40">
        <f>IF(Cockpit!$E$32=0,K22*Cockpit!$H$32,K22*Cockpit!$E$32)</f>
        <v>0</v>
      </c>
      <c r="L44" s="40">
        <f>IF(Cockpit!$E$32=0,L22*Cockpit!$H$32,L22*Cockpit!$E$32)</f>
        <v>0</v>
      </c>
      <c r="M44" s="40">
        <f>IF(Cockpit!$E$32=0,M22*Cockpit!$H$32,M22*Cockpit!$E$32)</f>
        <v>0</v>
      </c>
      <c r="N44" s="40">
        <f>IF(Cockpit!$E$32=0,N22*Cockpit!$H$32,N22*Cockpit!$E$32)</f>
        <v>0</v>
      </c>
      <c r="O44" s="40">
        <f>IF(Cockpit!$E$32=0,O22*Cockpit!$H$32,O22*Cockpit!$E$32)</f>
        <v>0</v>
      </c>
      <c r="P44" s="40">
        <f>IF(Cockpit!$E$32=0,P22*Cockpit!$H$32,P22*Cockpit!$E$32)</f>
        <v>0</v>
      </c>
      <c r="Q44" s="41">
        <f>IF(Cockpit!$E$32=0,Q22*Cockpit!$H$32,Q22*Cockpit!$E$32)</f>
        <v>0</v>
      </c>
    </row>
    <row r="47" spans="2:17" ht="15.75" x14ac:dyDescent="0.25">
      <c r="B47" s="2" t="s">
        <v>117</v>
      </c>
      <c r="C47" s="2"/>
      <c r="D47" s="2"/>
      <c r="E47" s="2"/>
      <c r="F47" s="2"/>
      <c r="G47" s="2"/>
      <c r="H47" s="2"/>
      <c r="I47" s="2"/>
      <c r="J47" s="2"/>
      <c r="K47" s="2"/>
      <c r="L47" s="2"/>
      <c r="M47" s="2"/>
      <c r="N47" s="2"/>
      <c r="O47" s="2"/>
      <c r="P47" s="2"/>
      <c r="Q47" s="2"/>
    </row>
    <row r="49" spans="2:19" x14ac:dyDescent="0.25">
      <c r="B49" s="3" t="s">
        <v>38</v>
      </c>
      <c r="S49" s="3" t="s">
        <v>38</v>
      </c>
    </row>
    <row r="50" spans="2:19" x14ac:dyDescent="0.25">
      <c r="B50" t="s">
        <v>118</v>
      </c>
      <c r="D50" t="str">
        <f>Input!$D$6</f>
        <v>VND million</v>
      </c>
      <c r="F50" s="51">
        <f>-F$22</f>
        <v>0</v>
      </c>
      <c r="G50" s="52">
        <f t="shared" ref="G50:Q50" si="17">-G$22</f>
        <v>-2669.1099365213945</v>
      </c>
      <c r="H50" s="52">
        <f t="shared" si="17"/>
        <v>0</v>
      </c>
      <c r="I50" s="52">
        <f t="shared" si="17"/>
        <v>0</v>
      </c>
      <c r="J50" s="52">
        <f t="shared" si="17"/>
        <v>0</v>
      </c>
      <c r="K50" s="52">
        <f t="shared" si="17"/>
        <v>0</v>
      </c>
      <c r="L50" s="52">
        <f t="shared" si="17"/>
        <v>0</v>
      </c>
      <c r="M50" s="52">
        <f t="shared" si="17"/>
        <v>0</v>
      </c>
      <c r="N50" s="52">
        <f t="shared" si="17"/>
        <v>0</v>
      </c>
      <c r="O50" s="52">
        <f t="shared" si="17"/>
        <v>0</v>
      </c>
      <c r="P50" s="52">
        <f t="shared" si="17"/>
        <v>0</v>
      </c>
      <c r="Q50" s="53">
        <f t="shared" si="17"/>
        <v>0</v>
      </c>
    </row>
    <row r="51" spans="2:19" x14ac:dyDescent="0.25">
      <c r="B51" t="s">
        <v>119</v>
      </c>
      <c r="D51" t="str">
        <f>Input!$D$6</f>
        <v>VND million</v>
      </c>
      <c r="F51" s="54">
        <f>-F$29</f>
        <v>-1025</v>
      </c>
      <c r="G51" s="55">
        <f t="shared" ref="G51:Q51" si="18">-G$29</f>
        <v>-400</v>
      </c>
      <c r="H51" s="55">
        <f t="shared" si="18"/>
        <v>-400</v>
      </c>
      <c r="I51" s="55">
        <f t="shared" si="18"/>
        <v>-400</v>
      </c>
      <c r="J51" s="55">
        <f t="shared" si="18"/>
        <v>-400</v>
      </c>
      <c r="K51" s="55">
        <f t="shared" si="18"/>
        <v>-400</v>
      </c>
      <c r="L51" s="55">
        <f t="shared" si="18"/>
        <v>-400</v>
      </c>
      <c r="M51" s="55">
        <f t="shared" si="18"/>
        <v>-400</v>
      </c>
      <c r="N51" s="55">
        <f t="shared" si="18"/>
        <v>-400</v>
      </c>
      <c r="O51" s="55">
        <f t="shared" si="18"/>
        <v>-400</v>
      </c>
      <c r="P51" s="55">
        <f t="shared" si="18"/>
        <v>-400</v>
      </c>
      <c r="Q51" s="56">
        <f t="shared" si="18"/>
        <v>-400</v>
      </c>
    </row>
    <row r="52" spans="2:19" x14ac:dyDescent="0.25">
      <c r="B52" t="s">
        <v>120</v>
      </c>
      <c r="D52" t="str">
        <f>Input!$D$6</f>
        <v>VND million</v>
      </c>
      <c r="F52" s="54">
        <f>F$14</f>
        <v>0</v>
      </c>
      <c r="G52" s="55">
        <f t="shared" ref="G52:Q52" si="19">G$14</f>
        <v>0</v>
      </c>
      <c r="H52" s="55">
        <f t="shared" si="19"/>
        <v>1334.5549682606973</v>
      </c>
      <c r="I52" s="55">
        <f t="shared" si="19"/>
        <v>1334.5549682606973</v>
      </c>
      <c r="J52" s="55">
        <f t="shared" si="19"/>
        <v>1334.5549682606973</v>
      </c>
      <c r="K52" s="55">
        <f t="shared" si="19"/>
        <v>1334.5549682606973</v>
      </c>
      <c r="L52" s="55">
        <f t="shared" si="19"/>
        <v>1334.5549682606973</v>
      </c>
      <c r="M52" s="55">
        <f t="shared" si="19"/>
        <v>1334.5549682606973</v>
      </c>
      <c r="N52" s="55">
        <f t="shared" si="19"/>
        <v>1334.5549682606973</v>
      </c>
      <c r="O52" s="55">
        <f t="shared" si="19"/>
        <v>1334.5549682606973</v>
      </c>
      <c r="P52" s="55">
        <f t="shared" si="19"/>
        <v>1334.5549682606973</v>
      </c>
      <c r="Q52" s="56">
        <f t="shared" si="19"/>
        <v>1334.5549682606973</v>
      </c>
    </row>
    <row r="53" spans="2:19" x14ac:dyDescent="0.25">
      <c r="B53" t="s">
        <v>121</v>
      </c>
      <c r="D53" t="str">
        <f>Input!$D$6</f>
        <v>VND million</v>
      </c>
      <c r="F53" s="54">
        <f>F$19</f>
        <v>0</v>
      </c>
      <c r="G53" s="55">
        <f t="shared" ref="G53:Q53" si="20">G$19</f>
        <v>0</v>
      </c>
      <c r="H53" s="55">
        <f t="shared" si="20"/>
        <v>105.68768194245622</v>
      </c>
      <c r="I53" s="55">
        <f t="shared" si="20"/>
        <v>105.68768194245622</v>
      </c>
      <c r="J53" s="55">
        <f t="shared" si="20"/>
        <v>105.68768194245622</v>
      </c>
      <c r="K53" s="55">
        <f t="shared" si="20"/>
        <v>105.68768194245622</v>
      </c>
      <c r="L53" s="55">
        <f t="shared" si="20"/>
        <v>105.68768194245622</v>
      </c>
      <c r="M53" s="55">
        <f t="shared" si="20"/>
        <v>105.68768194245622</v>
      </c>
      <c r="N53" s="55">
        <f t="shared" si="20"/>
        <v>105.68768194245622</v>
      </c>
      <c r="O53" s="55">
        <f t="shared" si="20"/>
        <v>105.68768194245622</v>
      </c>
      <c r="P53" s="55">
        <f t="shared" si="20"/>
        <v>105.68768194245622</v>
      </c>
      <c r="Q53" s="56">
        <f t="shared" si="20"/>
        <v>105.68768194245622</v>
      </c>
    </row>
    <row r="54" spans="2:19" x14ac:dyDescent="0.25">
      <c r="B54" t="s">
        <v>108</v>
      </c>
      <c r="D54" t="str">
        <f>Input!$D$6</f>
        <v>VND million</v>
      </c>
      <c r="F54" s="57">
        <f>F$34</f>
        <v>625</v>
      </c>
      <c r="G54" s="58">
        <f t="shared" ref="G54:Q54" si="21">G$34</f>
        <v>0</v>
      </c>
      <c r="H54" s="58">
        <f t="shared" si="21"/>
        <v>0</v>
      </c>
      <c r="I54" s="58">
        <f t="shared" si="21"/>
        <v>0</v>
      </c>
      <c r="J54" s="58">
        <f t="shared" si="21"/>
        <v>0</v>
      </c>
      <c r="K54" s="58">
        <f t="shared" si="21"/>
        <v>0</v>
      </c>
      <c r="L54" s="58">
        <f t="shared" si="21"/>
        <v>0</v>
      </c>
      <c r="M54" s="58">
        <f t="shared" si="21"/>
        <v>0</v>
      </c>
      <c r="N54" s="58">
        <f t="shared" si="21"/>
        <v>0</v>
      </c>
      <c r="O54" s="58">
        <f t="shared" si="21"/>
        <v>0</v>
      </c>
      <c r="P54" s="55">
        <f t="shared" si="21"/>
        <v>0</v>
      </c>
      <c r="Q54" s="56">
        <f t="shared" si="21"/>
        <v>0</v>
      </c>
    </row>
    <row r="55" spans="2:19" x14ac:dyDescent="0.25">
      <c r="B55" s="3" t="s">
        <v>38</v>
      </c>
      <c r="D55" s="3" t="str">
        <f>Input!$D$6</f>
        <v>VND million</v>
      </c>
      <c r="F55" s="80">
        <f>SUM(F50:F54)</f>
        <v>-400</v>
      </c>
      <c r="G55" s="81">
        <f t="shared" ref="G55:P55" si="22">SUM(G50:G54)</f>
        <v>-3069.1099365213945</v>
      </c>
      <c r="H55" s="81">
        <f t="shared" si="22"/>
        <v>1040.2426502031535</v>
      </c>
      <c r="I55" s="81">
        <f t="shared" si="22"/>
        <v>1040.2426502031535</v>
      </c>
      <c r="J55" s="81">
        <f t="shared" si="22"/>
        <v>1040.2426502031535</v>
      </c>
      <c r="K55" s="81">
        <f t="shared" si="22"/>
        <v>1040.2426502031535</v>
      </c>
      <c r="L55" s="81">
        <f t="shared" si="22"/>
        <v>1040.2426502031535</v>
      </c>
      <c r="M55" s="81">
        <f t="shared" si="22"/>
        <v>1040.2426502031535</v>
      </c>
      <c r="N55" s="81">
        <f t="shared" si="22"/>
        <v>1040.2426502031535</v>
      </c>
      <c r="O55" s="81">
        <f t="shared" si="22"/>
        <v>1040.2426502031535</v>
      </c>
      <c r="P55" s="164">
        <f t="shared" si="22"/>
        <v>1040.2426502031535</v>
      </c>
      <c r="Q55" s="165">
        <f t="shared" ref="Q55" si="23">SUM(Q50:Q54)</f>
        <v>1040.2426502031535</v>
      </c>
    </row>
    <row r="57" spans="2:19" x14ac:dyDescent="0.25">
      <c r="B57" t="s">
        <v>122</v>
      </c>
      <c r="D57" t="str">
        <f>Input!$D$6</f>
        <v>VND million</v>
      </c>
      <c r="F57" s="48">
        <f>SUM($F$55:F55)</f>
        <v>-400</v>
      </c>
      <c r="G57" s="49">
        <f>SUM($F$55:G55)</f>
        <v>-3469.1099365213945</v>
      </c>
      <c r="H57" s="49">
        <f>SUM($F$55:H55)</f>
        <v>-2428.867286318241</v>
      </c>
      <c r="I57" s="49">
        <f>SUM($F$55:I55)</f>
        <v>-1388.6246361150875</v>
      </c>
      <c r="J57" s="49">
        <f>SUM($F$55:J55)</f>
        <v>-348.38198591193395</v>
      </c>
      <c r="K57" s="49">
        <f>SUM($F$55:K55)</f>
        <v>691.86066429121956</v>
      </c>
      <c r="L57" s="49">
        <f>SUM($F$55:L55)</f>
        <v>1732.1033144943731</v>
      </c>
      <c r="M57" s="49">
        <f>SUM($F$55:M55)</f>
        <v>2772.3459646975266</v>
      </c>
      <c r="N57" s="49">
        <f>SUM($F$55:N55)</f>
        <v>3812.5886149006801</v>
      </c>
      <c r="O57" s="49">
        <f>SUM($F$55:O55)</f>
        <v>4852.8312651038341</v>
      </c>
      <c r="P57" s="49">
        <f>SUM($F$55:P55)</f>
        <v>5893.0739153069881</v>
      </c>
      <c r="Q57" s="50">
        <f>SUM($F$55:Q55)</f>
        <v>6933.316565510142</v>
      </c>
    </row>
    <row r="58" spans="2:19" x14ac:dyDescent="0.25">
      <c r="B58" t="s">
        <v>123</v>
      </c>
      <c r="D58" t="str">
        <f>Input!$D$6</f>
        <v>VND million</v>
      </c>
      <c r="F58" s="27">
        <f>IF(F57&lt;0,1,0)</f>
        <v>1</v>
      </c>
      <c r="G58" s="28">
        <f t="shared" ref="G58:P58" si="24">IF(G57&lt;0,1,0)</f>
        <v>1</v>
      </c>
      <c r="H58" s="28">
        <f t="shared" si="24"/>
        <v>1</v>
      </c>
      <c r="I58" s="28">
        <f t="shared" si="24"/>
        <v>1</v>
      </c>
      <c r="J58" s="28">
        <f t="shared" si="24"/>
        <v>1</v>
      </c>
      <c r="K58" s="28">
        <f t="shared" si="24"/>
        <v>0</v>
      </c>
      <c r="L58" s="28">
        <f t="shared" si="24"/>
        <v>0</v>
      </c>
      <c r="M58" s="28">
        <f t="shared" si="24"/>
        <v>0</v>
      </c>
      <c r="N58" s="28">
        <f t="shared" si="24"/>
        <v>0</v>
      </c>
      <c r="O58" s="28">
        <f t="shared" si="24"/>
        <v>0</v>
      </c>
      <c r="P58" s="28">
        <f t="shared" si="24"/>
        <v>0</v>
      </c>
      <c r="Q58" s="15">
        <f t="shared" ref="Q58" si="25">IF(Q57&lt;0,1,0)</f>
        <v>0</v>
      </c>
    </row>
    <row r="59" spans="2:19" x14ac:dyDescent="0.25">
      <c r="B59" t="s">
        <v>124</v>
      </c>
      <c r="D59" t="str">
        <f>Input!$D$6</f>
        <v>VND million</v>
      </c>
      <c r="F59" s="69">
        <f>IF(AND(E58=1,F58=0),(F55-F57)/F55,0)</f>
        <v>0</v>
      </c>
      <c r="G59" s="59">
        <f t="shared" ref="G59:Q59" si="26">IF(AND(F58=1,G58=0),(G55-G57)/G55,0)</f>
        <v>0</v>
      </c>
      <c r="H59" s="59">
        <f t="shared" si="26"/>
        <v>0</v>
      </c>
      <c r="I59" s="59">
        <f t="shared" si="26"/>
        <v>0</v>
      </c>
      <c r="J59" s="59">
        <f t="shared" si="26"/>
        <v>0</v>
      </c>
      <c r="K59" s="59">
        <f t="shared" si="26"/>
        <v>0.33490453967052486</v>
      </c>
      <c r="L59" s="59">
        <f t="shared" si="26"/>
        <v>0</v>
      </c>
      <c r="M59" s="59">
        <f t="shared" si="26"/>
        <v>0</v>
      </c>
      <c r="N59" s="59">
        <f t="shared" si="26"/>
        <v>0</v>
      </c>
      <c r="O59" s="59">
        <f t="shared" si="26"/>
        <v>0</v>
      </c>
      <c r="P59" s="59">
        <f t="shared" si="26"/>
        <v>0</v>
      </c>
      <c r="Q59" s="70">
        <f t="shared" si="26"/>
        <v>0</v>
      </c>
    </row>
    <row r="62" spans="2:19" x14ac:dyDescent="0.25">
      <c r="B62" s="3" t="s">
        <v>64</v>
      </c>
    </row>
    <row r="63" spans="2:19" x14ac:dyDescent="0.25">
      <c r="B63" t="s">
        <v>118</v>
      </c>
      <c r="D63" t="str">
        <f>Input!$D$6</f>
        <v>VND million</v>
      </c>
      <c r="F63" s="51">
        <f>-F$22</f>
        <v>0</v>
      </c>
      <c r="G63" s="52">
        <f t="shared" ref="G63:Q63" si="27">-G$22</f>
        <v>-2669.1099365213945</v>
      </c>
      <c r="H63" s="52">
        <f t="shared" si="27"/>
        <v>0</v>
      </c>
      <c r="I63" s="52">
        <f t="shared" si="27"/>
        <v>0</v>
      </c>
      <c r="J63" s="52">
        <f t="shared" si="27"/>
        <v>0</v>
      </c>
      <c r="K63" s="52">
        <f t="shared" si="27"/>
        <v>0</v>
      </c>
      <c r="L63" s="52">
        <f t="shared" si="27"/>
        <v>0</v>
      </c>
      <c r="M63" s="52">
        <f t="shared" si="27"/>
        <v>0</v>
      </c>
      <c r="N63" s="52">
        <f t="shared" si="27"/>
        <v>0</v>
      </c>
      <c r="O63" s="52">
        <f t="shared" si="27"/>
        <v>0</v>
      </c>
      <c r="P63" s="52">
        <f t="shared" si="27"/>
        <v>0</v>
      </c>
      <c r="Q63" s="53">
        <f t="shared" si="27"/>
        <v>0</v>
      </c>
      <c r="S63" s="3" t="s">
        <v>64</v>
      </c>
    </row>
    <row r="64" spans="2:19" x14ac:dyDescent="0.25">
      <c r="B64" t="s">
        <v>119</v>
      </c>
      <c r="D64" t="str">
        <f>Input!$D$6</f>
        <v>VND million</v>
      </c>
      <c r="F64" s="54">
        <f>-F$29</f>
        <v>-1025</v>
      </c>
      <c r="G64" s="55">
        <f t="shared" ref="G64:Q64" si="28">-G$29</f>
        <v>-400</v>
      </c>
      <c r="H64" s="55">
        <f t="shared" si="28"/>
        <v>-400</v>
      </c>
      <c r="I64" s="55">
        <f t="shared" si="28"/>
        <v>-400</v>
      </c>
      <c r="J64" s="55">
        <f t="shared" si="28"/>
        <v>-400</v>
      </c>
      <c r="K64" s="55">
        <f t="shared" si="28"/>
        <v>-400</v>
      </c>
      <c r="L64" s="55">
        <f t="shared" si="28"/>
        <v>-400</v>
      </c>
      <c r="M64" s="55">
        <f t="shared" si="28"/>
        <v>-400</v>
      </c>
      <c r="N64" s="55">
        <f t="shared" si="28"/>
        <v>-400</v>
      </c>
      <c r="O64" s="55">
        <f t="shared" si="28"/>
        <v>-400</v>
      </c>
      <c r="P64" s="55">
        <f t="shared" si="28"/>
        <v>-400</v>
      </c>
      <c r="Q64" s="56">
        <f t="shared" si="28"/>
        <v>-400</v>
      </c>
    </row>
    <row r="65" spans="2:17" x14ac:dyDescent="0.25">
      <c r="B65" t="s">
        <v>120</v>
      </c>
      <c r="D65" t="str">
        <f>Input!$D$6</f>
        <v>VND million</v>
      </c>
      <c r="F65" s="54">
        <f>F$14</f>
        <v>0</v>
      </c>
      <c r="G65" s="55">
        <f t="shared" ref="G65:Q65" si="29">G$14</f>
        <v>0</v>
      </c>
      <c r="H65" s="55">
        <f t="shared" si="29"/>
        <v>1334.5549682606973</v>
      </c>
      <c r="I65" s="55">
        <f t="shared" si="29"/>
        <v>1334.5549682606973</v>
      </c>
      <c r="J65" s="55">
        <f t="shared" si="29"/>
        <v>1334.5549682606973</v>
      </c>
      <c r="K65" s="55">
        <f t="shared" si="29"/>
        <v>1334.5549682606973</v>
      </c>
      <c r="L65" s="55">
        <f t="shared" si="29"/>
        <v>1334.5549682606973</v>
      </c>
      <c r="M65" s="55">
        <f t="shared" si="29"/>
        <v>1334.5549682606973</v>
      </c>
      <c r="N65" s="55">
        <f t="shared" si="29"/>
        <v>1334.5549682606973</v>
      </c>
      <c r="O65" s="55">
        <f t="shared" si="29"/>
        <v>1334.5549682606973</v>
      </c>
      <c r="P65" s="55">
        <f t="shared" si="29"/>
        <v>1334.5549682606973</v>
      </c>
      <c r="Q65" s="56">
        <f t="shared" si="29"/>
        <v>1334.5549682606973</v>
      </c>
    </row>
    <row r="66" spans="2:17" x14ac:dyDescent="0.25">
      <c r="B66" t="s">
        <v>121</v>
      </c>
      <c r="D66" t="str">
        <f>Input!$D$6</f>
        <v>VND million</v>
      </c>
      <c r="F66" s="54">
        <f>F$19</f>
        <v>0</v>
      </c>
      <c r="G66" s="55">
        <f t="shared" ref="G66:Q66" si="30">G$19</f>
        <v>0</v>
      </c>
      <c r="H66" s="55">
        <f t="shared" si="30"/>
        <v>105.68768194245622</v>
      </c>
      <c r="I66" s="55">
        <f t="shared" si="30"/>
        <v>105.68768194245622</v>
      </c>
      <c r="J66" s="55">
        <f t="shared" si="30"/>
        <v>105.68768194245622</v>
      </c>
      <c r="K66" s="55">
        <f t="shared" si="30"/>
        <v>105.68768194245622</v>
      </c>
      <c r="L66" s="55">
        <f t="shared" si="30"/>
        <v>105.68768194245622</v>
      </c>
      <c r="M66" s="55">
        <f t="shared" si="30"/>
        <v>105.68768194245622</v>
      </c>
      <c r="N66" s="55">
        <f t="shared" si="30"/>
        <v>105.68768194245622</v>
      </c>
      <c r="O66" s="55">
        <f t="shared" si="30"/>
        <v>105.68768194245622</v>
      </c>
      <c r="P66" s="55">
        <f t="shared" si="30"/>
        <v>105.68768194245622</v>
      </c>
      <c r="Q66" s="56">
        <f t="shared" si="30"/>
        <v>105.68768194245622</v>
      </c>
    </row>
    <row r="67" spans="2:17" x14ac:dyDescent="0.25">
      <c r="B67" t="s">
        <v>108</v>
      </c>
      <c r="D67" t="str">
        <f>Input!$D$6</f>
        <v>VND million</v>
      </c>
      <c r="F67" s="54">
        <f>F$34</f>
        <v>625</v>
      </c>
      <c r="G67" s="55">
        <f t="shared" ref="G67:Q67" si="31">G$34</f>
        <v>0</v>
      </c>
      <c r="H67" s="55">
        <f t="shared" si="31"/>
        <v>0</v>
      </c>
      <c r="I67" s="55">
        <f t="shared" si="31"/>
        <v>0</v>
      </c>
      <c r="J67" s="55">
        <f t="shared" si="31"/>
        <v>0</v>
      </c>
      <c r="K67" s="55">
        <f t="shared" si="31"/>
        <v>0</v>
      </c>
      <c r="L67" s="55">
        <f t="shared" si="31"/>
        <v>0</v>
      </c>
      <c r="M67" s="55">
        <f t="shared" si="31"/>
        <v>0</v>
      </c>
      <c r="N67" s="55">
        <f t="shared" si="31"/>
        <v>0</v>
      </c>
      <c r="O67" s="55">
        <f t="shared" si="31"/>
        <v>0</v>
      </c>
      <c r="P67" s="55">
        <f t="shared" si="31"/>
        <v>0</v>
      </c>
      <c r="Q67" s="56">
        <f t="shared" si="31"/>
        <v>0</v>
      </c>
    </row>
    <row r="68" spans="2:17" x14ac:dyDescent="0.25">
      <c r="B68" t="s">
        <v>112</v>
      </c>
      <c r="D68" t="str">
        <f>Input!$D$6</f>
        <v>VND million</v>
      </c>
      <c r="F68" s="57">
        <f>F38+F39+F40+F44</f>
        <v>0</v>
      </c>
      <c r="G68" s="58">
        <f>G38+G39+G40+G44</f>
        <v>2669.1099365213945</v>
      </c>
      <c r="H68" s="58">
        <f t="shared" ref="H68:Q68" si="32">H38+H39+H40+H44</f>
        <v>-404.81500703907807</v>
      </c>
      <c r="I68" s="58">
        <f t="shared" si="32"/>
        <v>-386.13123748342832</v>
      </c>
      <c r="J68" s="58">
        <f t="shared" si="32"/>
        <v>-367.44746792777863</v>
      </c>
      <c r="K68" s="58">
        <f t="shared" si="32"/>
        <v>-348.76369837212889</v>
      </c>
      <c r="L68" s="58">
        <f t="shared" si="32"/>
        <v>-330.07992881647914</v>
      </c>
      <c r="M68" s="58">
        <f t="shared" si="32"/>
        <v>-311.39615926082939</v>
      </c>
      <c r="N68" s="58">
        <f t="shared" si="32"/>
        <v>-292.71238970517965</v>
      </c>
      <c r="O68" s="58">
        <f t="shared" si="32"/>
        <v>-274.02862014952984</v>
      </c>
      <c r="P68" s="55">
        <f t="shared" si="32"/>
        <v>-255.34485059388012</v>
      </c>
      <c r="Q68" s="56">
        <f t="shared" si="32"/>
        <v>-236.66108103823035</v>
      </c>
    </row>
    <row r="69" spans="2:17" x14ac:dyDescent="0.25">
      <c r="B69" s="3" t="s">
        <v>64</v>
      </c>
      <c r="D69" s="3" t="str">
        <f>Input!$D$6</f>
        <v>VND million</v>
      </c>
      <c r="F69" s="80">
        <f t="shared" ref="F69:P69" si="33">SUM(F63:F68)</f>
        <v>-400</v>
      </c>
      <c r="G69" s="81">
        <f t="shared" si="33"/>
        <v>-400</v>
      </c>
      <c r="H69" s="81">
        <f t="shared" si="33"/>
        <v>635.42764316407545</v>
      </c>
      <c r="I69" s="81">
        <f t="shared" si="33"/>
        <v>654.11141271972519</v>
      </c>
      <c r="J69" s="81">
        <f t="shared" si="33"/>
        <v>672.79518227537483</v>
      </c>
      <c r="K69" s="81">
        <f t="shared" si="33"/>
        <v>691.47895183102469</v>
      </c>
      <c r="L69" s="81">
        <f t="shared" si="33"/>
        <v>710.16272138667432</v>
      </c>
      <c r="M69" s="81">
        <f t="shared" si="33"/>
        <v>728.84649094232418</v>
      </c>
      <c r="N69" s="81">
        <f t="shared" si="33"/>
        <v>747.53026049797381</v>
      </c>
      <c r="O69" s="81">
        <f t="shared" si="33"/>
        <v>766.21403005362367</v>
      </c>
      <c r="P69" s="164">
        <f t="shared" si="33"/>
        <v>784.89779960927342</v>
      </c>
      <c r="Q69" s="165">
        <f t="shared" ref="Q69" si="34">SUM(Q63:Q68)</f>
        <v>803.58156916492317</v>
      </c>
    </row>
    <row r="70" spans="2:17" x14ac:dyDescent="0.25">
      <c r="B70" s="3"/>
    </row>
    <row r="71" spans="2:17" x14ac:dyDescent="0.25">
      <c r="B71" t="s">
        <v>125</v>
      </c>
      <c r="D71" t="str">
        <f>Input!$D$6</f>
        <v>VND million</v>
      </c>
      <c r="F71" s="48">
        <f>SUM($F$69:F69)</f>
        <v>-400</v>
      </c>
      <c r="G71" s="49">
        <f>SUM($F$69:G69)</f>
        <v>-800</v>
      </c>
      <c r="H71" s="49">
        <f>SUM($F$69:H69)</f>
        <v>-164.57235683592455</v>
      </c>
      <c r="I71" s="49">
        <f>SUM($F$69:I69)</f>
        <v>489.53905588380064</v>
      </c>
      <c r="J71" s="49">
        <f>SUM($F$69:J69)</f>
        <v>1162.3342381591756</v>
      </c>
      <c r="K71" s="49">
        <f>SUM($F$69:K69)</f>
        <v>1853.8131899902003</v>
      </c>
      <c r="L71" s="49">
        <f>SUM($F$69:L69)</f>
        <v>2563.9759113768746</v>
      </c>
      <c r="M71" s="49">
        <f>SUM($F$69:M69)</f>
        <v>3292.8224023191988</v>
      </c>
      <c r="N71" s="49">
        <f>SUM($F$69:N69)</f>
        <v>4040.3526628171726</v>
      </c>
      <c r="O71" s="49">
        <f>SUM($F$69:O69)</f>
        <v>4806.566692870796</v>
      </c>
      <c r="P71" s="49">
        <f>SUM($F$69:P69)</f>
        <v>5591.4644924800696</v>
      </c>
      <c r="Q71" s="50">
        <f>SUM($F$69:Q69)</f>
        <v>6395.0460616449927</v>
      </c>
    </row>
    <row r="72" spans="2:17" x14ac:dyDescent="0.25">
      <c r="B72" t="s">
        <v>123</v>
      </c>
      <c r="D72" t="str">
        <f>Input!$D$6</f>
        <v>VND million</v>
      </c>
      <c r="F72" s="27">
        <f>IF(F71&lt;0,1,0)</f>
        <v>1</v>
      </c>
      <c r="G72" s="28">
        <f t="shared" ref="G72" si="35">IF(G71&lt;0,1,0)</f>
        <v>1</v>
      </c>
      <c r="H72" s="28">
        <f t="shared" ref="H72" si="36">IF(H71&lt;0,1,0)</f>
        <v>1</v>
      </c>
      <c r="I72" s="28">
        <f t="shared" ref="I72" si="37">IF(I71&lt;0,1,0)</f>
        <v>0</v>
      </c>
      <c r="J72" s="28">
        <f t="shared" ref="J72" si="38">IF(J71&lt;0,1,0)</f>
        <v>0</v>
      </c>
      <c r="K72" s="28">
        <f t="shared" ref="K72" si="39">IF(K71&lt;0,1,0)</f>
        <v>0</v>
      </c>
      <c r="L72" s="28">
        <f t="shared" ref="L72" si="40">IF(L71&lt;0,1,0)</f>
        <v>0</v>
      </c>
      <c r="M72" s="28">
        <f t="shared" ref="M72" si="41">IF(M71&lt;0,1,0)</f>
        <v>0</v>
      </c>
      <c r="N72" s="28">
        <f t="shared" ref="N72" si="42">IF(N71&lt;0,1,0)</f>
        <v>0</v>
      </c>
      <c r="O72" s="28">
        <f t="shared" ref="O72" si="43">IF(O71&lt;0,1,0)</f>
        <v>0</v>
      </c>
      <c r="P72" s="28">
        <f t="shared" ref="P72:Q72" si="44">IF(P71&lt;0,1,0)</f>
        <v>0</v>
      </c>
      <c r="Q72" s="15">
        <f t="shared" si="44"/>
        <v>0</v>
      </c>
    </row>
    <row r="73" spans="2:17" x14ac:dyDescent="0.25">
      <c r="B73" t="s">
        <v>124</v>
      </c>
      <c r="D73" t="str">
        <f>Input!$D$6</f>
        <v>VND million</v>
      </c>
      <c r="F73" s="69">
        <f>IF(AND(E72=1,F72=0),(F69-F71)/F69,0)</f>
        <v>0</v>
      </c>
      <c r="G73" s="59">
        <f t="shared" ref="G73" si="45">IF(AND(F72=1,G72=0),(G69-G71)/G69,0)</f>
        <v>0</v>
      </c>
      <c r="H73" s="59">
        <f t="shared" ref="H73" si="46">IF(AND(G72=1,H72=0),(H69-H71)/H69,0)</f>
        <v>0</v>
      </c>
      <c r="I73" s="59">
        <f t="shared" ref="I73" si="47">IF(AND(H72=1,I72=0),(I69-I71)/I69,0)</f>
        <v>0.25159682836238911</v>
      </c>
      <c r="J73" s="59">
        <f t="shared" ref="J73" si="48">IF(AND(I72=1,J72=0),(J69-J71)/J69,0)</f>
        <v>0</v>
      </c>
      <c r="K73" s="59">
        <f t="shared" ref="K73" si="49">IF(AND(J72=1,K72=0),(K69-K71)/K69,0)</f>
        <v>0</v>
      </c>
      <c r="L73" s="59">
        <f t="shared" ref="L73" si="50">IF(AND(K72=1,L72=0),(L69-L71)/L69,0)</f>
        <v>0</v>
      </c>
      <c r="M73" s="59">
        <f t="shared" ref="M73" si="51">IF(AND(L72=1,M72=0),(M69-M71)/M69,0)</f>
        <v>0</v>
      </c>
      <c r="N73" s="59">
        <f t="shared" ref="N73" si="52">IF(AND(M72=1,N72=0),(N69-N71)/N69,0)</f>
        <v>0</v>
      </c>
      <c r="O73" s="59">
        <f t="shared" ref="O73" si="53">IF(AND(N72=1,O72=0),(O69-O71)/O69,0)</f>
        <v>0</v>
      </c>
      <c r="P73" s="59">
        <f t="shared" ref="P73:Q73" si="54">IF(AND(O72=1,P72=0),(P69-P71)/P69,0)</f>
        <v>0</v>
      </c>
      <c r="Q73" s="70">
        <f t="shared" si="54"/>
        <v>0</v>
      </c>
    </row>
    <row r="77" spans="2:17" x14ac:dyDescent="0.25">
      <c r="B77" s="3" t="s">
        <v>126</v>
      </c>
    </row>
    <row r="78" spans="2:17" ht="30" x14ac:dyDescent="0.25">
      <c r="F78" s="82" t="s">
        <v>68</v>
      </c>
      <c r="G78" s="82" t="s">
        <v>69</v>
      </c>
    </row>
    <row r="79" spans="2:17" x14ac:dyDescent="0.25">
      <c r="B79" t="s">
        <v>70</v>
      </c>
      <c r="D79" t="s">
        <v>55</v>
      </c>
      <c r="F79" s="163">
        <f>IRR(F55:Q55)</f>
        <v>0.26282040345156288</v>
      </c>
      <c r="G79" s="161">
        <f>IRR(F69:Q69)</f>
        <v>0.62686193607877083</v>
      </c>
    </row>
    <row r="80" spans="2:17" x14ac:dyDescent="0.25">
      <c r="B80" t="s">
        <v>71</v>
      </c>
      <c r="D80" t="str">
        <f>Input!$D$6</f>
        <v>VND million</v>
      </c>
      <c r="F80" s="65">
        <f>F55+NPV(Cockpit!$E$36,G55:Q55)</f>
        <v>1269.1911337970082</v>
      </c>
      <c r="G80" s="162">
        <f>F69+NPV(Cockpit!$E$36,G69:Q69)</f>
        <v>2146.2607136391894</v>
      </c>
    </row>
    <row r="81" spans="2:7" x14ac:dyDescent="0.25">
      <c r="B81" t="s">
        <v>127</v>
      </c>
      <c r="D81" t="s">
        <v>40</v>
      </c>
      <c r="F81" s="64">
        <f>SUM(F58:Q59)-Input!D13</f>
        <v>3.334904539670525</v>
      </c>
      <c r="G81" s="105">
        <f>SUM(F72:Q73)-Input!D13</f>
        <v>1.2515968283623891</v>
      </c>
    </row>
  </sheetData>
  <pageMargins left="0.7" right="0.7" top="0.75" bottom="0.75" header="0.3" footer="0.3"/>
  <pageSetup orientation="portrait" horizontalDpi="4294967295" verticalDpi="4294967295"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1ED2DD-3EDB-462E-BF11-E20848E1FB66}">
  <sheetPr>
    <tabColor theme="8" tint="0.59999389629810485"/>
  </sheetPr>
  <dimension ref="B1:O145"/>
  <sheetViews>
    <sheetView zoomScale="80" zoomScaleNormal="80" workbookViewId="0"/>
  </sheetViews>
  <sheetFormatPr defaultColWidth="8.85546875" defaultRowHeight="15" x14ac:dyDescent="0.25"/>
  <cols>
    <col min="1" max="1" width="4.140625" customWidth="1"/>
    <col min="2" max="2" width="68.28515625" customWidth="1"/>
    <col min="3" max="3" width="15.28515625" customWidth="1"/>
    <col min="4" max="4" width="12.85546875" customWidth="1"/>
    <col min="5" max="5" width="17.5703125" customWidth="1"/>
    <col min="6" max="6" width="17.28515625" customWidth="1"/>
    <col min="7" max="7" width="18.140625" customWidth="1"/>
    <col min="8" max="8" width="17.85546875" customWidth="1"/>
    <col min="9" max="9" width="19.28515625" customWidth="1"/>
  </cols>
  <sheetData>
    <row r="1" spans="2:8" s="1" customFormat="1" ht="19.5" thickBot="1" x14ac:dyDescent="0.35">
      <c r="B1" s="1" t="s">
        <v>24</v>
      </c>
    </row>
    <row r="2" spans="2:8" ht="15.75" thickTop="1" x14ac:dyDescent="0.25"/>
    <row r="4" spans="2:8" x14ac:dyDescent="0.25">
      <c r="B4" s="103" t="s">
        <v>128</v>
      </c>
      <c r="C4" s="103"/>
      <c r="D4" s="103"/>
      <c r="E4" s="103"/>
      <c r="F4" s="103"/>
      <c r="G4" s="103"/>
      <c r="H4" s="103"/>
    </row>
    <row r="6" spans="2:8" x14ac:dyDescent="0.25">
      <c r="B6" s="28" t="s">
        <v>129</v>
      </c>
      <c r="C6" s="28"/>
      <c r="D6" s="125" t="s">
        <v>72</v>
      </c>
    </row>
    <row r="8" spans="2:8" x14ac:dyDescent="0.25">
      <c r="B8" s="28" t="s">
        <v>130</v>
      </c>
      <c r="C8" s="28" t="s">
        <v>131</v>
      </c>
      <c r="D8" s="130">
        <v>24821</v>
      </c>
      <c r="E8" s="15" t="s">
        <v>132</v>
      </c>
    </row>
    <row r="11" spans="2:8" x14ac:dyDescent="0.25">
      <c r="B11" s="71" t="s">
        <v>37</v>
      </c>
      <c r="C11" s="28"/>
    </row>
    <row r="12" spans="2:8" x14ac:dyDescent="0.25">
      <c r="B12" s="28" t="s">
        <v>39</v>
      </c>
      <c r="C12" s="28" t="s">
        <v>40</v>
      </c>
      <c r="D12" s="134">
        <v>1</v>
      </c>
    </row>
    <row r="13" spans="2:8" x14ac:dyDescent="0.25">
      <c r="B13" s="28" t="s">
        <v>42</v>
      </c>
      <c r="C13" s="28" t="s">
        <v>40</v>
      </c>
      <c r="D13" s="135">
        <f>D12+1</f>
        <v>2</v>
      </c>
    </row>
    <row r="14" spans="2:8" x14ac:dyDescent="0.25">
      <c r="B14" s="28" t="s">
        <v>44</v>
      </c>
      <c r="C14" s="28" t="s">
        <v>40</v>
      </c>
      <c r="D14" s="136">
        <f>D13+1</f>
        <v>3</v>
      </c>
    </row>
    <row r="16" spans="2:8" x14ac:dyDescent="0.25">
      <c r="B16" t="s">
        <v>239</v>
      </c>
      <c r="C16" t="s">
        <v>40</v>
      </c>
      <c r="D16" s="130">
        <v>3</v>
      </c>
    </row>
    <row r="19" spans="2:8" x14ac:dyDescent="0.25">
      <c r="B19" s="103" t="s">
        <v>133</v>
      </c>
      <c r="C19" s="103"/>
      <c r="D19" s="103"/>
      <c r="E19" s="103"/>
      <c r="F19" s="103"/>
      <c r="G19" s="103"/>
      <c r="H19" s="103"/>
    </row>
    <row r="22" spans="2:8" x14ac:dyDescent="0.25">
      <c r="B22" s="3" t="s">
        <v>134</v>
      </c>
    </row>
    <row r="23" spans="2:8" x14ac:dyDescent="0.25">
      <c r="B23" s="83" t="s">
        <v>135</v>
      </c>
      <c r="C23" s="75" t="s">
        <v>67</v>
      </c>
      <c r="D23" s="227" t="s">
        <v>136</v>
      </c>
      <c r="E23" s="228"/>
    </row>
    <row r="24" spans="2:8" x14ac:dyDescent="0.25">
      <c r="B24" s="77"/>
      <c r="C24" s="6" t="s">
        <v>137</v>
      </c>
      <c r="D24" s="102">
        <f>Lists!B39</f>
        <v>2</v>
      </c>
      <c r="E24" s="100">
        <f>Lists!B40</f>
        <v>5</v>
      </c>
    </row>
    <row r="25" spans="2:8" x14ac:dyDescent="0.25">
      <c r="B25" s="99" t="str">
        <f>Lists!B6</f>
        <v>Mining of coal and lignite</v>
      </c>
      <c r="C25" s="94" t="s">
        <v>55</v>
      </c>
      <c r="D25" s="32">
        <v>0.05</v>
      </c>
      <c r="E25" s="32">
        <v>0.15</v>
      </c>
    </row>
    <row r="26" spans="2:8" x14ac:dyDescent="0.25">
      <c r="B26" s="99" t="str">
        <f>Lists!B7</f>
        <v>Extraction of crude petroleum and natural gas</v>
      </c>
      <c r="C26" s="94" t="s">
        <v>55</v>
      </c>
      <c r="D26" s="32">
        <v>0.05</v>
      </c>
      <c r="E26" s="32">
        <v>0.15</v>
      </c>
    </row>
    <row r="27" spans="2:8" x14ac:dyDescent="0.25">
      <c r="B27" s="99" t="str">
        <f>Lists!B8</f>
        <v>Mining of metal ores</v>
      </c>
      <c r="C27" s="94" t="s">
        <v>55</v>
      </c>
      <c r="D27" s="32">
        <v>0.05</v>
      </c>
      <c r="E27" s="32">
        <v>0.15</v>
      </c>
    </row>
    <row r="28" spans="2:8" x14ac:dyDescent="0.25">
      <c r="B28" s="99" t="str">
        <f>Lists!B9</f>
        <v>Other mining and quarrying</v>
      </c>
      <c r="C28" s="94" t="s">
        <v>55</v>
      </c>
      <c r="D28" s="32">
        <v>0.05</v>
      </c>
      <c r="E28" s="32">
        <v>0.15</v>
      </c>
    </row>
    <row r="29" spans="2:8" x14ac:dyDescent="0.25">
      <c r="B29" s="99" t="str">
        <f>Lists!B10</f>
        <v>Mining support service activities</v>
      </c>
      <c r="C29" s="94" t="s">
        <v>55</v>
      </c>
      <c r="D29" s="32">
        <v>0.05</v>
      </c>
      <c r="E29" s="32">
        <v>0.15</v>
      </c>
    </row>
    <row r="30" spans="2:8" x14ac:dyDescent="0.25">
      <c r="B30" s="195" t="str">
        <f>Lists!B11</f>
        <v>Food products</v>
      </c>
      <c r="C30" s="183" t="s">
        <v>55</v>
      </c>
      <c r="D30" s="194">
        <v>0.05</v>
      </c>
      <c r="E30" s="194">
        <v>0.15</v>
      </c>
    </row>
    <row r="31" spans="2:8" x14ac:dyDescent="0.25">
      <c r="B31" s="195" t="str">
        <f>Lists!B12</f>
        <v>Beverages</v>
      </c>
      <c r="C31" s="183" t="s">
        <v>55</v>
      </c>
      <c r="D31" s="194">
        <v>0.05</v>
      </c>
      <c r="E31" s="194">
        <v>0.15</v>
      </c>
    </row>
    <row r="32" spans="2:8" x14ac:dyDescent="0.25">
      <c r="B32" s="99" t="str">
        <f>Lists!B13</f>
        <v>Tobacco products</v>
      </c>
      <c r="C32" s="94" t="s">
        <v>55</v>
      </c>
      <c r="D32" s="32">
        <v>0.05</v>
      </c>
      <c r="E32" s="32">
        <v>0.15</v>
      </c>
    </row>
    <row r="33" spans="2:5" x14ac:dyDescent="0.25">
      <c r="B33" s="99" t="str">
        <f>Lists!B14</f>
        <v>Textiles</v>
      </c>
      <c r="C33" s="94" t="s">
        <v>55</v>
      </c>
      <c r="D33" s="32">
        <v>0.05</v>
      </c>
      <c r="E33" s="32">
        <v>0.15</v>
      </c>
    </row>
    <row r="34" spans="2:5" x14ac:dyDescent="0.25">
      <c r="B34" s="99" t="str">
        <f>Lists!B15</f>
        <v>Wearing apparel</v>
      </c>
      <c r="C34" s="94" t="s">
        <v>55</v>
      </c>
      <c r="D34" s="32">
        <v>0.05</v>
      </c>
      <c r="E34" s="32">
        <v>0.15</v>
      </c>
    </row>
    <row r="35" spans="2:5" x14ac:dyDescent="0.25">
      <c r="B35" s="99" t="str">
        <f>Lists!B16</f>
        <v>Leather and related products</v>
      </c>
      <c r="C35" s="94" t="s">
        <v>55</v>
      </c>
      <c r="D35" s="32">
        <v>0.05</v>
      </c>
      <c r="E35" s="32">
        <v>0.15</v>
      </c>
    </row>
    <row r="36" spans="2:5" x14ac:dyDescent="0.25">
      <c r="B36" s="193" t="str">
        <f>Lists!B17</f>
        <v>Wood and products of wood and cork, except furniture</v>
      </c>
      <c r="C36" s="183" t="s">
        <v>55</v>
      </c>
      <c r="D36" s="196">
        <v>1.4999999999999999E-2</v>
      </c>
      <c r="E36" s="194">
        <v>0.15</v>
      </c>
    </row>
    <row r="37" spans="2:5" x14ac:dyDescent="0.25">
      <c r="B37" s="99" t="str">
        <f>Lists!B18</f>
        <v>Paper and paper products</v>
      </c>
      <c r="C37" s="94" t="s">
        <v>55</v>
      </c>
      <c r="D37" s="32">
        <v>0.05</v>
      </c>
      <c r="E37" s="32">
        <v>0.15</v>
      </c>
    </row>
    <row r="38" spans="2:5" x14ac:dyDescent="0.25">
      <c r="B38" s="99" t="str">
        <f>Lists!B19</f>
        <v>Printing and reproduction of recorded media</v>
      </c>
      <c r="C38" s="94" t="s">
        <v>55</v>
      </c>
      <c r="D38" s="32">
        <v>0.05</v>
      </c>
      <c r="E38" s="32">
        <v>0.15</v>
      </c>
    </row>
    <row r="39" spans="2:5" x14ac:dyDescent="0.25">
      <c r="B39" s="99" t="str">
        <f>Lists!B20</f>
        <v>Coke and refined petroleum products</v>
      </c>
      <c r="C39" s="94" t="s">
        <v>55</v>
      </c>
      <c r="D39" s="32">
        <v>0.05</v>
      </c>
      <c r="E39" s="32">
        <v>0.15</v>
      </c>
    </row>
    <row r="40" spans="2:5" x14ac:dyDescent="0.25">
      <c r="B40" s="99" t="str">
        <f>Lists!B21</f>
        <v>Chemicals and chemical products</v>
      </c>
      <c r="C40" s="94" t="s">
        <v>55</v>
      </c>
      <c r="D40" s="32">
        <v>0.05</v>
      </c>
      <c r="E40" s="32">
        <v>0.15</v>
      </c>
    </row>
    <row r="41" spans="2:5" x14ac:dyDescent="0.25">
      <c r="B41" s="99" t="str">
        <f>Lists!B22</f>
        <v>Pharmaceuticals, medicinal chemical and botanical products</v>
      </c>
      <c r="C41" s="94" t="s">
        <v>55</v>
      </c>
      <c r="D41" s="32">
        <v>0.05</v>
      </c>
      <c r="E41" s="32">
        <v>0.15</v>
      </c>
    </row>
    <row r="42" spans="2:5" x14ac:dyDescent="0.25">
      <c r="B42" s="195" t="str">
        <f>Lists!B23</f>
        <v>Rubber and plastics products</v>
      </c>
      <c r="C42" s="183" t="s">
        <v>55</v>
      </c>
      <c r="D42" s="194">
        <v>0.03</v>
      </c>
      <c r="E42" s="194">
        <v>0.15</v>
      </c>
    </row>
    <row r="43" spans="2:5" x14ac:dyDescent="0.25">
      <c r="B43" s="99" t="str">
        <f>Lists!B24</f>
        <v>Other non-metallic mineral products</v>
      </c>
      <c r="C43" s="94" t="s">
        <v>55</v>
      </c>
      <c r="D43" s="32">
        <v>0.05</v>
      </c>
      <c r="E43" s="32">
        <v>0.15</v>
      </c>
    </row>
    <row r="44" spans="2:5" x14ac:dyDescent="0.25">
      <c r="B44" s="99" t="str">
        <f>Lists!B25</f>
        <v>Basic metals</v>
      </c>
      <c r="C44" s="94" t="s">
        <v>55</v>
      </c>
      <c r="D44" s="32">
        <v>0.05</v>
      </c>
      <c r="E44" s="32">
        <v>0.15</v>
      </c>
    </row>
    <row r="45" spans="2:5" x14ac:dyDescent="0.25">
      <c r="B45" s="99" t="str">
        <f>Lists!B26</f>
        <v>Fabricated metal products, except machinery and equipment</v>
      </c>
      <c r="C45" s="94" t="s">
        <v>55</v>
      </c>
      <c r="D45" s="32">
        <v>0.05</v>
      </c>
      <c r="E45" s="32">
        <v>0.15</v>
      </c>
    </row>
    <row r="46" spans="2:5" x14ac:dyDescent="0.25">
      <c r="B46" s="99" t="str">
        <f>Lists!B27</f>
        <v>Computer, electronic and optical products</v>
      </c>
      <c r="C46" s="94" t="s">
        <v>55</v>
      </c>
      <c r="D46" s="32">
        <v>0.05</v>
      </c>
      <c r="E46" s="32">
        <v>0.15</v>
      </c>
    </row>
    <row r="47" spans="2:5" x14ac:dyDescent="0.25">
      <c r="B47" s="99" t="str">
        <f>Lists!B28</f>
        <v>Electrical equipment</v>
      </c>
      <c r="C47" s="94" t="s">
        <v>55</v>
      </c>
      <c r="D47" s="32">
        <v>0.05</v>
      </c>
      <c r="E47" s="32">
        <v>0.15</v>
      </c>
    </row>
    <row r="48" spans="2:5" x14ac:dyDescent="0.25">
      <c r="B48" s="99" t="str">
        <f>Lists!B29</f>
        <v>Machinery and equipment n.e.c.</v>
      </c>
      <c r="C48" s="94" t="s">
        <v>55</v>
      </c>
      <c r="D48" s="32">
        <v>0.05</v>
      </c>
      <c r="E48" s="32">
        <v>0.15</v>
      </c>
    </row>
    <row r="49" spans="2:7" x14ac:dyDescent="0.25">
      <c r="B49" s="99" t="str">
        <f>Lists!B30</f>
        <v>Motor vehicles, trailers and semi-trailers</v>
      </c>
      <c r="C49" s="94" t="s">
        <v>55</v>
      </c>
      <c r="D49" s="32">
        <v>0.05</v>
      </c>
      <c r="E49" s="32">
        <v>0.15</v>
      </c>
    </row>
    <row r="50" spans="2:7" x14ac:dyDescent="0.25">
      <c r="B50" s="99" t="str">
        <f>Lists!B31</f>
        <v>Other transport equipment</v>
      </c>
      <c r="C50" s="94" t="s">
        <v>55</v>
      </c>
      <c r="D50" s="32">
        <v>0.05</v>
      </c>
      <c r="E50" s="32">
        <v>0.15</v>
      </c>
    </row>
    <row r="51" spans="2:7" x14ac:dyDescent="0.25">
      <c r="B51" s="99" t="str">
        <f>Lists!B32</f>
        <v>Furniture</v>
      </c>
      <c r="C51" s="94" t="s">
        <v>55</v>
      </c>
      <c r="D51" s="32">
        <v>0.05</v>
      </c>
      <c r="E51" s="32">
        <v>0.15</v>
      </c>
    </row>
    <row r="52" spans="2:7" x14ac:dyDescent="0.25">
      <c r="B52" s="99" t="str">
        <f>Lists!B33</f>
        <v>Other manufacturing</v>
      </c>
      <c r="C52" s="94" t="s">
        <v>55</v>
      </c>
      <c r="D52" s="32">
        <v>0.05</v>
      </c>
      <c r="E52" s="32">
        <v>0.15</v>
      </c>
    </row>
    <row r="53" spans="2:7" x14ac:dyDescent="0.25">
      <c r="B53" s="5" t="str">
        <f>Lists!B34</f>
        <v>Repair and installation of machinery and equipment</v>
      </c>
      <c r="C53" s="6" t="s">
        <v>55</v>
      </c>
      <c r="D53" s="93">
        <v>0.05</v>
      </c>
      <c r="E53" s="93">
        <v>0.15</v>
      </c>
    </row>
    <row r="57" spans="2:7" x14ac:dyDescent="0.25">
      <c r="B57" s="215" t="s">
        <v>236</v>
      </c>
    </row>
    <row r="58" spans="2:7" x14ac:dyDescent="0.25">
      <c r="B58" s="215"/>
    </row>
    <row r="59" spans="2:7" x14ac:dyDescent="0.25">
      <c r="B59" s="110" t="s">
        <v>237</v>
      </c>
      <c r="C59" s="28"/>
      <c r="D59" s="28"/>
      <c r="E59" s="28"/>
      <c r="F59" s="28"/>
    </row>
    <row r="60" spans="2:7" ht="75" x14ac:dyDescent="0.25">
      <c r="B60" s="111" t="s">
        <v>138</v>
      </c>
      <c r="C60" s="119" t="s">
        <v>139</v>
      </c>
      <c r="D60" s="112" t="s">
        <v>140</v>
      </c>
      <c r="E60" s="112" t="s">
        <v>141</v>
      </c>
      <c r="F60" s="112" t="s">
        <v>142</v>
      </c>
      <c r="G60" s="112" t="s">
        <v>143</v>
      </c>
    </row>
    <row r="61" spans="2:7" x14ac:dyDescent="0.25">
      <c r="B61" s="113" t="s">
        <v>144</v>
      </c>
      <c r="C61" s="113" t="s">
        <v>145</v>
      </c>
      <c r="D61" s="114">
        <f>AVERAGE(D62:D70)</f>
        <v>2.5555555555555554</v>
      </c>
      <c r="E61" s="115">
        <f t="shared" ref="E61:G61" si="0">AVERAGE(E62:E70)</f>
        <v>11.555555555555555</v>
      </c>
      <c r="F61" s="116">
        <f>AVERAGE(F62:F70)</f>
        <v>1.5322222222222222</v>
      </c>
      <c r="G61" s="116">
        <f t="shared" si="0"/>
        <v>0.1711111111111111</v>
      </c>
    </row>
    <row r="62" spans="2:7" x14ac:dyDescent="0.25">
      <c r="B62" s="117" t="s">
        <v>146</v>
      </c>
      <c r="C62" s="117" t="s">
        <v>145</v>
      </c>
      <c r="D62" s="120">
        <v>1.1000000000000001</v>
      </c>
      <c r="E62" s="120">
        <v>10</v>
      </c>
      <c r="F62" s="120">
        <v>1.3</v>
      </c>
      <c r="G62" s="122">
        <v>0.13</v>
      </c>
    </row>
    <row r="63" spans="2:7" x14ac:dyDescent="0.25">
      <c r="B63" s="117" t="s">
        <v>147</v>
      </c>
      <c r="C63" s="117" t="s">
        <v>145</v>
      </c>
      <c r="D63" s="120">
        <v>1.6</v>
      </c>
      <c r="E63" s="120">
        <v>12</v>
      </c>
      <c r="F63" s="120">
        <v>1.0900000000000001</v>
      </c>
      <c r="G63" s="122">
        <v>0.13</v>
      </c>
    </row>
    <row r="64" spans="2:7" x14ac:dyDescent="0.25">
      <c r="B64" s="117" t="s">
        <v>148</v>
      </c>
      <c r="C64" s="117" t="s">
        <v>145</v>
      </c>
      <c r="D64" s="120">
        <v>2.1</v>
      </c>
      <c r="E64" s="120">
        <v>12</v>
      </c>
      <c r="F64" s="120">
        <v>0.79</v>
      </c>
      <c r="G64" s="122">
        <v>0.09</v>
      </c>
    </row>
    <row r="65" spans="2:15" x14ac:dyDescent="0.25">
      <c r="B65" s="117" t="s">
        <v>149</v>
      </c>
      <c r="C65" s="117" t="s">
        <v>145</v>
      </c>
      <c r="D65" s="120">
        <v>2.4</v>
      </c>
      <c r="E65" s="120">
        <v>10</v>
      </c>
      <c r="F65" s="120">
        <v>2.83</v>
      </c>
      <c r="G65" s="122">
        <v>0.28000000000000003</v>
      </c>
    </row>
    <row r="66" spans="2:15" x14ac:dyDescent="0.25">
      <c r="B66" s="117" t="s">
        <v>150</v>
      </c>
      <c r="C66" s="117" t="s">
        <v>145</v>
      </c>
      <c r="D66" s="120">
        <v>2.8</v>
      </c>
      <c r="E66" s="120">
        <v>6</v>
      </c>
      <c r="F66" s="120">
        <v>1.27</v>
      </c>
      <c r="G66" s="122">
        <v>0.08</v>
      </c>
    </row>
    <row r="67" spans="2:15" x14ac:dyDescent="0.25">
      <c r="B67" s="117" t="s">
        <v>151</v>
      </c>
      <c r="C67" s="117" t="s">
        <v>145</v>
      </c>
      <c r="D67" s="120">
        <v>3</v>
      </c>
      <c r="E67" s="120">
        <v>15</v>
      </c>
      <c r="F67" s="122">
        <v>1</v>
      </c>
      <c r="G67" s="122">
        <v>0.15</v>
      </c>
    </row>
    <row r="68" spans="2:15" x14ac:dyDescent="0.25">
      <c r="B68" s="117" t="s">
        <v>152</v>
      </c>
      <c r="C68" s="117" t="s">
        <v>145</v>
      </c>
      <c r="D68" s="120">
        <v>3</v>
      </c>
      <c r="E68" s="120">
        <v>15</v>
      </c>
      <c r="F68" s="120">
        <v>0.96</v>
      </c>
      <c r="G68" s="122">
        <v>0.14000000000000001</v>
      </c>
    </row>
    <row r="69" spans="2:15" x14ac:dyDescent="0.25">
      <c r="B69" s="117" t="s">
        <v>153</v>
      </c>
      <c r="C69" s="117" t="s">
        <v>145</v>
      </c>
      <c r="D69" s="120">
        <v>3.4</v>
      </c>
      <c r="E69" s="120">
        <v>12</v>
      </c>
      <c r="F69" s="120">
        <v>2.68</v>
      </c>
      <c r="G69" s="122">
        <v>0.32</v>
      </c>
    </row>
    <row r="70" spans="2:15" x14ac:dyDescent="0.25">
      <c r="B70" s="117" t="s">
        <v>154</v>
      </c>
      <c r="C70" s="117" t="s">
        <v>145</v>
      </c>
      <c r="D70" s="120">
        <v>3.6</v>
      </c>
      <c r="E70" s="120">
        <v>12</v>
      </c>
      <c r="F70" s="120">
        <v>1.87</v>
      </c>
      <c r="G70" s="122">
        <v>0.22</v>
      </c>
    </row>
    <row r="71" spans="2:15" x14ac:dyDescent="0.25">
      <c r="B71" s="118" t="s">
        <v>155</v>
      </c>
      <c r="C71" s="118" t="s">
        <v>156</v>
      </c>
      <c r="D71" s="121">
        <v>2.9</v>
      </c>
      <c r="E71" s="121">
        <v>12</v>
      </c>
      <c r="F71" s="121">
        <v>2.38</v>
      </c>
      <c r="G71" s="123">
        <v>0.28999999999999998</v>
      </c>
    </row>
    <row r="72" spans="2:15" x14ac:dyDescent="0.25">
      <c r="B72" s="229" t="s">
        <v>157</v>
      </c>
      <c r="C72" s="229"/>
      <c r="D72" s="229"/>
      <c r="E72" s="229"/>
      <c r="F72" s="28"/>
    </row>
    <row r="76" spans="2:15" x14ac:dyDescent="0.25">
      <c r="B76" s="103" t="s">
        <v>158</v>
      </c>
      <c r="C76" s="103"/>
      <c r="D76" s="103"/>
      <c r="E76" s="103"/>
      <c r="F76" s="103"/>
      <c r="G76" s="103"/>
      <c r="H76" s="103"/>
    </row>
    <row r="77" spans="2:15" x14ac:dyDescent="0.25">
      <c r="B77" s="3"/>
    </row>
    <row r="78" spans="2:15" x14ac:dyDescent="0.25">
      <c r="B78" s="3"/>
      <c r="E78" t="s">
        <v>231</v>
      </c>
    </row>
    <row r="79" spans="2:15" ht="30" x14ac:dyDescent="0.25">
      <c r="B79" s="25" t="s">
        <v>159</v>
      </c>
      <c r="C79" s="26" t="s">
        <v>67</v>
      </c>
      <c r="D79" s="95" t="s">
        <v>62</v>
      </c>
      <c r="E79" s="72" t="s">
        <v>160</v>
      </c>
      <c r="G79" s="95" t="s">
        <v>67</v>
      </c>
      <c r="H79" s="197" t="s">
        <v>62</v>
      </c>
      <c r="I79" s="28"/>
      <c r="J79" s="28"/>
      <c r="O79" s="202"/>
    </row>
    <row r="80" spans="2:15" x14ac:dyDescent="0.25">
      <c r="B80" s="33" t="str">
        <f>Lists!B45</f>
        <v>Electricity</v>
      </c>
      <c r="C80" s="12" t="s">
        <v>161</v>
      </c>
      <c r="D80" s="106">
        <v>12868956.578094622</v>
      </c>
      <c r="E80" s="161">
        <f>IFERROR(INDEX($C$93:$C$121, MATCH(Cockpit!$E$7, $B$93:$B$121, FALSE)),0%)</f>
        <v>0.69135190498279941</v>
      </c>
      <c r="G80" s="92" t="s">
        <v>220</v>
      </c>
      <c r="H80" s="200">
        <v>0.08</v>
      </c>
      <c r="I80" s="28"/>
      <c r="J80" s="198" t="s">
        <v>221</v>
      </c>
    </row>
    <row r="81" spans="2:10" x14ac:dyDescent="0.25">
      <c r="B81" s="73" t="str">
        <f>Lists!B46</f>
        <v>Coal</v>
      </c>
      <c r="C81" s="28" t="s">
        <v>161</v>
      </c>
      <c r="D81" s="107">
        <v>3049437.1428571432</v>
      </c>
      <c r="E81" s="213">
        <f>IFERROR(INDEX($D$93:$D$121, MATCH(Cockpit!$E$7, $B$93:$B$121, FALSE)),0%)</f>
        <v>9.6907458977273347E-2</v>
      </c>
      <c r="G81" s="92" t="s">
        <v>222</v>
      </c>
      <c r="H81" s="199">
        <v>86</v>
      </c>
      <c r="I81" s="28"/>
      <c r="J81" s="198" t="s">
        <v>221</v>
      </c>
    </row>
    <row r="82" spans="2:10" x14ac:dyDescent="0.25">
      <c r="B82" s="73" t="str">
        <f>Lists!B47</f>
        <v>Heavy fuel oil</v>
      </c>
      <c r="C82" s="28" t="s">
        <v>161</v>
      </c>
      <c r="D82" s="107">
        <v>12417441.703859199</v>
      </c>
      <c r="E82" s="213">
        <f>IFERROR(INDEX($E$93:$E$121, MATCH(Cockpit!$E$7, $B$93:$B$121, FALSE)),0%)</f>
        <v>2.3134583219418411E-2</v>
      </c>
      <c r="G82" s="92" t="s">
        <v>223</v>
      </c>
      <c r="H82" s="199">
        <v>74</v>
      </c>
      <c r="I82" s="28"/>
      <c r="J82" s="198" t="s">
        <v>221</v>
      </c>
    </row>
    <row r="83" spans="2:10" x14ac:dyDescent="0.25">
      <c r="B83" s="73" t="str">
        <f>Lists!B48</f>
        <v>Gas</v>
      </c>
      <c r="C83" s="28" t="s">
        <v>161</v>
      </c>
      <c r="D83" s="107">
        <v>10834563.492063493</v>
      </c>
      <c r="E83" s="213">
        <f>IFERROR(INDEX($F$93:$F$121, MATCH(Cockpit!$E$7, $B$93:$B$121, FALSE)),0%)</f>
        <v>1.7059600856222115E-2</v>
      </c>
      <c r="G83" s="92" t="s">
        <v>224</v>
      </c>
      <c r="H83" s="199">
        <v>11</v>
      </c>
      <c r="I83" s="28"/>
      <c r="J83" s="198" t="s">
        <v>221</v>
      </c>
    </row>
    <row r="84" spans="2:10" x14ac:dyDescent="0.25">
      <c r="B84" s="101" t="str">
        <f>Lists!B49</f>
        <v>Biomass</v>
      </c>
      <c r="C84" s="8" t="s">
        <v>161</v>
      </c>
      <c r="D84" s="108">
        <v>6098874.2857142864</v>
      </c>
      <c r="E84" s="214">
        <f>IFERROR(INDEX($G$93:$G$121, MATCH(Cockpit!$E$7, $B$93:$B$121, FALSE)),0%)</f>
        <v>0.16590655608816485</v>
      </c>
      <c r="G84" s="96" t="s">
        <v>222</v>
      </c>
      <c r="H84" s="201">
        <v>172</v>
      </c>
      <c r="I84" s="28"/>
      <c r="J84" s="198" t="s">
        <v>225</v>
      </c>
    </row>
    <row r="85" spans="2:10" x14ac:dyDescent="0.25">
      <c r="B85" s="124" t="str">
        <f>Lists!B50</f>
        <v>Weighted average energy mix</v>
      </c>
      <c r="C85" s="9" t="s">
        <v>161</v>
      </c>
      <c r="D85" s="109">
        <f>SUMPRODUCT(D80:D84,E80:E84)</f>
        <v>10676439.746085577</v>
      </c>
      <c r="E85" s="68">
        <f>SUM(E80:E84)</f>
        <v>0.99436010412387821</v>
      </c>
    </row>
    <row r="89" spans="2:10" ht="15.75" x14ac:dyDescent="0.25">
      <c r="B89" s="2" t="s">
        <v>233</v>
      </c>
      <c r="C89" s="2"/>
      <c r="D89" s="2"/>
      <c r="E89" s="2"/>
      <c r="F89" s="2"/>
      <c r="G89" s="2"/>
      <c r="H89" s="2"/>
      <c r="I89" s="2"/>
    </row>
    <row r="91" spans="2:10" ht="30" x14ac:dyDescent="0.25">
      <c r="B91" s="205" t="s">
        <v>226</v>
      </c>
      <c r="C91" s="206" t="str" cm="1">
        <f t="array" ref="C91:G91">TRANSPOSE(Lists!B45:B49)</f>
        <v>Electricity</v>
      </c>
      <c r="D91" s="206" t="str">
        <v>Coal</v>
      </c>
      <c r="E91" s="206" t="str">
        <v>Heavy fuel oil</v>
      </c>
      <c r="F91" s="206" t="str">
        <v>Gas</v>
      </c>
      <c r="G91" s="206" t="str">
        <v>Biomass</v>
      </c>
      <c r="H91" s="206" t="s">
        <v>228</v>
      </c>
      <c r="I91" s="207" t="s">
        <v>229</v>
      </c>
    </row>
    <row r="92" spans="2:10" x14ac:dyDescent="0.25">
      <c r="B92" s="6"/>
      <c r="C92" s="204" t="s">
        <v>55</v>
      </c>
      <c r="D92" s="204" t="s">
        <v>55</v>
      </c>
      <c r="E92" s="204" t="s">
        <v>55</v>
      </c>
      <c r="F92" s="204" t="s">
        <v>55</v>
      </c>
      <c r="G92" s="204" t="s">
        <v>55</v>
      </c>
      <c r="H92" s="204" t="s">
        <v>55</v>
      </c>
      <c r="I92" s="203" t="s">
        <v>55</v>
      </c>
    </row>
    <row r="93" spans="2:10" x14ac:dyDescent="0.25">
      <c r="B93" s="94" t="str">
        <f>Lists!B6</f>
        <v>Mining of coal and lignite</v>
      </c>
      <c r="C93" s="208">
        <v>0.153024661242704</v>
      </c>
      <c r="D93" s="208">
        <v>2.285668041519779E-2</v>
      </c>
      <c r="E93" s="208">
        <v>0.8090122821929645</v>
      </c>
      <c r="F93" s="208">
        <v>1.5106376149133793E-2</v>
      </c>
      <c r="G93" s="208">
        <v>0</v>
      </c>
      <c r="H93" s="208">
        <v>0</v>
      </c>
      <c r="I93" s="209">
        <v>1</v>
      </c>
    </row>
    <row r="94" spans="2:10" x14ac:dyDescent="0.25">
      <c r="B94" s="94" t="str">
        <f>Lists!B7</f>
        <v>Extraction of crude petroleum and natural gas</v>
      </c>
      <c r="C94" s="208">
        <v>0.12784666777114839</v>
      </c>
      <c r="D94" s="208">
        <v>0</v>
      </c>
      <c r="E94" s="208">
        <v>0.22489076725326426</v>
      </c>
      <c r="F94" s="208">
        <v>0.64726256497558732</v>
      </c>
      <c r="G94" s="208">
        <v>0</v>
      </c>
      <c r="H94" s="208">
        <v>0</v>
      </c>
      <c r="I94" s="209">
        <v>1</v>
      </c>
    </row>
    <row r="95" spans="2:10" x14ac:dyDescent="0.25">
      <c r="B95" s="94" t="str">
        <f>Lists!B8</f>
        <v>Mining of metal ores</v>
      </c>
      <c r="C95" s="208">
        <v>0.71641550582922331</v>
      </c>
      <c r="D95" s="208">
        <v>0.14646124803340591</v>
      </c>
      <c r="E95" s="208">
        <v>0.13712324613737084</v>
      </c>
      <c r="F95" s="208">
        <v>0</v>
      </c>
      <c r="G95" s="208">
        <v>0</v>
      </c>
      <c r="H95" s="208">
        <v>0</v>
      </c>
      <c r="I95" s="209">
        <v>1</v>
      </c>
    </row>
    <row r="96" spans="2:10" x14ac:dyDescent="0.25">
      <c r="B96" s="94" t="str">
        <f>Lists!B9</f>
        <v>Other mining and quarrying</v>
      </c>
      <c r="C96" s="208">
        <v>0.28503110435068674</v>
      </c>
      <c r="D96" s="208">
        <v>0.67946303730266133</v>
      </c>
      <c r="E96" s="208">
        <v>3.5423206486265901E-2</v>
      </c>
      <c r="F96" s="208">
        <v>8.2651860386035629E-5</v>
      </c>
      <c r="G96" s="208">
        <v>0</v>
      </c>
      <c r="H96" s="208">
        <v>0</v>
      </c>
      <c r="I96" s="209">
        <v>1</v>
      </c>
    </row>
    <row r="97" spans="2:9" x14ac:dyDescent="0.25">
      <c r="B97" s="94" t="str">
        <f>Lists!B10</f>
        <v>Mining support service activities</v>
      </c>
      <c r="C97" s="208" t="s">
        <v>230</v>
      </c>
      <c r="D97" s="208" t="s">
        <v>230</v>
      </c>
      <c r="E97" s="208" t="s">
        <v>230</v>
      </c>
      <c r="F97" s="208" t="s">
        <v>230</v>
      </c>
      <c r="G97" s="208" t="s">
        <v>230</v>
      </c>
      <c r="H97" s="208" t="s">
        <v>230</v>
      </c>
      <c r="I97" s="209" t="s">
        <v>230</v>
      </c>
    </row>
    <row r="98" spans="2:9" x14ac:dyDescent="0.25">
      <c r="B98" s="94" t="str">
        <f>Lists!B11</f>
        <v>Food products</v>
      </c>
      <c r="C98" s="208">
        <v>0.69135190498279941</v>
      </c>
      <c r="D98" s="208">
        <v>9.6907458977273347E-2</v>
      </c>
      <c r="E98" s="208">
        <v>2.3134583219418411E-2</v>
      </c>
      <c r="F98" s="208">
        <v>1.7059600856222115E-2</v>
      </c>
      <c r="G98" s="208">
        <v>0.16590655608816485</v>
      </c>
      <c r="H98" s="208">
        <v>5.6398958761219673E-3</v>
      </c>
      <c r="I98" s="209">
        <v>1</v>
      </c>
    </row>
    <row r="99" spans="2:9" x14ac:dyDescent="0.25">
      <c r="B99" s="94" t="str">
        <f>Lists!B12</f>
        <v>Beverages</v>
      </c>
      <c r="C99" s="208">
        <v>0.57737344800250057</v>
      </c>
      <c r="D99" s="208">
        <v>3.9323648035980679E-2</v>
      </c>
      <c r="E99" s="208">
        <v>4.3775681814549668E-2</v>
      </c>
      <c r="F99" s="208">
        <v>0.30490965998835345</v>
      </c>
      <c r="G99" s="208">
        <v>1.503077948469741E-2</v>
      </c>
      <c r="H99" s="208">
        <v>1.9586782673918175E-2</v>
      </c>
      <c r="I99" s="209">
        <v>1</v>
      </c>
    </row>
    <row r="100" spans="2:9" x14ac:dyDescent="0.25">
      <c r="B100" s="94" t="str">
        <f>Lists!B13</f>
        <v>Tobacco products</v>
      </c>
      <c r="C100" s="208">
        <v>0.89432171951716677</v>
      </c>
      <c r="D100" s="208">
        <v>0</v>
      </c>
      <c r="E100" s="208">
        <v>6.2636573703161474E-2</v>
      </c>
      <c r="F100" s="208">
        <v>7.2048686389178135E-4</v>
      </c>
      <c r="G100" s="208">
        <v>0</v>
      </c>
      <c r="H100" s="208">
        <v>4.2321219915780008E-2</v>
      </c>
      <c r="I100" s="209">
        <v>1</v>
      </c>
    </row>
    <row r="101" spans="2:9" x14ac:dyDescent="0.25">
      <c r="B101" s="94" t="str">
        <f>Lists!B14</f>
        <v>Textiles</v>
      </c>
      <c r="C101" s="208">
        <v>0.79018130231086303</v>
      </c>
      <c r="D101" s="208">
        <v>0.13643692696287643</v>
      </c>
      <c r="E101" s="208">
        <v>1.8321180217857665E-2</v>
      </c>
      <c r="F101" s="208">
        <v>5.4013125632819445E-2</v>
      </c>
      <c r="G101" s="208">
        <v>6.0960209701694937E-4</v>
      </c>
      <c r="H101" s="208">
        <v>4.3786277856636466E-4</v>
      </c>
      <c r="I101" s="209">
        <v>1</v>
      </c>
    </row>
    <row r="102" spans="2:9" x14ac:dyDescent="0.25">
      <c r="B102" s="94" t="str">
        <f>Lists!B15</f>
        <v>Wearing apparel</v>
      </c>
      <c r="C102" s="208">
        <v>0.91123392829561267</v>
      </c>
      <c r="D102" s="208">
        <v>6.9880495246547585E-3</v>
      </c>
      <c r="E102" s="208">
        <v>5.8543993469721688E-2</v>
      </c>
      <c r="F102" s="208">
        <v>1.7224094612557977E-3</v>
      </c>
      <c r="G102" s="208">
        <v>9.1680233008844501E-3</v>
      </c>
      <c r="H102" s="208">
        <v>1.2343595947870555E-2</v>
      </c>
      <c r="I102" s="209">
        <v>1</v>
      </c>
    </row>
    <row r="103" spans="2:9" x14ac:dyDescent="0.25">
      <c r="B103" s="94" t="str">
        <f>Lists!B16</f>
        <v>Leather and related products</v>
      </c>
      <c r="C103" s="208">
        <v>0.96300326327943009</v>
      </c>
      <c r="D103" s="208">
        <v>0</v>
      </c>
      <c r="E103" s="208">
        <v>4.0782877262019873E-3</v>
      </c>
      <c r="F103" s="208">
        <v>7.755848917075989E-3</v>
      </c>
      <c r="G103" s="208">
        <v>2.516260007729211E-2</v>
      </c>
      <c r="H103" s="208">
        <v>0</v>
      </c>
      <c r="I103" s="209">
        <v>1</v>
      </c>
    </row>
    <row r="104" spans="2:9" x14ac:dyDescent="0.25">
      <c r="B104" s="94" t="str">
        <f>Lists!B17</f>
        <v>Wood and products of wood and cork, except furniture</v>
      </c>
      <c r="C104" s="208">
        <v>0.96668435633698091</v>
      </c>
      <c r="D104" s="208">
        <v>1.4980768162661801E-2</v>
      </c>
      <c r="E104" s="208">
        <v>1.3751838907187888E-2</v>
      </c>
      <c r="F104" s="208">
        <v>0</v>
      </c>
      <c r="G104" s="208">
        <v>4.5830365931692823E-3</v>
      </c>
      <c r="H104" s="208">
        <v>0</v>
      </c>
      <c r="I104" s="209">
        <v>1</v>
      </c>
    </row>
    <row r="105" spans="2:9" x14ac:dyDescent="0.25">
      <c r="B105" s="94" t="str">
        <f>Lists!B18</f>
        <v>Paper and paper products</v>
      </c>
      <c r="C105" s="208">
        <v>0.61790956350758575</v>
      </c>
      <c r="D105" s="208">
        <v>0.32398331600396518</v>
      </c>
      <c r="E105" s="208">
        <v>2.2070842535217034E-3</v>
      </c>
      <c r="F105" s="208">
        <v>5.370959237949299E-3</v>
      </c>
      <c r="G105" s="208">
        <v>5.0529076996978194E-2</v>
      </c>
      <c r="H105" s="208">
        <v>0</v>
      </c>
      <c r="I105" s="209">
        <v>1</v>
      </c>
    </row>
    <row r="106" spans="2:9" x14ac:dyDescent="0.25">
      <c r="B106" s="94" t="str">
        <f>Lists!B19</f>
        <v>Printing and reproduction of recorded media</v>
      </c>
      <c r="C106" s="208">
        <v>0.96903160821230816</v>
      </c>
      <c r="D106" s="208">
        <v>0</v>
      </c>
      <c r="E106" s="208">
        <v>5.2097398323155204E-4</v>
      </c>
      <c r="F106" s="208">
        <v>3.0447417804460305E-2</v>
      </c>
      <c r="G106" s="208">
        <v>0</v>
      </c>
      <c r="H106" s="208">
        <v>0</v>
      </c>
      <c r="I106" s="209">
        <v>1</v>
      </c>
    </row>
    <row r="107" spans="2:9" x14ac:dyDescent="0.25">
      <c r="B107" s="94" t="str">
        <f>Lists!B20</f>
        <v>Coke and refined petroleum products</v>
      </c>
      <c r="C107" s="208">
        <v>6.5214270201019345E-2</v>
      </c>
      <c r="D107" s="208">
        <v>0</v>
      </c>
      <c r="E107" s="208">
        <v>0.5929769263679644</v>
      </c>
      <c r="F107" s="208">
        <v>0.34180880343101633</v>
      </c>
      <c r="G107" s="208">
        <v>0</v>
      </c>
      <c r="H107" s="208">
        <v>0</v>
      </c>
      <c r="I107" s="209">
        <v>1</v>
      </c>
    </row>
    <row r="108" spans="2:9" x14ac:dyDescent="0.25">
      <c r="B108" s="94" t="str">
        <f>Lists!B21</f>
        <v>Chemicals and chemical products</v>
      </c>
      <c r="C108" s="208">
        <v>0.16710805390750932</v>
      </c>
      <c r="D108" s="208">
        <v>0.40890126850212011</v>
      </c>
      <c r="E108" s="208">
        <v>0.15651233655131885</v>
      </c>
      <c r="F108" s="208">
        <v>0.2664678584121184</v>
      </c>
      <c r="G108" s="208">
        <v>1.0104826269331738E-3</v>
      </c>
      <c r="H108" s="208">
        <v>0</v>
      </c>
      <c r="I108" s="209">
        <v>1</v>
      </c>
    </row>
    <row r="109" spans="2:9" x14ac:dyDescent="0.25">
      <c r="B109" s="94" t="str">
        <f>Lists!B22</f>
        <v>Pharmaceuticals, medicinal chemical and botanical products</v>
      </c>
      <c r="C109" s="208">
        <v>0.38096767359257327</v>
      </c>
      <c r="D109" s="208">
        <v>1.5466414221203538E-2</v>
      </c>
      <c r="E109" s="208">
        <v>0.58923973828438125</v>
      </c>
      <c r="F109" s="208">
        <v>1.4326173901841883E-2</v>
      </c>
      <c r="G109" s="208">
        <v>0</v>
      </c>
      <c r="H109" s="208">
        <v>0</v>
      </c>
      <c r="I109" s="209">
        <v>1</v>
      </c>
    </row>
    <row r="110" spans="2:9" x14ac:dyDescent="0.25">
      <c r="B110" s="94" t="str">
        <f>Lists!B23</f>
        <v>Rubber and plastics products</v>
      </c>
      <c r="C110" s="208">
        <v>0.79625703255472124</v>
      </c>
      <c r="D110" s="208">
        <v>2.7331508542373102E-2</v>
      </c>
      <c r="E110" s="208">
        <v>0.15259400725588559</v>
      </c>
      <c r="F110" s="208">
        <v>1.3164167566498445E-2</v>
      </c>
      <c r="G110" s="208">
        <v>2.8958274549538668E-3</v>
      </c>
      <c r="H110" s="208">
        <v>7.7574566255678374E-3</v>
      </c>
      <c r="I110" s="209">
        <v>1</v>
      </c>
    </row>
    <row r="111" spans="2:9" x14ac:dyDescent="0.25">
      <c r="B111" s="94" t="str">
        <f>Lists!B24</f>
        <v>Other non-metallic mineral products</v>
      </c>
      <c r="C111" s="208">
        <v>0.25155750418924194</v>
      </c>
      <c r="D111" s="208">
        <v>0.62900980372264215</v>
      </c>
      <c r="E111" s="208">
        <v>8.4790450884036889E-2</v>
      </c>
      <c r="F111" s="208">
        <v>3.2629749730340558E-2</v>
      </c>
      <c r="G111" s="208">
        <v>2.0124914737384269E-3</v>
      </c>
      <c r="H111" s="208">
        <v>0</v>
      </c>
      <c r="I111" s="209">
        <v>1</v>
      </c>
    </row>
    <row r="112" spans="2:9" x14ac:dyDescent="0.25">
      <c r="B112" s="94" t="str">
        <f>Lists!B25</f>
        <v>Basic metals</v>
      </c>
      <c r="C112" s="208">
        <v>0.26441823523562269</v>
      </c>
      <c r="D112" s="208">
        <v>0.69876879756739374</v>
      </c>
      <c r="E112" s="208">
        <v>8.0309215387530525E-3</v>
      </c>
      <c r="F112" s="208">
        <v>2.8062131847858662E-2</v>
      </c>
      <c r="G112" s="208">
        <v>1.1105068468354814E-4</v>
      </c>
      <c r="H112" s="208">
        <v>6.0886312568831952E-4</v>
      </c>
      <c r="I112" s="209">
        <v>1</v>
      </c>
    </row>
    <row r="113" spans="2:9" x14ac:dyDescent="0.25">
      <c r="B113" s="94" t="str">
        <f>Lists!B26</f>
        <v>Fabricated metal products, except machinery and equipment</v>
      </c>
      <c r="C113" s="208">
        <v>0.81174504805073711</v>
      </c>
      <c r="D113" s="208">
        <v>8.4213925365710773E-3</v>
      </c>
      <c r="E113" s="208">
        <v>0.11287908969432689</v>
      </c>
      <c r="F113" s="208">
        <v>6.6954469718364953E-2</v>
      </c>
      <c r="G113" s="208">
        <v>0</v>
      </c>
      <c r="H113" s="208">
        <v>0</v>
      </c>
      <c r="I113" s="209">
        <v>1</v>
      </c>
    </row>
    <row r="114" spans="2:9" x14ac:dyDescent="0.25">
      <c r="B114" s="94" t="str">
        <f>Lists!B27</f>
        <v>Computer, electronic and optical products</v>
      </c>
      <c r="C114" s="208">
        <v>0.92796245559096946</v>
      </c>
      <c r="D114" s="208">
        <v>0</v>
      </c>
      <c r="E114" s="208">
        <v>2.2578930520415354E-2</v>
      </c>
      <c r="F114" s="208">
        <v>4.9458613888615145E-2</v>
      </c>
      <c r="G114" s="208">
        <v>0</v>
      </c>
      <c r="H114" s="208">
        <v>0</v>
      </c>
      <c r="I114" s="209">
        <v>1</v>
      </c>
    </row>
    <row r="115" spans="2:9" x14ac:dyDescent="0.25">
      <c r="B115" s="94" t="str">
        <f>Lists!B28</f>
        <v>Electrical equipment</v>
      </c>
      <c r="C115" s="208">
        <v>0.74822764045367707</v>
      </c>
      <c r="D115" s="208">
        <v>1.6032611010764967E-2</v>
      </c>
      <c r="E115" s="208">
        <v>0.17659812687180673</v>
      </c>
      <c r="F115" s="208">
        <v>5.9141621663751358E-2</v>
      </c>
      <c r="G115" s="208">
        <v>0</v>
      </c>
      <c r="H115" s="208">
        <v>0</v>
      </c>
      <c r="I115" s="209">
        <v>1</v>
      </c>
    </row>
    <row r="116" spans="2:9" x14ac:dyDescent="0.25">
      <c r="B116" s="94" t="str">
        <f>Lists!B29</f>
        <v>Machinery and equipment n.e.c.</v>
      </c>
      <c r="C116" s="208">
        <v>0.12822762186589057</v>
      </c>
      <c r="D116" s="208">
        <v>0.84699549376730288</v>
      </c>
      <c r="E116" s="208">
        <v>8.0679776568373593E-3</v>
      </c>
      <c r="F116" s="208">
        <v>1.6708906709969162E-2</v>
      </c>
      <c r="G116" s="208">
        <v>0</v>
      </c>
      <c r="H116" s="208">
        <v>0</v>
      </c>
      <c r="I116" s="209">
        <v>1</v>
      </c>
    </row>
    <row r="117" spans="2:9" x14ac:dyDescent="0.25">
      <c r="B117" s="94" t="str">
        <f>Lists!B30</f>
        <v>Motor vehicles, trailers and semi-trailers</v>
      </c>
      <c r="C117" s="208">
        <v>0.93922393899348278</v>
      </c>
      <c r="D117" s="208">
        <v>1.0094944104156148E-5</v>
      </c>
      <c r="E117" s="208">
        <v>7.8728542952978715E-3</v>
      </c>
      <c r="F117" s="208">
        <v>5.2893111767115281E-2</v>
      </c>
      <c r="G117" s="208">
        <v>0</v>
      </c>
      <c r="H117" s="208">
        <v>0</v>
      </c>
      <c r="I117" s="209">
        <v>1</v>
      </c>
    </row>
    <row r="118" spans="2:9" x14ac:dyDescent="0.25">
      <c r="B118" s="94" t="str">
        <f>Lists!B31</f>
        <v>Other transport equipment</v>
      </c>
      <c r="C118" s="208">
        <v>0.49762427539515453</v>
      </c>
      <c r="D118" s="208">
        <v>2.1776898444550292E-2</v>
      </c>
      <c r="E118" s="208">
        <v>0.47972109196815133</v>
      </c>
      <c r="F118" s="208">
        <v>8.7773419214384589E-4</v>
      </c>
      <c r="G118" s="208">
        <v>0</v>
      </c>
      <c r="H118" s="208">
        <v>0</v>
      </c>
      <c r="I118" s="209">
        <v>1</v>
      </c>
    </row>
    <row r="119" spans="2:9" x14ac:dyDescent="0.25">
      <c r="B119" s="94" t="str">
        <f>Lists!B32</f>
        <v>Furniture</v>
      </c>
      <c r="C119" s="208">
        <v>0.99669651498971723</v>
      </c>
      <c r="D119" s="208">
        <v>0</v>
      </c>
      <c r="E119" s="208">
        <v>4.5984599018933557E-6</v>
      </c>
      <c r="F119" s="208">
        <v>1.5394107165429235E-3</v>
      </c>
      <c r="G119" s="208">
        <v>1.7594758338380797E-3</v>
      </c>
      <c r="H119" s="208">
        <v>0</v>
      </c>
      <c r="I119" s="209">
        <v>1</v>
      </c>
    </row>
    <row r="120" spans="2:9" x14ac:dyDescent="0.25">
      <c r="B120" s="94" t="str">
        <f>Lists!B33</f>
        <v>Other manufacturing</v>
      </c>
      <c r="C120" s="208">
        <v>0.61519023920302496</v>
      </c>
      <c r="D120" s="208">
        <v>0.26646103579555408</v>
      </c>
      <c r="E120" s="208">
        <v>2.5009076888871721E-2</v>
      </c>
      <c r="F120" s="208">
        <v>6.0769047324055428E-2</v>
      </c>
      <c r="G120" s="208">
        <v>3.2570600788493762E-2</v>
      </c>
      <c r="H120" s="208">
        <v>0</v>
      </c>
      <c r="I120" s="209">
        <v>1</v>
      </c>
    </row>
    <row r="121" spans="2:9" x14ac:dyDescent="0.25">
      <c r="B121" s="6" t="str">
        <f>Lists!B34</f>
        <v>Repair and installation of machinery and equipment</v>
      </c>
      <c r="C121" s="210">
        <v>1.0249451207068232E-2</v>
      </c>
      <c r="D121" s="210">
        <v>8.9098027782217717E-2</v>
      </c>
      <c r="E121" s="210">
        <v>0.90065252101071402</v>
      </c>
      <c r="F121" s="210">
        <v>0</v>
      </c>
      <c r="G121" s="210">
        <v>0</v>
      </c>
      <c r="H121" s="210">
        <v>0</v>
      </c>
      <c r="I121" s="211">
        <v>1</v>
      </c>
    </row>
    <row r="125" spans="2:9" x14ac:dyDescent="0.25">
      <c r="B125" s="103" t="s">
        <v>162</v>
      </c>
      <c r="C125" s="103"/>
      <c r="D125" s="103"/>
      <c r="E125" s="103"/>
      <c r="F125" s="103"/>
      <c r="G125" s="103"/>
      <c r="H125" s="103"/>
      <c r="I125" s="103"/>
    </row>
    <row r="128" spans="2:9" x14ac:dyDescent="0.25">
      <c r="B128" s="61"/>
      <c r="C128" s="12"/>
      <c r="D128" s="83" t="s">
        <v>163</v>
      </c>
      <c r="E128" s="11" t="s">
        <v>164</v>
      </c>
      <c r="F128" s="11" t="s">
        <v>165</v>
      </c>
      <c r="G128" s="11" t="s">
        <v>166</v>
      </c>
      <c r="H128" s="75" t="s">
        <v>167</v>
      </c>
      <c r="I128" t="s">
        <v>238</v>
      </c>
    </row>
    <row r="129" spans="2:8" x14ac:dyDescent="0.25">
      <c r="B129" s="77" t="s">
        <v>168</v>
      </c>
      <c r="C129" s="8"/>
      <c r="D129" s="77" t="s">
        <v>169</v>
      </c>
      <c r="E129" s="9" t="s">
        <v>169</v>
      </c>
      <c r="F129" s="9" t="s">
        <v>169</v>
      </c>
      <c r="G129" s="9" t="s">
        <v>169</v>
      </c>
      <c r="H129" s="76" t="s">
        <v>55</v>
      </c>
    </row>
    <row r="130" spans="2:8" x14ac:dyDescent="0.25">
      <c r="B130" s="33" t="str">
        <f>Lists!B45</f>
        <v>Electricity</v>
      </c>
      <c r="C130" s="28"/>
      <c r="D130" s="90">
        <v>9836.6539999999459</v>
      </c>
      <c r="E130" s="29">
        <v>504.75374629999726</v>
      </c>
      <c r="F130" s="29">
        <v>2253.9916919999878</v>
      </c>
      <c r="G130" s="29">
        <v>105.38405873999945</v>
      </c>
      <c r="H130" s="212">
        <f>E80</f>
        <v>0.69135190498279941</v>
      </c>
    </row>
    <row r="131" spans="2:8" x14ac:dyDescent="0.25">
      <c r="B131" s="73" t="str">
        <f>Lists!B46</f>
        <v>Coal</v>
      </c>
      <c r="C131" s="28"/>
      <c r="D131" s="90">
        <v>3960.7128000000002</v>
      </c>
      <c r="E131" s="29">
        <v>15.030612000000001</v>
      </c>
      <c r="F131" s="29">
        <v>7.6618440000000003</v>
      </c>
      <c r="G131" s="29">
        <v>0.293076</v>
      </c>
      <c r="H131" s="212">
        <f>E81</f>
        <v>9.6907458977273347E-2</v>
      </c>
    </row>
    <row r="132" spans="2:8" x14ac:dyDescent="0.25">
      <c r="B132" s="73" t="str">
        <f>Lists!B47</f>
        <v>Heavy fuel oil</v>
      </c>
      <c r="C132" s="28"/>
      <c r="D132" s="90">
        <v>3239.2015560000004</v>
      </c>
      <c r="E132" s="29">
        <v>14.402592</v>
      </c>
      <c r="F132" s="29">
        <v>5.4009720000000003</v>
      </c>
      <c r="G132" s="29">
        <v>0.20096639999999999</v>
      </c>
      <c r="H132" s="212">
        <f>E82</f>
        <v>2.3134583219418411E-2</v>
      </c>
    </row>
    <row r="133" spans="2:8" x14ac:dyDescent="0.25">
      <c r="B133" s="73" t="str">
        <f>Lists!B48</f>
        <v>Gas</v>
      </c>
      <c r="C133" s="28"/>
      <c r="D133" s="90">
        <v>2348.7948000000001</v>
      </c>
      <c r="E133" s="29">
        <v>1.8840600000000002E-2</v>
      </c>
      <c r="F133" s="29">
        <v>2.5623216000000002</v>
      </c>
      <c r="G133" s="29">
        <v>4.1868000000000009E-3</v>
      </c>
      <c r="H133" s="212">
        <f>E83</f>
        <v>1.7059600856222115E-2</v>
      </c>
    </row>
    <row r="134" spans="2:8" x14ac:dyDescent="0.25">
      <c r="B134" s="101" t="str">
        <f>Lists!B49</f>
        <v>Biomass</v>
      </c>
      <c r="C134" s="28"/>
      <c r="D134" s="90">
        <v>0</v>
      </c>
      <c r="E134" s="29">
        <v>0.46054800000000001</v>
      </c>
      <c r="F134" s="29">
        <v>3.7681200000000001</v>
      </c>
      <c r="G134" s="29">
        <v>0.41868</v>
      </c>
      <c r="H134" s="212">
        <f>E84</f>
        <v>0.16590655608816485</v>
      </c>
    </row>
    <row r="135" spans="2:8" x14ac:dyDescent="0.25">
      <c r="B135" s="124" t="str">
        <f>Lists!B50</f>
        <v>Weighted average energy mix</v>
      </c>
      <c r="C135" s="60"/>
      <c r="D135" s="39">
        <f>SUMPRODUCT(D130:D134,$H$130:$H$134)</f>
        <v>7299.4191744863192</v>
      </c>
      <c r="E135" s="40">
        <f t="shared" ref="E135:G135" si="1">SUMPRODUCT(E130:E134,$H$130:$H$134)</f>
        <v>350.82896977640956</v>
      </c>
      <c r="F135" s="40">
        <f t="shared" si="1"/>
        <v>1559.8377571448029</v>
      </c>
      <c r="G135" s="40">
        <f t="shared" si="1"/>
        <v>72.960053471110029</v>
      </c>
      <c r="H135" s="91">
        <f>SUM(H130:H134)</f>
        <v>0.99436010412387821</v>
      </c>
    </row>
    <row r="138" spans="2:8" x14ac:dyDescent="0.25">
      <c r="B138" s="71" t="s">
        <v>170</v>
      </c>
      <c r="C138" s="28"/>
      <c r="D138" s="28"/>
    </row>
    <row r="139" spans="2:8" x14ac:dyDescent="0.25">
      <c r="B139" s="61" t="s">
        <v>171</v>
      </c>
      <c r="C139" s="12"/>
      <c r="D139" s="4"/>
      <c r="E139" t="s">
        <v>218</v>
      </c>
    </row>
    <row r="140" spans="2:8" x14ac:dyDescent="0.25">
      <c r="B140" s="27" t="s">
        <v>172</v>
      </c>
      <c r="C140" s="28" t="s">
        <v>173</v>
      </c>
      <c r="D140" s="92">
        <v>4</v>
      </c>
      <c r="E140" t="str">
        <f>B140&amp;" ("&amp;D140&amp;" "&amp;C140&amp;")"</f>
        <v>Beijing (4 USD/tCO2)</v>
      </c>
    </row>
    <row r="141" spans="2:8" x14ac:dyDescent="0.25">
      <c r="B141" s="27" t="s">
        <v>174</v>
      </c>
      <c r="C141" s="28" t="s">
        <v>173</v>
      </c>
      <c r="D141" s="92">
        <v>6</v>
      </c>
      <c r="E141" t="str">
        <f>B141&amp;" ("&amp;D141&amp;" "&amp;C141&amp;")"</f>
        <v>Shanghai (6 USD/tCO2)</v>
      </c>
    </row>
    <row r="142" spans="2:8" x14ac:dyDescent="0.25">
      <c r="B142" s="27" t="s">
        <v>175</v>
      </c>
      <c r="C142" s="28" t="s">
        <v>173</v>
      </c>
      <c r="D142" s="92">
        <v>4</v>
      </c>
      <c r="E142" t="str">
        <f>B142&amp;" ("&amp;D142&amp;" "&amp;C142&amp;")"</f>
        <v>Singapore (4 USD/tCO2)</v>
      </c>
    </row>
    <row r="143" spans="2:8" x14ac:dyDescent="0.25">
      <c r="B143" s="30" t="s">
        <v>176</v>
      </c>
      <c r="C143" s="8" t="s">
        <v>173</v>
      </c>
      <c r="D143" s="96">
        <v>16</v>
      </c>
      <c r="E143" t="str">
        <f>B143&amp;" ("&amp;D143&amp;" "&amp;C143&amp;")"</f>
        <v>Korea (16 USD/tCO2)</v>
      </c>
    </row>
    <row r="144" spans="2:8" x14ac:dyDescent="0.25">
      <c r="B144" s="63" t="s">
        <v>177</v>
      </c>
      <c r="C144" s="78" t="s">
        <v>173</v>
      </c>
      <c r="D144" s="104">
        <f>AVERAGE(D140:D142)</f>
        <v>4.666666666666667</v>
      </c>
      <c r="E144" t="str">
        <f>B144&amp;" ("&amp;ROUNDUP(D144,1)&amp;" "&amp;C144&amp;")"</f>
        <v>Average price (4,7 USD/tCO2)</v>
      </c>
    </row>
    <row r="145" spans="2:4" x14ac:dyDescent="0.25">
      <c r="B145" s="64" t="s">
        <v>178</v>
      </c>
      <c r="C145" s="79" t="s">
        <v>179</v>
      </c>
      <c r="D145" s="105">
        <f>D144*Input!$D$8</f>
        <v>115831.33333333334</v>
      </c>
    </row>
  </sheetData>
  <mergeCells count="2">
    <mergeCell ref="D23:E23"/>
    <mergeCell ref="B72:E72"/>
  </mergeCells>
  <hyperlinks>
    <hyperlink ref="B72" r:id="rId1" display="http://www.deep.eefig.eu/" xr:uid="{D2490732-9AC0-4ABE-8900-B367952DF44A}"/>
  </hyperlinks>
  <pageMargins left="0.7" right="0.7" top="0.75" bottom="0.75" header="0.3" footer="0.3"/>
  <pageSetup paperSize="9" orientation="portrait"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B67D00-5F43-47EC-A6BF-40131BD342AF}">
  <sheetPr>
    <tabColor theme="8" tint="0.59999389629810485"/>
  </sheetPr>
  <dimension ref="B1:B50"/>
  <sheetViews>
    <sheetView zoomScale="80" zoomScaleNormal="80" workbookViewId="0"/>
  </sheetViews>
  <sheetFormatPr defaultColWidth="8.85546875" defaultRowHeight="15" x14ac:dyDescent="0.25"/>
  <cols>
    <col min="1" max="1" width="3.140625" customWidth="1"/>
    <col min="2" max="2" width="70.42578125" bestFit="1" customWidth="1"/>
  </cols>
  <sheetData>
    <row r="1" spans="2:2" s="1" customFormat="1" ht="19.5" thickBot="1" x14ac:dyDescent="0.35">
      <c r="B1" s="1" t="s">
        <v>32</v>
      </c>
    </row>
    <row r="2" spans="2:2" ht="15.75" thickTop="1" x14ac:dyDescent="0.25"/>
    <row r="4" spans="2:2" x14ac:dyDescent="0.25">
      <c r="B4" s="95" t="s">
        <v>135</v>
      </c>
    </row>
    <row r="5" spans="2:2" x14ac:dyDescent="0.25">
      <c r="B5" s="97" t="s">
        <v>48</v>
      </c>
    </row>
    <row r="6" spans="2:2" x14ac:dyDescent="0.25">
      <c r="B6" s="97" t="s">
        <v>180</v>
      </c>
    </row>
    <row r="7" spans="2:2" x14ac:dyDescent="0.25">
      <c r="B7" s="97" t="s">
        <v>181</v>
      </c>
    </row>
    <row r="8" spans="2:2" x14ac:dyDescent="0.25">
      <c r="B8" s="97" t="s">
        <v>182</v>
      </c>
    </row>
    <row r="9" spans="2:2" x14ac:dyDescent="0.25">
      <c r="B9" s="97" t="s">
        <v>183</v>
      </c>
    </row>
    <row r="10" spans="2:2" x14ac:dyDescent="0.25">
      <c r="B10" s="97" t="s">
        <v>184</v>
      </c>
    </row>
    <row r="11" spans="2:2" x14ac:dyDescent="0.25">
      <c r="B11" s="97" t="s">
        <v>50</v>
      </c>
    </row>
    <row r="12" spans="2:2" x14ac:dyDescent="0.25">
      <c r="B12" s="97" t="s">
        <v>185</v>
      </c>
    </row>
    <row r="13" spans="2:2" x14ac:dyDescent="0.25">
      <c r="B13" s="97" t="s">
        <v>186</v>
      </c>
    </row>
    <row r="14" spans="2:2" x14ac:dyDescent="0.25">
      <c r="B14" s="97" t="s">
        <v>187</v>
      </c>
    </row>
    <row r="15" spans="2:2" x14ac:dyDescent="0.25">
      <c r="B15" s="97" t="s">
        <v>188</v>
      </c>
    </row>
    <row r="16" spans="2:2" x14ac:dyDescent="0.25">
      <c r="B16" s="97" t="s">
        <v>189</v>
      </c>
    </row>
    <row r="17" spans="2:2" x14ac:dyDescent="0.25">
      <c r="B17" s="97" t="s">
        <v>190</v>
      </c>
    </row>
    <row r="18" spans="2:2" x14ac:dyDescent="0.25">
      <c r="B18" s="97" t="s">
        <v>191</v>
      </c>
    </row>
    <row r="19" spans="2:2" x14ac:dyDescent="0.25">
      <c r="B19" s="97" t="s">
        <v>192</v>
      </c>
    </row>
    <row r="20" spans="2:2" x14ac:dyDescent="0.25">
      <c r="B20" s="97" t="s">
        <v>193</v>
      </c>
    </row>
    <row r="21" spans="2:2" x14ac:dyDescent="0.25">
      <c r="B21" s="97" t="s">
        <v>194</v>
      </c>
    </row>
    <row r="22" spans="2:2" x14ac:dyDescent="0.25">
      <c r="B22" s="97" t="s">
        <v>195</v>
      </c>
    </row>
    <row r="23" spans="2:2" x14ac:dyDescent="0.25">
      <c r="B23" s="97" t="s">
        <v>196</v>
      </c>
    </row>
    <row r="24" spans="2:2" x14ac:dyDescent="0.25">
      <c r="B24" s="97" t="s">
        <v>197</v>
      </c>
    </row>
    <row r="25" spans="2:2" x14ac:dyDescent="0.25">
      <c r="B25" s="97" t="s">
        <v>198</v>
      </c>
    </row>
    <row r="26" spans="2:2" x14ac:dyDescent="0.25">
      <c r="B26" s="97" t="s">
        <v>199</v>
      </c>
    </row>
    <row r="27" spans="2:2" x14ac:dyDescent="0.25">
      <c r="B27" s="97" t="s">
        <v>200</v>
      </c>
    </row>
    <row r="28" spans="2:2" x14ac:dyDescent="0.25">
      <c r="B28" s="97" t="s">
        <v>201</v>
      </c>
    </row>
    <row r="29" spans="2:2" x14ac:dyDescent="0.25">
      <c r="B29" s="97" t="s">
        <v>202</v>
      </c>
    </row>
    <row r="30" spans="2:2" x14ac:dyDescent="0.25">
      <c r="B30" s="97" t="s">
        <v>203</v>
      </c>
    </row>
    <row r="31" spans="2:2" x14ac:dyDescent="0.25">
      <c r="B31" s="97" t="s">
        <v>204</v>
      </c>
    </row>
    <row r="32" spans="2:2" x14ac:dyDescent="0.25">
      <c r="B32" s="97" t="s">
        <v>205</v>
      </c>
    </row>
    <row r="33" spans="2:2" x14ac:dyDescent="0.25">
      <c r="B33" s="97" t="s">
        <v>206</v>
      </c>
    </row>
    <row r="34" spans="2:2" x14ac:dyDescent="0.25">
      <c r="B34" s="98" t="s">
        <v>207</v>
      </c>
    </row>
    <row r="37" spans="2:2" x14ac:dyDescent="0.25">
      <c r="B37" s="95" t="s">
        <v>208</v>
      </c>
    </row>
    <row r="38" spans="2:2" x14ac:dyDescent="0.25">
      <c r="B38" s="4" t="s">
        <v>217</v>
      </c>
    </row>
    <row r="39" spans="2:2" x14ac:dyDescent="0.25">
      <c r="B39" s="4">
        <v>2</v>
      </c>
    </row>
    <row r="40" spans="2:2" x14ac:dyDescent="0.25">
      <c r="B40" s="96">
        <v>5</v>
      </c>
    </row>
    <row r="43" spans="2:2" x14ac:dyDescent="0.25">
      <c r="B43" s="95" t="s">
        <v>159</v>
      </c>
    </row>
    <row r="44" spans="2:2" x14ac:dyDescent="0.25">
      <c r="B44" s="4" t="s">
        <v>60</v>
      </c>
    </row>
    <row r="45" spans="2:2" x14ac:dyDescent="0.25">
      <c r="B45" s="4" t="s">
        <v>209</v>
      </c>
    </row>
    <row r="46" spans="2:2" x14ac:dyDescent="0.25">
      <c r="B46" s="92" t="s">
        <v>210</v>
      </c>
    </row>
    <row r="47" spans="2:2" x14ac:dyDescent="0.25">
      <c r="B47" s="92" t="s">
        <v>211</v>
      </c>
    </row>
    <row r="48" spans="2:2" x14ac:dyDescent="0.25">
      <c r="B48" s="92" t="s">
        <v>212</v>
      </c>
    </row>
    <row r="49" spans="2:2" x14ac:dyDescent="0.25">
      <c r="B49" s="96" t="s">
        <v>213</v>
      </c>
    </row>
    <row r="50" spans="2:2" x14ac:dyDescent="0.25">
      <c r="B50" s="96" t="s">
        <v>61</v>
      </c>
    </row>
  </sheetData>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85692F-5F6F-4109-9EC7-26B4F32C8E8B}">
  <sheetPr>
    <tabColor rgb="FF00882F"/>
  </sheetPr>
  <dimension ref="B1:B2"/>
  <sheetViews>
    <sheetView workbookViewId="0">
      <selection activeCell="C6" sqref="C6"/>
    </sheetView>
  </sheetViews>
  <sheetFormatPr defaultColWidth="8.85546875" defaultRowHeight="15" x14ac:dyDescent="0.25"/>
  <cols>
    <col min="1" max="1" width="3" customWidth="1"/>
  </cols>
  <sheetData>
    <row r="1" spans="2:2" s="1" customFormat="1" ht="19.5" thickBot="1" x14ac:dyDescent="0.35">
      <c r="B1" s="1" t="s">
        <v>214</v>
      </c>
    </row>
    <row r="2" spans="2:2" ht="15.75" thickTop="1" x14ac:dyDescent="0.25"/>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57e246f5-a181-4ddd-bcfa-8f2bd33c0c9c" xsi:nil="true"/>
    <_ip_UnifiedCompliancePolicyUIAction xmlns="http://schemas.microsoft.com/sharepoint/v3" xsi:nil="true"/>
    <lcf76f155ced4ddcb4097134ff3c332f xmlns="b1cfadd8-d294-4d34-bc36-10edd03a80b3">
      <Terms xmlns="http://schemas.microsoft.com/office/infopath/2007/PartnerControls"/>
    </lcf76f155ced4ddcb4097134ff3c332f>
    <Filtype xmlns="b1cfadd8-d294-4d34-bc36-10edd03a80b3" xsi:nil="true"/>
    <_ip_UnifiedCompliancePolicyProperties xmlns="http://schemas.microsoft.com/sharepoint/v3" xsi:nil="true"/>
    <SharedWithUsers xmlns="57e246f5-a181-4ddd-bcfa-8f2bd33c0c9c">
      <UserInfo>
        <DisplayName/>
        <AccountId xsi:nil="true"/>
        <AccountType/>
      </UserInfo>
    </SharedWithUsers>
    <Test xmlns="b1cfadd8-d294-4d34-bc36-10edd03a80b3">
      <UserInfo>
        <DisplayName/>
        <AccountId xsi:nil="true"/>
        <AccountType/>
      </UserInfo>
    </Test>
    <Test_ContainsTool xmlns="b1cfadd8-d294-4d34-bc36-10edd03a80b3">false</Test_ContainsTool>
    <Subjects xmlns="b1cfadd8-d294-4d34-bc36-10edd03a80b3" xsi:nil="true"/>
    <Shortdescription xmlns="b1cfadd8-d294-4d34-bc36-10edd03a80b3">Please help your colleague by describing your tool</Shortdescription>
    <Tool_x002f_background xmlns="b1cfadd8-d294-4d34-bc36-10edd03a80b3"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kument" ma:contentTypeID="0x010100BDF22F492AE8914D8B73C3E3C23F308D" ma:contentTypeVersion="35" ma:contentTypeDescription="Opret et nyt dokument." ma:contentTypeScope="" ma:versionID="afa73df244fcf30f3c1d69ef4429e531">
  <xsd:schema xmlns:xsd="http://www.w3.org/2001/XMLSchema" xmlns:xs="http://www.w3.org/2001/XMLSchema" xmlns:p="http://schemas.microsoft.com/office/2006/metadata/properties" xmlns:ns1="http://schemas.microsoft.com/sharepoint/v3" xmlns:ns2="b1cfadd8-d294-4d34-bc36-10edd03a80b3" xmlns:ns3="57e246f5-a181-4ddd-bcfa-8f2bd33c0c9c" targetNamespace="http://schemas.microsoft.com/office/2006/metadata/properties" ma:root="true" ma:fieldsID="7cc1265a29cc1620a4073d4c8e845e1e" ns1:_="" ns2:_="" ns3:_="">
    <xsd:import namespace="http://schemas.microsoft.com/sharepoint/v3"/>
    <xsd:import namespace="b1cfadd8-d294-4d34-bc36-10edd03a80b3"/>
    <xsd:import namespace="57e246f5-a181-4ddd-bcfa-8f2bd33c0c9c"/>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DateTaken" minOccurs="0"/>
                <xsd:element ref="ns2:MediaServiceAutoTags" minOccurs="0"/>
                <xsd:element ref="ns2:MediaServiceGenerationTime" minOccurs="0"/>
                <xsd:element ref="ns2:MediaServiceEventHashCode" minOccurs="0"/>
                <xsd:element ref="ns2:MediaServiceOCR" minOccurs="0"/>
                <xsd:element ref="ns2:Filtype" minOccurs="0"/>
                <xsd:element ref="ns3:SharedWithUsers" minOccurs="0"/>
                <xsd:element ref="ns3:SharedWithDetails" minOccurs="0"/>
                <xsd:element ref="ns1:_ip_UnifiedCompliancePolicyProperties" minOccurs="0"/>
                <xsd:element ref="ns1:_ip_UnifiedCompliancePolicyUIAction" minOccurs="0"/>
                <xsd:element ref="ns2:MediaServiceLocation" minOccurs="0"/>
                <xsd:element ref="ns2:MediaLengthInSeconds" minOccurs="0"/>
                <xsd:element ref="ns2:lcf76f155ced4ddcb4097134ff3c332f" minOccurs="0"/>
                <xsd:element ref="ns3:TaxCatchAll" minOccurs="0"/>
                <xsd:element ref="ns2:MediaServiceObjectDetectorVersions" minOccurs="0"/>
                <xsd:element ref="ns2:Test" minOccurs="0"/>
                <xsd:element ref="ns2:MediaServiceSearchProperties" minOccurs="0"/>
                <xsd:element ref="ns2:Test_ContainsTool" minOccurs="0"/>
                <xsd:element ref="ns2:Subjects" minOccurs="0"/>
                <xsd:element ref="ns2:Shortdescription" minOccurs="0"/>
                <xsd:element ref="ns2:Tool_x002f_backgroun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0" nillable="true" ma:displayName="Egenskaber for Unified Compliance Policy" ma:hidden="true" ma:internalName="_ip_UnifiedCompliancePolicyProperties">
      <xsd:simpleType>
        <xsd:restriction base="dms:Note"/>
      </xsd:simpleType>
    </xsd:element>
    <xsd:element name="_ip_UnifiedCompliancePolicyUIAction" ma:index="21" nillable="true" ma:displayName="Handling for Unified Compliance Policy-grænseflade"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1cfadd8-d294-4d34-bc36-10edd03a80b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description="" ma:indexed="true"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Filtype" ma:index="17" nillable="true" ma:displayName="Filtype" ma:format="Dropdown" ma:indexed="true" ma:internalName="Filtype">
      <xsd:simpleType>
        <xsd:restriction base="dms:Text">
          <xsd:maxLength value="255"/>
        </xsd:restriction>
      </xsd:simpleType>
    </xsd:element>
    <xsd:element name="MediaServiceLocation" ma:index="22" nillable="true" ma:displayName="Location" ma:internalName="MediaServiceLocation" ma:readOnly="true">
      <xsd:simpleType>
        <xsd:restriction base="dms:Text"/>
      </xsd:simpleType>
    </xsd:element>
    <xsd:element name="MediaLengthInSeconds" ma:index="23" nillable="true" ma:displayName="Length (seconds)" ma:internalName="MediaLengthInSeconds" ma:readOnly="true">
      <xsd:simpleType>
        <xsd:restriction base="dms:Unknown"/>
      </xsd:simpleType>
    </xsd:element>
    <xsd:element name="lcf76f155ced4ddcb4097134ff3c332f" ma:index="25" nillable="true" ma:taxonomy="true" ma:internalName="lcf76f155ced4ddcb4097134ff3c332f" ma:taxonomyFieldName="MediaServiceImageTags" ma:displayName="Billedmærker" ma:readOnly="false" ma:fieldId="{5cf76f15-5ced-4ddc-b409-7134ff3c332f}" ma:taxonomyMulti="true" ma:sspId="fcff2bff-98dc-460d-973e-03f7511429f0"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7" nillable="true" ma:displayName="MediaServiceObjectDetectorVersions" ma:description="" ma:hidden="true" ma:indexed="true" ma:internalName="MediaServiceObjectDetectorVersions" ma:readOnly="true">
      <xsd:simpleType>
        <xsd:restriction base="dms:Text"/>
      </xsd:simpleType>
    </xsd:element>
    <xsd:element name="Test" ma:index="28" nillable="true" ma:displayName="Test" ma:format="Dropdown" ma:list="UserInfo" ma:SharePointGroup="0" ma:internalName="Test">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SearchProperties" ma:index="29" nillable="true" ma:displayName="MediaServiceSearchProperties" ma:hidden="true" ma:internalName="MediaServiceSearchProperties" ma:readOnly="true">
      <xsd:simpleType>
        <xsd:restriction base="dms:Note"/>
      </xsd:simpleType>
    </xsd:element>
    <xsd:element name="Test_ContainsTool" ma:index="30" nillable="true" ma:displayName="Test_Contains Tool" ma:default="0" ma:description="Mark as 'yes' if this folder contains tool to add to the Tools Library" ma:format="Dropdown" ma:internalName="Test_ContainsTool">
      <xsd:simpleType>
        <xsd:restriction base="dms:Boolean"/>
      </xsd:simpleType>
    </xsd:element>
    <xsd:element name="Subjects" ma:index="31" nillable="true" ma:displayName="Subjects" ma:format="Dropdown" ma:internalName="Subjects">
      <xsd:complexType>
        <xsd:complexContent>
          <xsd:extension base="dms:MultiChoiceFillIn">
            <xsd:sequence>
              <xsd:element name="Value" maxOccurs="unbounded" minOccurs="0" nillable="true">
                <xsd:simpleType>
                  <xsd:union memberTypes="dms:Text">
                    <xsd:simpleType>
                      <xsd:restriction base="dms:Choice">
                        <xsd:enumeration value="ESG"/>
                        <xsd:enumeration value="Klimaregnskab"/>
                        <xsd:enumeration value="Energieffektivitet"/>
                      </xsd:restriction>
                    </xsd:simpleType>
                  </xsd:union>
                </xsd:simpleType>
              </xsd:element>
            </xsd:sequence>
          </xsd:extension>
        </xsd:complexContent>
      </xsd:complexType>
    </xsd:element>
    <xsd:element name="Shortdescription" ma:index="32" nillable="true" ma:displayName="Short description" ma:default="Please help your colleague by describing your tool" ma:description="Describe briefly what the tools is used for. You might include things like required user skill level or what problem the tool solves" ma:format="Dropdown" ma:internalName="Shortdescription">
      <xsd:simpleType>
        <xsd:restriction base="dms:Note">
          <xsd:maxLength value="255"/>
        </xsd:restriction>
      </xsd:simpleType>
    </xsd:element>
    <xsd:element name="Tool_x002f_background" ma:index="33" nillable="true" ma:displayName="Tool/background" ma:format="Dropdown" ma:indexed="true" ma:internalName="Tool_x002f_background">
      <xsd:simpleType>
        <xsd:restriction base="dms:Choice">
          <xsd:enumeration value="Tool"/>
          <xsd:enumeration value="Background"/>
          <xsd:enumeration value="Legislation"/>
        </xsd:restriction>
      </xsd:simpleType>
    </xsd:element>
  </xsd:schema>
  <xsd:schema xmlns:xsd="http://www.w3.org/2001/XMLSchema" xmlns:xs="http://www.w3.org/2001/XMLSchema" xmlns:dms="http://schemas.microsoft.com/office/2006/documentManagement/types" xmlns:pc="http://schemas.microsoft.com/office/infopath/2007/PartnerControls" targetNamespace="57e246f5-a181-4ddd-bcfa-8f2bd33c0c9c" elementFormDefault="qualified">
    <xsd:import namespace="http://schemas.microsoft.com/office/2006/documentManagement/types"/>
    <xsd:import namespace="http://schemas.microsoft.com/office/infopath/2007/PartnerControls"/>
    <xsd:element name="SharedWithUsers" ma:index="18" nillable="true" ma:displayName="Delt med"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Delt med detaljer" ma:internalName="SharedWithDetails" ma:readOnly="true">
      <xsd:simpleType>
        <xsd:restriction base="dms:Note">
          <xsd:maxLength value="255"/>
        </xsd:restriction>
      </xsd:simpleType>
    </xsd:element>
    <xsd:element name="TaxCatchAll" ma:index="26" nillable="true" ma:displayName="Taxonomy Catch All Column" ma:hidden="true" ma:list="{4651abdf-1673-48e2-821d-f5cd0b68c3fe}" ma:internalName="TaxCatchAll" ma:showField="CatchAllData" ma:web="57e246f5-a181-4ddd-bcfa-8f2bd33c0c9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dhol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998AA589-29AB-4BB3-85DB-014661AD5921}">
  <ds:schemaRefs>
    <ds:schemaRef ds:uri="http://schemas.microsoft.com/sharepoint/v3/contenttype/forms"/>
  </ds:schemaRefs>
</ds:datastoreItem>
</file>

<file path=customXml/itemProps2.xml><?xml version="1.0" encoding="utf-8"?>
<ds:datastoreItem xmlns:ds="http://schemas.openxmlformats.org/officeDocument/2006/customXml" ds:itemID="{9255EE65-9F70-42B6-B5C7-1C62B86FD998}">
  <ds:schemaRefs>
    <ds:schemaRef ds:uri="http://schemas.microsoft.com/office/2006/metadata/properties"/>
    <ds:schemaRef ds:uri="http://schemas.microsoft.com/office/infopath/2007/PartnerControls"/>
    <ds:schemaRef ds:uri="57e246f5-a181-4ddd-bcfa-8f2bd33c0c9c"/>
    <ds:schemaRef ds:uri="http://schemas.microsoft.com/sharepoint/v3"/>
    <ds:schemaRef ds:uri="b1cfadd8-d294-4d34-bc36-10edd03a80b3"/>
  </ds:schemaRefs>
</ds:datastoreItem>
</file>

<file path=customXml/itemProps3.xml><?xml version="1.0" encoding="utf-8"?>
<ds:datastoreItem xmlns:ds="http://schemas.openxmlformats.org/officeDocument/2006/customXml" ds:itemID="{A7CAF563-8675-467D-8F67-9CA2C0395B2F}"/>
</file>

<file path=docMetadata/LabelInfo.xml><?xml version="1.0" encoding="utf-8"?>
<clbl:labelList xmlns:clbl="http://schemas.microsoft.com/office/2020/mipLabelMetadata">
  <clbl:label id="{f1b8f2ce-0142-4f44-a9c4-740ebcc2b4c9}" enabled="1" method="Standard" siteId="{4b275c45-50e2-4a26-8792-73ca62c33bc5}"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Regneark</vt:lpstr>
      </vt:variant>
      <vt:variant>
        <vt:i4>7</vt:i4>
      </vt:variant>
      <vt:variant>
        <vt:lpstr>Navngivne områder</vt:lpstr>
      </vt:variant>
      <vt:variant>
        <vt:i4>8</vt:i4>
      </vt:variant>
    </vt:vector>
  </HeadingPairs>
  <TitlesOfParts>
    <vt:vector size="15" baseType="lpstr">
      <vt:lpstr>Front page</vt:lpstr>
      <vt:lpstr>Introduction</vt:lpstr>
      <vt:lpstr>Cockpit</vt:lpstr>
      <vt:lpstr>Calculations</vt:lpstr>
      <vt:lpstr>Input</vt:lpstr>
      <vt:lpstr>Lists</vt:lpstr>
      <vt:lpstr>Figures &amp; tables</vt:lpstr>
      <vt:lpstr>'Front page'!zzDato</vt:lpstr>
      <vt:lpstr>'Front page'!zzEAN</vt:lpstr>
      <vt:lpstr>'Front page'!zzForfatter</vt:lpstr>
      <vt:lpstr>'Front page'!zzKopiTil</vt:lpstr>
      <vt:lpstr>'Front page'!zzLedetekstDato</vt:lpstr>
      <vt:lpstr>'Front page'!zzLedetekstProjektnr</vt:lpstr>
      <vt:lpstr>'Front page'!zzProjektnr</vt:lpstr>
      <vt:lpstr>'Front page'!zzTilbud</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VN VA scheme financial tool</dc:title>
  <dc:subject/>
  <dc:creator>Astrid Estrup Enemark | Viegand Maagøe</dc:creator>
  <cp:keywords/>
  <dc:description/>
  <cp:lastModifiedBy>Astrid Estrup Enemark | Viegand Maagøe</cp:lastModifiedBy>
  <cp:revision/>
  <dcterms:created xsi:type="dcterms:W3CDTF">2019-08-07T12:38:40Z</dcterms:created>
  <dcterms:modified xsi:type="dcterms:W3CDTF">2022-12-13T13:39:55Z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0x010100BDF22F492AE8914D8B73C3E3C23F308D</vt:lpwstr>
  </property>
  <property fmtid="{D5CDD505-2E9C-101B-9397-08002B2CF9AE}" pid="3" name="_dlc_DocIdItemGuid">
    <vt:lpwstr>342f359d-488a-4ff1-b667-57bbfeaf3187</vt:lpwstr>
  </property>
  <property fmtid="{D5CDD505-2E9C-101B-9397-08002B2CF9AE}" pid="4" name="MediaServiceImageTags">
    <vt:lpwstr/>
  </property>
</Properties>
</file>