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bookViews>
    <workbookView xWindow="0" yWindow="-15" windowWidth="5415" windowHeight="5025" tabRatio="809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62913"/>
</workbook>
</file>

<file path=xl/calcChain.xml><?xml version="1.0" encoding="utf-8"?>
<calcChain xmlns="http://schemas.openxmlformats.org/spreadsheetml/2006/main">
  <c r="J50" i="15" l="1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E30" i="15"/>
  <c r="F30" i="15"/>
  <c r="G30" i="15"/>
  <c r="H30" i="15"/>
  <c r="E31" i="15"/>
  <c r="F31" i="15"/>
  <c r="G31" i="15"/>
  <c r="H31" i="15"/>
  <c r="E32" i="15"/>
  <c r="F32" i="15"/>
  <c r="G32" i="15"/>
  <c r="H32" i="15"/>
  <c r="E33" i="15"/>
  <c r="F33" i="15"/>
  <c r="G33" i="15"/>
  <c r="H33" i="15"/>
  <c r="E34" i="15"/>
  <c r="F34" i="15"/>
  <c r="G34" i="15"/>
  <c r="H34" i="15"/>
  <c r="E35" i="15"/>
  <c r="F35" i="15"/>
  <c r="G35" i="15"/>
  <c r="H35" i="15"/>
  <c r="E36" i="15"/>
  <c r="F36" i="15"/>
  <c r="G36" i="15"/>
  <c r="H36" i="15"/>
  <c r="E37" i="15"/>
  <c r="F37" i="15"/>
  <c r="G37" i="15"/>
  <c r="H37" i="15"/>
  <c r="E38" i="15"/>
  <c r="F38" i="15"/>
  <c r="G38" i="15"/>
  <c r="H38" i="15"/>
  <c r="E39" i="15"/>
  <c r="F39" i="15"/>
  <c r="G39" i="15"/>
  <c r="H39" i="15"/>
  <c r="E40" i="15"/>
  <c r="F40" i="15"/>
  <c r="G40" i="15"/>
  <c r="H40" i="15"/>
  <c r="E41" i="15"/>
  <c r="F41" i="15"/>
  <c r="G41" i="15"/>
  <c r="H41" i="15"/>
  <c r="E42" i="15"/>
  <c r="F42" i="15"/>
  <c r="G42" i="15"/>
  <c r="H42" i="15"/>
  <c r="E43" i="15"/>
  <c r="F43" i="15"/>
  <c r="G43" i="15"/>
  <c r="H43" i="15"/>
  <c r="E44" i="15"/>
  <c r="F44" i="15"/>
  <c r="G44" i="15"/>
  <c r="H44" i="15"/>
  <c r="E45" i="15"/>
  <c r="F45" i="15"/>
  <c r="G45" i="15"/>
  <c r="H45" i="15"/>
  <c r="E46" i="15"/>
  <c r="F46" i="15"/>
  <c r="G46" i="15"/>
  <c r="H46" i="15"/>
  <c r="E47" i="15"/>
  <c r="F47" i="15"/>
  <c r="G47" i="15"/>
  <c r="H47" i="15"/>
  <c r="E48" i="15"/>
  <c r="F48" i="15"/>
  <c r="G48" i="15"/>
  <c r="H48" i="15"/>
  <c r="E49" i="15"/>
  <c r="F49" i="15"/>
  <c r="G49" i="15"/>
  <c r="H49" i="15"/>
  <c r="E50" i="15"/>
  <c r="F50" i="15"/>
  <c r="G50" i="15"/>
  <c r="H50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1" i="6"/>
  <c r="I30" i="6"/>
  <c r="D30" i="6"/>
  <c r="E30" i="6"/>
  <c r="F30" i="6"/>
  <c r="G30" i="6"/>
  <c r="H30" i="6"/>
  <c r="L30" i="6"/>
  <c r="D31" i="6"/>
  <c r="E31" i="6"/>
  <c r="F31" i="6"/>
  <c r="G31" i="6"/>
  <c r="H31" i="6"/>
  <c r="L31" i="6"/>
  <c r="D32" i="6"/>
  <c r="E32" i="6"/>
  <c r="F32" i="6"/>
  <c r="G32" i="6"/>
  <c r="H32" i="6"/>
  <c r="L32" i="6"/>
  <c r="D33" i="6"/>
  <c r="E33" i="6"/>
  <c r="F33" i="6"/>
  <c r="G33" i="6"/>
  <c r="H33" i="6"/>
  <c r="L33" i="6"/>
  <c r="D34" i="6"/>
  <c r="E34" i="6"/>
  <c r="F34" i="6"/>
  <c r="G34" i="6"/>
  <c r="H34" i="6"/>
  <c r="L34" i="6"/>
  <c r="D35" i="6"/>
  <c r="E35" i="6"/>
  <c r="F35" i="6"/>
  <c r="G35" i="6"/>
  <c r="H35" i="6"/>
  <c r="L35" i="6"/>
  <c r="D36" i="6"/>
  <c r="E36" i="6"/>
  <c r="F36" i="6"/>
  <c r="G36" i="6"/>
  <c r="H36" i="6"/>
  <c r="L36" i="6"/>
  <c r="D37" i="6"/>
  <c r="E37" i="6"/>
  <c r="F37" i="6"/>
  <c r="G37" i="6"/>
  <c r="H37" i="6"/>
  <c r="L37" i="6"/>
  <c r="D38" i="6"/>
  <c r="E38" i="6"/>
  <c r="F38" i="6"/>
  <c r="G38" i="6"/>
  <c r="H38" i="6"/>
  <c r="L38" i="6"/>
  <c r="D39" i="6"/>
  <c r="E39" i="6"/>
  <c r="F39" i="6"/>
  <c r="G39" i="6"/>
  <c r="H39" i="6"/>
  <c r="L39" i="6"/>
  <c r="D40" i="6"/>
  <c r="E40" i="6"/>
  <c r="F40" i="6"/>
  <c r="G40" i="6"/>
  <c r="H40" i="6"/>
  <c r="L40" i="6"/>
  <c r="D41" i="6"/>
  <c r="E41" i="6"/>
  <c r="F41" i="6"/>
  <c r="G41" i="6"/>
  <c r="H41" i="6"/>
  <c r="L41" i="6"/>
  <c r="C41" i="6"/>
  <c r="C40" i="6"/>
  <c r="C39" i="6"/>
  <c r="C38" i="6"/>
  <c r="C37" i="6"/>
  <c r="C36" i="6"/>
  <c r="C35" i="6"/>
  <c r="C34" i="6"/>
  <c r="C33" i="6"/>
  <c r="C32" i="6"/>
  <c r="C31" i="6"/>
  <c r="C30" i="6"/>
  <c r="K40" i="16"/>
  <c r="K39" i="16"/>
  <c r="K30" i="16"/>
  <c r="K38" i="16"/>
  <c r="K37" i="16"/>
  <c r="K36" i="16"/>
  <c r="K35" i="16"/>
  <c r="K34" i="16"/>
  <c r="K33" i="16"/>
  <c r="K32" i="16"/>
  <c r="K31" i="16"/>
  <c r="A478" i="15"/>
  <c r="G478" i="15"/>
  <c r="L478" i="15"/>
  <c r="L478" i="9"/>
  <c r="A478" i="9"/>
  <c r="N478" i="9"/>
  <c r="A478" i="13"/>
  <c r="G478" i="13"/>
  <c r="K478" i="13"/>
  <c r="L478" i="3"/>
  <c r="A478" i="3"/>
  <c r="N478" i="3"/>
  <c r="A478" i="14"/>
  <c r="G478" i="14"/>
  <c r="N478" i="14"/>
  <c r="L478" i="10"/>
  <c r="A478" i="10"/>
  <c r="N478" i="10"/>
  <c r="L478" i="8"/>
  <c r="A478" i="8"/>
  <c r="N478" i="8"/>
  <c r="L478" i="7"/>
  <c r="A478" i="7"/>
  <c r="N478" i="7"/>
  <c r="A478" i="1"/>
  <c r="N478" i="1"/>
  <c r="L478" i="11"/>
  <c r="A478" i="11"/>
  <c r="N478" i="11"/>
  <c r="L478" i="2"/>
  <c r="A478" i="2"/>
  <c r="N478" i="2"/>
  <c r="L478" i="5"/>
  <c r="A478" i="4"/>
  <c r="N478" i="4"/>
  <c r="A478" i="5"/>
  <c r="N478" i="5"/>
  <c r="A478" i="12"/>
  <c r="K478" i="12"/>
  <c r="L478" i="6"/>
  <c r="A478" i="6"/>
  <c r="N478" i="6"/>
  <c r="I50" i="12" l="1"/>
  <c r="I50" i="3"/>
  <c r="I50" i="8"/>
  <c r="I50" i="6"/>
  <c r="B22" i="18"/>
  <c r="B53" i="18"/>
  <c r="I50" i="4"/>
  <c r="I50" i="7"/>
  <c r="I50" i="10"/>
  <c r="I50" i="2"/>
  <c r="I50" i="1"/>
  <c r="I50" i="9"/>
  <c r="L478" i="4"/>
  <c r="J154" i="15"/>
  <c r="R154" i="15"/>
  <c r="P154" i="15"/>
  <c r="N154" i="15"/>
  <c r="D154" i="15"/>
  <c r="E154" i="15"/>
  <c r="F154" i="15"/>
  <c r="G154" i="15"/>
  <c r="H154" i="15"/>
  <c r="C154" i="15"/>
  <c r="L154" i="14"/>
  <c r="I154" i="14"/>
  <c r="H154" i="14"/>
  <c r="G154" i="14"/>
  <c r="F154" i="14"/>
  <c r="E154" i="14"/>
  <c r="D154" i="14"/>
  <c r="C154" i="14"/>
  <c r="I154" i="11"/>
  <c r="G154" i="11"/>
  <c r="F154" i="11"/>
  <c r="E154" i="11"/>
  <c r="D154" i="11"/>
  <c r="C154" i="11"/>
  <c r="A477" i="15"/>
  <c r="G477" i="15"/>
  <c r="L477" i="15"/>
  <c r="G478" i="9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L477" i="10"/>
  <c r="A477" i="10"/>
  <c r="N477" i="10"/>
  <c r="G478" i="8"/>
  <c r="L477" i="8"/>
  <c r="A477" i="8"/>
  <c r="N477" i="8"/>
  <c r="G478" i="7"/>
  <c r="L477" i="7"/>
  <c r="A477" i="7"/>
  <c r="N477" i="7"/>
  <c r="G478" i="1"/>
  <c r="A477" i="1"/>
  <c r="N477" i="1"/>
  <c r="L477" i="11"/>
  <c r="A477" i="11"/>
  <c r="N477" i="11"/>
  <c r="G478" i="2"/>
  <c r="L477" i="2"/>
  <c r="A477" i="2"/>
  <c r="N477" i="2"/>
  <c r="I154" i="4"/>
  <c r="L477" i="5"/>
  <c r="A477" i="4"/>
  <c r="N477" i="4"/>
  <c r="A477" i="5"/>
  <c r="N477" i="5"/>
  <c r="G478" i="12"/>
  <c r="A477" i="12"/>
  <c r="K477" i="12"/>
  <c r="G478" i="6"/>
  <c r="L477" i="6"/>
  <c r="A477" i="6"/>
  <c r="N477" i="6"/>
  <c r="G478" i="3" l="1"/>
  <c r="G478" i="4"/>
  <c r="L477" i="1"/>
  <c r="B82" i="18" s="1"/>
  <c r="G478" i="5"/>
  <c r="I50" i="5"/>
  <c r="L478" i="1"/>
  <c r="I154" i="5"/>
  <c r="I154" i="2"/>
  <c r="I154" i="1"/>
  <c r="I154" i="8"/>
  <c r="I154" i="9"/>
  <c r="I154" i="6"/>
  <c r="B21" i="18"/>
  <c r="B52" i="18"/>
  <c r="I154" i="7"/>
  <c r="I154" i="10"/>
  <c r="I154" i="12"/>
  <c r="L477" i="4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B83" i="18" l="1"/>
  <c r="K478" i="16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A475" i="15"/>
  <c r="G475" i="15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G153" i="15"/>
  <c r="F153" i="15"/>
  <c r="E153" i="15"/>
  <c r="D153" i="15"/>
  <c r="C153" i="15"/>
  <c r="L153" i="14"/>
  <c r="I153" i="14"/>
  <c r="H153" i="14"/>
  <c r="G153" i="14"/>
  <c r="F153" i="14"/>
  <c r="E153" i="14"/>
  <c r="D153" i="14"/>
  <c r="C153" i="14"/>
  <c r="I153" i="11"/>
  <c r="G153" i="11"/>
  <c r="F153" i="11"/>
  <c r="E153" i="11"/>
  <c r="D153" i="11"/>
  <c r="C153" i="11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7"/>
  <c r="I153" i="10"/>
  <c r="G475" i="10"/>
  <c r="G154" i="10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B18" i="18"/>
  <c r="K474" i="16"/>
  <c r="B49" i="18"/>
  <c r="I153" i="5"/>
  <c r="G473" i="14"/>
  <c r="G473" i="13"/>
  <c r="G473" i="15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L473" i="6" l="1"/>
  <c r="B79" i="18"/>
  <c r="L473" i="10"/>
  <c r="L473" i="7"/>
  <c r="L473" i="11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42" i="16"/>
  <c r="K343" i="16"/>
  <c r="K344" i="16"/>
  <c r="K345" i="16"/>
  <c r="K346" i="16"/>
  <c r="K347" i="16"/>
  <c r="K348" i="16"/>
  <c r="K349" i="16"/>
  <c r="K350" i="16"/>
  <c r="K351" i="16"/>
  <c r="K352" i="16"/>
  <c r="K353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C109" i="6"/>
  <c r="L108" i="6"/>
  <c r="H108" i="6"/>
  <c r="H18" i="6" s="1"/>
  <c r="G108" i="6"/>
  <c r="F108" i="6"/>
  <c r="F18" i="6" s="1"/>
  <c r="E108" i="6"/>
  <c r="D108" i="6"/>
  <c r="C108" i="6"/>
  <c r="C18" i="6" s="1"/>
  <c r="L106" i="6"/>
  <c r="L18" i="6"/>
  <c r="G18" i="6"/>
  <c r="E18" i="6"/>
  <c r="D18" i="6"/>
  <c r="G16" i="6"/>
  <c r="C98" i="6"/>
  <c r="D98" i="6"/>
  <c r="D16" i="6" s="1"/>
  <c r="E98" i="6"/>
  <c r="F98" i="6"/>
  <c r="F16" i="6" s="1"/>
  <c r="G98" i="6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E16" i="6" s="1"/>
  <c r="F100" i="6"/>
  <c r="G100" i="6"/>
  <c r="H100" i="6"/>
  <c r="L100" i="6"/>
  <c r="C101" i="6"/>
  <c r="C16" i="6" s="1"/>
  <c r="D101" i="6"/>
  <c r="E101" i="6"/>
  <c r="F101" i="6"/>
  <c r="G101" i="6"/>
  <c r="H101" i="6"/>
  <c r="L101" i="6"/>
  <c r="C103" i="6"/>
  <c r="D103" i="6"/>
  <c r="D17" i="6" s="1"/>
  <c r="E103" i="6"/>
  <c r="E17" i="6" s="1"/>
  <c r="F103" i="6"/>
  <c r="F17" i="6" s="1"/>
  <c r="G103" i="6"/>
  <c r="G17" i="6" s="1"/>
  <c r="H103" i="6"/>
  <c r="H17" i="6" s="1"/>
  <c r="L103" i="6"/>
  <c r="L17" i="6" s="1"/>
  <c r="C104" i="6"/>
  <c r="D104" i="6"/>
  <c r="E104" i="6"/>
  <c r="F104" i="6"/>
  <c r="G104" i="6"/>
  <c r="H104" i="6"/>
  <c r="L104" i="6"/>
  <c r="C105" i="6"/>
  <c r="D105" i="6"/>
  <c r="E105" i="6"/>
  <c r="F105" i="6"/>
  <c r="G105" i="6"/>
  <c r="H105" i="6"/>
  <c r="L105" i="6"/>
  <c r="C106" i="6"/>
  <c r="C17" i="6" s="1"/>
  <c r="D106" i="6"/>
  <c r="E106" i="6"/>
  <c r="F106" i="6"/>
  <c r="G106" i="6"/>
  <c r="H106" i="6"/>
  <c r="G472" i="15"/>
  <c r="G459" i="15"/>
  <c r="H50" i="9"/>
  <c r="F50" i="9"/>
  <c r="E50" i="9"/>
  <c r="D50" i="9"/>
  <c r="C50" i="9"/>
  <c r="G472" i="13"/>
  <c r="H50" i="3"/>
  <c r="F50" i="3"/>
  <c r="E50" i="3"/>
  <c r="D50" i="3"/>
  <c r="C50" i="3"/>
  <c r="G472" i="14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G473" i="12"/>
  <c r="H50" i="12"/>
  <c r="F50" i="12"/>
  <c r="E50" i="12"/>
  <c r="D50" i="12"/>
  <c r="C50" i="12"/>
  <c r="G473" i="6"/>
  <c r="H50" i="6"/>
  <c r="F50" i="6"/>
  <c r="E50" i="6"/>
  <c r="D50" i="6"/>
  <c r="C50" i="6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D153" i="3" l="1"/>
  <c r="F153" i="6"/>
  <c r="D153" i="2"/>
  <c r="E153" i="3"/>
  <c r="C153" i="8"/>
  <c r="H153" i="3"/>
  <c r="E153" i="8"/>
  <c r="H153" i="2"/>
  <c r="D153" i="12"/>
  <c r="F153" i="8"/>
  <c r="H153" i="8"/>
  <c r="C153" i="9"/>
  <c r="E153" i="6"/>
  <c r="F153" i="3"/>
  <c r="C153" i="12"/>
  <c r="H50" i="1"/>
  <c r="H153" i="11"/>
  <c r="C153" i="1"/>
  <c r="D153" i="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E153" i="2"/>
  <c r="F153" i="1"/>
  <c r="C153" i="6"/>
  <c r="D153" i="6"/>
  <c r="F153" i="7"/>
  <c r="C153" i="3"/>
  <c r="L472" i="3"/>
  <c r="L50" i="3" s="1"/>
  <c r="L472" i="9"/>
  <c r="L50" i="9" s="1"/>
  <c r="L472" i="7"/>
  <c r="L50" i="7" s="1"/>
  <c r="D50" i="5"/>
  <c r="E50" i="5"/>
  <c r="L472" i="10"/>
  <c r="L50" i="10" s="1"/>
  <c r="L472" i="8"/>
  <c r="L50" i="8" s="1"/>
  <c r="C50" i="5"/>
  <c r="F50" i="5"/>
  <c r="L472" i="4"/>
  <c r="L50" i="4" s="1"/>
  <c r="B48" i="18"/>
  <c r="L472" i="11"/>
  <c r="L50" i="11" s="1"/>
  <c r="K473" i="16"/>
  <c r="G473" i="2"/>
  <c r="G473" i="3"/>
  <c r="G473" i="8"/>
  <c r="G473" i="7"/>
  <c r="G473" i="1"/>
  <c r="G473" i="9"/>
  <c r="L472" i="6"/>
  <c r="L50" i="6" s="1"/>
  <c r="G473" i="10"/>
  <c r="G473" i="4"/>
  <c r="L472" i="2"/>
  <c r="L50" i="2" s="1"/>
  <c r="H50" i="5"/>
  <c r="L472" i="1" l="1"/>
  <c r="L50" i="1" s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B16" i="18"/>
  <c r="B77" i="18"/>
  <c r="G473" i="5"/>
  <c r="L472" i="5"/>
  <c r="L50" i="5" s="1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153" i="1" l="1"/>
  <c r="L153" i="5"/>
  <c r="B47" i="18"/>
  <c r="K472" i="16"/>
  <c r="K50" i="16" s="1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153" i="16" l="1"/>
  <c r="J151" i="15"/>
  <c r="H151" i="15"/>
  <c r="G151" i="15"/>
  <c r="F151" i="15"/>
  <c r="E151" i="15"/>
  <c r="D151" i="15"/>
  <c r="C151" i="15"/>
  <c r="L151" i="14"/>
  <c r="I151" i="14"/>
  <c r="H151" i="14"/>
  <c r="G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G26" i="15"/>
  <c r="F26" i="15"/>
  <c r="E26" i="15"/>
  <c r="D26" i="15"/>
  <c r="C26" i="15"/>
  <c r="L26" i="14"/>
  <c r="I26" i="14"/>
  <c r="H26" i="14"/>
  <c r="G26" i="14"/>
  <c r="F26" i="14"/>
  <c r="E26" i="14"/>
  <c r="D26" i="14"/>
  <c r="C26" i="14"/>
  <c r="I26" i="11"/>
  <c r="G26" i="11"/>
  <c r="F26" i="11"/>
  <c r="E26" i="11"/>
  <c r="D26" i="11"/>
  <c r="C26" i="11"/>
  <c r="A470" i="15" l="1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153" i="6" l="1"/>
  <c r="G153" i="7"/>
  <c r="G153" i="9"/>
  <c r="G153" i="1"/>
  <c r="G153" i="8"/>
  <c r="G153" i="3"/>
  <c r="G153" i="12"/>
  <c r="G153" i="2"/>
  <c r="G153" i="10"/>
  <c r="G472" i="4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G153" i="5" l="1"/>
  <c r="G153" i="4"/>
  <c r="I26" i="5"/>
  <c r="I151" i="5"/>
  <c r="L470" i="5"/>
  <c r="A469" i="15"/>
  <c r="G469" i="15"/>
  <c r="L469" i="15"/>
  <c r="G470" i="9"/>
  <c r="L469" i="9"/>
  <c r="A469" i="9"/>
  <c r="N469" i="9"/>
  <c r="A469" i="13"/>
  <c r="G469" i="13"/>
  <c r="K469" i="13"/>
  <c r="G470" i="3"/>
  <c r="L469" i="3"/>
  <c r="A469" i="3"/>
  <c r="N469" i="3"/>
  <c r="A469" i="14"/>
  <c r="G469" i="14"/>
  <c r="N469" i="14"/>
  <c r="G470" i="10"/>
  <c r="L469" i="10"/>
  <c r="A469" i="10"/>
  <c r="N469" i="10"/>
  <c r="G470" i="8"/>
  <c r="L469" i="8"/>
  <c r="A469" i="8"/>
  <c r="N469" i="8"/>
  <c r="G470" i="7"/>
  <c r="L469" i="7"/>
  <c r="A469" i="7"/>
  <c r="N469" i="7"/>
  <c r="G470" i="1"/>
  <c r="A469" i="1"/>
  <c r="N469" i="1"/>
  <c r="L469" i="11"/>
  <c r="A469" i="11"/>
  <c r="N469" i="11"/>
  <c r="G470" i="2"/>
  <c r="L469" i="2"/>
  <c r="B14" i="18" s="1"/>
  <c r="A469" i="2"/>
  <c r="N469" i="2"/>
  <c r="G470" i="4"/>
  <c r="L469" i="4"/>
  <c r="A469" i="4"/>
  <c r="N469" i="4"/>
  <c r="A469" i="5"/>
  <c r="N469" i="5"/>
  <c r="G470" i="12"/>
  <c r="A469" i="12"/>
  <c r="K469" i="12"/>
  <c r="G470" i="6"/>
  <c r="L469" i="6"/>
  <c r="A469" i="6"/>
  <c r="N469" i="6"/>
  <c r="B46" i="18" l="1"/>
  <c r="K470" i="16"/>
  <c r="L469" i="1"/>
  <c r="B75" i="18" s="1"/>
  <c r="G470" i="5"/>
  <c r="L469" i="5"/>
  <c r="A468" i="15"/>
  <c r="G468" i="15"/>
  <c r="L468" i="15"/>
  <c r="G469" i="9"/>
  <c r="F151" i="9"/>
  <c r="E151" i="9"/>
  <c r="D151" i="9"/>
  <c r="C151" i="9"/>
  <c r="A468" i="9"/>
  <c r="N468" i="9"/>
  <c r="A468" i="13"/>
  <c r="G468" i="13"/>
  <c r="K468" i="13"/>
  <c r="G469" i="3"/>
  <c r="F151" i="3"/>
  <c r="E151" i="3"/>
  <c r="D151" i="3"/>
  <c r="C151" i="3"/>
  <c r="A468" i="3"/>
  <c r="N468" i="3"/>
  <c r="A468" i="14"/>
  <c r="G468" i="14"/>
  <c r="N468" i="14"/>
  <c r="G469" i="10"/>
  <c r="F151" i="10"/>
  <c r="E151" i="10"/>
  <c r="D151" i="10"/>
  <c r="C151" i="10"/>
  <c r="A468" i="10"/>
  <c r="N468" i="10"/>
  <c r="G469" i="8"/>
  <c r="F151" i="8"/>
  <c r="E151" i="8"/>
  <c r="D151" i="8"/>
  <c r="C151" i="8"/>
  <c r="A468" i="8"/>
  <c r="N468" i="8"/>
  <c r="G469" i="7"/>
  <c r="F151" i="7"/>
  <c r="E151" i="7"/>
  <c r="D151" i="7"/>
  <c r="C151" i="7"/>
  <c r="A468" i="7"/>
  <c r="N468" i="7"/>
  <c r="G469" i="1"/>
  <c r="F151" i="1"/>
  <c r="E151" i="1"/>
  <c r="D151" i="1"/>
  <c r="C151" i="1"/>
  <c r="A468" i="1"/>
  <c r="N468" i="1"/>
  <c r="A468" i="11"/>
  <c r="N468" i="11"/>
  <c r="G469" i="2"/>
  <c r="F151" i="2"/>
  <c r="E151" i="2"/>
  <c r="D151" i="2"/>
  <c r="C151" i="2"/>
  <c r="A468" i="2"/>
  <c r="N468" i="2"/>
  <c r="A468" i="4"/>
  <c r="N468" i="4"/>
  <c r="A468" i="5"/>
  <c r="N468" i="5"/>
  <c r="G469" i="12"/>
  <c r="H151" i="12"/>
  <c r="F151" i="12"/>
  <c r="E151" i="12"/>
  <c r="D151" i="12"/>
  <c r="C151" i="12"/>
  <c r="A468" i="12"/>
  <c r="K468" i="12"/>
  <c r="G469" i="6"/>
  <c r="H151" i="6"/>
  <c r="F151" i="6"/>
  <c r="E151" i="6"/>
  <c r="D151" i="6"/>
  <c r="C151" i="6"/>
  <c r="A468" i="6"/>
  <c r="N468" i="6"/>
  <c r="K469" i="16" l="1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5"/>
  <c r="G469" i="4"/>
  <c r="L468" i="1" l="1"/>
  <c r="B74" i="18" s="1"/>
  <c r="H151" i="1"/>
  <c r="L151" i="2"/>
  <c r="L468" i="5"/>
  <c r="H151" i="5"/>
  <c r="J150" i="15"/>
  <c r="D150" i="15"/>
  <c r="E150" i="15"/>
  <c r="F150" i="15"/>
  <c r="G150" i="15"/>
  <c r="H150" i="15"/>
  <c r="C150" i="15"/>
  <c r="R150" i="15"/>
  <c r="P150" i="15"/>
  <c r="N150" i="15"/>
  <c r="C149" i="15"/>
  <c r="L150" i="14"/>
  <c r="I150" i="14"/>
  <c r="H150" i="14"/>
  <c r="G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A467" i="15"/>
  <c r="G467" i="15"/>
  <c r="L467" i="15"/>
  <c r="G468" i="9"/>
  <c r="G151" i="9" s="1"/>
  <c r="L467" i="9"/>
  <c r="A467" i="9"/>
  <c r="N467" i="9"/>
  <c r="A467" i="13"/>
  <c r="G467" i="13"/>
  <c r="K467" i="13"/>
  <c r="G468" i="3"/>
  <c r="G151" i="3" s="1"/>
  <c r="L467" i="3"/>
  <c r="A467" i="3"/>
  <c r="N467" i="3"/>
  <c r="A467" i="14"/>
  <c r="G467" i="14"/>
  <c r="N467" i="14"/>
  <c r="G468" i="10"/>
  <c r="G151" i="10" s="1"/>
  <c r="L467" i="10"/>
  <c r="A467" i="10"/>
  <c r="N467" i="10"/>
  <c r="G468" i="8"/>
  <c r="G151" i="8" s="1"/>
  <c r="L467" i="8"/>
  <c r="A467" i="8"/>
  <c r="N467" i="8"/>
  <c r="G468" i="7"/>
  <c r="G151" i="7" s="1"/>
  <c r="L467" i="7"/>
  <c r="A467" i="7"/>
  <c r="N467" i="7"/>
  <c r="G468" i="1"/>
  <c r="G151" i="1" s="1"/>
  <c r="A467" i="1"/>
  <c r="N467" i="1"/>
  <c r="L467" i="11"/>
  <c r="A467" i="11"/>
  <c r="N467" i="11"/>
  <c r="G468" i="2"/>
  <c r="G151" i="2" s="1"/>
  <c r="L467" i="2"/>
  <c r="B12" i="18" s="1"/>
  <c r="A467" i="2"/>
  <c r="N467" i="2"/>
  <c r="G468" i="4"/>
  <c r="G151" i="4" s="1"/>
  <c r="L467" i="4"/>
  <c r="A467" i="4"/>
  <c r="N467" i="4"/>
  <c r="A467" i="5"/>
  <c r="N467" i="5"/>
  <c r="G468" i="12"/>
  <c r="G151" i="12" s="1"/>
  <c r="A467" i="12"/>
  <c r="K467" i="12"/>
  <c r="G468" i="6"/>
  <c r="G151" i="6" s="1"/>
  <c r="L467" i="6"/>
  <c r="A467" i="6"/>
  <c r="N467" i="6"/>
  <c r="I150" i="2" l="1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A466" i="15"/>
  <c r="G466" i="15"/>
  <c r="L466" i="15"/>
  <c r="G467" i="9"/>
  <c r="L466" i="9"/>
  <c r="A466" i="9"/>
  <c r="N466" i="9"/>
  <c r="A466" i="13"/>
  <c r="G466" i="13"/>
  <c r="K466" i="13"/>
  <c r="G467" i="3"/>
  <c r="L466" i="3"/>
  <c r="A466" i="3"/>
  <c r="N466" i="3"/>
  <c r="A466" i="14"/>
  <c r="G466" i="14"/>
  <c r="N466" i="14"/>
  <c r="G467" i="10"/>
  <c r="L466" i="10"/>
  <c r="A466" i="10"/>
  <c r="N466" i="10"/>
  <c r="G467" i="8"/>
  <c r="L466" i="8"/>
  <c r="A466" i="8"/>
  <c r="N466" i="8"/>
  <c r="G467" i="7"/>
  <c r="L466" i="7"/>
  <c r="A466" i="7"/>
  <c r="N466" i="7"/>
  <c r="G467" i="1"/>
  <c r="A466" i="1"/>
  <c r="N466" i="1"/>
  <c r="L466" i="11"/>
  <c r="A466" i="11"/>
  <c r="N466" i="11"/>
  <c r="G467" i="2"/>
  <c r="L466" i="2"/>
  <c r="B11" i="18" s="1"/>
  <c r="A466" i="2"/>
  <c r="N466" i="2"/>
  <c r="G467" i="4"/>
  <c r="L466" i="4"/>
  <c r="A466" i="4"/>
  <c r="N466" i="4"/>
  <c r="A466" i="5"/>
  <c r="N466" i="5"/>
  <c r="G467" i="12"/>
  <c r="A466" i="12"/>
  <c r="K466" i="12"/>
  <c r="G467" i="6"/>
  <c r="L466" i="6"/>
  <c r="A466" i="6"/>
  <c r="N466" i="6"/>
  <c r="B43" i="18" l="1"/>
  <c r="K467" i="16"/>
  <c r="I150" i="5"/>
  <c r="G468" i="5"/>
  <c r="G151" i="5" s="1"/>
  <c r="L466" i="1"/>
  <c r="B72" i="18" s="1"/>
  <c r="L466" i="5"/>
  <c r="G467" i="5"/>
  <c r="A465" i="15"/>
  <c r="G465" i="15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6" i="3" l="1"/>
  <c r="I49" i="3"/>
  <c r="G466" i="12"/>
  <c r="I49" i="12"/>
  <c r="G466" i="2"/>
  <c r="I49" i="2"/>
  <c r="G466" i="7"/>
  <c r="I49" i="7"/>
  <c r="G466" i="10"/>
  <c r="I49" i="10"/>
  <c r="G466" i="6"/>
  <c r="I49" i="6"/>
  <c r="I49" i="5"/>
  <c r="I49" i="4"/>
  <c r="G466" i="9"/>
  <c r="I49" i="9"/>
  <c r="G466" i="1"/>
  <c r="I49" i="1"/>
  <c r="G466" i="8"/>
  <c r="I49" i="8"/>
  <c r="K466" i="16"/>
  <c r="B42" i="18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G149" i="15"/>
  <c r="F149" i="15"/>
  <c r="E149" i="15"/>
  <c r="D149" i="15"/>
  <c r="L149" i="15"/>
  <c r="L149" i="14"/>
  <c r="I149" i="14"/>
  <c r="H149" i="14"/>
  <c r="G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G466" i="5" l="1"/>
  <c r="L150" i="2"/>
  <c r="B10" i="18"/>
  <c r="L465" i="5"/>
  <c r="H150" i="5"/>
  <c r="L465" i="1"/>
  <c r="B71" i="18" s="1"/>
  <c r="H150" i="1"/>
  <c r="L150" i="5" l="1"/>
  <c r="K465" i="16"/>
  <c r="K150" i="16" s="1"/>
  <c r="B41" i="18"/>
  <c r="L150" i="1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7"/>
  <c r="G150" i="7" s="1"/>
  <c r="I149" i="4"/>
  <c r="I149" i="9"/>
  <c r="I149" i="7"/>
  <c r="I149" i="8"/>
  <c r="I149" i="1"/>
  <c r="I149" i="3"/>
  <c r="I149" i="10"/>
  <c r="I149" i="12"/>
  <c r="I149" i="2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A463" i="15" l="1"/>
  <c r="G463" i="15"/>
  <c r="L463" i="15"/>
  <c r="L463" i="9" l="1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5"/>
  <c r="G462" i="15"/>
  <c r="L462" i="15"/>
  <c r="A462" i="9"/>
  <c r="N462" i="9"/>
  <c r="A462" i="13"/>
  <c r="G462" i="13"/>
  <c r="K462" i="13"/>
  <c r="A462" i="3"/>
  <c r="N462" i="3"/>
  <c r="A462" i="14"/>
  <c r="G462" i="14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G148" i="15"/>
  <c r="F148" i="15"/>
  <c r="E148" i="15"/>
  <c r="D148" i="15"/>
  <c r="C148" i="15"/>
  <c r="L148" i="14"/>
  <c r="I148" i="14"/>
  <c r="H148" i="14"/>
  <c r="G148" i="14"/>
  <c r="F148" i="14"/>
  <c r="E148" i="14"/>
  <c r="D148" i="14"/>
  <c r="C148" i="14"/>
  <c r="I148" i="11"/>
  <c r="G148" i="11"/>
  <c r="F148" i="11"/>
  <c r="E148" i="11"/>
  <c r="D148" i="11"/>
  <c r="C148" i="11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461" i="5" l="1"/>
  <c r="L460" i="1"/>
  <c r="B66" i="18" s="1"/>
  <c r="L460" i="5"/>
  <c r="G459" i="13"/>
  <c r="G459" i="14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K460" i="16" l="1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F148" i="10"/>
  <c r="H148" i="10"/>
  <c r="E148" i="4"/>
  <c r="C148" i="7"/>
  <c r="F148" i="4"/>
  <c r="D148" i="7"/>
  <c r="H148" i="4"/>
  <c r="C148" i="3"/>
  <c r="F148" i="7"/>
  <c r="D148" i="3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9"/>
  <c r="A459" i="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5" i="9"/>
  <c r="L15" i="3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K26" i="16" l="1"/>
  <c r="K148" i="16"/>
  <c r="T317" i="9"/>
  <c r="T318" i="9"/>
  <c r="T319" i="9"/>
  <c r="T320" i="9"/>
  <c r="T321" i="9"/>
  <c r="T322" i="9"/>
  <c r="T323" i="9"/>
  <c r="T324" i="9"/>
  <c r="T325" i="9"/>
  <c r="T326" i="9"/>
  <c r="T327" i="9"/>
  <c r="T329" i="9"/>
  <c r="T330" i="9"/>
  <c r="T331" i="9"/>
  <c r="T332" i="9"/>
  <c r="T333" i="9"/>
  <c r="T334" i="9"/>
  <c r="T335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49" i="9"/>
  <c r="T350" i="9"/>
  <c r="T351" i="9"/>
  <c r="T352" i="9"/>
  <c r="T353" i="9"/>
  <c r="T355" i="9"/>
  <c r="T356" i="9"/>
  <c r="T357" i="9"/>
  <c r="T358" i="9"/>
  <c r="T359" i="9"/>
  <c r="T360" i="9"/>
  <c r="T361" i="9"/>
  <c r="T362" i="9"/>
  <c r="T363" i="9"/>
  <c r="T364" i="9"/>
  <c r="T365" i="9"/>
  <c r="T366" i="9"/>
  <c r="U317" i="9"/>
  <c r="U318" i="9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U333" i="9"/>
  <c r="U334" i="9"/>
  <c r="U335" i="9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U350" i="9"/>
  <c r="U351" i="9"/>
  <c r="U352" i="9"/>
  <c r="U353" i="9"/>
  <c r="U355" i="9"/>
  <c r="U356" i="9"/>
  <c r="U357" i="9"/>
  <c r="U358" i="9"/>
  <c r="U359" i="9"/>
  <c r="U360" i="9"/>
  <c r="U361" i="9"/>
  <c r="U362" i="9"/>
  <c r="U363" i="9"/>
  <c r="U364" i="9"/>
  <c r="U365" i="9"/>
  <c r="U366" i="9"/>
  <c r="U316" i="9"/>
  <c r="T316" i="9"/>
  <c r="H15" i="9" l="1"/>
  <c r="H96" i="9"/>
  <c r="H95" i="9"/>
  <c r="H94" i="9"/>
  <c r="H93" i="9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8" i="9"/>
  <c r="H15" i="3"/>
  <c r="H96" i="3"/>
  <c r="H95" i="3"/>
  <c r="H94" i="3"/>
  <c r="H93" i="3"/>
  <c r="H45" i="3"/>
  <c r="H47" i="3"/>
  <c r="H46" i="3" l="1"/>
  <c r="H46" i="9"/>
  <c r="H42" i="9"/>
  <c r="H44" i="3"/>
  <c r="H47" i="9"/>
  <c r="H43" i="9"/>
  <c r="H48" i="3"/>
  <c r="H43" i="3"/>
  <c r="H44" i="9"/>
  <c r="H45" i="9"/>
  <c r="H42" i="3"/>
  <c r="L457" i="9" l="1"/>
  <c r="L457" i="10"/>
  <c r="L457" i="8"/>
  <c r="L457" i="6"/>
  <c r="R25" i="15"/>
  <c r="N25" i="15"/>
  <c r="H25" i="15"/>
  <c r="E25" i="15"/>
  <c r="F25" i="14"/>
  <c r="I25" i="11"/>
  <c r="E25" i="11"/>
  <c r="R146" i="15"/>
  <c r="P146" i="15"/>
  <c r="N146" i="15"/>
  <c r="J146" i="15"/>
  <c r="J25" i="15" s="1"/>
  <c r="N146" i="9"/>
  <c r="H146" i="15"/>
  <c r="F146" i="15"/>
  <c r="F25" i="15" s="1"/>
  <c r="E146" i="15"/>
  <c r="D146" i="15"/>
  <c r="D25" i="15" s="1"/>
  <c r="C146" i="15"/>
  <c r="C25" i="15" s="1"/>
  <c r="L146" i="14"/>
  <c r="L25" i="14" s="1"/>
  <c r="I146" i="14"/>
  <c r="I25" i="14" s="1"/>
  <c r="H146" i="14"/>
  <c r="H25" i="14" s="1"/>
  <c r="F146" i="14"/>
  <c r="E146" i="14"/>
  <c r="E25" i="14" s="1"/>
  <c r="D146" i="14"/>
  <c r="D25" i="14" s="1"/>
  <c r="C146" i="14"/>
  <c r="C25" i="14" s="1"/>
  <c r="I146" i="11"/>
  <c r="G146" i="11"/>
  <c r="G25" i="11" s="1"/>
  <c r="F146" i="11"/>
  <c r="F25" i="11" s="1"/>
  <c r="E146" i="11"/>
  <c r="D146" i="11"/>
  <c r="D25" i="11" s="1"/>
  <c r="C146" i="11"/>
  <c r="C25" i="11" s="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G148" i="10"/>
  <c r="I146" i="4"/>
  <c r="I25" i="4" s="1"/>
  <c r="G459" i="4"/>
  <c r="G49" i="4" s="1"/>
  <c r="G146" i="15"/>
  <c r="G25" i="15" s="1"/>
  <c r="G146" i="14"/>
  <c r="G25" i="1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K457" i="16" l="1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5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L455" i="15"/>
  <c r="A455" i="9"/>
  <c r="N455" i="9"/>
  <c r="A455" i="13"/>
  <c r="G455" i="13"/>
  <c r="K455" i="13"/>
  <c r="A455" i="3"/>
  <c r="N455" i="3"/>
  <c r="A455" i="14"/>
  <c r="G455" i="14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K456" i="16" l="1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/>
  <c r="D43" i="18" l="1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G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L447" i="4"/>
  <c r="L448" i="4"/>
  <c r="L449" i="4"/>
  <c r="L450" i="4"/>
  <c r="L451" i="4"/>
  <c r="D145" i="4"/>
  <c r="E145" i="4"/>
  <c r="I48" i="4"/>
  <c r="I48" i="9"/>
  <c r="F145" i="9"/>
  <c r="E145" i="9"/>
  <c r="D145" i="9"/>
  <c r="C145" i="9"/>
  <c r="I48" i="3"/>
  <c r="F145" i="3"/>
  <c r="E145" i="3"/>
  <c r="D145" i="3"/>
  <c r="C145" i="3"/>
  <c r="I48" i="10"/>
  <c r="F145" i="10"/>
  <c r="E145" i="10"/>
  <c r="D145" i="10"/>
  <c r="C145" i="10"/>
  <c r="I48" i="8"/>
  <c r="F145" i="8"/>
  <c r="E145" i="8"/>
  <c r="D145" i="8"/>
  <c r="C145" i="8"/>
  <c r="I48" i="7"/>
  <c r="F145" i="7"/>
  <c r="E145" i="7"/>
  <c r="D145" i="7"/>
  <c r="C145" i="7"/>
  <c r="I48" i="1"/>
  <c r="F145" i="1"/>
  <c r="E145" i="1"/>
  <c r="D145" i="1"/>
  <c r="C145" i="1"/>
  <c r="I48" i="2"/>
  <c r="F145" i="2"/>
  <c r="E145" i="2"/>
  <c r="D145" i="2"/>
  <c r="C145" i="2"/>
  <c r="I48" i="12"/>
  <c r="H145" i="12"/>
  <c r="F145" i="12"/>
  <c r="E145" i="12"/>
  <c r="D145" i="12"/>
  <c r="C145" i="12"/>
  <c r="I48" i="6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H48" i="4" l="1"/>
  <c r="F48" i="4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G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G453" i="5" l="1"/>
  <c r="I48" i="5"/>
  <c r="L48" i="4"/>
  <c r="D40" i="18"/>
  <c r="G452" i="5"/>
  <c r="G145" i="5" s="1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I144" i="6" l="1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Q143" i="15"/>
  <c r="P25" i="15"/>
  <c r="O143" i="15"/>
  <c r="N143" i="15"/>
  <c r="J143" i="15"/>
  <c r="N143" i="9"/>
  <c r="H143" i="15"/>
  <c r="F143" i="15"/>
  <c r="E143" i="15"/>
  <c r="D143" i="15"/>
  <c r="C143" i="15"/>
  <c r="L143" i="14"/>
  <c r="K143" i="14"/>
  <c r="J143" i="14"/>
  <c r="I143" i="14"/>
  <c r="H143" i="14"/>
  <c r="G143" i="14"/>
  <c r="F143" i="14"/>
  <c r="E143" i="14"/>
  <c r="D143" i="14"/>
  <c r="C143" i="14"/>
  <c r="I143" i="11"/>
  <c r="G143" i="11"/>
  <c r="F143" i="11"/>
  <c r="E143" i="11"/>
  <c r="D143" i="11"/>
  <c r="C143" i="1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F48" i="10"/>
  <c r="E48" i="10"/>
  <c r="D48" i="10"/>
  <c r="C48" i="10"/>
  <c r="H48" i="10" l="1"/>
  <c r="G448" i="10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143" i="15" s="1"/>
  <c r="G446" i="13"/>
  <c r="G446" i="14"/>
  <c r="G447" i="5" l="1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L24" i="14"/>
  <c r="I24" i="14"/>
  <c r="H24" i="14"/>
  <c r="G24" i="14"/>
  <c r="F24" i="14"/>
  <c r="E24" i="14"/>
  <c r="D24" i="14"/>
  <c r="C24" i="14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I140" i="6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G443" i="12" l="1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I47" i="9"/>
  <c r="I47" i="3"/>
  <c r="I47" i="10"/>
  <c r="I47" i="8"/>
  <c r="I47" i="7"/>
  <c r="I47" i="1"/>
  <c r="I47" i="2"/>
  <c r="I47" i="4"/>
  <c r="I47" i="12"/>
  <c r="I47" i="6"/>
  <c r="G141" i="7" l="1"/>
  <c r="G141" i="2"/>
  <c r="G141" i="1"/>
  <c r="G141" i="10"/>
  <c r="I47" i="5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D24" i="15" s="1"/>
  <c r="C138" i="15"/>
  <c r="C24" i="15" s="1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I139" i="6" l="1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I138" i="14"/>
  <c r="H138" i="14"/>
  <c r="G138" i="14"/>
  <c r="F138" i="14"/>
  <c r="E138" i="14"/>
  <c r="D138" i="14"/>
  <c r="C138" i="14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I135" i="6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G136" i="9" l="1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I46" i="9"/>
  <c r="F135" i="9"/>
  <c r="E135" i="9"/>
  <c r="D135" i="9"/>
  <c r="C135" i="9"/>
  <c r="A426" i="9"/>
  <c r="N426" i="9"/>
  <c r="A426" i="13"/>
  <c r="K426" i="13"/>
  <c r="I46" i="3"/>
  <c r="F135" i="3"/>
  <c r="E135" i="3"/>
  <c r="D135" i="3"/>
  <c r="C135" i="3"/>
  <c r="A426" i="3"/>
  <c r="N426" i="3"/>
  <c r="A426" i="14"/>
  <c r="N426" i="14"/>
  <c r="I46" i="10"/>
  <c r="F135" i="10"/>
  <c r="E135" i="10"/>
  <c r="D135" i="10"/>
  <c r="C135" i="10"/>
  <c r="A426" i="10"/>
  <c r="N426" i="10"/>
  <c r="I46" i="8"/>
  <c r="F135" i="8"/>
  <c r="E135" i="8"/>
  <c r="D135" i="8"/>
  <c r="C135" i="8"/>
  <c r="A426" i="8"/>
  <c r="N426" i="8"/>
  <c r="I46" i="7"/>
  <c r="F135" i="7"/>
  <c r="E135" i="7"/>
  <c r="D135" i="7"/>
  <c r="C135" i="7"/>
  <c r="A426" i="7"/>
  <c r="N426" i="7"/>
  <c r="I46" i="1"/>
  <c r="F135" i="1"/>
  <c r="E135" i="1"/>
  <c r="D135" i="1"/>
  <c r="C135" i="1"/>
  <c r="A426" i="1"/>
  <c r="N426" i="1"/>
  <c r="A426" i="11"/>
  <c r="N426" i="11"/>
  <c r="I46" i="2"/>
  <c r="F135" i="2"/>
  <c r="E135" i="2"/>
  <c r="D135" i="2"/>
  <c r="C135" i="2"/>
  <c r="A426" i="2"/>
  <c r="N426" i="2"/>
  <c r="I46" i="4"/>
  <c r="D135" i="4"/>
  <c r="A426" i="4"/>
  <c r="N426" i="4"/>
  <c r="A426" i="5"/>
  <c r="N426" i="5"/>
  <c r="I46" i="12"/>
  <c r="H135" i="12"/>
  <c r="F135" i="12"/>
  <c r="E135" i="12"/>
  <c r="D135" i="12"/>
  <c r="C135" i="12"/>
  <c r="A426" i="12"/>
  <c r="K426" i="12"/>
  <c r="I46" i="6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I46" i="5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K425" i="16" s="1"/>
  <c r="I134" i="5"/>
  <c r="L424" i="1"/>
  <c r="L424" i="5"/>
  <c r="K424" i="16" l="1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5" i="8"/>
  <c r="H42" i="8"/>
  <c r="H44" i="8" l="1"/>
  <c r="H43" i="8"/>
  <c r="K422" i="16"/>
  <c r="G422" i="5"/>
  <c r="L421" i="1"/>
  <c r="L421" i="5"/>
  <c r="H133" i="8"/>
  <c r="H23" i="8" s="1"/>
  <c r="H46" i="2"/>
  <c r="H42" i="2"/>
  <c r="H44" i="2" l="1"/>
  <c r="H43" i="2"/>
  <c r="H45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C46" i="5"/>
  <c r="L420" i="11"/>
  <c r="L46" i="11" s="1"/>
  <c r="L420" i="3"/>
  <c r="L46" i="3" s="1"/>
  <c r="D46" i="5"/>
  <c r="L420" i="9"/>
  <c r="L46" i="9" s="1"/>
  <c r="F46" i="5"/>
  <c r="E46" i="5"/>
  <c r="H46" i="1"/>
  <c r="H46" i="5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G46" i="8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6" i="5" s="1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N417" i="7"/>
  <c r="K418" i="16" l="1"/>
  <c r="F58" i="18"/>
  <c r="K420" i="16"/>
  <c r="K46" i="16" s="1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G46" i="5" s="1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I130" i="6"/>
  <c r="N415" i="6"/>
  <c r="A415" i="6"/>
  <c r="K416" i="16" l="1"/>
  <c r="K131" i="16" s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I45" i="9"/>
  <c r="F130" i="9"/>
  <c r="E130" i="9"/>
  <c r="D130" i="9"/>
  <c r="C130" i="9"/>
  <c r="A413" i="9"/>
  <c r="N413" i="9"/>
  <c r="A413" i="13"/>
  <c r="K413" i="13"/>
  <c r="I45" i="3"/>
  <c r="F130" i="3"/>
  <c r="E130" i="3"/>
  <c r="D130" i="3"/>
  <c r="C130" i="3"/>
  <c r="A413" i="3"/>
  <c r="N413" i="3"/>
  <c r="A413" i="14"/>
  <c r="N413" i="14"/>
  <c r="I45" i="10"/>
  <c r="F130" i="10"/>
  <c r="E130" i="10"/>
  <c r="D130" i="10"/>
  <c r="C130" i="10"/>
  <c r="A413" i="10"/>
  <c r="N413" i="10"/>
  <c r="I45" i="8"/>
  <c r="F130" i="8"/>
  <c r="E130" i="8"/>
  <c r="D130" i="8"/>
  <c r="C130" i="8"/>
  <c r="A413" i="8"/>
  <c r="N413" i="8"/>
  <c r="I45" i="7"/>
  <c r="F130" i="7"/>
  <c r="E130" i="7"/>
  <c r="D130" i="7"/>
  <c r="C130" i="7"/>
  <c r="A413" i="7"/>
  <c r="N413" i="7"/>
  <c r="I45" i="1"/>
  <c r="H130" i="1"/>
  <c r="F130" i="1"/>
  <c r="E130" i="1"/>
  <c r="D130" i="1"/>
  <c r="C130" i="1"/>
  <c r="A413" i="1"/>
  <c r="N413" i="1"/>
  <c r="L413" i="11"/>
  <c r="L130" i="11" s="1"/>
  <c r="N413" i="11"/>
  <c r="I45" i="2"/>
  <c r="F130" i="2"/>
  <c r="E130" i="2"/>
  <c r="D130" i="2"/>
  <c r="C130" i="2"/>
  <c r="A413" i="2"/>
  <c r="N413" i="2"/>
  <c r="I45" i="4"/>
  <c r="D130" i="4"/>
  <c r="C130" i="4"/>
  <c r="A413" i="4"/>
  <c r="N413" i="4"/>
  <c r="A413" i="5"/>
  <c r="N413" i="5"/>
  <c r="I45" i="12"/>
  <c r="H130" i="12"/>
  <c r="F130" i="12"/>
  <c r="E130" i="12"/>
  <c r="D130" i="12"/>
  <c r="C130" i="12"/>
  <c r="A413" i="12"/>
  <c r="K413" i="12"/>
  <c r="I45" i="6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I45" i="5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F45" i="7" l="1"/>
  <c r="E45" i="7"/>
  <c r="H45" i="7"/>
  <c r="E45" i="4"/>
  <c r="C45" i="4"/>
  <c r="C45" i="7"/>
  <c r="F45" i="3"/>
  <c r="H45" i="4"/>
  <c r="E45" i="3"/>
  <c r="D45" i="3"/>
  <c r="F45" i="4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H45" i="5" l="1"/>
  <c r="K408" i="16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I125" i="6"/>
  <c r="L402" i="6"/>
  <c r="A402" i="6"/>
  <c r="N402" i="6"/>
  <c r="K403" i="16" l="1"/>
  <c r="K126" i="16" s="1"/>
  <c r="K24" i="18"/>
  <c r="F12" i="18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I44" i="9"/>
  <c r="F125" i="9"/>
  <c r="E125" i="9"/>
  <c r="D125" i="9"/>
  <c r="C125" i="9"/>
  <c r="A400" i="9"/>
  <c r="N400" i="9"/>
  <c r="A400" i="13"/>
  <c r="G400" i="13"/>
  <c r="K400" i="13"/>
  <c r="I44" i="3"/>
  <c r="F125" i="3"/>
  <c r="E125" i="3"/>
  <c r="D125" i="3"/>
  <c r="C125" i="3"/>
  <c r="A400" i="3"/>
  <c r="N400" i="3"/>
  <c r="A400" i="14"/>
  <c r="N400" i="14"/>
  <c r="I44" i="10"/>
  <c r="F125" i="10"/>
  <c r="E125" i="10"/>
  <c r="D125" i="10"/>
  <c r="C125" i="10"/>
  <c r="N400" i="10"/>
  <c r="I44" i="8"/>
  <c r="F125" i="8"/>
  <c r="E125" i="8"/>
  <c r="D125" i="8"/>
  <c r="C125" i="8"/>
  <c r="A400" i="8"/>
  <c r="N400" i="8"/>
  <c r="I44" i="7"/>
  <c r="F125" i="7"/>
  <c r="E125" i="7"/>
  <c r="D125" i="7"/>
  <c r="C125" i="7"/>
  <c r="A400" i="7"/>
  <c r="N400" i="7"/>
  <c r="I44" i="1"/>
  <c r="F125" i="1"/>
  <c r="E125" i="1"/>
  <c r="D125" i="1"/>
  <c r="C125" i="1"/>
  <c r="A400" i="1"/>
  <c r="N400" i="1"/>
  <c r="A400" i="11"/>
  <c r="N400" i="11"/>
  <c r="I44" i="2"/>
  <c r="F125" i="2"/>
  <c r="E125" i="2"/>
  <c r="D125" i="2"/>
  <c r="C125" i="2"/>
  <c r="A400" i="2"/>
  <c r="N400" i="2"/>
  <c r="I44" i="4"/>
  <c r="A400" i="4"/>
  <c r="N400" i="4"/>
  <c r="A400" i="5"/>
  <c r="N400" i="5"/>
  <c r="I44" i="12"/>
  <c r="H125" i="12"/>
  <c r="F125" i="12"/>
  <c r="E125" i="12"/>
  <c r="D125" i="12"/>
  <c r="A400" i="12"/>
  <c r="K400" i="12"/>
  <c r="I44" i="6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I44" i="5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I43" i="6"/>
  <c r="C43" i="6"/>
  <c r="F43" i="10"/>
  <c r="C43" i="3"/>
  <c r="F43" i="7"/>
  <c r="C43" i="1"/>
  <c r="F43" i="4"/>
  <c r="D43" i="12"/>
  <c r="H119" i="6"/>
  <c r="F119" i="6"/>
  <c r="I42" i="9"/>
  <c r="I42" i="10"/>
  <c r="I42" i="3"/>
  <c r="I42" i="8"/>
  <c r="I42" i="7"/>
  <c r="I42" i="1"/>
  <c r="I42" i="2"/>
  <c r="I42" i="4"/>
  <c r="I42" i="12"/>
  <c r="I42" i="6"/>
  <c r="F42" i="9"/>
  <c r="C42" i="3"/>
  <c r="F42" i="8"/>
  <c r="C42" i="1"/>
  <c r="F42" i="2"/>
  <c r="D42" i="12"/>
  <c r="F114" i="6"/>
  <c r="F42" i="4" l="1"/>
  <c r="F42" i="7"/>
  <c r="F42" i="10"/>
  <c r="E43" i="4"/>
  <c r="E43" i="7"/>
  <c r="E43" i="10"/>
  <c r="H42" i="7"/>
  <c r="H42" i="10"/>
  <c r="H43" i="4"/>
  <c r="H43" i="7"/>
  <c r="H43" i="10"/>
  <c r="H43" i="11"/>
  <c r="D42" i="6"/>
  <c r="E42" i="6"/>
  <c r="C42" i="2"/>
  <c r="C42" i="8"/>
  <c r="C42" i="9"/>
  <c r="D43" i="6"/>
  <c r="H42" i="4"/>
  <c r="F42" i="6"/>
  <c r="D42" i="2"/>
  <c r="D42" i="8"/>
  <c r="D42" i="9"/>
  <c r="E43" i="6"/>
  <c r="C43" i="2"/>
  <c r="C43" i="8"/>
  <c r="C43" i="9"/>
  <c r="C42" i="6"/>
  <c r="H42" i="6"/>
  <c r="E42" i="2"/>
  <c r="E42" i="8"/>
  <c r="E42" i="9"/>
  <c r="F43" i="6"/>
  <c r="D43" i="2"/>
  <c r="D43" i="8"/>
  <c r="D43" i="9"/>
  <c r="H41" i="11"/>
  <c r="H43" i="6"/>
  <c r="E43" i="2"/>
  <c r="E43" i="8"/>
  <c r="E43" i="9"/>
  <c r="C42" i="12"/>
  <c r="H42" i="11"/>
  <c r="F43" i="2"/>
  <c r="F43" i="8"/>
  <c r="F43" i="9"/>
  <c r="C43" i="12"/>
  <c r="D42" i="1"/>
  <c r="E43" i="12"/>
  <c r="D43" i="1"/>
  <c r="D43" i="3"/>
  <c r="D42" i="3"/>
  <c r="F42" i="12"/>
  <c r="E42" i="1"/>
  <c r="H42" i="12"/>
  <c r="F42" i="1"/>
  <c r="F42" i="3"/>
  <c r="F43" i="12"/>
  <c r="E43" i="1"/>
  <c r="E43" i="3"/>
  <c r="E42" i="12"/>
  <c r="E42" i="3"/>
  <c r="H43" i="12"/>
  <c r="F43" i="1"/>
  <c r="F43" i="3"/>
  <c r="C42" i="4"/>
  <c r="C42" i="7"/>
  <c r="C42" i="10"/>
  <c r="D42" i="4"/>
  <c r="D42" i="7"/>
  <c r="D42" i="10"/>
  <c r="C43" i="4"/>
  <c r="C43" i="7"/>
  <c r="C43" i="10"/>
  <c r="E42" i="4"/>
  <c r="E42" i="7"/>
  <c r="E42" i="10"/>
  <c r="D43" i="4"/>
  <c r="D43" i="7"/>
  <c r="D43" i="10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I43" i="5"/>
  <c r="I42" i="5"/>
  <c r="E43" i="5"/>
  <c r="F43" i="5"/>
  <c r="L123" i="1"/>
  <c r="L21" i="1" s="1"/>
  <c r="L123" i="5"/>
  <c r="L21" i="5" s="1"/>
  <c r="F42" i="5"/>
  <c r="C42" i="5"/>
  <c r="H42" i="5"/>
  <c r="C43" i="5"/>
  <c r="H43" i="5"/>
  <c r="D42" i="5"/>
  <c r="H42" i="1"/>
  <c r="E42" i="5"/>
  <c r="H43" i="1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D43" i="5" l="1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K377" i="16" l="1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L42" i="8" s="1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L42" i="6" s="1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G42" i="2" s="1"/>
  <c r="I111" i="2"/>
  <c r="I18" i="2" s="1"/>
  <c r="F113" i="7"/>
  <c r="L369" i="7"/>
  <c r="H108" i="8"/>
  <c r="C113" i="9"/>
  <c r="F109" i="5"/>
  <c r="F109" i="4"/>
  <c r="G368" i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371" i="12"/>
  <c r="G374" i="4"/>
  <c r="G372" i="4"/>
  <c r="G370" i="4"/>
  <c r="G368" i="4"/>
  <c r="L373" i="4"/>
  <c r="L373" i="5"/>
  <c r="D114" i="2"/>
  <c r="G372" i="2"/>
  <c r="G372" i="7"/>
  <c r="F114" i="8"/>
  <c r="L368" i="3"/>
  <c r="L42" i="3" s="1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42" i="10" s="1"/>
  <c r="G369" i="1"/>
  <c r="G374" i="7"/>
  <c r="G368" i="7"/>
  <c r="G42" i="7" s="1"/>
  <c r="G374" i="10"/>
  <c r="G370" i="10"/>
  <c r="G374" i="8"/>
  <c r="G368" i="8"/>
  <c r="G372" i="10"/>
  <c r="L368" i="9"/>
  <c r="G42" i="4" l="1"/>
  <c r="G42" i="3"/>
  <c r="L42" i="10"/>
  <c r="L42" i="9"/>
  <c r="L42" i="2"/>
  <c r="G42" i="8"/>
  <c r="G42" i="6"/>
  <c r="G42" i="1"/>
  <c r="G42" i="12"/>
  <c r="G42" i="9"/>
  <c r="L42" i="7"/>
  <c r="L42" i="11"/>
  <c r="L42" i="4"/>
  <c r="L41" i="11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L42" i="5" l="1"/>
  <c r="L42" i="1"/>
  <c r="G42" i="5"/>
  <c r="G19" i="6"/>
  <c r="K111" i="16"/>
  <c r="K371" i="16"/>
  <c r="K114" i="16" s="1"/>
  <c r="K368" i="16"/>
  <c r="K42" i="16" s="1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18" i="16" l="1"/>
  <c r="K113" i="16"/>
  <c r="K19" i="16" s="1"/>
  <c r="L19" i="1"/>
  <c r="L19" i="5"/>
  <c r="G19" i="5"/>
  <c r="L18" i="5"/>
  <c r="G18" i="5"/>
  <c r="L18" i="1"/>
  <c r="G430" i="5" l="1"/>
  <c r="F136" i="5"/>
  <c r="F23" i="5" s="1"/>
  <c r="H136" i="5"/>
  <c r="D136" i="5"/>
  <c r="E136" i="5"/>
  <c r="C136" i="5"/>
  <c r="G429" i="5"/>
  <c r="L429" i="5"/>
  <c r="K429" i="16" l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<sst xmlns="http://schemas.openxmlformats.org/spreadsheetml/2006/main" count="8123" uniqueCount="306">
  <si>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</si>
  <si>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</si>
  <si>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</si>
  <si>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</si>
  <si>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</si>
  <si>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</si>
  <si>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</si>
  <si>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</si>
  <si>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</si>
  <si>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</si>
  <si>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</si>
  <si>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</si>
  <si>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</si>
  <si>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</si>
  <si>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</si>
  <si>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</si>
  <si>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</si>
  <si>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</si>
  <si>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</si>
  <si>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</si>
  <si>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</si>
  <si>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</si>
  <si>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</si>
  <si>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</si>
  <si>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</si>
  <si>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</si>
  <si>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</si>
  <si>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</si>
  <si>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</si>
  <si>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</si>
  <si>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</si>
  <si>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</si>
  <si>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</si>
  <si>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</si>
  <si>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</si>
  <si>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</si>
  <si>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</si>
  <si>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</si>
  <si>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</si>
  <si>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</si>
  <si>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</si>
  <si>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</si>
  <si>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</si>
  <si>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</si>
  <si>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</si>
  <si>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</si>
  <si>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</si>
  <si>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</si>
  <si>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</si>
  <si>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</si>
  <si>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</si>
  <si>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</si>
  <si>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</si>
  <si>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</si>
  <si>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</si>
  <si>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</si>
  <si>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</si>
  <si>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</si>
  <si>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</si>
  <si>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</si>
  <si>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</si>
  <si>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</si>
  <si>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</si>
  <si>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</si>
  <si>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</si>
  <si>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</si>
  <si>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</si>
  <si>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</si>
  <si>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</si>
  <si>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</si>
  <si>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</si>
  <si>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</si>
  <si>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</si>
  <si>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</si>
  <si>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</si>
  <si>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</si>
  <si>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</si>
  <si>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</si>
  <si>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</si>
  <si>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</si>
  <si>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</si>
  <si>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</si>
  <si>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</si>
  <si>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</si>
  <si>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</si>
  <si>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</si>
  <si>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</si>
  <si>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</si>
  <si>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</si>
  <si>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</si>
  <si>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</si>
  <si>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</si>
  <si>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</si>
  <si>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</si>
  <si>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</si>
  <si>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</si>
  <si>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</si>
  <si>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</si>
  <si>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</si>
  <si>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</si>
  <si>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</si>
  <si>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</si>
  <si>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</si>
  <si>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</si>
  <si>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</si>
  <si>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</si>
  <si>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</si>
  <si>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</si>
  <si>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</si>
  <si>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</si>
  <si>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</si>
  <si>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</si>
  <si>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</si>
  <si>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</si>
  <si>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</si>
  <si>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</si>
  <si>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</si>
  <si>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</si>
  <si>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</si>
  <si>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</si>
  <si>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</si>
  <si>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</si>
  <si>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</si>
  <si>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</si>
  <si>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</si>
  <si>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</si>
  <si>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</si>
  <si>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</si>
  <si>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</si>
  <si>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</si>
  <si>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</si>
  <si>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</si>
  <si>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</si>
  <si>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</si>
  <si>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</si>
  <si>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</si>
  <si>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</si>
  <si>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</si>
  <si>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</si>
  <si>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</si>
  <si>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</si>
  <si>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</si>
  <si>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</si>
  <si>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</si>
  <si>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</si>
  <si>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</si>
  <si>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</si>
  <si>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</si>
  <si>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</si>
  <si>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</si>
  <si>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</si>
  <si>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</si>
  <si>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</si>
  <si>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</si>
  <si>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</si>
  <si>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</si>
  <si>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</si>
  <si>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</si>
  <si>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</si>
  <si>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</si>
  <si>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</si>
  <si>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</si>
  <si>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</si>
  <si>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</si>
  <si>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</si>
  <si>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</si>
  <si>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</si>
  <si>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</si>
  <si>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</si>
  <si>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</si>
  <si>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</si>
  <si>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</si>
  <si>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</si>
  <si>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</si>
  <si>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</si>
  <si>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</si>
  <si>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</si>
  <si>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</si>
  <si>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</si>
  <si>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</si>
  <si>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</si>
  <si>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</si>
  <si>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</si>
  <si>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</si>
  <si>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</si>
  <si>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</si>
  <si>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</si>
  <si>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</si>
  <si>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</si>
  <si>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</si>
  <si>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</si>
  <si>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</si>
  <si>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</si>
  <si>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</si>
  <si>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</si>
  <si>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</si>
  <si>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</si>
  <si>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</si>
  <si>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</si>
  <si>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</si>
  <si>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</si>
  <si>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</si>
  <si>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</si>
  <si>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</si>
  <si>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</si>
  <si>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</si>
  <si>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</si>
  <si>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</si>
  <si>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</si>
  <si>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</si>
  <si>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</si>
  <si>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</si>
  <si>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</si>
  <si>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</si>
  <si>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</si>
  <si>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</si>
  <si>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</si>
  <si>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</si>
  <si>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</si>
  <si>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</si>
  <si>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</si>
  <si>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</si>
  <si>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</si>
  <si>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</si>
  <si>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</si>
  <si>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</si>
  <si>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</si>
  <si>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</si>
  <si>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</si>
  <si>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</si>
  <si>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</si>
  <si>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</si>
  <si>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</si>
  <si>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</si>
  <si>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</si>
  <si>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</si>
  <si>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</si>
  <si>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</si>
  <si>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</si>
  <si>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</si>
  <si>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</si>
  <si>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</si>
  <si>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</si>
  <si>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</si>
  <si>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</si>
  <si>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</si>
  <si>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</si>
  <si>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</si>
  <si>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</si>
  <si>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</si>
  <si>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</si>
  <si>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</si>
  <si>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</si>
  <si>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</si>
  <si>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</si>
  <si>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</si>
  <si>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</si>
  <si>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</si>
  <si>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</si>
  <si>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</si>
  <si>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</si>
  <si>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</si>
  <si>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</si>
  <si>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</si>
  <si>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</si>
  <si>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</si>
  <si>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</si>
  <si>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</si>
  <si>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</si>
  <si>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</si>
  <si>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</si>
  <si>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</si>
  <si>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</si>
  <si>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</si>
  <si>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</si>
  <si>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</si>
  <si>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</si>
  <si>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</si>
  <si>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</si>
  <si>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</si>
  <si>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</si>
  <si>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</si>
  <si>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</si>
  <si>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</si>
  <si>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</si>
  <si>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</si>
  <si>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</si>
  <si>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</si>
  <si>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</si>
  <si>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</si>
  <si>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</si>
  <si>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</si>
  <si>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</si>
  <si>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</si>
  <si>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</si>
  <si>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</si>
  <si>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</si>
  <si>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</si>
  <si>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</si>
  <si>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</si>
  <si>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</si>
  <si>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</si>
  <si>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</si>
  <si>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</si>
  <si>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Juli</t>
  </si>
  <si>
    <t>January - 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</si>
</sst>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8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Fig!$A$11:$A$22</c:f>
              <c:numCache>
                <c:formatCode>mmm\-yy</c:formatCode>
                <c:ptCount val="12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</c:numCache>
            </c:numRef>
          </c:cat>
          <c:val>
            <c:numRef>
              <c:f>Fig!$B$11:$B$22</c:f>
              <c:numCache>
                <c:formatCode>#\ ##0</c:formatCode>
                <c:ptCount val="12"/>
                <c:pt idx="0">
                  <c:v>12863.556048</c:v>
                </c:pt>
                <c:pt idx="1">
                  <c:v>11865.636552000002</c:v>
                </c:pt>
                <c:pt idx="2">
                  <c:v>12149.352432</c:v>
                </c:pt>
                <c:pt idx="3">
                  <c:v>10843.183344000001</c:v>
                </c:pt>
                <c:pt idx="4">
                  <c:v>11090.708412</c:v>
                </c:pt>
                <c:pt idx="5">
                  <c:v>9284.6111400000009</c:v>
                </c:pt>
                <c:pt idx="6">
                  <c:v>10747.128839999999</c:v>
                </c:pt>
                <c:pt idx="7">
                  <c:v>11927.150172</c:v>
                </c:pt>
                <c:pt idx="8">
                  <c:v>10434.252276000001</c:v>
                </c:pt>
                <c:pt idx="9">
                  <c:v>10217.071535999999</c:v>
                </c:pt>
                <c:pt idx="10">
                  <c:v>9846.8779080000004</c:v>
                </c:pt>
                <c:pt idx="11">
                  <c:v>9869.0443320000013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Fig!$D$11:$D$22</c:f>
              <c:numCache>
                <c:formatCode>#\ ##0</c:formatCode>
                <c:ptCount val="12"/>
                <c:pt idx="0">
                  <c:v>14117.860008</c:v>
                </c:pt>
                <c:pt idx="1">
                  <c:v>12729.876012000001</c:v>
                </c:pt>
                <c:pt idx="2">
                  <c:v>12492.967871999999</c:v>
                </c:pt>
                <c:pt idx="3">
                  <c:v>12638.843028000001</c:v>
                </c:pt>
                <c:pt idx="4">
                  <c:v>11875.823064000002</c:v>
                </c:pt>
                <c:pt idx="5">
                  <c:v>11953.656623999999</c:v>
                </c:pt>
                <c:pt idx="6">
                  <c:v>10765.42152</c:v>
                </c:pt>
                <c:pt idx="7">
                  <c:v>11714.955084000001</c:v>
                </c:pt>
                <c:pt idx="8">
                  <c:v>12065.385444</c:v>
                </c:pt>
                <c:pt idx="9">
                  <c:v>12804.409716000002</c:v>
                </c:pt>
                <c:pt idx="10">
                  <c:v>10369.689876</c:v>
                </c:pt>
                <c:pt idx="11">
                  <c:v>10359.754439999999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Fig!$F$11:$F$22</c:f>
              <c:numCache>
                <c:formatCode>#\ ##0</c:formatCode>
                <c:ptCount val="12"/>
                <c:pt idx="0">
                  <c:v>14303.957539200001</c:v>
                </c:pt>
                <c:pt idx="1">
                  <c:v>13629.172855200002</c:v>
                </c:pt>
                <c:pt idx="2">
                  <c:v>13311.439764000001</c:v>
                </c:pt>
                <c:pt idx="3">
                  <c:v>13102.293456000001</c:v>
                </c:pt>
                <c:pt idx="4">
                  <c:v>12944.5388184</c:v>
                </c:pt>
                <c:pt idx="5">
                  <c:v>12133.391172</c:v>
                </c:pt>
                <c:pt idx="6">
                  <c:v>11585.493124800001</c:v>
                </c:pt>
                <c:pt idx="7">
                  <c:v>13696.124064</c:v>
                </c:pt>
                <c:pt idx="8">
                  <c:v>12624.990806399999</c:v>
                </c:pt>
                <c:pt idx="9">
                  <c:v>12633.4771752</c:v>
                </c:pt>
                <c:pt idx="10">
                  <c:v>12154.295042400001</c:v>
                </c:pt>
                <c:pt idx="11">
                  <c:v>11891.719761600001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Fig!$A$42:$A$53</c:f>
              <c:numCache>
                <c:formatCode>mmm\-yy</c:formatCode>
                <c:ptCount val="12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</c:numCache>
            </c:numRef>
          </c:cat>
          <c:val>
            <c:numRef>
              <c:f>Fig!$B$42:$B$53</c:f>
              <c:numCache>
                <c:formatCode>#\ ##0</c:formatCode>
                <c:ptCount val="12"/>
                <c:pt idx="0">
                  <c:v>4763.6113499999992</c:v>
                </c:pt>
                <c:pt idx="1">
                  <c:v>4529.6207999999997</c:v>
                </c:pt>
                <c:pt idx="2">
                  <c:v>4589.5720499999998</c:v>
                </c:pt>
                <c:pt idx="3">
                  <c:v>4216.4617500000004</c:v>
                </c:pt>
                <c:pt idx="4">
                  <c:v>4293.0679500000006</c:v>
                </c:pt>
                <c:pt idx="5">
                  <c:v>4070.1478499999998</c:v>
                </c:pt>
                <c:pt idx="6">
                  <c:v>3927.5131499999998</c:v>
                </c:pt>
                <c:pt idx="7">
                  <c:v>4132.6614</c:v>
                </c:pt>
                <c:pt idx="8">
                  <c:v>4613.8481999999995</c:v>
                </c:pt>
                <c:pt idx="9">
                  <c:v>4578.5015999999996</c:v>
                </c:pt>
                <c:pt idx="10">
                  <c:v>4469.3081999999995</c:v>
                </c:pt>
                <c:pt idx="11">
                  <c:v>4379.2991999999995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Fig!$D$42:$D$53</c:f>
              <c:numCache>
                <c:formatCode>#\ ##0</c:formatCode>
                <c:ptCount val="12"/>
                <c:pt idx="0">
                  <c:v>5150.223</c:v>
                </c:pt>
                <c:pt idx="1">
                  <c:v>4751.4896999999992</c:v>
                </c:pt>
                <c:pt idx="2">
                  <c:v>4772.8093499999995</c:v>
                </c:pt>
                <c:pt idx="3">
                  <c:v>4748.0075999999999</c:v>
                </c:pt>
                <c:pt idx="4">
                  <c:v>4561.1896499999993</c:v>
                </c:pt>
                <c:pt idx="5">
                  <c:v>4280.4535500000002</c:v>
                </c:pt>
                <c:pt idx="6">
                  <c:v>4118.1088499999996</c:v>
                </c:pt>
                <c:pt idx="7">
                  <c:v>4420.1317499999996</c:v>
                </c:pt>
                <c:pt idx="8">
                  <c:v>4823.0698499999999</c:v>
                </c:pt>
                <c:pt idx="9">
                  <c:v>5098.2214499999991</c:v>
                </c:pt>
                <c:pt idx="10">
                  <c:v>4537.2091499999997</c:v>
                </c:pt>
                <c:pt idx="11">
                  <c:v>4628.6306999999997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Fig!$F$42:$F$53</c:f>
              <c:numCache>
                <c:formatCode>#\ ##0</c:formatCode>
                <c:ptCount val="12"/>
                <c:pt idx="0">
                  <c:v>5187.1332599999996</c:v>
                </c:pt>
                <c:pt idx="1">
                  <c:v>4938.7412699999995</c:v>
                </c:pt>
                <c:pt idx="2">
                  <c:v>4844.0281499999992</c:v>
                </c:pt>
                <c:pt idx="3">
                  <c:v>4686.0984900000003</c:v>
                </c:pt>
                <c:pt idx="4">
                  <c:v>4602.8960099999995</c:v>
                </c:pt>
                <c:pt idx="5">
                  <c:v>4167.6532200000001</c:v>
                </c:pt>
                <c:pt idx="6">
                  <c:v>4092.0719400000003</c:v>
                </c:pt>
                <c:pt idx="7">
                  <c:v>4481.7452099999991</c:v>
                </c:pt>
                <c:pt idx="8">
                  <c:v>4522.1704199999995</c:v>
                </c:pt>
                <c:pt idx="9">
                  <c:v>4929.8126399999992</c:v>
                </c:pt>
                <c:pt idx="10">
                  <c:v>4955.8824000000004</c:v>
                </c:pt>
                <c:pt idx="11">
                  <c:v>4882.9159799999998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Fig!$A$72:$A$83</c:f>
              <c:numCache>
                <c:formatCode>mmm\-yy</c:formatCode>
                <c:ptCount val="12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</c:numCache>
            </c:numRef>
          </c:cat>
          <c:val>
            <c:numRef>
              <c:f>Fig!$B$72:$B$83</c:f>
              <c:numCache>
                <c:formatCode>#\ ##0</c:formatCode>
                <c:ptCount val="12"/>
                <c:pt idx="0">
                  <c:v>4001.2692000000006</c:v>
                </c:pt>
                <c:pt idx="1">
                  <c:v>3825.1464000000005</c:v>
                </c:pt>
                <c:pt idx="2">
                  <c:v>3926.5188000000003</c:v>
                </c:pt>
                <c:pt idx="3">
                  <c:v>3447.5316000000003</c:v>
                </c:pt>
                <c:pt idx="4">
                  <c:v>3380.9591999999998</c:v>
                </c:pt>
                <c:pt idx="5">
                  <c:v>3640.6368000000002</c:v>
                </c:pt>
                <c:pt idx="6">
                  <c:v>2369.6712000000002</c:v>
                </c:pt>
                <c:pt idx="7">
                  <c:v>3324.4788000000003</c:v>
                </c:pt>
                <c:pt idx="8">
                  <c:v>3560.2836000000002</c:v>
                </c:pt>
                <c:pt idx="9">
                  <c:v>3800.0208000000002</c:v>
                </c:pt>
                <c:pt idx="10">
                  <c:v>4303.6116000000002</c:v>
                </c:pt>
                <c:pt idx="11">
                  <c:v>4424.9592000000002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Fig!$D$72:$D$83</c:f>
              <c:numCache>
                <c:formatCode>#\ ##0</c:formatCode>
                <c:ptCount val="12"/>
                <c:pt idx="0">
                  <c:v>3634.0596</c:v>
                </c:pt>
                <c:pt idx="1">
                  <c:v>3778.1316000000002</c:v>
                </c:pt>
                <c:pt idx="2">
                  <c:v>3671.5392000000006</c:v>
                </c:pt>
                <c:pt idx="3">
                  <c:v>2703.96</c:v>
                </c:pt>
                <c:pt idx="4">
                  <c:v>3295.212</c:v>
                </c:pt>
                <c:pt idx="5">
                  <c:v>2616.6120000000001</c:v>
                </c:pt>
                <c:pt idx="6">
                  <c:v>2568.2399999999998</c:v>
                </c:pt>
                <c:pt idx="7">
                  <c:v>2984.1348000000003</c:v>
                </c:pt>
                <c:pt idx="8">
                  <c:v>3326.88</c:v>
                </c:pt>
                <c:pt idx="9">
                  <c:v>4082.0052000000005</c:v>
                </c:pt>
                <c:pt idx="10">
                  <c:v>3780.2544000000003</c:v>
                </c:pt>
                <c:pt idx="11">
                  <c:v>4362.18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Fig!$F$72:$F$83</c:f>
              <c:numCache>
                <c:formatCode>#\ ##0</c:formatCode>
                <c:ptCount val="12"/>
                <c:pt idx="0">
                  <c:v>3017.8977600000003</c:v>
                </c:pt>
                <c:pt idx="1">
                  <c:v>2918.1609600000002</c:v>
                </c:pt>
                <c:pt idx="2">
                  <c:v>2913.5604000000003</c:v>
                </c:pt>
                <c:pt idx="3">
                  <c:v>2258.5199999999995</c:v>
                </c:pt>
                <c:pt idx="4">
                  <c:v>2562.8320800000001</c:v>
                </c:pt>
                <c:pt idx="5">
                  <c:v>2025.4922400000003</c:v>
                </c:pt>
                <c:pt idx="6">
                  <c:v>2028.26928</c:v>
                </c:pt>
                <c:pt idx="7">
                  <c:v>2092.6771199999998</c:v>
                </c:pt>
                <c:pt idx="8">
                  <c:v>2221.47192</c:v>
                </c:pt>
                <c:pt idx="9">
                  <c:v>2388.6232800000002</c:v>
                </c:pt>
                <c:pt idx="10">
                  <c:v>2520.6962400000002</c:v>
                </c:pt>
                <c:pt idx="11">
                  <c:v>3024.2731200000003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indexed="44"/>
  </sheetPr>
  <dimension ref="A1:AB478"/>
  <sheetViews>
    <sheetView tabSelected="1" zoomScale="80" zoomScaleNormal="80" workbookViewId="0">
      <pane xSplit="2" ySplit="5" topLeftCell="C44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O474" sqref="O474"/>
    </sheetView>
  </sheetViews>
  <sheetFormatPr defaultRowHeight="12.75" x14ac:dyDescent="0.2"/>
  <cols>
    <col min="1" max="1" width="22.42578125" customWidth="1"/>
    <col min="2" max="2" width="4.85546875" style="3" customWidth="1"/>
    <col min="3" max="4" width="12.42578125" style="3" customWidth="1"/>
    <col min="5" max="5" width="9.140625" style="3"/>
    <col min="6" max="6" width="11.5703125" style="3" customWidth="1"/>
    <col min="7" max="7" width="20.140625" style="3" customWidth="1"/>
    <col min="8" max="8" width="20.140625" style="3" bestFit="1" customWidth="1"/>
    <col min="9" max="9" width="21.5703125" bestFit="1" customWidth="1"/>
    <col min="10" max="10" width="3.42578125" customWidth="1"/>
    <col min="11" max="11" width="14" bestFit="1" customWidth="1"/>
    <col min="12" max="12" width="17.42578125" bestFit="1" customWidth="1"/>
    <col min="13" max="13" width="21.85546875" customWidth="1"/>
    <col min="14" max="14" width="10.140625" customWidth="1"/>
    <col min="15" max="15" width="16.5703125" bestFit="1" customWidth="1"/>
  </cols>
  <sheetData>
    <row r="1" spans="1:14" x14ac:dyDescent="0.2">
      <c r="A1" s="1" t="s">
        <v>28</v>
      </c>
      <c r="B1" s="1"/>
      <c r="D1"/>
      <c r="E1"/>
      <c r="F1"/>
      <c r="G1"/>
      <c r="H1"/>
    </row>
    <row r="2" spans="1:14" x14ac:dyDescent="0.2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">
      <c r="C3"/>
      <c r="M3" s="27" t="s">
        <v>60</v>
      </c>
    </row>
    <row r="4" spans="1:14" ht="13.5" thickBot="1" x14ac:dyDescent="0.25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5" thickBot="1" x14ac:dyDescent="0.25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">
      <c r="A6" s="21"/>
      <c r="B6"/>
      <c r="C6" s="10"/>
      <c r="D6" s="10"/>
      <c r="E6" s="10"/>
      <c r="F6" s="10"/>
      <c r="G6" s="10"/>
      <c r="H6" s="10"/>
    </row>
    <row r="7" spans="1:14" x14ac:dyDescent="0.2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">
      <c r="A26" s="22">
        <v>2024</v>
      </c>
      <c r="B26"/>
      <c r="I26" s="3"/>
      <c r="J26" s="3"/>
      <c r="K26" s="3">
        <f>SUM(K459:K470)</f>
        <v>267182.40555649996</v>
      </c>
      <c r="M26" s="22">
        <v>2024</v>
      </c>
    </row>
    <row r="27" spans="1:17" x14ac:dyDescent="0.2">
      <c r="A27" s="22">
        <v>2025</v>
      </c>
      <c r="B27"/>
      <c r="I27" s="3"/>
      <c r="J27" s="3"/>
      <c r="K27" s="3"/>
      <c r="M27" s="22">
        <v>2025</v>
      </c>
    </row>
    <row r="28" spans="1:17" x14ac:dyDescent="0.2">
      <c r="A28" s="23"/>
      <c r="B28"/>
      <c r="I28" s="3"/>
      <c r="J28" s="3"/>
      <c r="K28" s="82"/>
      <c r="N28" s="76"/>
    </row>
    <row r="29" spans="1:17" x14ac:dyDescent="0.2">
      <c r="A29" s="22" t="s">
        <v>304</v>
      </c>
      <c r="B29"/>
      <c r="I29" s="3"/>
      <c r="J29" s="3"/>
      <c r="K29" s="3"/>
      <c r="M29" s="22" t="s">
        <v>305</v>
      </c>
      <c r="N29" s="3"/>
    </row>
    <row r="30" spans="1:17" x14ac:dyDescent="0.2">
      <c r="A30" s="22">
        <v>2005</v>
      </c>
      <c r="B30"/>
      <c r="I30" s="3"/>
      <c r="J30" s="3"/>
      <c r="K30" s="3">
        <f>SUM(K212:K218)</f>
        <v>199898.57420983331</v>
      </c>
      <c r="L30" s="3"/>
      <c r="M30" s="22">
        <v>2005</v>
      </c>
      <c r="N30" s="22"/>
      <c r="O30" s="138"/>
      <c r="P30" s="3"/>
      <c r="Q30" s="3"/>
    </row>
    <row r="31" spans="1:17" x14ac:dyDescent="0.2">
      <c r="A31" s="22">
        <v>2006</v>
      </c>
      <c r="B31"/>
      <c r="I31" s="3"/>
      <c r="J31" s="3"/>
      <c r="K31" s="3">
        <f>SUM(K225:K231)</f>
        <v>205292.5495778583</v>
      </c>
      <c r="L31" s="3"/>
      <c r="M31" s="22">
        <v>2006</v>
      </c>
      <c r="N31" s="22"/>
      <c r="O31" s="139"/>
      <c r="P31" s="3"/>
      <c r="Q31" s="3"/>
    </row>
    <row r="32" spans="1:17" x14ac:dyDescent="0.2">
      <c r="A32" s="22">
        <v>2007</v>
      </c>
      <c r="B32"/>
      <c r="I32" s="3"/>
      <c r="J32" s="3"/>
      <c r="K32" s="3">
        <f>SUM(K238:K244)</f>
        <v>199976.05573022165</v>
      </c>
      <c r="L32" s="3"/>
      <c r="M32" s="22">
        <v>2007</v>
      </c>
      <c r="N32" s="22"/>
      <c r="O32" s="139"/>
      <c r="P32" s="3"/>
      <c r="Q32" s="3"/>
    </row>
    <row r="33" spans="1:17" x14ac:dyDescent="0.2">
      <c r="A33" s="22">
        <v>2008</v>
      </c>
      <c r="B33"/>
      <c r="I33" s="3"/>
      <c r="J33" s="3"/>
      <c r="K33" s="3">
        <f>SUM(K251:K257)</f>
        <v>193468.5731956361</v>
      </c>
      <c r="L33" s="3"/>
      <c r="M33" s="22">
        <v>2008</v>
      </c>
      <c r="N33" s="22"/>
      <c r="O33" s="139"/>
      <c r="P33" s="3"/>
      <c r="Q33" s="3"/>
    </row>
    <row r="34" spans="1:17" x14ac:dyDescent="0.2">
      <c r="A34" s="22">
        <v>2009</v>
      </c>
      <c r="B34"/>
      <c r="I34" s="3"/>
      <c r="J34" s="3"/>
      <c r="K34" s="3">
        <f>SUM(K264:K270)</f>
        <v>188236.43582669608</v>
      </c>
      <c r="L34" s="3"/>
      <c r="M34" s="22">
        <v>2009</v>
      </c>
      <c r="N34" s="22"/>
      <c r="O34" s="139"/>
      <c r="P34" s="3"/>
      <c r="Q34" s="3"/>
    </row>
    <row r="35" spans="1:17" x14ac:dyDescent="0.2">
      <c r="A35" s="22">
        <v>2010</v>
      </c>
      <c r="B35"/>
      <c r="I35" s="3"/>
      <c r="J35" s="3"/>
      <c r="K35" s="3">
        <f>SUM(K277:K283)</f>
        <v>182510.06261958613</v>
      </c>
      <c r="L35" s="3"/>
      <c r="M35" s="22">
        <v>2010</v>
      </c>
      <c r="N35" s="22"/>
      <c r="O35" s="139"/>
      <c r="P35" s="3"/>
      <c r="Q35" s="3"/>
    </row>
    <row r="36" spans="1:17" x14ac:dyDescent="0.2">
      <c r="A36" s="22">
        <v>2011</v>
      </c>
      <c r="B36"/>
      <c r="I36" s="3"/>
      <c r="J36" s="3"/>
      <c r="K36" s="3">
        <f>SUM(K290:K296)</f>
        <v>177459.83531016664</v>
      </c>
      <c r="L36" s="3"/>
      <c r="M36" s="22">
        <v>2011</v>
      </c>
      <c r="N36" s="22"/>
      <c r="O36" s="139"/>
      <c r="P36" s="3"/>
      <c r="Q36" s="3"/>
    </row>
    <row r="37" spans="1:17" x14ac:dyDescent="0.2">
      <c r="A37" s="22">
        <v>2012</v>
      </c>
      <c r="B37"/>
      <c r="I37" s="3"/>
      <c r="J37" s="3"/>
      <c r="K37" s="3">
        <f>SUM(K303:K309)</f>
        <v>173430.94100289996</v>
      </c>
      <c r="L37" s="3"/>
      <c r="M37" s="22">
        <v>2012</v>
      </c>
      <c r="N37" s="22"/>
      <c r="O37" s="139"/>
      <c r="P37" s="3"/>
      <c r="Q37" s="3"/>
    </row>
    <row r="38" spans="1:17" x14ac:dyDescent="0.2">
      <c r="A38" s="22">
        <v>2013</v>
      </c>
      <c r="B38"/>
      <c r="I38" s="3"/>
      <c r="J38" s="3"/>
      <c r="K38" s="3">
        <f>SUM(K316:K322)</f>
        <v>170099.32208093337</v>
      </c>
      <c r="L38" s="3"/>
      <c r="M38" s="22">
        <v>2013</v>
      </c>
      <c r="N38" s="22"/>
      <c r="O38" s="139"/>
      <c r="P38" s="3"/>
      <c r="Q38" s="3"/>
    </row>
    <row r="39" spans="1:17" x14ac:dyDescent="0.2">
      <c r="A39" s="22">
        <v>2014</v>
      </c>
      <c r="B39"/>
      <c r="I39" s="3"/>
      <c r="J39" s="3"/>
      <c r="K39" s="3">
        <f>SUM(K329:K335)</f>
        <v>165692.00353919165</v>
      </c>
      <c r="L39" s="3"/>
      <c r="M39" s="22">
        <v>2014</v>
      </c>
      <c r="N39" s="22"/>
      <c r="O39" s="139"/>
      <c r="P39" s="3"/>
      <c r="Q39" s="3"/>
    </row>
    <row r="40" spans="1:17" x14ac:dyDescent="0.2">
      <c r="A40" s="22">
        <v>2015</v>
      </c>
      <c r="B40"/>
      <c r="I40" s="3"/>
      <c r="J40" s="3"/>
      <c r="K40" s="3">
        <f>SUM(K342:K348)</f>
        <v>169741.39393536671</v>
      </c>
      <c r="L40" s="3"/>
      <c r="M40" s="22">
        <v>2015</v>
      </c>
      <c r="N40" s="22"/>
      <c r="O40" s="139"/>
      <c r="P40" s="3"/>
      <c r="Q40" s="3"/>
    </row>
    <row r="41" spans="1:17" x14ac:dyDescent="0.2">
      <c r="A41" s="22">
        <v>2016</v>
      </c>
      <c r="B41"/>
      <c r="I41" s="3"/>
      <c r="J41" s="3"/>
      <c r="K41" s="3">
        <f>SUM(K355:K361)</f>
        <v>169095.64776587504</v>
      </c>
      <c r="L41" s="3"/>
      <c r="M41" s="22">
        <v>2016</v>
      </c>
      <c r="N41" s="22"/>
      <c r="O41" s="139"/>
      <c r="P41" s="3"/>
      <c r="Q41" s="3"/>
    </row>
    <row r="42" spans="1:17" x14ac:dyDescent="0.2">
      <c r="A42" s="22">
        <v>2017</v>
      </c>
      <c r="B42"/>
      <c r="I42" s="3"/>
      <c r="J42" s="3"/>
      <c r="K42" s="3">
        <f>SUM(K368:K374)</f>
        <v>174356.9183093333</v>
      </c>
      <c r="L42" s="3"/>
      <c r="M42" s="22">
        <v>2017</v>
      </c>
      <c r="N42" s="22"/>
      <c r="O42" s="139"/>
      <c r="P42" s="3"/>
      <c r="Q42" s="3"/>
    </row>
    <row r="43" spans="1:17" x14ac:dyDescent="0.2">
      <c r="A43" s="22">
        <v>2018</v>
      </c>
      <c r="B43"/>
      <c r="I43" s="3"/>
      <c r="J43" s="3"/>
      <c r="K43" s="3">
        <f>SUM(K381:K387)</f>
        <v>173210.66746711667</v>
      </c>
      <c r="L43" s="3"/>
      <c r="M43" s="22">
        <v>2018</v>
      </c>
      <c r="N43" s="22"/>
      <c r="O43" s="139"/>
      <c r="P43" s="3"/>
      <c r="Q43" s="3"/>
    </row>
    <row r="44" spans="1:17" x14ac:dyDescent="0.2">
      <c r="A44" s="22">
        <v>2019</v>
      </c>
      <c r="B44"/>
      <c r="I44" s="3"/>
      <c r="J44" s="3"/>
      <c r="K44" s="3">
        <f>SUM(K394:K400)</f>
        <v>181540.01320279166</v>
      </c>
      <c r="L44" s="3"/>
      <c r="M44" s="22">
        <v>2019</v>
      </c>
      <c r="N44" s="22"/>
      <c r="O44" s="139"/>
      <c r="P44" s="3"/>
      <c r="Q44" s="3"/>
    </row>
    <row r="45" spans="1:17" x14ac:dyDescent="0.2">
      <c r="A45" s="22">
        <v>2020</v>
      </c>
      <c r="B45"/>
      <c r="I45" s="3"/>
      <c r="J45" s="3"/>
      <c r="K45" s="3">
        <f>SUM(K407:K413)</f>
        <v>150226.07921200001</v>
      </c>
      <c r="L45" s="3"/>
      <c r="M45" s="22">
        <v>2020</v>
      </c>
      <c r="N45" s="22"/>
      <c r="O45" s="139"/>
      <c r="P45" s="3"/>
      <c r="Q45" s="3"/>
    </row>
    <row r="46" spans="1:17" x14ac:dyDescent="0.2">
      <c r="A46" s="22">
        <v>2021</v>
      </c>
      <c r="B46"/>
      <c r="I46" s="3"/>
      <c r="J46" s="3"/>
      <c r="K46" s="3">
        <f>SUM(K420:K426)</f>
        <v>149039.88503149999</v>
      </c>
      <c r="L46" s="3"/>
      <c r="M46" s="22">
        <v>2021</v>
      </c>
      <c r="N46" s="22"/>
      <c r="O46" s="139"/>
      <c r="P46" s="3"/>
      <c r="Q46" s="3"/>
    </row>
    <row r="47" spans="1:17" x14ac:dyDescent="0.2">
      <c r="A47" s="22">
        <v>2022</v>
      </c>
      <c r="B47"/>
      <c r="I47" s="3"/>
      <c r="J47" s="3"/>
      <c r="K47" s="3">
        <f>SUM(K433:K439)</f>
        <v>162134.4642475</v>
      </c>
      <c r="L47" s="3"/>
      <c r="M47" s="22">
        <v>2022</v>
      </c>
      <c r="N47" s="22"/>
      <c r="O47" s="139"/>
      <c r="P47" s="3"/>
      <c r="Q47" s="3"/>
    </row>
    <row r="48" spans="1:17" x14ac:dyDescent="0.2">
      <c r="A48" s="22">
        <v>2023</v>
      </c>
      <c r="B48"/>
      <c r="I48" s="3"/>
      <c r="J48" s="3"/>
      <c r="K48" s="3">
        <f>SUM(K446:K452)</f>
        <v>161076.82291662978</v>
      </c>
      <c r="L48" s="3"/>
      <c r="M48" s="22">
        <v>2023</v>
      </c>
      <c r="N48" s="22"/>
      <c r="O48" s="139"/>
      <c r="P48" s="3"/>
      <c r="Q48" s="3"/>
    </row>
    <row r="49" spans="1:17" x14ac:dyDescent="0.2">
      <c r="A49" s="22">
        <v>2024</v>
      </c>
      <c r="B49"/>
      <c r="I49" s="3"/>
      <c r="J49" s="3"/>
      <c r="K49" s="3">
        <f>SUM(K459:K465)</f>
        <v>153581.14473912498</v>
      </c>
      <c r="L49" s="3"/>
      <c r="M49" s="22">
        <v>2024</v>
      </c>
      <c r="N49" s="22"/>
      <c r="O49" s="139"/>
      <c r="P49" s="3"/>
      <c r="Q49" s="3"/>
    </row>
    <row r="50" spans="1:17" x14ac:dyDescent="0.2">
      <c r="A50" s="22">
        <v>2025</v>
      </c>
      <c r="B50"/>
      <c r="I50" s="3"/>
      <c r="J50" s="3"/>
      <c r="K50" s="3">
        <f>SUM(K472:K478)</f>
        <v>145411.98051712499</v>
      </c>
      <c r="L50" s="3"/>
      <c r="M50" s="22">
        <v>2025</v>
      </c>
      <c r="N50" s="22"/>
      <c r="O50" s="139"/>
      <c r="P50" s="3"/>
      <c r="Q50" s="3"/>
    </row>
    <row r="51" spans="1:17" x14ac:dyDescent="0.2">
      <c r="A51" s="22"/>
      <c r="B51"/>
      <c r="I51" s="3"/>
      <c r="J51" s="3"/>
      <c r="K51" s="51"/>
      <c r="M51" s="22"/>
      <c r="N51" s="3"/>
    </row>
    <row r="52" spans="1:17" ht="13.5" thickBot="1" x14ac:dyDescent="0.25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">
      <c r="A57" s="23"/>
      <c r="B57"/>
      <c r="I57" s="3"/>
      <c r="J57" s="3"/>
      <c r="K57" s="3"/>
      <c r="N57" s="3"/>
    </row>
    <row r="58" spans="1:17" x14ac:dyDescent="0.2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">
      <c r="A62" s="23"/>
      <c r="B62"/>
      <c r="I62" s="3"/>
      <c r="J62" s="3"/>
      <c r="K62" s="3"/>
      <c r="N62" s="3"/>
    </row>
    <row r="63" spans="1:17" x14ac:dyDescent="0.2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">
      <c r="A67" s="23"/>
      <c r="B67"/>
      <c r="I67" s="3"/>
      <c r="J67" s="3"/>
      <c r="K67" s="3"/>
      <c r="N67" s="3"/>
    </row>
    <row r="68" spans="1:14" x14ac:dyDescent="0.2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">
      <c r="A72" s="23"/>
      <c r="B72"/>
      <c r="I72" s="3"/>
      <c r="J72" s="3"/>
      <c r="K72" s="3"/>
      <c r="N72" s="3"/>
    </row>
    <row r="73" spans="1:14" x14ac:dyDescent="0.2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">
      <c r="A77" s="23"/>
      <c r="B77"/>
      <c r="I77" s="3"/>
      <c r="J77" s="3"/>
      <c r="K77" s="3"/>
      <c r="M77" s="26"/>
      <c r="N77" s="3"/>
    </row>
    <row r="78" spans="1:14" x14ac:dyDescent="0.2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">
      <c r="A82" s="32"/>
      <c r="B82"/>
      <c r="I82" s="3"/>
      <c r="J82" s="3"/>
      <c r="K82" s="3"/>
      <c r="M82" s="26"/>
      <c r="N82" s="3"/>
    </row>
    <row r="83" spans="1:14" x14ac:dyDescent="0.2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">
      <c r="A87" s="32"/>
      <c r="B87"/>
      <c r="I87" s="3"/>
      <c r="J87" s="3"/>
      <c r="K87" s="3"/>
      <c r="M87" s="26"/>
      <c r="N87" s="3"/>
    </row>
    <row r="88" spans="1:14" x14ac:dyDescent="0.2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">
      <c r="A92" s="32"/>
      <c r="B92"/>
      <c r="I92" s="3"/>
      <c r="J92" s="3"/>
      <c r="K92" s="3"/>
      <c r="M92" s="26"/>
      <c r="N92" s="3"/>
    </row>
    <row r="93" spans="1:14" x14ac:dyDescent="0.2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">
      <c r="A97" s="32"/>
      <c r="B97"/>
      <c r="I97" s="3"/>
      <c r="J97" s="3"/>
      <c r="K97" s="3"/>
      <c r="L97" s="3"/>
      <c r="M97" s="26"/>
    </row>
    <row r="98" spans="1:13" x14ac:dyDescent="0.2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">
      <c r="A102" s="32"/>
      <c r="B102"/>
      <c r="I102" s="3"/>
      <c r="J102" s="3"/>
      <c r="K102" s="65"/>
      <c r="L102" s="3"/>
      <c r="M102" s="26"/>
    </row>
    <row r="103" spans="1:13" x14ac:dyDescent="0.2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">
      <c r="A107" s="32"/>
      <c r="B107"/>
      <c r="I107" s="3"/>
      <c r="J107" s="3"/>
      <c r="K107" s="3"/>
      <c r="L107" s="3"/>
      <c r="M107" s="26"/>
    </row>
    <row r="108" spans="1:13" x14ac:dyDescent="0.2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">
      <c r="A112" s="32"/>
      <c r="B112"/>
      <c r="I112" s="3"/>
      <c r="J112" s="3"/>
      <c r="K112" s="3"/>
      <c r="L112" s="3"/>
      <c r="M112" s="26"/>
    </row>
    <row r="113" spans="1:13" x14ac:dyDescent="0.2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">
      <c r="A117" s="32"/>
      <c r="B117"/>
      <c r="I117" s="3"/>
      <c r="J117" s="3"/>
      <c r="K117" s="3"/>
      <c r="L117" s="3"/>
      <c r="M117" s="26"/>
    </row>
    <row r="118" spans="1:13" s="57" customFormat="1" x14ac:dyDescent="0.2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">
      <c r="A132" s="32"/>
      <c r="B132"/>
      <c r="I132" s="3"/>
      <c r="J132" s="3"/>
      <c r="K132" s="3"/>
      <c r="L132" s="3"/>
      <c r="M132" s="26"/>
    </row>
    <row r="133" spans="1:28" x14ac:dyDescent="0.2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">
      <c r="A137" s="32"/>
      <c r="B137"/>
      <c r="I137" s="3"/>
      <c r="J137" s="3"/>
      <c r="K137" s="3"/>
      <c r="L137" s="3"/>
      <c r="M137" s="26"/>
    </row>
    <row r="138" spans="1:28" x14ac:dyDescent="0.2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">
      <c r="A147" s="32"/>
      <c r="B147"/>
      <c r="I147" s="3"/>
      <c r="J147" s="3"/>
      <c r="K147" s="3"/>
      <c r="L147" s="3"/>
      <c r="M147" s="26"/>
    </row>
    <row r="148" spans="1:28" x14ac:dyDescent="0.2">
      <c r="A148" s="32" t="s">
        <v>280</v>
      </c>
      <c r="B148"/>
      <c r="I148" s="3"/>
      <c r="J148" s="3"/>
      <c r="K148" s="3">
        <f>SUM(K459:K461)</f>
        <v>62313.393139624983</v>
      </c>
      <c r="L148" s="3"/>
      <c r="M148" s="26" t="s">
        <v>284</v>
      </c>
    </row>
    <row r="149" spans="1:28" x14ac:dyDescent="0.2">
      <c r="A149" s="32" t="s">
        <v>281</v>
      </c>
      <c r="B149"/>
      <c r="I149" s="3"/>
      <c r="J149" s="3"/>
      <c r="K149" s="3">
        <f>SUM(K462:K464)</f>
        <v>69669.048167624991</v>
      </c>
      <c r="L149" s="3"/>
      <c r="M149" s="26" t="s">
        <v>285</v>
      </c>
    </row>
    <row r="150" spans="1:28" x14ac:dyDescent="0.2">
      <c r="A150" s="32" t="s">
        <v>282</v>
      </c>
      <c r="B150"/>
      <c r="I150" s="3"/>
      <c r="J150" s="3"/>
      <c r="K150" s="3">
        <f>SUM(K465:K467)</f>
        <v>68783.743221625002</v>
      </c>
      <c r="L150" s="3"/>
      <c r="M150" s="26" t="s">
        <v>286</v>
      </c>
    </row>
    <row r="151" spans="1:28" x14ac:dyDescent="0.2">
      <c r="A151" s="32" t="s">
        <v>283</v>
      </c>
      <c r="B151"/>
      <c r="I151" s="3"/>
      <c r="J151" s="3"/>
      <c r="K151" s="3">
        <f>SUM(K468:K470)</f>
        <v>66416.221027624997</v>
      </c>
      <c r="L151" s="3"/>
      <c r="M151" s="26" t="s">
        <v>287</v>
      </c>
    </row>
    <row r="152" spans="1:28" x14ac:dyDescent="0.2">
      <c r="A152" s="167"/>
      <c r="B152"/>
      <c r="I152" s="3"/>
      <c r="J152" s="3"/>
      <c r="K152" s="3"/>
      <c r="L152" s="3"/>
      <c r="M152" s="26"/>
    </row>
    <row r="153" spans="1:28" x14ac:dyDescent="0.2">
      <c r="A153" s="167" t="s">
        <v>296</v>
      </c>
      <c r="B153"/>
      <c r="I153" s="3"/>
      <c r="J153" s="3"/>
      <c r="K153" s="3">
        <f>SUM(K472:K474)</f>
        <v>59531.037777624995</v>
      </c>
      <c r="L153" s="3"/>
      <c r="M153" s="26" t="s">
        <v>300</v>
      </c>
    </row>
    <row r="154" spans="1:28" x14ac:dyDescent="0.2">
      <c r="A154" s="167" t="s">
        <v>297</v>
      </c>
      <c r="B154"/>
      <c r="I154" s="3"/>
      <c r="J154" s="3"/>
      <c r="K154" s="3">
        <f>SUM(K475:K477)</f>
        <v>64523.946709625001</v>
      </c>
      <c r="L154" s="3"/>
      <c r="M154" s="26" t="s">
        <v>301</v>
      </c>
    </row>
    <row r="155" spans="1:28" x14ac:dyDescent="0.2">
      <c r="A155" s="167" t="s">
        <v>298</v>
      </c>
      <c r="B155"/>
      <c r="I155" s="3"/>
      <c r="J155" s="3"/>
      <c r="K155" s="3"/>
      <c r="L155" s="3"/>
      <c r="M155" s="26" t="s">
        <v>302</v>
      </c>
    </row>
    <row r="156" spans="1:28" x14ac:dyDescent="0.2">
      <c r="A156" s="167" t="s">
        <v>299</v>
      </c>
      <c r="M156" s="26" t="s">
        <v>303</v>
      </c>
    </row>
    <row r="157" spans="1:28" x14ac:dyDescent="0.2">
      <c r="A157" s="170"/>
      <c r="M157" s="26"/>
    </row>
    <row r="158" spans="1:28" ht="13.5" thickBot="1" x14ac:dyDescent="0.25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5" thickBot="1" x14ac:dyDescent="0.25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5" thickBot="1" x14ac:dyDescent="0.25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5" thickBot="1" x14ac:dyDescent="0.25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5" thickBot="1" x14ac:dyDescent="0.25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5" thickBot="1" x14ac:dyDescent="0.25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5" thickBot="1" x14ac:dyDescent="0.25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5" thickBot="1" x14ac:dyDescent="0.25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5" thickBot="1" x14ac:dyDescent="0.25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5" thickBot="1" x14ac:dyDescent="0.25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5" thickBot="1" x14ac:dyDescent="0.25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">
      <c r="A300" s="33" t="s">
        <v>125</v>
      </c>
      <c r="B300" s="16"/>
      <c r="K300" s="16">
        <v>26641.994603166666</v>
      </c>
      <c r="M300" s="45" t="s">
        <v>125</v>
      </c>
    </row>
    <row r="301" spans="1:18" ht="13.5" thickBot="1" x14ac:dyDescent="0.25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">
      <c r="A302" s="37">
        <v>2012</v>
      </c>
      <c r="B302" s="16"/>
      <c r="K302" s="3"/>
      <c r="M302" s="37">
        <v>2012</v>
      </c>
    </row>
    <row r="303" spans="1:18" x14ac:dyDescent="0.2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5" thickBot="1" x14ac:dyDescent="0.25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">
      <c r="A315" s="37">
        <v>2013</v>
      </c>
      <c r="B315" s="16"/>
      <c r="K315" s="3"/>
      <c r="M315" s="37">
        <v>2013</v>
      </c>
    </row>
    <row r="316" spans="1:13" x14ac:dyDescent="0.2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5" thickBot="1" x14ac:dyDescent="0.25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">
      <c r="A328" s="37">
        <v>2014</v>
      </c>
      <c r="B328" s="16"/>
      <c r="K328" s="16"/>
      <c r="L328" s="3"/>
      <c r="M328" s="37">
        <v>2014</v>
      </c>
    </row>
    <row r="329" spans="1:13" x14ac:dyDescent="0.2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5" thickBot="1" x14ac:dyDescent="0.25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">
      <c r="A341" s="37">
        <v>2015</v>
      </c>
      <c r="B341" s="16"/>
      <c r="K341" s="16"/>
      <c r="L341" s="3"/>
      <c r="M341" s="37">
        <v>2015</v>
      </c>
    </row>
    <row r="342" spans="1:13" x14ac:dyDescent="0.2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5" thickBot="1" x14ac:dyDescent="0.25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">
      <c r="A354" s="37">
        <v>2016</v>
      </c>
      <c r="B354" s="16"/>
      <c r="K354" s="16"/>
      <c r="L354" s="3"/>
      <c r="M354" s="37">
        <v>2016</v>
      </c>
    </row>
    <row r="355" spans="1:13" x14ac:dyDescent="0.2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5" thickBot="1" x14ac:dyDescent="0.25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">
      <c r="A367" s="37">
        <v>2017</v>
      </c>
      <c r="B367" s="16"/>
      <c r="K367" s="16"/>
      <c r="L367" s="3"/>
      <c r="M367" s="37">
        <v>2017</v>
      </c>
    </row>
    <row r="368" spans="1:13" x14ac:dyDescent="0.2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5" thickBot="1" x14ac:dyDescent="0.25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">
      <c r="A380" s="37">
        <v>2018</v>
      </c>
      <c r="B380" s="16"/>
      <c r="K380" s="16"/>
      <c r="L380" s="3"/>
      <c r="M380" s="37">
        <v>2018</v>
      </c>
    </row>
    <row r="381" spans="1:13" x14ac:dyDescent="0.2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5" thickBot="1" x14ac:dyDescent="0.25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">
      <c r="A393" s="37">
        <v>2019</v>
      </c>
      <c r="B393" s="16"/>
      <c r="K393" s="16"/>
      <c r="L393" s="3"/>
      <c r="M393" s="37">
        <v>2019</v>
      </c>
    </row>
    <row r="394" spans="1:13" x14ac:dyDescent="0.2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5" thickBot="1" x14ac:dyDescent="0.25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">
      <c r="A406" s="37">
        <v>2020</v>
      </c>
      <c r="B406" s="16"/>
      <c r="K406" s="16"/>
      <c r="L406" s="3"/>
      <c r="M406" s="37">
        <v>2020</v>
      </c>
    </row>
    <row r="407" spans="1:13" x14ac:dyDescent="0.2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5" thickBot="1" x14ac:dyDescent="0.25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">
      <c r="A419" s="37">
        <v>2021</v>
      </c>
      <c r="B419" s="16"/>
      <c r="K419" s="16"/>
      <c r="L419" s="3"/>
      <c r="M419" s="37">
        <v>2021</v>
      </c>
    </row>
    <row r="420" spans="1:13" x14ac:dyDescent="0.2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5" thickBot="1" x14ac:dyDescent="0.25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5" thickBot="1" x14ac:dyDescent="0.25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">
      <c r="A445" s="37">
        <v>2023</v>
      </c>
      <c r="K445" s="16"/>
      <c r="L445" s="15"/>
      <c r="M445" s="37">
        <v>2023</v>
      </c>
    </row>
    <row r="446" spans="1:22" x14ac:dyDescent="0.2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5" thickBot="1" x14ac:dyDescent="0.25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">
      <c r="A458" s="37">
        <v>2024</v>
      </c>
      <c r="K458" s="16"/>
      <c r="L458" s="15"/>
      <c r="M458" s="37">
        <v>2024</v>
      </c>
    </row>
    <row r="459" spans="1:13" x14ac:dyDescent="0.2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21008.121451874995</v>
      </c>
      <c r="M459" s="55" t="s">
        <v>115</v>
      </c>
    </row>
    <row r="460" spans="1:13" x14ac:dyDescent="0.2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19403.275011874994</v>
      </c>
      <c r="M460" s="55" t="s">
        <v>116</v>
      </c>
    </row>
    <row r="461" spans="1:13" x14ac:dyDescent="0.2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21901.996675874998</v>
      </c>
      <c r="M461" s="55" t="s">
        <v>117</v>
      </c>
    </row>
    <row r="462" spans="1:13" x14ac:dyDescent="0.2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22742.871335874999</v>
      </c>
      <c r="M462" s="55" t="s">
        <v>118</v>
      </c>
    </row>
    <row r="463" spans="1:13" x14ac:dyDescent="0.2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25149.453103874999</v>
      </c>
      <c r="M463" s="55" t="s">
        <v>137</v>
      </c>
    </row>
    <row r="464" spans="1:13" x14ac:dyDescent="0.2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21776.723727874996</v>
      </c>
      <c r="M464" s="80" t="s">
        <v>120</v>
      </c>
    </row>
    <row r="465" spans="1:13" x14ac:dyDescent="0.2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21598.703431875001</v>
      </c>
      <c r="M465" s="80" t="s">
        <v>121</v>
      </c>
    </row>
    <row r="466" spans="1:13" x14ac:dyDescent="0.2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24664.247745875</v>
      </c>
      <c r="M466" s="80" t="s">
        <v>122</v>
      </c>
    </row>
    <row r="467" spans="1:13" x14ac:dyDescent="0.2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22520.792043874997</v>
      </c>
      <c r="M467" s="80" t="s">
        <v>123</v>
      </c>
    </row>
    <row r="468" spans="1:13" x14ac:dyDescent="0.2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23740.767837874999</v>
      </c>
      <c r="M468" s="80" t="s">
        <v>124</v>
      </c>
    </row>
    <row r="469" spans="1:13" x14ac:dyDescent="0.2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21207.770735874998</v>
      </c>
      <c r="M469" s="117" t="s">
        <v>125</v>
      </c>
    </row>
    <row r="470" spans="1:13" ht="13.5" thickBot="1" x14ac:dyDescent="0.25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21467.682453874993</v>
      </c>
      <c r="M470" s="118" t="s">
        <v>113</v>
      </c>
    </row>
    <row r="471" spans="1:13" x14ac:dyDescent="0.2">
      <c r="A471" s="37">
        <v>2025</v>
      </c>
      <c r="K471" s="16"/>
      <c r="L471" s="15"/>
      <c r="M471" s="37">
        <v>2025</v>
      </c>
    </row>
    <row r="472" spans="1:13" x14ac:dyDescent="0.2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18978.588481875006</v>
      </c>
      <c r="M472" s="55" t="s">
        <v>115</v>
      </c>
    </row>
    <row r="473" spans="1:13" x14ac:dyDescent="0.2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19049.831181874997</v>
      </c>
      <c r="M473" s="55" t="s">
        <v>116</v>
      </c>
    </row>
    <row r="474" spans="1:13" x14ac:dyDescent="0.2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21502.618113874996</v>
      </c>
      <c r="M474" s="55" t="s">
        <v>117</v>
      </c>
    </row>
    <row r="475" spans="1:13" x14ac:dyDescent="0.2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21007.082963875004</v>
      </c>
      <c r="M475" s="55" t="s">
        <v>118</v>
      </c>
    </row>
    <row r="476" spans="1:13" x14ac:dyDescent="0.2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21578.212395874994</v>
      </c>
      <c r="M476" s="55" t="s">
        <v>119</v>
      </c>
    </row>
    <row r="477" spans="1:13" x14ac:dyDescent="0.2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21938.651349874996</v>
      </c>
      <c r="M477" s="55" t="s">
        <v>120</v>
      </c>
    </row>
    <row r="478" spans="1:13" x14ac:dyDescent="0.2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21356.996029875005</v>
      </c>
      <c r="M478" s="55" t="s">
        <v>121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indexed="42"/>
  </sheetPr>
  <dimension ref="A1:P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I477" sqref="I477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173046</v>
      </c>
      <c r="D30" s="3">
        <f t="shared" ref="D30:L30" si="11">SUM(D212:D218)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173046</v>
      </c>
      <c r="I30" s="3">
        <f>I218</f>
        <v>0</v>
      </c>
      <c r="J30" s="3"/>
      <c r="K30" s="3"/>
      <c r="L30" s="3">
        <f t="shared" si="11"/>
        <v>8998.3919999999998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174523</v>
      </c>
      <c r="D31" s="3">
        <f t="shared" ref="D31:L31" si="12">SUM(D225:D231)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174523</v>
      </c>
      <c r="I31" s="3">
        <f>I231</f>
        <v>0</v>
      </c>
      <c r="J31" s="3"/>
      <c r="K31" s="3"/>
      <c r="L31" s="3">
        <f t="shared" si="12"/>
        <v>9075.1959999999999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171320</v>
      </c>
      <c r="D32" s="3">
        <f t="shared" ref="D32:L32" si="13">SUM(D238:D244)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171320</v>
      </c>
      <c r="I32" s="3">
        <f>I244</f>
        <v>0</v>
      </c>
      <c r="J32" s="3"/>
      <c r="K32" s="3"/>
      <c r="L32" s="3">
        <f t="shared" si="13"/>
        <v>8908.64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162451</v>
      </c>
      <c r="D33" s="3">
        <f t="shared" ref="D33:L33" si="14">SUM(D251:D257)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162451</v>
      </c>
      <c r="I33" s="3">
        <f>I257</f>
        <v>0</v>
      </c>
      <c r="J33" s="3"/>
      <c r="K33" s="3"/>
      <c r="L33" s="3">
        <f t="shared" si="14"/>
        <v>8447.4520000000011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178250</v>
      </c>
      <c r="D34" s="3">
        <f t="shared" ref="D34:L34" si="15">SUM(D264:D270)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178250</v>
      </c>
      <c r="I34" s="3">
        <f>I270</f>
        <v>0</v>
      </c>
      <c r="J34" s="3"/>
      <c r="K34" s="3"/>
      <c r="L34" s="3">
        <f t="shared" si="15"/>
        <v>9269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171388</v>
      </c>
      <c r="D35" s="3">
        <f t="shared" ref="D35:L35" si="16">SUM(D277:D283)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183930</v>
      </c>
      <c r="I35" s="3">
        <f>I283</f>
        <v>0</v>
      </c>
      <c r="J35" s="3"/>
      <c r="K35" s="3"/>
      <c r="L35" s="3">
        <f t="shared" si="16"/>
        <v>9564.36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167706</v>
      </c>
      <c r="D36" s="3">
        <f t="shared" ref="D36:L36" si="17">SUM(D290:D296)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173042</v>
      </c>
      <c r="I36" s="3">
        <f>I296</f>
        <v>0</v>
      </c>
      <c r="J36" s="3"/>
      <c r="K36" s="3"/>
      <c r="L36" s="3">
        <f t="shared" si="17"/>
        <v>8998.1839999999993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171923</v>
      </c>
      <c r="D37" s="3">
        <f t="shared" ref="D37:L37" si="18">SUM(D303:D309)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175890</v>
      </c>
      <c r="I37" s="3">
        <f>I309</f>
        <v>0</v>
      </c>
      <c r="J37" s="3"/>
      <c r="K37" s="3"/>
      <c r="L37" s="3">
        <f t="shared" si="18"/>
        <v>9146.2799999999988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170464</v>
      </c>
      <c r="D38" s="3">
        <f t="shared" ref="D38:L38" si="19">SUM(D316:D322)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173543</v>
      </c>
      <c r="I38" s="3">
        <f>I322</f>
        <v>0</v>
      </c>
      <c r="J38" s="3"/>
      <c r="K38" s="3"/>
      <c r="L38" s="3">
        <f t="shared" si="19"/>
        <v>9024.2360000000008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182878</v>
      </c>
      <c r="D39" s="3">
        <f t="shared" ref="D39:L39" si="20">SUM(D329:D335)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188755</v>
      </c>
      <c r="I39" s="3">
        <f>I335</f>
        <v>0</v>
      </c>
      <c r="J39" s="3"/>
      <c r="K39" s="3"/>
      <c r="L39" s="3">
        <f t="shared" si="20"/>
        <v>9815.26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192649</v>
      </c>
      <c r="D40" s="3">
        <f t="shared" ref="D40:L40" si="21">SUM(D342:D348)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192649</v>
      </c>
      <c r="I40" s="3">
        <f>I348</f>
        <v>0</v>
      </c>
      <c r="J40" s="3"/>
      <c r="K40" s="3"/>
      <c r="L40" s="3">
        <f t="shared" si="21"/>
        <v>10017.748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160089</v>
      </c>
      <c r="D41" s="3">
        <f t="shared" ref="D41:L41" si="22">SUM(D355:D361)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160295</v>
      </c>
      <c r="I41" s="3">
        <f>I361</f>
        <v>0</v>
      </c>
      <c r="J41" s="3"/>
      <c r="K41" s="3"/>
      <c r="L41" s="3">
        <f t="shared" si="22"/>
        <v>8335.34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194387</v>
      </c>
      <c r="D42" s="3">
        <f t="shared" ref="D42:L42" si="23">SUM(D368:D374)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197806</v>
      </c>
      <c r="I42" s="3">
        <f>I374</f>
        <v>0</v>
      </c>
      <c r="J42" s="3"/>
      <c r="K42" s="3"/>
      <c r="L42" s="3">
        <f t="shared" si="23"/>
        <v>10285.912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175155</v>
      </c>
      <c r="D43" s="3">
        <f t="shared" ref="D43:L43" si="24">SUM(D381:D387)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181603</v>
      </c>
      <c r="I43" s="3">
        <f>I387</f>
        <v>0</v>
      </c>
      <c r="J43" s="3"/>
      <c r="K43" s="3"/>
      <c r="L43" s="3">
        <f t="shared" si="24"/>
        <v>9443.3559999999998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191615</v>
      </c>
      <c r="D44" s="3">
        <f t="shared" ref="D44:L44" si="25">SUM(D394:D400)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199914</v>
      </c>
      <c r="I44" s="3">
        <f>I400</f>
        <v>0</v>
      </c>
      <c r="J44" s="3"/>
      <c r="K44" s="3"/>
      <c r="L44" s="3">
        <f t="shared" si="25"/>
        <v>10395.528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190209</v>
      </c>
      <c r="D45" s="3">
        <f t="shared" ref="D45:L45" si="26">SUM(D407:D413)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198078</v>
      </c>
      <c r="I45" s="3">
        <f>I413</f>
        <v>0</v>
      </c>
      <c r="J45" s="3"/>
      <c r="K45" s="3"/>
      <c r="L45" s="3">
        <f t="shared" si="26"/>
        <v>10300.055999999999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189472</v>
      </c>
      <c r="D46" s="3">
        <f t="shared" ref="D46:L46" si="27">SUM(D420:D426)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193942</v>
      </c>
      <c r="I46" s="3">
        <f>I426</f>
        <v>0</v>
      </c>
      <c r="J46" s="3"/>
      <c r="K46" s="3"/>
      <c r="L46" s="3">
        <f t="shared" si="27"/>
        <v>10084.984000000002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188836</v>
      </c>
      <c r="D47" s="3">
        <f t="shared" ref="D47:L47" si="28">SUM(D433:D439)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191774</v>
      </c>
      <c r="I47" s="3">
        <f>I439</f>
        <v>0</v>
      </c>
      <c r="J47" s="3"/>
      <c r="K47" s="3"/>
      <c r="L47" s="3">
        <f t="shared" si="28"/>
        <v>9972.2479999999996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182328</v>
      </c>
      <c r="D48" s="3">
        <f t="shared" ref="D48:L48" si="29">SUM(D446:D452)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185199</v>
      </c>
      <c r="I48" s="3">
        <f>I452</f>
        <v>0</v>
      </c>
      <c r="J48" s="3"/>
      <c r="K48" s="3"/>
      <c r="L48" s="3">
        <f t="shared" si="29"/>
        <v>9630.348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166927</v>
      </c>
      <c r="D49" s="3">
        <f t="shared" ref="D49:L49" si="30">SUM(D459:D465)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168604</v>
      </c>
      <c r="I49" s="3">
        <f>I465</f>
        <v>0</v>
      </c>
      <c r="J49" s="3"/>
      <c r="K49" s="3"/>
      <c r="L49" s="3">
        <f t="shared" si="30"/>
        <v>8767.4079999999994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173380</v>
      </c>
      <c r="D50" s="3">
        <f t="shared" ref="D50:L50" si="31">SUM(D472:D478)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174131</v>
      </c>
      <c r="I50" s="3">
        <f>I478</f>
        <v>0</v>
      </c>
      <c r="J50" s="3"/>
      <c r="K50" s="3"/>
      <c r="L50" s="3">
        <f t="shared" si="31"/>
        <v>9054.8119999999999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66679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67396</v>
      </c>
      <c r="I153" s="3">
        <f>I474</f>
        <v>0</v>
      </c>
      <c r="J153" s="3"/>
      <c r="K153" s="3"/>
      <c r="L153" s="3">
        <f t="shared" si="76"/>
        <v>3504.5919999999996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79815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5" thickBot="1" x14ac:dyDescent="0.25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5" thickBot="1" x14ac:dyDescent="0.25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5" thickBot="1" x14ac:dyDescent="0.25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5" thickBot="1" x14ac:dyDescent="0.25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5" thickBot="1" x14ac:dyDescent="0.25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5" thickBot="1" x14ac:dyDescent="0.25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5" thickBot="1" x14ac:dyDescent="0.25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5" thickBot="1" x14ac:dyDescent="0.25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5" thickBot="1" x14ac:dyDescent="0.25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8">H342*52/1000</f>
        <v>1420.38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79">I342-I343</f>
        <v>0</v>
      </c>
      <c r="H343" s="67">
        <v>25709</v>
      </c>
      <c r="I343" s="67">
        <v>0</v>
      </c>
      <c r="J343" s="15"/>
      <c r="K343" s="15"/>
      <c r="L343" s="16">
        <f t="shared" si="78"/>
        <v>1336.8679999999999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79"/>
        <v>0</v>
      </c>
      <c r="H344" s="67">
        <v>27810</v>
      </c>
      <c r="I344" s="67">
        <v>0</v>
      </c>
      <c r="J344" s="15"/>
      <c r="K344" s="15"/>
      <c r="L344" s="16">
        <f t="shared" si="78"/>
        <v>1446.12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79"/>
        <v>0</v>
      </c>
      <c r="H345" s="67">
        <v>26327</v>
      </c>
      <c r="I345" s="67">
        <v>0</v>
      </c>
      <c r="L345" s="16">
        <f t="shared" si="78"/>
        <v>1369.0039999999999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79"/>
        <v>0</v>
      </c>
      <c r="H346" s="67">
        <v>28640</v>
      </c>
      <c r="I346" s="67">
        <v>0</v>
      </c>
      <c r="L346" s="16">
        <f t="shared" si="78"/>
        <v>1489.28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79"/>
        <v>0</v>
      </c>
      <c r="H347" s="67">
        <v>27995</v>
      </c>
      <c r="I347" s="67">
        <v>0</v>
      </c>
      <c r="L347" s="16">
        <f t="shared" si="78"/>
        <v>1455.74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79"/>
        <v>0</v>
      </c>
      <c r="H348" s="67">
        <v>28853</v>
      </c>
      <c r="I348" s="67">
        <v>0</v>
      </c>
      <c r="J348" s="15"/>
      <c r="K348" s="15"/>
      <c r="L348" s="16">
        <f t="shared" si="78"/>
        <v>1500.356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8"/>
        <v>1448.8240000000001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8"/>
        <v>928.46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8"/>
        <v>1306.0319999999999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8"/>
        <v>1421.472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8"/>
        <v>1505.452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0">H368*52/1000</f>
        <v>1564.3679999999999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1">I368-I369</f>
        <v>0</v>
      </c>
      <c r="H369" s="16">
        <v>27038</v>
      </c>
      <c r="I369" s="16">
        <v>0</v>
      </c>
      <c r="J369" s="15"/>
      <c r="K369" s="15"/>
      <c r="L369" s="14">
        <f t="shared" si="80"/>
        <v>1405.9760000000001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1"/>
        <v>0</v>
      </c>
      <c r="H370" s="16">
        <v>28106</v>
      </c>
      <c r="I370" s="16">
        <v>0</v>
      </c>
      <c r="J370" s="15"/>
      <c r="K370" s="15"/>
      <c r="L370" s="14">
        <f t="shared" si="80"/>
        <v>1461.5119999999999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1"/>
        <v>0</v>
      </c>
      <c r="H371" s="16">
        <v>28468</v>
      </c>
      <c r="I371" s="16">
        <v>0</v>
      </c>
      <c r="J371" s="15"/>
      <c r="K371" s="15"/>
      <c r="L371" s="14">
        <f t="shared" si="80"/>
        <v>1480.336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1"/>
        <v>0</v>
      </c>
      <c r="H372" s="16">
        <v>30047</v>
      </c>
      <c r="I372" s="16">
        <v>0</v>
      </c>
      <c r="J372" s="15"/>
      <c r="K372" s="15"/>
      <c r="L372" s="14">
        <f t="shared" si="80"/>
        <v>1562.444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1"/>
        <v>0</v>
      </c>
      <c r="H373" s="16">
        <v>27322</v>
      </c>
      <c r="I373" s="16">
        <v>0</v>
      </c>
      <c r="J373" s="15"/>
      <c r="K373" s="15"/>
      <c r="L373" s="14">
        <f t="shared" si="80"/>
        <v>1420.7439999999999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1"/>
        <v>0</v>
      </c>
      <c r="H374" s="16">
        <v>26741</v>
      </c>
      <c r="I374" s="16">
        <v>0</v>
      </c>
      <c r="J374" s="15"/>
      <c r="K374" s="15"/>
      <c r="L374" s="14">
        <f t="shared" si="80"/>
        <v>1390.5319999999999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0"/>
        <v>1367.3920000000001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0"/>
        <v>807.71600000000001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0"/>
        <v>1182.8440000000001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0"/>
        <v>1481.3240000000001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0"/>
        <v>1419.444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2">H381*52/1000</f>
        <v>1546.376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3">I381-I382</f>
        <v>0</v>
      </c>
      <c r="H382" s="16">
        <v>24987</v>
      </c>
      <c r="I382" s="16">
        <v>0</v>
      </c>
      <c r="J382" s="15"/>
      <c r="K382" s="15"/>
      <c r="L382" s="14">
        <f t="shared" si="82"/>
        <v>1299.3240000000001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3"/>
        <v>0</v>
      </c>
      <c r="H383" s="16">
        <v>26636</v>
      </c>
      <c r="I383" s="16">
        <v>0</v>
      </c>
      <c r="J383" s="15"/>
      <c r="K383" s="15"/>
      <c r="L383" s="14">
        <f t="shared" si="82"/>
        <v>1385.0719999999999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3"/>
        <v>0</v>
      </c>
      <c r="H384" s="16">
        <v>24085</v>
      </c>
      <c r="I384" s="16">
        <v>0</v>
      </c>
      <c r="J384" s="15"/>
      <c r="K384" s="15"/>
      <c r="L384" s="14">
        <f t="shared" si="82"/>
        <v>1252.42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3"/>
        <v>0</v>
      </c>
      <c r="H385" s="16">
        <v>24085</v>
      </c>
      <c r="I385" s="16">
        <v>0</v>
      </c>
      <c r="J385" s="15"/>
      <c r="K385" s="15"/>
      <c r="L385" s="14">
        <f t="shared" si="82"/>
        <v>1252.42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3"/>
        <v>0</v>
      </c>
      <c r="H386" s="16">
        <v>25061</v>
      </c>
      <c r="I386" s="16">
        <v>0</v>
      </c>
      <c r="J386" s="15"/>
      <c r="K386" s="15"/>
      <c r="L386" s="14">
        <f t="shared" si="82"/>
        <v>1303.172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3"/>
        <v>0</v>
      </c>
      <c r="H387" s="16">
        <v>27011</v>
      </c>
      <c r="I387" s="16">
        <v>0</v>
      </c>
      <c r="J387" s="15"/>
      <c r="K387" s="15"/>
      <c r="L387" s="14">
        <f t="shared" si="82"/>
        <v>1404.5719999999999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2"/>
        <v>1387.412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2"/>
        <v>1014.728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2"/>
        <v>1158.768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2"/>
        <v>1493.8040000000001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2"/>
        <v>1588.548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4">H394*52/1000</f>
        <v>1582.412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5">I394-I395</f>
        <v>0</v>
      </c>
      <c r="H395" s="16">
        <v>27912</v>
      </c>
      <c r="I395" s="16">
        <v>0</v>
      </c>
      <c r="J395" s="15"/>
      <c r="K395" s="15"/>
      <c r="L395" s="14">
        <f t="shared" si="84"/>
        <v>1451.424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5"/>
        <v>0</v>
      </c>
      <c r="H396" s="16">
        <v>29820</v>
      </c>
      <c r="I396" s="16">
        <v>0</v>
      </c>
      <c r="J396" s="15"/>
      <c r="K396" s="15"/>
      <c r="L396" s="14">
        <f t="shared" si="84"/>
        <v>1550.64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5"/>
        <v>0</v>
      </c>
      <c r="H397" s="16">
        <v>28572</v>
      </c>
      <c r="I397" s="16">
        <v>0</v>
      </c>
      <c r="J397" s="15"/>
      <c r="K397" s="15"/>
      <c r="L397" s="14">
        <f t="shared" si="84"/>
        <v>1485.7439999999999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5"/>
        <v>0</v>
      </c>
      <c r="H398" s="16">
        <v>29480</v>
      </c>
      <c r="I398" s="16">
        <v>0</v>
      </c>
      <c r="J398" s="15"/>
      <c r="K398" s="15"/>
      <c r="L398" s="14">
        <f t="shared" si="84"/>
        <v>1532.96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5"/>
        <v>0</v>
      </c>
      <c r="H399" s="16">
        <v>25650</v>
      </c>
      <c r="I399" s="16">
        <v>0</v>
      </c>
      <c r="J399" s="15"/>
      <c r="K399" s="15"/>
      <c r="L399" s="14">
        <f t="shared" si="84"/>
        <v>1333.8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5"/>
        <v>0</v>
      </c>
      <c r="H400" s="16">
        <v>28049</v>
      </c>
      <c r="I400" s="16">
        <v>0</v>
      </c>
      <c r="J400" s="15"/>
      <c r="K400" s="15"/>
      <c r="L400" s="14">
        <f t="shared" si="84"/>
        <v>1458.548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4"/>
        <v>1427.5039999999999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4"/>
        <v>955.65599999999995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4"/>
        <v>1471.184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4"/>
        <v>1524.2760000000001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4"/>
        <v>1636.3879999999999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6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6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6"/>
        <v>0</v>
      </c>
      <c r="H412" s="16">
        <v>27571</v>
      </c>
      <c r="I412" s="16">
        <v>0</v>
      </c>
      <c r="J412" s="15"/>
      <c r="K412" s="15"/>
      <c r="L412" s="14">
        <f t="shared" ref="L412:L418" si="87">H412*52/1000</f>
        <v>1433.692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6"/>
        <v>0</v>
      </c>
      <c r="H413" s="16">
        <v>28836</v>
      </c>
      <c r="I413" s="16">
        <v>0</v>
      </c>
      <c r="J413" s="15"/>
      <c r="K413" s="15"/>
      <c r="L413" s="14">
        <f t="shared" si="87"/>
        <v>1499.472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6"/>
        <v>0</v>
      </c>
      <c r="H414" s="16">
        <v>26531</v>
      </c>
      <c r="I414" s="16">
        <v>0</v>
      </c>
      <c r="L414" s="14">
        <f t="shared" si="87"/>
        <v>1379.6120000000001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6"/>
        <v>0</v>
      </c>
      <c r="H415" s="16">
        <v>15383</v>
      </c>
      <c r="I415" s="16">
        <v>0</v>
      </c>
      <c r="L415" s="14">
        <f t="shared" si="87"/>
        <v>799.91600000000005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7"/>
        <v>1348.048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7"/>
        <v>1372.384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7"/>
        <v>1472.64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8">H420*52/1000</f>
        <v>1501.6559999999999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8"/>
        <v>1373.84</v>
      </c>
      <c r="N421" s="23" t="str">
        <f>'Olieforbrug, TJ'!M421</f>
        <v>February</v>
      </c>
    </row>
    <row r="422" spans="1:14" ht="12" customHeight="1" x14ac:dyDescent="0.2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8"/>
        <v>1519.596</v>
      </c>
      <c r="N422" s="23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8"/>
        <v>1446.848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8"/>
        <v>1485.4839999999999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89">I424-I425</f>
        <v>0</v>
      </c>
      <c r="H425" s="16">
        <v>26754</v>
      </c>
      <c r="I425" s="16">
        <v>0</v>
      </c>
      <c r="J425" s="15"/>
      <c r="K425" s="15"/>
      <c r="L425" s="14">
        <f t="shared" si="88"/>
        <v>1391.2080000000001</v>
      </c>
      <c r="N425" s="23" t="str">
        <f>'Olieforbrug, TJ'!M425</f>
        <v>June</v>
      </c>
    </row>
    <row r="426" spans="1:14" ht="11.45" customHeight="1" x14ac:dyDescent="0.2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89"/>
        <v>0</v>
      </c>
      <c r="H426" s="16">
        <v>26276</v>
      </c>
      <c r="I426" s="16">
        <v>0</v>
      </c>
      <c r="J426" s="15"/>
      <c r="K426" s="15"/>
      <c r="L426" s="14">
        <f t="shared" si="88"/>
        <v>1366.3520000000001</v>
      </c>
      <c r="N426" s="23" t="str">
        <f>'Olieforbrug, TJ'!M426</f>
        <v>July</v>
      </c>
    </row>
    <row r="427" spans="1:14" ht="15" customHeight="1" x14ac:dyDescent="0.2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89"/>
        <v>0</v>
      </c>
      <c r="H427" s="16">
        <v>28310</v>
      </c>
      <c r="I427" s="16">
        <v>0</v>
      </c>
      <c r="J427" s="15"/>
      <c r="K427" s="15"/>
      <c r="L427" s="14">
        <f t="shared" si="88"/>
        <v>1472.12</v>
      </c>
      <c r="N427" s="23" t="str">
        <f>'Olieforbrug, TJ'!M427</f>
        <v>August</v>
      </c>
    </row>
    <row r="428" spans="1:14" ht="15" customHeight="1" x14ac:dyDescent="0.2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89"/>
        <v>0</v>
      </c>
      <c r="H428" s="16">
        <v>23701</v>
      </c>
      <c r="I428" s="16">
        <v>0</v>
      </c>
      <c r="J428" s="15"/>
      <c r="K428" s="15"/>
      <c r="L428" s="14">
        <f t="shared" si="88"/>
        <v>1232.452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89"/>
        <v>0</v>
      </c>
      <c r="H429" s="16">
        <v>28118</v>
      </c>
      <c r="I429" s="16">
        <v>0</v>
      </c>
      <c r="J429" s="15"/>
      <c r="K429" s="15"/>
      <c r="L429" s="14">
        <f t="shared" si="88"/>
        <v>1462.136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89"/>
        <v>0</v>
      </c>
      <c r="H430" s="16">
        <v>29048</v>
      </c>
      <c r="I430" s="16">
        <v>0</v>
      </c>
      <c r="J430" s="15"/>
      <c r="K430" s="15"/>
      <c r="L430" s="14">
        <f t="shared" si="88"/>
        <v>1510.4960000000001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8"/>
        <v>1560.0519999999999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0">I432-I433</f>
        <v>0</v>
      </c>
      <c r="H433" s="16">
        <v>29451</v>
      </c>
      <c r="I433" s="16">
        <v>0</v>
      </c>
      <c r="J433" s="15"/>
      <c r="K433" s="15"/>
      <c r="L433" s="14">
        <f t="shared" ref="L433:L438" si="91">H433*52/1000</f>
        <v>1531.452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0"/>
        <v>0</v>
      </c>
      <c r="H434" s="16">
        <v>27104</v>
      </c>
      <c r="I434" s="16">
        <v>0</v>
      </c>
      <c r="J434" s="15"/>
      <c r="K434" s="15"/>
      <c r="L434" s="14">
        <f t="shared" si="91"/>
        <v>1409.4079999999999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0"/>
        <v>0</v>
      </c>
      <c r="H435" s="16">
        <v>19474</v>
      </c>
      <c r="I435" s="16">
        <v>0</v>
      </c>
      <c r="J435" s="15"/>
      <c r="K435" s="15"/>
      <c r="L435" s="14">
        <f t="shared" si="91"/>
        <v>1012.648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0"/>
        <v>0</v>
      </c>
      <c r="H436" s="16">
        <v>28268</v>
      </c>
      <c r="I436" s="16">
        <v>0</v>
      </c>
      <c r="J436" s="15"/>
      <c r="K436" s="15"/>
      <c r="L436" s="14">
        <f t="shared" si="91"/>
        <v>1469.9359999999999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0"/>
        <v>0</v>
      </c>
      <c r="H437" s="16">
        <v>29751</v>
      </c>
      <c r="I437" s="16">
        <v>0</v>
      </c>
      <c r="J437" s="15"/>
      <c r="K437" s="15"/>
      <c r="L437" s="14">
        <f t="shared" si="91"/>
        <v>1547.0519999999999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0"/>
        <v>0</v>
      </c>
      <c r="H438" s="16">
        <v>28618</v>
      </c>
      <c r="I438" s="16">
        <v>0</v>
      </c>
      <c r="J438" s="15"/>
      <c r="K438" s="15"/>
      <c r="L438" s="14">
        <f t="shared" si="91"/>
        <v>1488.136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2">I438-I439</f>
        <v>0</v>
      </c>
      <c r="H439" s="16">
        <v>29108</v>
      </c>
      <c r="I439" s="16">
        <v>0</v>
      </c>
      <c r="J439" s="15"/>
      <c r="K439" s="15"/>
      <c r="L439" s="14">
        <f t="shared" ref="L439" si="93">H439*52/1000</f>
        <v>1513.616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4">I439-I440</f>
        <v>0</v>
      </c>
      <c r="H440" s="16">
        <v>28951</v>
      </c>
      <c r="I440" s="16">
        <v>0</v>
      </c>
      <c r="J440" s="15"/>
      <c r="K440" s="15"/>
      <c r="L440" s="14">
        <f t="shared" ref="L440" si="95">H440*52/1000</f>
        <v>1505.452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6">I440-I441</f>
        <v>0</v>
      </c>
      <c r="H441" s="16">
        <v>26853</v>
      </c>
      <c r="I441" s="16">
        <v>0</v>
      </c>
      <c r="J441" s="15"/>
      <c r="K441" s="15"/>
      <c r="L441" s="14">
        <f t="shared" ref="L441" si="97">H441*52/1000</f>
        <v>1396.356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8">I441-I442</f>
        <v>0</v>
      </c>
      <c r="H442" s="16">
        <v>18616</v>
      </c>
      <c r="I442" s="16">
        <v>0</v>
      </c>
      <c r="J442" s="15"/>
      <c r="K442" s="15"/>
      <c r="L442" s="14">
        <f t="shared" ref="L442" si="99">H442*52/1000</f>
        <v>968.03200000000004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0">I442-I443</f>
        <v>0</v>
      </c>
      <c r="H443" s="16">
        <v>28525</v>
      </c>
      <c r="I443" s="16">
        <v>0</v>
      </c>
      <c r="J443" s="15"/>
      <c r="K443" s="15"/>
      <c r="L443" s="14">
        <f t="shared" ref="L443" si="101">H443*52/1000</f>
        <v>1483.3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2">I443-I444</f>
        <v>0</v>
      </c>
      <c r="H444" s="42">
        <v>26868</v>
      </c>
      <c r="I444" s="42">
        <v>0</v>
      </c>
      <c r="J444" s="2"/>
      <c r="K444" s="2"/>
      <c r="L444" s="54">
        <f t="shared" ref="L444" si="103">H444*52/1000</f>
        <v>1397.136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4">H446*52/1000</f>
        <v>1348.4639999999999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5">I446-I447</f>
        <v>0</v>
      </c>
      <c r="H447" s="16">
        <v>23736</v>
      </c>
      <c r="I447" s="16">
        <v>0</v>
      </c>
      <c r="J447" s="15"/>
      <c r="K447" s="15"/>
      <c r="L447" s="14">
        <f t="shared" ref="L447" si="106">H447*52/1000</f>
        <v>1234.2719999999999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5"/>
        <v>0</v>
      </c>
      <c r="H448" s="16">
        <v>26836</v>
      </c>
      <c r="I448" s="16">
        <v>0</v>
      </c>
      <c r="J448" s="15"/>
      <c r="K448" s="15"/>
      <c r="L448" s="14">
        <f t="shared" ref="L448" si="107">H448*52/1000</f>
        <v>1395.472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5"/>
        <v>0</v>
      </c>
      <c r="H449" s="16">
        <v>25696</v>
      </c>
      <c r="I449" s="16">
        <v>0</v>
      </c>
      <c r="J449" s="15"/>
      <c r="K449" s="15"/>
      <c r="L449" s="14">
        <f t="shared" ref="L449" si="108">H449*52/1000</f>
        <v>1336.192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5"/>
        <v>0</v>
      </c>
      <c r="H450" s="16">
        <v>29355</v>
      </c>
      <c r="I450" s="16">
        <v>0</v>
      </c>
      <c r="J450" s="15"/>
      <c r="K450" s="15"/>
      <c r="L450" s="14">
        <f t="shared" ref="L450" si="109">H450*52/1000</f>
        <v>1526.46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5"/>
        <v>0</v>
      </c>
      <c r="H451" s="16">
        <v>25296</v>
      </c>
      <c r="I451" s="16">
        <v>0</v>
      </c>
      <c r="J451" s="15"/>
      <c r="K451" s="15"/>
      <c r="L451" s="14">
        <f t="shared" ref="L451" si="110">H451*52/1000</f>
        <v>1315.3920000000001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5"/>
        <v>0</v>
      </c>
      <c r="H452" s="16">
        <v>28348</v>
      </c>
      <c r="I452" s="16">
        <v>0</v>
      </c>
      <c r="J452" s="15"/>
      <c r="K452" s="15"/>
      <c r="L452" s="14">
        <f t="shared" ref="L452" si="111">H452*52/1000</f>
        <v>1474.096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16">
        <v>22821</v>
      </c>
      <c r="I453" s="16">
        <v>0</v>
      </c>
      <c r="J453" s="15"/>
      <c r="K453" s="15"/>
      <c r="L453" s="14">
        <f t="shared" ref="L453" si="113">H453*52/1000</f>
        <v>1186.692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4">I453-I454</f>
        <v>0</v>
      </c>
      <c r="H454" s="16">
        <v>27313</v>
      </c>
      <c r="I454" s="16">
        <v>0</v>
      </c>
      <c r="J454" s="15"/>
      <c r="K454" s="15"/>
      <c r="L454" s="14">
        <f t="shared" ref="L454" si="115">H454*52/1000</f>
        <v>1420.2760000000001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6">I454-I455</f>
        <v>0</v>
      </c>
      <c r="H455" s="16">
        <v>29242</v>
      </c>
      <c r="I455" s="16">
        <v>0</v>
      </c>
      <c r="J455" s="15"/>
      <c r="K455" s="15"/>
      <c r="L455" s="14">
        <f t="shared" ref="L455" si="117">H455*52/1000</f>
        <v>1520.5840000000001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8">I455-I456</f>
        <v>0</v>
      </c>
      <c r="H456" s="16">
        <v>26942</v>
      </c>
      <c r="I456" s="16">
        <v>0</v>
      </c>
      <c r="J456" s="15"/>
      <c r="K456" s="15"/>
      <c r="L456" s="14">
        <f t="shared" ref="L456" si="119">H456*52/1000</f>
        <v>1400.9839999999999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0">I456-I457</f>
        <v>0</v>
      </c>
      <c r="H457" s="72">
        <v>30296</v>
      </c>
      <c r="I457" s="72">
        <v>0</v>
      </c>
      <c r="J457" s="66"/>
      <c r="K457" s="66"/>
      <c r="L457" s="72">
        <f t="shared" ref="L457" si="121">H457*52/1000</f>
        <v>1575.3920000000001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2">H459*52/1000</f>
        <v>1238.7439999999999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3">I459-I460</f>
        <v>0</v>
      </c>
      <c r="H460" s="16">
        <v>19437</v>
      </c>
      <c r="I460" s="16">
        <v>0</v>
      </c>
      <c r="J460" s="15"/>
      <c r="K460" s="15"/>
      <c r="L460" s="14">
        <f t="shared" ref="L460" si="124">H460*52/1000</f>
        <v>1010.724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3"/>
        <v>0</v>
      </c>
      <c r="H461" s="16">
        <v>32382</v>
      </c>
      <c r="I461" s="16">
        <v>0</v>
      </c>
      <c r="J461" s="15"/>
      <c r="K461" s="15"/>
      <c r="L461" s="14">
        <f t="shared" ref="L461" si="125">H461*52/1000</f>
        <v>1683.864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3"/>
        <v>0</v>
      </c>
      <c r="H462" s="16">
        <v>20700</v>
      </c>
      <c r="I462" s="16">
        <v>0</v>
      </c>
      <c r="J462" s="15"/>
      <c r="K462" s="15"/>
      <c r="L462" s="14">
        <f t="shared" ref="L462" si="126">H462*52/1000</f>
        <v>1076.4000000000001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3"/>
        <v>0</v>
      </c>
      <c r="H463" s="16">
        <v>27926</v>
      </c>
      <c r="I463" s="16">
        <v>0</v>
      </c>
      <c r="J463" s="15"/>
      <c r="K463" s="15"/>
      <c r="L463" s="14">
        <f t="shared" ref="L463" si="127">H463*52/1000</f>
        <v>1452.152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3"/>
        <v>0</v>
      </c>
      <c r="H464" s="16">
        <v>26249</v>
      </c>
      <c r="I464" s="16">
        <v>0</v>
      </c>
      <c r="J464" s="15"/>
      <c r="K464" s="15"/>
      <c r="L464" s="14">
        <f t="shared" ref="L464" si="128">H464*52/1000</f>
        <v>1364.9480000000001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3"/>
        <v>0</v>
      </c>
      <c r="H465" s="16">
        <v>18088</v>
      </c>
      <c r="I465" s="16">
        <v>0</v>
      </c>
      <c r="J465" s="15"/>
      <c r="K465" s="15"/>
      <c r="L465" s="14">
        <f t="shared" ref="L465" si="129">H465*52/1000</f>
        <v>940.57600000000002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0">I465-I466</f>
        <v>0</v>
      </c>
      <c r="H466" s="16">
        <v>27971</v>
      </c>
      <c r="I466" s="16">
        <v>0</v>
      </c>
      <c r="J466" s="15"/>
      <c r="K466" s="15"/>
      <c r="L466" s="14">
        <f t="shared" ref="L466" si="131">H466*52/1000</f>
        <v>1454.492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2">I466-I467</f>
        <v>0</v>
      </c>
      <c r="H467" s="16">
        <v>13366</v>
      </c>
      <c r="I467" s="16">
        <v>0</v>
      </c>
      <c r="J467" s="15"/>
      <c r="K467" s="15"/>
      <c r="L467" s="14">
        <f t="shared" ref="L467" si="133">H467*52/1000</f>
        <v>695.03200000000004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4">I467-I468</f>
        <v>0</v>
      </c>
      <c r="H468" s="16">
        <v>29691</v>
      </c>
      <c r="I468" s="16">
        <v>0</v>
      </c>
      <c r="J468" s="15"/>
      <c r="K468" s="15"/>
      <c r="L468" s="14">
        <f t="shared" ref="L468" si="135">H468*52/1000</f>
        <v>1543.932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6">I468-I469</f>
        <v>0</v>
      </c>
      <c r="H469" s="16">
        <v>24887</v>
      </c>
      <c r="I469" s="16">
        <v>0</v>
      </c>
      <c r="J469" s="15"/>
      <c r="K469" s="15"/>
      <c r="L469" s="14">
        <f t="shared" ref="L469" si="137">H469*52/1000</f>
        <v>1294.124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8">I469-I470</f>
        <v>0</v>
      </c>
      <c r="H470" s="42">
        <v>29094</v>
      </c>
      <c r="I470" s="42">
        <v>0</v>
      </c>
      <c r="J470" s="2"/>
      <c r="K470" s="2"/>
      <c r="L470" s="54">
        <f t="shared" ref="L470" si="139">H470*52/1000</f>
        <v>1512.8879999999999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0">H472*52/1000</f>
        <v>1237.912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1">I472-I473</f>
        <v>0</v>
      </c>
      <c r="H473" s="16">
        <v>23829</v>
      </c>
      <c r="I473" s="16">
        <v>0</v>
      </c>
      <c r="J473" s="15"/>
      <c r="K473" s="15"/>
      <c r="L473" s="14">
        <f t="shared" ref="L473" si="142">H473*52/1000</f>
        <v>1239.1079999999999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1"/>
        <v>0</v>
      </c>
      <c r="H474" s="16">
        <v>19761</v>
      </c>
      <c r="I474" s="16">
        <v>0</v>
      </c>
      <c r="J474" s="15"/>
      <c r="K474" s="15"/>
      <c r="L474" s="14">
        <f t="shared" ref="L474" si="143">H474*52/1000</f>
        <v>1027.5719999999999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1"/>
        <v>0</v>
      </c>
      <c r="H475" s="16">
        <v>22870</v>
      </c>
      <c r="I475" s="16">
        <v>0</v>
      </c>
      <c r="J475" s="15"/>
      <c r="K475" s="15"/>
      <c r="L475" s="14">
        <f t="shared" ref="L475" si="144">H475*52/1000</f>
        <v>1189.24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1"/>
        <v>0</v>
      </c>
      <c r="H476" s="16">
        <v>24920</v>
      </c>
      <c r="I476" s="16">
        <v>0</v>
      </c>
      <c r="J476" s="15"/>
      <c r="K476" s="15"/>
      <c r="L476" s="14">
        <f t="shared" ref="L476" si="145">H476*52/1000</f>
        <v>1295.8399999999999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1"/>
        <v>0</v>
      </c>
      <c r="H477" s="16">
        <v>32059</v>
      </c>
      <c r="I477" s="16">
        <v>0</v>
      </c>
      <c r="J477" s="15"/>
      <c r="K477" s="15"/>
      <c r="L477" s="14">
        <f t="shared" ref="L477" si="146">H477*52/1000</f>
        <v>1667.068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1"/>
        <v>0</v>
      </c>
      <c r="H478" s="16">
        <v>26886</v>
      </c>
      <c r="I478" s="16">
        <v>0</v>
      </c>
      <c r="J478" s="15"/>
      <c r="K478" s="15"/>
      <c r="L478" s="14">
        <f t="shared" ref="L478" si="147">H478*52/1000</f>
        <v>1398.0719999999999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indexed="42"/>
  </sheetPr>
  <dimension ref="A1:P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I483" sqref="I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0</v>
      </c>
      <c r="D30" s="3">
        <f t="shared" ref="D30:L30" si="11">SUM(D212:D218)</f>
        <v>177712</v>
      </c>
      <c r="E30" s="3">
        <f t="shared" si="11"/>
        <v>5726</v>
      </c>
      <c r="F30" s="3">
        <f t="shared" si="11"/>
        <v>0</v>
      </c>
      <c r="G30" s="3">
        <f t="shared" si="11"/>
        <v>-24765</v>
      </c>
      <c r="H30" s="3">
        <f t="shared" si="11"/>
        <v>150422</v>
      </c>
      <c r="I30" s="3">
        <f>I218</f>
        <v>105721</v>
      </c>
      <c r="J30" s="3"/>
      <c r="K30" s="3"/>
      <c r="L30" s="3">
        <f t="shared" si="11"/>
        <v>4723.2507999999998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0</v>
      </c>
      <c r="D31" s="3">
        <f t="shared" ref="D31:L31" si="12">SUM(D225:D231)</f>
        <v>166306</v>
      </c>
      <c r="E31" s="3">
        <f t="shared" si="12"/>
        <v>5034</v>
      </c>
      <c r="F31" s="3">
        <f t="shared" si="12"/>
        <v>0</v>
      </c>
      <c r="G31" s="3">
        <f t="shared" si="12"/>
        <v>-10129</v>
      </c>
      <c r="H31" s="3">
        <f t="shared" si="12"/>
        <v>151235</v>
      </c>
      <c r="I31" s="3">
        <f>I231</f>
        <v>118333</v>
      </c>
      <c r="J31" s="3"/>
      <c r="K31" s="3"/>
      <c r="L31" s="3">
        <f t="shared" si="12"/>
        <v>4748.7789999999995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0</v>
      </c>
      <c r="D32" s="3">
        <f t="shared" ref="D32:L32" si="13">SUM(D238:D244)</f>
        <v>197291</v>
      </c>
      <c r="E32" s="3">
        <f t="shared" si="13"/>
        <v>3938</v>
      </c>
      <c r="F32" s="3">
        <f t="shared" si="13"/>
        <v>0</v>
      </c>
      <c r="G32" s="3">
        <f t="shared" si="13"/>
        <v>-23407</v>
      </c>
      <c r="H32" s="3">
        <f t="shared" si="13"/>
        <v>169874</v>
      </c>
      <c r="I32" s="3">
        <f>I244</f>
        <v>86911</v>
      </c>
      <c r="J32" s="3"/>
      <c r="K32" s="3"/>
      <c r="L32" s="3">
        <f t="shared" si="13"/>
        <v>5334.0436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0</v>
      </c>
      <c r="D33" s="3">
        <f t="shared" ref="D33:L33" si="14">SUM(D251:D257)</f>
        <v>231070</v>
      </c>
      <c r="E33" s="3">
        <f t="shared" si="14"/>
        <v>7714</v>
      </c>
      <c r="F33" s="3">
        <f t="shared" si="14"/>
        <v>0</v>
      </c>
      <c r="G33" s="3">
        <f t="shared" si="14"/>
        <v>-85145</v>
      </c>
      <c r="H33" s="3">
        <f t="shared" si="14"/>
        <v>138174</v>
      </c>
      <c r="I33" s="3">
        <f>I257</f>
        <v>170433</v>
      </c>
      <c r="J33" s="3"/>
      <c r="K33" s="3"/>
      <c r="L33" s="3">
        <f t="shared" si="14"/>
        <v>4338.6635999999999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0</v>
      </c>
      <c r="D34" s="3">
        <f t="shared" ref="D34:L34" si="15">SUM(D264:D270)</f>
        <v>128110</v>
      </c>
      <c r="E34" s="3">
        <f t="shared" si="15"/>
        <v>3610</v>
      </c>
      <c r="F34" s="3">
        <f t="shared" si="15"/>
        <v>0</v>
      </c>
      <c r="G34" s="3">
        <f t="shared" si="15"/>
        <v>-22584</v>
      </c>
      <c r="H34" s="3">
        <f t="shared" si="15"/>
        <v>101665</v>
      </c>
      <c r="I34" s="3">
        <f>I270</f>
        <v>165341</v>
      </c>
      <c r="J34" s="3"/>
      <c r="K34" s="3"/>
      <c r="L34" s="3">
        <f t="shared" si="15"/>
        <v>3192.2809999999999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0</v>
      </c>
      <c r="D35" s="3">
        <f t="shared" ref="D35:L35" si="16">SUM(D277:D283)</f>
        <v>33627</v>
      </c>
      <c r="E35" s="3">
        <f t="shared" si="16"/>
        <v>5928</v>
      </c>
      <c r="F35" s="3">
        <f t="shared" si="16"/>
        <v>0</v>
      </c>
      <c r="G35" s="3">
        <f t="shared" si="16"/>
        <v>58933</v>
      </c>
      <c r="H35" s="3">
        <f t="shared" si="16"/>
        <v>86605</v>
      </c>
      <c r="I35" s="3">
        <f>I283</f>
        <v>50728</v>
      </c>
      <c r="J35" s="3"/>
      <c r="K35" s="3"/>
      <c r="L35" s="3">
        <f t="shared" si="16"/>
        <v>2719.3969999999995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0</v>
      </c>
      <c r="D36" s="3">
        <f t="shared" ref="D36:L36" si="17">SUM(D290:D296)</f>
        <v>139730</v>
      </c>
      <c r="E36" s="3">
        <f t="shared" si="17"/>
        <v>3683</v>
      </c>
      <c r="F36" s="3">
        <f t="shared" si="17"/>
        <v>0</v>
      </c>
      <c r="G36" s="3">
        <f t="shared" si="17"/>
        <v>-21666</v>
      </c>
      <c r="H36" s="3">
        <f t="shared" si="17"/>
        <v>114165</v>
      </c>
      <c r="I36" s="3">
        <f>I296</f>
        <v>72815</v>
      </c>
      <c r="J36" s="3"/>
      <c r="K36" s="3"/>
      <c r="L36" s="3">
        <f t="shared" si="17"/>
        <v>3584.7809999999995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0</v>
      </c>
      <c r="D37" s="3">
        <f t="shared" ref="D37:L37" si="18">SUM(D303:D309)</f>
        <v>135945</v>
      </c>
      <c r="E37" s="3">
        <f t="shared" si="18"/>
        <v>2830</v>
      </c>
      <c r="F37" s="3">
        <f t="shared" si="18"/>
        <v>0</v>
      </c>
      <c r="G37" s="3">
        <f t="shared" si="18"/>
        <v>-5179</v>
      </c>
      <c r="H37" s="3">
        <f t="shared" si="18"/>
        <v>127863</v>
      </c>
      <c r="I37" s="3">
        <f>I309</f>
        <v>94469</v>
      </c>
      <c r="J37" s="3"/>
      <c r="K37" s="3"/>
      <c r="L37" s="3">
        <f t="shared" si="18"/>
        <v>4014.8981999999996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0</v>
      </c>
      <c r="D38" s="3">
        <f t="shared" ref="D38:L38" si="19">SUM(D316:D322)</f>
        <v>117104</v>
      </c>
      <c r="E38" s="3">
        <f t="shared" si="19"/>
        <v>2178</v>
      </c>
      <c r="F38" s="3">
        <f t="shared" si="19"/>
        <v>0</v>
      </c>
      <c r="G38" s="3">
        <f t="shared" si="19"/>
        <v>-18879</v>
      </c>
      <c r="H38" s="3">
        <f t="shared" si="19"/>
        <v>96590</v>
      </c>
      <c r="I38" s="3">
        <f>I322</f>
        <v>83552</v>
      </c>
      <c r="J38" s="3"/>
      <c r="K38" s="3"/>
      <c r="L38" s="3">
        <f t="shared" si="19"/>
        <v>3032.9260000000004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0</v>
      </c>
      <c r="D39" s="3">
        <f t="shared" ref="D39:L39" si="20">SUM(D329:D335)</f>
        <v>148575</v>
      </c>
      <c r="E39" s="3">
        <f t="shared" si="20"/>
        <v>1284</v>
      </c>
      <c r="F39" s="3">
        <f t="shared" si="20"/>
        <v>0</v>
      </c>
      <c r="G39" s="3">
        <f t="shared" si="20"/>
        <v>-35191</v>
      </c>
      <c r="H39" s="3">
        <f t="shared" si="20"/>
        <v>111984</v>
      </c>
      <c r="I39" s="3">
        <f>I335</f>
        <v>87429</v>
      </c>
      <c r="J39" s="3"/>
      <c r="K39" s="3"/>
      <c r="L39" s="3">
        <f t="shared" si="20"/>
        <v>3516.2975999999999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0</v>
      </c>
      <c r="D40" s="3">
        <f t="shared" ref="D40:L40" si="21">SUM(D342:D348)</f>
        <v>105463</v>
      </c>
      <c r="E40" s="3">
        <f t="shared" si="21"/>
        <v>853</v>
      </c>
      <c r="F40" s="3">
        <f t="shared" si="21"/>
        <v>0</v>
      </c>
      <c r="G40" s="3">
        <f t="shared" si="21"/>
        <v>12041</v>
      </c>
      <c r="H40" s="3">
        <f t="shared" si="21"/>
        <v>116527</v>
      </c>
      <c r="I40" s="3">
        <f>I348</f>
        <v>117362</v>
      </c>
      <c r="J40" s="3"/>
      <c r="K40" s="3"/>
      <c r="L40" s="3">
        <f t="shared" si="21"/>
        <v>3658.9477999999995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0</v>
      </c>
      <c r="D41" s="3">
        <f t="shared" ref="D41:L41" si="22">SUM(D355:D361)</f>
        <v>108646</v>
      </c>
      <c r="E41" s="3">
        <f t="shared" si="22"/>
        <v>582</v>
      </c>
      <c r="F41" s="3">
        <f t="shared" si="22"/>
        <v>0</v>
      </c>
      <c r="G41" s="3">
        <f t="shared" si="22"/>
        <v>26323</v>
      </c>
      <c r="H41" s="3">
        <f t="shared" si="22"/>
        <v>134374</v>
      </c>
      <c r="I41" s="3">
        <f>I361</f>
        <v>67623</v>
      </c>
      <c r="J41" s="3"/>
      <c r="K41" s="3"/>
      <c r="L41" s="3">
        <f t="shared" si="22"/>
        <v>4219.3436000000002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0</v>
      </c>
      <c r="D42" s="3">
        <f t="shared" ref="D42:L42" si="23">SUM(D368:D374)</f>
        <v>115576</v>
      </c>
      <c r="E42" s="3">
        <f t="shared" si="23"/>
        <v>634</v>
      </c>
      <c r="F42" s="3">
        <f t="shared" si="23"/>
        <v>0</v>
      </c>
      <c r="G42" s="3">
        <f t="shared" si="23"/>
        <v>28407</v>
      </c>
      <c r="H42" s="3">
        <f t="shared" si="23"/>
        <v>143342</v>
      </c>
      <c r="I42" s="3">
        <f>I374</f>
        <v>65355</v>
      </c>
      <c r="J42" s="3"/>
      <c r="K42" s="3"/>
      <c r="L42" s="3">
        <f t="shared" si="23"/>
        <v>4500.9387999999999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0</v>
      </c>
      <c r="D43" s="3">
        <f t="shared" ref="D43:L43" si="24">SUM(D381:D387)</f>
        <v>59149</v>
      </c>
      <c r="E43" s="3">
        <f t="shared" si="24"/>
        <v>314</v>
      </c>
      <c r="F43" s="3">
        <f t="shared" si="24"/>
        <v>0</v>
      </c>
      <c r="G43" s="3">
        <f t="shared" si="24"/>
        <v>-772</v>
      </c>
      <c r="H43" s="3">
        <f t="shared" si="24"/>
        <v>127152</v>
      </c>
      <c r="I43" s="3">
        <f>I387</f>
        <v>67910</v>
      </c>
      <c r="J43" s="3"/>
      <c r="K43" s="3"/>
      <c r="L43" s="3">
        <f t="shared" si="24"/>
        <v>3992.5728000000004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0</v>
      </c>
      <c r="D44" s="3">
        <f t="shared" ref="D44:L44" si="25">SUM(D394:D400)</f>
        <v>169226</v>
      </c>
      <c r="E44" s="3">
        <f t="shared" si="25"/>
        <v>0</v>
      </c>
      <c r="F44" s="3">
        <f t="shared" si="25"/>
        <v>0</v>
      </c>
      <c r="G44" s="3">
        <f t="shared" si="25"/>
        <v>-34623</v>
      </c>
      <c r="H44" s="3">
        <f t="shared" si="25"/>
        <v>134603</v>
      </c>
      <c r="I44" s="3">
        <f>I400</f>
        <v>68867</v>
      </c>
      <c r="J44" s="3"/>
      <c r="K44" s="3"/>
      <c r="L44" s="3">
        <f t="shared" si="25"/>
        <v>4226.5342000000001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0</v>
      </c>
      <c r="D45" s="3">
        <f t="shared" ref="D45:L45" si="26">SUM(D407:D413)</f>
        <v>185600</v>
      </c>
      <c r="E45" s="3">
        <f t="shared" si="26"/>
        <v>9</v>
      </c>
      <c r="F45" s="3">
        <f t="shared" si="26"/>
        <v>0</v>
      </c>
      <c r="G45" s="3">
        <f t="shared" si="26"/>
        <v>-36371</v>
      </c>
      <c r="H45" s="3">
        <f t="shared" si="26"/>
        <v>149258</v>
      </c>
      <c r="I45" s="3">
        <f>I413</f>
        <v>96738</v>
      </c>
      <c r="J45" s="3"/>
      <c r="K45" s="3"/>
      <c r="L45" s="3">
        <f t="shared" si="26"/>
        <v>4686.7011999999995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0</v>
      </c>
      <c r="D46" s="3">
        <f t="shared" ref="D46:L46" si="27">SUM(D420:D426)</f>
        <v>145544</v>
      </c>
      <c r="E46" s="3">
        <f t="shared" si="27"/>
        <v>0</v>
      </c>
      <c r="F46" s="3">
        <f t="shared" si="27"/>
        <v>0</v>
      </c>
      <c r="G46" s="3">
        <f t="shared" si="27"/>
        <v>-18669</v>
      </c>
      <c r="H46" s="3">
        <f t="shared" si="27"/>
        <v>126875</v>
      </c>
      <c r="I46" s="3">
        <f>I426</f>
        <v>52425</v>
      </c>
      <c r="J46" s="3"/>
      <c r="K46" s="3"/>
      <c r="L46" s="3">
        <f t="shared" si="27"/>
        <v>3983.8749999999991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0</v>
      </c>
      <c r="D47" s="3">
        <f t="shared" ref="D47:L47" si="28">SUM(D433:D439)</f>
        <v>153846</v>
      </c>
      <c r="E47" s="3">
        <f t="shared" si="28"/>
        <v>0</v>
      </c>
      <c r="F47" s="3">
        <f t="shared" si="28"/>
        <v>0</v>
      </c>
      <c r="G47" s="3">
        <f t="shared" si="28"/>
        <v>-8212</v>
      </c>
      <c r="H47" s="3">
        <f t="shared" si="28"/>
        <v>145633</v>
      </c>
      <c r="I47" s="3">
        <f>I439</f>
        <v>62761</v>
      </c>
      <c r="J47" s="3"/>
      <c r="K47" s="3"/>
      <c r="L47" s="3">
        <f t="shared" si="28"/>
        <v>4572.8762000000006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0</v>
      </c>
      <c r="D48" s="3">
        <f t="shared" ref="D48:L48" si="29">SUM(D446:D452)</f>
        <v>113337</v>
      </c>
      <c r="E48" s="3">
        <f t="shared" si="29"/>
        <v>0</v>
      </c>
      <c r="F48" s="3">
        <f t="shared" si="29"/>
        <v>0</v>
      </c>
      <c r="G48" s="3">
        <f t="shared" si="29"/>
        <v>-17750</v>
      </c>
      <c r="H48" s="3">
        <f t="shared" si="29"/>
        <v>74440</v>
      </c>
      <c r="I48" s="3">
        <f>I452</f>
        <v>63206</v>
      </c>
      <c r="J48" s="3"/>
      <c r="K48" s="3"/>
      <c r="L48" s="3">
        <f t="shared" si="29"/>
        <v>2337.4159999999997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0</v>
      </c>
      <c r="D49" s="3">
        <f t="shared" ref="D49:L49" si="30">SUM(D459:D465)</f>
        <v>84761</v>
      </c>
      <c r="E49" s="3">
        <f t="shared" si="30"/>
        <v>11516</v>
      </c>
      <c r="F49" s="3">
        <f t="shared" si="30"/>
        <v>0</v>
      </c>
      <c r="G49" s="3">
        <f t="shared" si="30"/>
        <v>1802</v>
      </c>
      <c r="H49" s="3">
        <f t="shared" si="30"/>
        <v>75047</v>
      </c>
      <c r="I49" s="3">
        <f>I465</f>
        <v>46198</v>
      </c>
      <c r="J49" s="3"/>
      <c r="K49" s="3"/>
      <c r="L49" s="3">
        <f t="shared" si="30"/>
        <v>2356.4758000000002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0</v>
      </c>
      <c r="D50" s="3">
        <f t="shared" ref="D50:L50" si="31">SUM(D472:D478)</f>
        <v>56143</v>
      </c>
      <c r="E50" s="3">
        <f t="shared" si="31"/>
        <v>3928</v>
      </c>
      <c r="F50" s="3">
        <f t="shared" si="31"/>
        <v>0</v>
      </c>
      <c r="G50" s="3">
        <f t="shared" si="31"/>
        <v>11952</v>
      </c>
      <c r="H50" s="3">
        <f t="shared" si="31"/>
        <v>64268</v>
      </c>
      <c r="I50" s="3">
        <f>I478</f>
        <v>34436</v>
      </c>
      <c r="J50" s="3"/>
      <c r="K50" s="3"/>
      <c r="L50" s="3">
        <f t="shared" si="31"/>
        <v>2018.0151999999998</v>
      </c>
      <c r="M50" s="3"/>
      <c r="N50" s="22">
        <f>'Olieforbrug, TJ'!M50</f>
        <v>2025</v>
      </c>
      <c r="P50" s="3"/>
    </row>
    <row r="51" spans="1:16" x14ac:dyDescent="0.2">
      <c r="A51" s="22"/>
      <c r="H51" s="51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30557</v>
      </c>
      <c r="E153" s="3">
        <f t="shared" si="76"/>
        <v>3928</v>
      </c>
      <c r="F153" s="3">
        <f t="shared" si="76"/>
        <v>0</v>
      </c>
      <c r="G153" s="3">
        <f t="shared" si="76"/>
        <v>-8542</v>
      </c>
      <c r="H153" s="3">
        <f t="shared" si="76"/>
        <v>18188</v>
      </c>
      <c r="I153" s="3">
        <f>I474</f>
        <v>54930</v>
      </c>
      <c r="J153" s="3"/>
      <c r="K153" s="3"/>
      <c r="L153" s="3">
        <f t="shared" si="76"/>
        <v>571.10320000000002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23589</v>
      </c>
      <c r="E154" s="3">
        <f t="shared" si="77"/>
        <v>0</v>
      </c>
      <c r="F154" s="3">
        <f t="shared" si="77"/>
        <v>0</v>
      </c>
      <c r="G154" s="3">
        <f t="shared" si="77"/>
        <v>7543</v>
      </c>
      <c r="H154" s="3">
        <f t="shared" si="77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8">H342*31.4/1000</f>
        <v>449.74219999999997</v>
      </c>
      <c r="N342" s="23" t="s">
        <v>115</v>
      </c>
    </row>
    <row r="343" spans="1:14" x14ac:dyDescent="0.2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79">I342-I343</f>
        <v>9257</v>
      </c>
      <c r="H343" s="67">
        <v>12153</v>
      </c>
      <c r="I343" s="67">
        <v>136052</v>
      </c>
      <c r="J343" s="15"/>
      <c r="K343" s="15"/>
      <c r="L343" s="16">
        <f t="shared" si="78"/>
        <v>381.60419999999999</v>
      </c>
      <c r="N343" s="23" t="s">
        <v>116</v>
      </c>
    </row>
    <row r="344" spans="1:14" x14ac:dyDescent="0.2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79"/>
        <v>-21661</v>
      </c>
      <c r="H344" s="67">
        <v>13713</v>
      </c>
      <c r="I344" s="67">
        <v>157713</v>
      </c>
      <c r="J344" s="15"/>
      <c r="K344" s="15"/>
      <c r="L344" s="16">
        <f t="shared" si="78"/>
        <v>430.58819999999997</v>
      </c>
      <c r="N344" s="23" t="s">
        <v>117</v>
      </c>
    </row>
    <row r="345" spans="1:14" x14ac:dyDescent="0.2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79"/>
        <v>18997</v>
      </c>
      <c r="H345" s="67">
        <v>18903</v>
      </c>
      <c r="I345" s="67">
        <v>138716</v>
      </c>
      <c r="L345" s="16">
        <f t="shared" si="78"/>
        <v>593.55419999999992</v>
      </c>
      <c r="N345" s="23" t="s">
        <v>118</v>
      </c>
    </row>
    <row r="346" spans="1:14" x14ac:dyDescent="0.2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79"/>
        <v>20854</v>
      </c>
      <c r="H346" s="67">
        <v>20860</v>
      </c>
      <c r="I346" s="67">
        <v>117862</v>
      </c>
      <c r="L346" s="16">
        <f t="shared" si="78"/>
        <v>655.00400000000002</v>
      </c>
      <c r="N346" s="23" t="s">
        <v>119</v>
      </c>
    </row>
    <row r="347" spans="1:14" x14ac:dyDescent="0.2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79"/>
        <v>17273</v>
      </c>
      <c r="H347" s="67">
        <v>17426</v>
      </c>
      <c r="I347" s="67">
        <v>100589</v>
      </c>
      <c r="L347" s="16">
        <f t="shared" si="78"/>
        <v>547.17640000000006</v>
      </c>
      <c r="N347" s="23" t="s">
        <v>120</v>
      </c>
    </row>
    <row r="348" spans="1:14" x14ac:dyDescent="0.2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79"/>
        <v>-16773</v>
      </c>
      <c r="H348" s="67">
        <v>19149</v>
      </c>
      <c r="I348" s="67">
        <v>117362</v>
      </c>
      <c r="L348" s="16">
        <f t="shared" si="78"/>
        <v>601.27859999999998</v>
      </c>
      <c r="N348" s="23" t="s">
        <v>121</v>
      </c>
    </row>
    <row r="349" spans="1:14" x14ac:dyDescent="0.2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8"/>
        <v>584.22840000000008</v>
      </c>
      <c r="N349" s="23" t="s">
        <v>122</v>
      </c>
    </row>
    <row r="350" spans="1:14" x14ac:dyDescent="0.2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8"/>
        <v>499.00880000000001</v>
      </c>
      <c r="N350" s="23" t="s">
        <v>123</v>
      </c>
    </row>
    <row r="351" spans="1:14" x14ac:dyDescent="0.2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8"/>
        <v>700.25139999999999</v>
      </c>
      <c r="N351" s="23" t="s">
        <v>124</v>
      </c>
    </row>
    <row r="352" spans="1:14" x14ac:dyDescent="0.2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8"/>
        <v>548.90340000000003</v>
      </c>
      <c r="N352" s="23" t="s">
        <v>125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8"/>
        <v>587.24279999999987</v>
      </c>
      <c r="N353" s="43" t="s">
        <v>113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0">H368*31.4/1000</f>
        <v>712.81140000000005</v>
      </c>
      <c r="N368" s="23" t="str">
        <f>'Olieforbrug, TJ'!M368</f>
        <v>January</v>
      </c>
    </row>
    <row r="369" spans="1:14" x14ac:dyDescent="0.2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1">I368-I369</f>
        <v>11927</v>
      </c>
      <c r="H369" s="16">
        <v>14038</v>
      </c>
      <c r="I369" s="16">
        <v>79649</v>
      </c>
      <c r="J369" s="15"/>
      <c r="K369" s="15"/>
      <c r="L369" s="16">
        <f t="shared" si="80"/>
        <v>440.79319999999996</v>
      </c>
      <c r="N369" s="23" t="str">
        <f>'Olieforbrug, TJ'!M369</f>
        <v>February</v>
      </c>
    </row>
    <row r="370" spans="1:14" x14ac:dyDescent="0.2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1"/>
        <v>-15540</v>
      </c>
      <c r="H370" s="16">
        <v>19415</v>
      </c>
      <c r="I370" s="16">
        <v>95189</v>
      </c>
      <c r="J370" s="15"/>
      <c r="K370" s="15"/>
      <c r="L370" s="16">
        <f t="shared" si="80"/>
        <v>609.63099999999997</v>
      </c>
      <c r="N370" s="23" t="str">
        <f>'Olieforbrug, TJ'!M370</f>
        <v>March</v>
      </c>
    </row>
    <row r="371" spans="1:14" x14ac:dyDescent="0.2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1"/>
        <v>25083</v>
      </c>
      <c r="H371" s="16">
        <v>25185</v>
      </c>
      <c r="I371" s="16">
        <v>70106</v>
      </c>
      <c r="J371" s="15"/>
      <c r="K371" s="15"/>
      <c r="L371" s="16">
        <f t="shared" si="80"/>
        <v>790.80899999999997</v>
      </c>
      <c r="N371" s="23" t="str">
        <f>'Olieforbrug, TJ'!M371</f>
        <v>April</v>
      </c>
    </row>
    <row r="372" spans="1:14" x14ac:dyDescent="0.2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1"/>
        <v>-40289</v>
      </c>
      <c r="H372" s="16">
        <v>16720</v>
      </c>
      <c r="I372" s="16">
        <v>110395</v>
      </c>
      <c r="J372" s="15"/>
      <c r="K372" s="15"/>
      <c r="L372" s="16">
        <f t="shared" si="80"/>
        <v>525.00800000000004</v>
      </c>
      <c r="N372" s="23" t="str">
        <f>'Olieforbrug, TJ'!M372</f>
        <v>May</v>
      </c>
    </row>
    <row r="373" spans="1:14" x14ac:dyDescent="0.2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1"/>
        <v>22609</v>
      </c>
      <c r="H373" s="16">
        <v>22699</v>
      </c>
      <c r="I373" s="16">
        <v>87786</v>
      </c>
      <c r="J373" s="15"/>
      <c r="K373" s="15"/>
      <c r="L373" s="16">
        <f t="shared" si="80"/>
        <v>712.74860000000001</v>
      </c>
      <c r="N373" s="23" t="str">
        <f>'Olieforbrug, TJ'!M373</f>
        <v>June</v>
      </c>
    </row>
    <row r="374" spans="1:14" x14ac:dyDescent="0.2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1"/>
        <v>22431</v>
      </c>
      <c r="H374" s="16">
        <v>22584</v>
      </c>
      <c r="I374" s="16">
        <v>65355</v>
      </c>
      <c r="J374" s="15"/>
      <c r="K374" s="15"/>
      <c r="L374" s="16">
        <f t="shared" si="80"/>
        <v>709.13760000000002</v>
      </c>
      <c r="N374" s="23" t="str">
        <f>'Olieforbrug, TJ'!M374</f>
        <v>July</v>
      </c>
    </row>
    <row r="375" spans="1:14" x14ac:dyDescent="0.2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0"/>
        <v>671.14359999999999</v>
      </c>
      <c r="N375" s="23" t="str">
        <f>'Olieforbrug, TJ'!M375</f>
        <v>August</v>
      </c>
    </row>
    <row r="376" spans="1:14" x14ac:dyDescent="0.2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0"/>
        <v>751.08799999999997</v>
      </c>
      <c r="N376" s="23" t="str">
        <f>'Olieforbrug, TJ'!M376</f>
        <v>September</v>
      </c>
    </row>
    <row r="377" spans="1:14" x14ac:dyDescent="0.2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0"/>
        <v>742.82979999999998</v>
      </c>
      <c r="N377" s="23" t="str">
        <f>'Olieforbrug, TJ'!M377</f>
        <v>October</v>
      </c>
    </row>
    <row r="378" spans="1:14" x14ac:dyDescent="0.2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0"/>
        <v>627.37199999999996</v>
      </c>
      <c r="N378" s="23" t="str">
        <f>'Olieforbrug, TJ'!M378</f>
        <v>November</v>
      </c>
    </row>
    <row r="379" spans="1:14" ht="13.5" thickBot="1" x14ac:dyDescent="0.25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0"/>
        <v>625.45659999999998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2">H381*31.4/1000</f>
        <v>441.86079999999998</v>
      </c>
      <c r="N381" s="23" t="str">
        <f>'Olieforbrug, TJ'!M381</f>
        <v>January</v>
      </c>
    </row>
    <row r="382" spans="1:14" x14ac:dyDescent="0.2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3">I381-I382</f>
        <v>-12811</v>
      </c>
      <c r="H382" s="16">
        <v>14263</v>
      </c>
      <c r="I382" s="16">
        <v>97489</v>
      </c>
      <c r="J382" s="15"/>
      <c r="K382" s="15"/>
      <c r="L382" s="16">
        <f t="shared" si="82"/>
        <v>447.85819999999995</v>
      </c>
      <c r="N382" s="23" t="str">
        <f>'Olieforbrug, TJ'!M382</f>
        <v>February</v>
      </c>
    </row>
    <row r="383" spans="1:14" x14ac:dyDescent="0.2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3"/>
        <v>14247</v>
      </c>
      <c r="H383" s="16">
        <v>14199</v>
      </c>
      <c r="I383" s="16">
        <v>83242</v>
      </c>
      <c r="J383" s="15"/>
      <c r="K383" s="15"/>
      <c r="L383" s="16">
        <f t="shared" si="82"/>
        <v>445.84859999999998</v>
      </c>
      <c r="N383" s="23" t="str">
        <f>'Olieforbrug, TJ'!M383</f>
        <v>March</v>
      </c>
    </row>
    <row r="384" spans="1:14" x14ac:dyDescent="0.2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3"/>
        <v>21243</v>
      </c>
      <c r="H384" s="16">
        <v>21219</v>
      </c>
      <c r="I384" s="16">
        <v>61999</v>
      </c>
      <c r="J384" s="15"/>
      <c r="K384" s="15"/>
      <c r="L384" s="16">
        <f t="shared" si="82"/>
        <v>666.27660000000003</v>
      </c>
      <c r="N384" s="23" t="str">
        <f>'Olieforbrug, TJ'!M384</f>
        <v>April</v>
      </c>
    </row>
    <row r="385" spans="1:14" x14ac:dyDescent="0.2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3"/>
        <v>0</v>
      </c>
      <c r="H385" s="16">
        <v>21219</v>
      </c>
      <c r="I385" s="16">
        <v>61999</v>
      </c>
      <c r="J385" s="15"/>
      <c r="K385" s="15"/>
      <c r="L385" s="16">
        <f t="shared" si="82"/>
        <v>666.27660000000003</v>
      </c>
      <c r="N385" s="23" t="str">
        <f>'Olieforbrug, TJ'!M385</f>
        <v>May</v>
      </c>
    </row>
    <row r="386" spans="1:14" x14ac:dyDescent="0.2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3"/>
        <v>-28638</v>
      </c>
      <c r="H386" s="16">
        <v>19206</v>
      </c>
      <c r="I386" s="16">
        <v>90637</v>
      </c>
      <c r="J386" s="15"/>
      <c r="K386" s="15"/>
      <c r="L386" s="16">
        <f t="shared" si="82"/>
        <v>603.0684</v>
      </c>
      <c r="N386" s="23" t="str">
        <f>'Olieforbrug, TJ'!M386</f>
        <v>June</v>
      </c>
    </row>
    <row r="387" spans="1:14" x14ac:dyDescent="0.2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3"/>
        <v>22727</v>
      </c>
      <c r="H387" s="16">
        <v>22974</v>
      </c>
      <c r="I387" s="16">
        <v>67910</v>
      </c>
      <c r="J387" s="15"/>
      <c r="K387" s="15"/>
      <c r="L387" s="16">
        <f t="shared" si="82"/>
        <v>721.3836</v>
      </c>
      <c r="N387" s="23" t="str">
        <f>'Olieforbrug, TJ'!M387</f>
        <v>July</v>
      </c>
    </row>
    <row r="388" spans="1:14" x14ac:dyDescent="0.2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2"/>
        <v>591.82719999999995</v>
      </c>
      <c r="N388" s="23" t="str">
        <f>'Olieforbrug, TJ'!M388</f>
        <v>August</v>
      </c>
    </row>
    <row r="389" spans="1:14" x14ac:dyDescent="0.2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2"/>
        <v>586.45779999999991</v>
      </c>
      <c r="N389" s="23" t="str">
        <f>'Olieforbrug, TJ'!M389</f>
        <v>September</v>
      </c>
    </row>
    <row r="390" spans="1:14" x14ac:dyDescent="0.2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2"/>
        <v>677.73759999999993</v>
      </c>
      <c r="N390" s="23" t="str">
        <f>'Olieforbrug, TJ'!M390</f>
        <v>October</v>
      </c>
    </row>
    <row r="391" spans="1:14" ht="12.6" customHeight="1" x14ac:dyDescent="0.2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2"/>
        <v>576.03300000000002</v>
      </c>
      <c r="N391" s="23" t="str">
        <f>'Olieforbrug, TJ'!M391</f>
        <v>November</v>
      </c>
    </row>
    <row r="392" spans="1:14" ht="13.5" thickBot="1" x14ac:dyDescent="0.25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2"/>
        <v>654.09339999999997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4">H394*31.4/1000</f>
        <v>602.12639999999999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5">I394-I395</f>
        <v>-45336</v>
      </c>
      <c r="H395" s="16">
        <v>17381</v>
      </c>
      <c r="I395" s="16">
        <v>120237</v>
      </c>
      <c r="J395" s="15"/>
      <c r="K395" s="15"/>
      <c r="L395" s="16">
        <f t="shared" si="84"/>
        <v>545.76340000000005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5"/>
        <v>16050</v>
      </c>
      <c r="H396" s="16">
        <v>16050</v>
      </c>
      <c r="I396" s="16">
        <v>104187</v>
      </c>
      <c r="J396" s="15"/>
      <c r="K396" s="15"/>
      <c r="L396" s="16">
        <f t="shared" si="84"/>
        <v>503.97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5"/>
        <v>-2245</v>
      </c>
      <c r="H397" s="16">
        <v>16906</v>
      </c>
      <c r="I397" s="16">
        <v>106432</v>
      </c>
      <c r="J397" s="15"/>
      <c r="K397" s="15"/>
      <c r="L397" s="16">
        <f t="shared" si="84"/>
        <v>530.84839999999997</v>
      </c>
      <c r="N397" s="23" t="str">
        <f>'Olieforbrug, TJ'!M397</f>
        <v>April</v>
      </c>
    </row>
    <row r="398" spans="1:14" ht="14.1" customHeight="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5"/>
        <v>19125</v>
      </c>
      <c r="H398" s="16">
        <v>19125</v>
      </c>
      <c r="I398" s="16">
        <v>87307</v>
      </c>
      <c r="J398" s="15"/>
      <c r="K398" s="15"/>
      <c r="L398" s="16">
        <f t="shared" si="84"/>
        <v>600.52499999999998</v>
      </c>
      <c r="N398" s="23" t="str">
        <f>'Olieforbrug, TJ'!M398</f>
        <v>May</v>
      </c>
    </row>
    <row r="399" spans="1:14" ht="14.1" customHeight="1" x14ac:dyDescent="0.2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5"/>
        <v>21574</v>
      </c>
      <c r="H399" s="16">
        <v>23074</v>
      </c>
      <c r="I399" s="16">
        <v>65733</v>
      </c>
      <c r="J399" s="15"/>
      <c r="K399" s="15"/>
      <c r="L399" s="16">
        <f t="shared" si="84"/>
        <v>724.52359999999999</v>
      </c>
      <c r="N399" s="23" t="str">
        <f>'Olieforbrug, TJ'!M399</f>
        <v>June</v>
      </c>
    </row>
    <row r="400" spans="1:14" ht="14.1" customHeight="1" x14ac:dyDescent="0.2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5"/>
        <v>-3134</v>
      </c>
      <c r="H400" s="16">
        <v>22891</v>
      </c>
      <c r="I400" s="16">
        <v>68867</v>
      </c>
      <c r="J400" s="15"/>
      <c r="K400" s="15"/>
      <c r="L400" s="16">
        <f t="shared" si="84"/>
        <v>718.77740000000006</v>
      </c>
      <c r="N400" s="23" t="str">
        <f>'Olieforbrug, TJ'!M400</f>
        <v>July</v>
      </c>
    </row>
    <row r="401" spans="1:14" ht="14.1" customHeight="1" x14ac:dyDescent="0.2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4"/>
        <v>668.38040000000001</v>
      </c>
      <c r="N401" s="23" t="str">
        <f>'Olieforbrug, TJ'!M401</f>
        <v>August</v>
      </c>
    </row>
    <row r="402" spans="1:14" ht="14.1" customHeight="1" x14ac:dyDescent="0.2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4"/>
        <v>646.52599999999995</v>
      </c>
      <c r="N402" s="23" t="str">
        <f>'Olieforbrug, TJ'!M402</f>
        <v>September</v>
      </c>
    </row>
    <row r="403" spans="1:14" ht="13.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4"/>
        <v>749.95759999999996</v>
      </c>
      <c r="N403" s="23" t="str">
        <f>'Olieforbrug, TJ'!M403</f>
        <v>October</v>
      </c>
    </row>
    <row r="404" spans="1:14" ht="13.5" customHeight="1" x14ac:dyDescent="0.2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4"/>
        <v>646.84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4"/>
        <v>779.72479999999996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6">H407*31.4/1000</f>
        <v>665.74279999999987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7">I407-I408</f>
        <v>-42252</v>
      </c>
      <c r="H408" s="16">
        <v>21148</v>
      </c>
      <c r="I408" s="16">
        <v>113116</v>
      </c>
      <c r="J408" s="15"/>
      <c r="K408" s="15"/>
      <c r="L408" s="16">
        <f t="shared" si="86"/>
        <v>664.04719999999998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7"/>
        <v>-13764</v>
      </c>
      <c r="H409" s="16">
        <v>18758</v>
      </c>
      <c r="I409" s="16">
        <v>126880</v>
      </c>
      <c r="J409" s="15"/>
      <c r="K409" s="15"/>
      <c r="L409" s="16">
        <f t="shared" si="86"/>
        <v>589.00119999999993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7"/>
        <v>19253</v>
      </c>
      <c r="H410" s="16">
        <v>19253</v>
      </c>
      <c r="I410" s="16">
        <v>107627</v>
      </c>
      <c r="J410" s="15"/>
      <c r="K410" s="15"/>
      <c r="L410" s="16">
        <f t="shared" si="86"/>
        <v>604.54419999999993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7"/>
        <v>24570</v>
      </c>
      <c r="H411" s="16">
        <v>24594</v>
      </c>
      <c r="I411" s="16">
        <v>83057</v>
      </c>
      <c r="J411" s="15"/>
      <c r="K411" s="15"/>
      <c r="L411" s="16">
        <f t="shared" si="86"/>
        <v>772.25159999999994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7"/>
        <v>-34844</v>
      </c>
      <c r="H412" s="16">
        <v>20835</v>
      </c>
      <c r="I412" s="16">
        <v>117901</v>
      </c>
      <c r="J412" s="15"/>
      <c r="K412" s="15"/>
      <c r="L412" s="16">
        <f t="shared" si="86"/>
        <v>654.21900000000005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7"/>
        <v>21163</v>
      </c>
      <c r="H413" s="16">
        <v>23468</v>
      </c>
      <c r="I413" s="16">
        <v>96738</v>
      </c>
      <c r="J413" s="15"/>
      <c r="K413" s="15"/>
      <c r="L413" s="16">
        <f t="shared" si="86"/>
        <v>736.89519999999993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6"/>
        <v>608.62619999999993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6"/>
        <v>690.54879999999991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6"/>
        <v>731.99679999999989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6"/>
        <v>559.3596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6"/>
        <v>592.42379999999991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8">H420*31.4/1000</f>
        <v>568.02599999999995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89">I420-I421</f>
        <v>-13148</v>
      </c>
      <c r="H421" s="16">
        <v>16053</v>
      </c>
      <c r="I421" s="16">
        <v>76565</v>
      </c>
      <c r="J421" s="15"/>
      <c r="K421" s="15"/>
      <c r="L421" s="16">
        <f t="shared" si="88"/>
        <v>504.06419999999997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89"/>
        <v>17813</v>
      </c>
      <c r="H422" s="16">
        <v>17813</v>
      </c>
      <c r="I422" s="16">
        <v>58752</v>
      </c>
      <c r="J422" s="15"/>
      <c r="K422" s="15"/>
      <c r="L422" s="16">
        <f t="shared" si="88"/>
        <v>559.32819999999992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89"/>
        <v>-16536</v>
      </c>
      <c r="H423" s="16">
        <v>19863</v>
      </c>
      <c r="I423" s="16">
        <v>75288</v>
      </c>
      <c r="J423" s="15"/>
      <c r="K423" s="15"/>
      <c r="L423" s="16">
        <f t="shared" si="88"/>
        <v>623.69819999999993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89"/>
        <v>19172</v>
      </c>
      <c r="H424" s="16">
        <v>19172</v>
      </c>
      <c r="I424" s="16">
        <v>56116</v>
      </c>
      <c r="J424" s="15"/>
      <c r="K424" s="15"/>
      <c r="L424" s="16">
        <f t="shared" si="88"/>
        <v>602.00079999999991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89"/>
        <v>16055</v>
      </c>
      <c r="H425" s="16">
        <v>18118</v>
      </c>
      <c r="I425" s="16">
        <v>40061</v>
      </c>
      <c r="J425" s="15"/>
      <c r="K425" s="15"/>
      <c r="L425" s="16">
        <f t="shared" si="88"/>
        <v>568.90519999999992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89"/>
        <v>-12364</v>
      </c>
      <c r="H426" s="16">
        <v>17766</v>
      </c>
      <c r="I426" s="16">
        <v>52425</v>
      </c>
      <c r="J426" s="15"/>
      <c r="K426" s="15"/>
      <c r="L426" s="16">
        <f t="shared" si="88"/>
        <v>557.85239999999999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8"/>
        <v>711.96359999999993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8"/>
        <v>495.80599999999998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8"/>
        <v>588.40459999999996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8"/>
        <v>570.41240000000005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8"/>
        <v>533.67439999999999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0">H433*31.4/1000</f>
        <v>1383.9549999999999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1">I433-I434</f>
        <v>12818</v>
      </c>
      <c r="H434" s="16">
        <v>12818</v>
      </c>
      <c r="I434" s="16">
        <v>55783</v>
      </c>
      <c r="J434" s="15"/>
      <c r="K434" s="15"/>
      <c r="L434" s="16">
        <f t="shared" si="90"/>
        <v>402.48519999999996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1"/>
        <v>-3558</v>
      </c>
      <c r="H435" s="16">
        <v>16441</v>
      </c>
      <c r="I435" s="16">
        <v>59341</v>
      </c>
      <c r="J435" s="15"/>
      <c r="K435" s="15"/>
      <c r="L435" s="16">
        <f t="shared" si="90"/>
        <v>516.24739999999997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1"/>
        <v>-12484</v>
      </c>
      <c r="H436" s="16">
        <v>19116</v>
      </c>
      <c r="I436" s="16">
        <v>71825</v>
      </c>
      <c r="J436" s="15"/>
      <c r="K436" s="15"/>
      <c r="L436" s="16">
        <f t="shared" si="90"/>
        <v>600.24239999999998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1"/>
        <v>-28193</v>
      </c>
      <c r="H437" s="16">
        <v>15926</v>
      </c>
      <c r="I437" s="16">
        <v>100018</v>
      </c>
      <c r="J437" s="15"/>
      <c r="K437" s="15"/>
      <c r="L437" s="16">
        <f t="shared" si="90"/>
        <v>500.07639999999998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1"/>
        <v>15805</v>
      </c>
      <c r="H438" s="16">
        <v>15457</v>
      </c>
      <c r="I438" s="16">
        <v>84213</v>
      </c>
      <c r="J438" s="15"/>
      <c r="K438" s="15"/>
      <c r="L438" s="16">
        <f t="shared" si="90"/>
        <v>485.34980000000002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1"/>
        <v>21452</v>
      </c>
      <c r="H439" s="16">
        <v>21800</v>
      </c>
      <c r="I439" s="16">
        <v>62761</v>
      </c>
      <c r="J439" s="15"/>
      <c r="K439" s="15"/>
      <c r="L439" s="16">
        <f t="shared" ref="L439" si="92">H439*31.4/1000</f>
        <v>684.52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3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4">H440*31.4/1000</f>
        <v>518.53959999999995</v>
      </c>
      <c r="N440" s="23" t="str">
        <f>'Olieforbrug, TJ'!M440</f>
        <v>August</v>
      </c>
    </row>
    <row r="441" spans="1:14" s="107" customFormat="1" x14ac:dyDescent="0.2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5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6">H441*31.4/1000</f>
        <v>462.33359999999999</v>
      </c>
      <c r="N441" s="111" t="str">
        <f>'Olieforbrug, TJ'!M441</f>
        <v>September</v>
      </c>
    </row>
    <row r="442" spans="1:14" x14ac:dyDescent="0.2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7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8">H442*31.4/1000</f>
        <v>511.53739999999999</v>
      </c>
      <c r="M442" s="107"/>
      <c r="N442" s="111" t="str">
        <f>'Olieforbrug, TJ'!M442</f>
        <v>October</v>
      </c>
    </row>
    <row r="443" spans="1:14" x14ac:dyDescent="0.2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99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0">H443*31.4/1000</f>
        <v>602.81719999999996</v>
      </c>
      <c r="M443" s="107"/>
      <c r="N443" s="111" t="str">
        <f>'Olieforbrug, TJ'!M443</f>
        <v>November</v>
      </c>
    </row>
    <row r="444" spans="1:14" ht="13.5" thickBot="1" x14ac:dyDescent="0.25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1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2">H444*31.4/1000</f>
        <v>590.00599999999997</v>
      </c>
      <c r="M444" s="112"/>
      <c r="N444" s="122" t="str">
        <f>'Olieforbrug, TJ'!M444</f>
        <v>December</v>
      </c>
    </row>
    <row r="445" spans="1:14" x14ac:dyDescent="0.2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3">H446*31.4/1000</f>
        <v>313.93720000000002</v>
      </c>
      <c r="M446" s="111"/>
      <c r="N446" s="111" t="str">
        <f>'Olieforbrug, TJ'!M446</f>
        <v>January</v>
      </c>
    </row>
    <row r="447" spans="1:14" x14ac:dyDescent="0.2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4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5">H447*31.4/1000</f>
        <v>382.923</v>
      </c>
      <c r="M447" s="111"/>
      <c r="N447" s="111" t="str">
        <f>'Olieforbrug, TJ'!M447</f>
        <v>February</v>
      </c>
    </row>
    <row r="448" spans="1:14" x14ac:dyDescent="0.2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4"/>
        <v>-35364</v>
      </c>
      <c r="H448" s="77">
        <v>13429</v>
      </c>
      <c r="I448" s="77">
        <v>68625</v>
      </c>
      <c r="J448" s="112"/>
      <c r="K448" s="112"/>
      <c r="L448" s="77">
        <f t="shared" ref="L448" si="106">H448*31.4/1000</f>
        <v>421.67059999999998</v>
      </c>
      <c r="M448" s="111"/>
      <c r="N448" s="111" t="str">
        <f>'Olieforbrug, TJ'!M448</f>
        <v>March</v>
      </c>
    </row>
    <row r="449" spans="1:14" x14ac:dyDescent="0.2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4"/>
        <v>8207</v>
      </c>
      <c r="H449" s="77">
        <v>8207</v>
      </c>
      <c r="I449" s="77">
        <v>60418</v>
      </c>
      <c r="J449" s="112"/>
      <c r="K449" s="112"/>
      <c r="L449" s="77">
        <f t="shared" ref="L449" si="107">H449*31.4/1000</f>
        <v>257.69979999999998</v>
      </c>
      <c r="M449" s="111"/>
      <c r="N449" s="111" t="str">
        <f>'Olieforbrug, TJ'!M449</f>
        <v>April</v>
      </c>
    </row>
    <row r="450" spans="1:14" x14ac:dyDescent="0.2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4"/>
        <v>13162</v>
      </c>
      <c r="H450" s="77">
        <v>13162</v>
      </c>
      <c r="I450" s="77">
        <v>47256</v>
      </c>
      <c r="J450" s="112"/>
      <c r="K450" s="112"/>
      <c r="L450" s="77">
        <f t="shared" ref="L450" si="108">H450*31.4/1000</f>
        <v>413.28679999999997</v>
      </c>
      <c r="M450" s="111"/>
      <c r="N450" s="111" t="str">
        <f>'Olieforbrug, TJ'!M450</f>
        <v>May</v>
      </c>
    </row>
    <row r="451" spans="1:14" x14ac:dyDescent="0.2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4"/>
        <v>-24797</v>
      </c>
      <c r="H451" s="77">
        <v>8602</v>
      </c>
      <c r="I451" s="77">
        <v>72053</v>
      </c>
      <c r="J451" s="112"/>
      <c r="K451" s="112"/>
      <c r="L451" s="77">
        <f t="shared" ref="L451" si="109">H451*31.4/1000</f>
        <v>270.1028</v>
      </c>
      <c r="M451" s="111"/>
      <c r="N451" s="111" t="str">
        <f>'Olieforbrug, TJ'!M451</f>
        <v>June</v>
      </c>
    </row>
    <row r="452" spans="1:14" x14ac:dyDescent="0.2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4"/>
        <v>8847</v>
      </c>
      <c r="H452" s="77">
        <v>8847</v>
      </c>
      <c r="I452" s="77">
        <v>63206</v>
      </c>
      <c r="J452" s="112"/>
      <c r="K452" s="112"/>
      <c r="L452" s="77">
        <f t="shared" ref="L452" si="110">H452*31.4/1000</f>
        <v>277.79579999999999</v>
      </c>
      <c r="M452" s="111"/>
      <c r="N452" s="111" t="str">
        <f>'Olieforbrug, TJ'!M452</f>
        <v>July</v>
      </c>
    </row>
    <row r="453" spans="1:14" x14ac:dyDescent="0.2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1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2">H453*31.4/1000</f>
        <v>302.13079999999997</v>
      </c>
      <c r="M453" s="111"/>
      <c r="N453" s="111" t="str">
        <f>'Olieforbrug, TJ'!M453</f>
        <v>August</v>
      </c>
    </row>
    <row r="454" spans="1:14" x14ac:dyDescent="0.2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3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4">H454*31.4/1000</f>
        <v>284.2328</v>
      </c>
      <c r="M454" s="111"/>
      <c r="N454" s="111" t="str">
        <f>'Olieforbrug, TJ'!M454</f>
        <v>September</v>
      </c>
    </row>
    <row r="455" spans="1:14" x14ac:dyDescent="0.2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5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6">H455*31.4/1000</f>
        <v>264.6078</v>
      </c>
      <c r="M455" s="111"/>
      <c r="N455" s="111" t="str">
        <f>'Olieforbrug, TJ'!M455</f>
        <v>October</v>
      </c>
    </row>
    <row r="456" spans="1:14" x14ac:dyDescent="0.2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7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8">H456*31.4/1000</f>
        <v>364.61680000000001</v>
      </c>
      <c r="M456" s="111"/>
      <c r="N456" s="111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19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0">H457*31.4/1000</f>
        <v>274.31039999999996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1">H459*31.4/1000</f>
        <v>220.08259999999999</v>
      </c>
      <c r="M459" s="111"/>
      <c r="N459" s="111" t="str">
        <f>'Olieforbrug, TJ'!M459</f>
        <v>January</v>
      </c>
    </row>
    <row r="460" spans="1:14" x14ac:dyDescent="0.2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2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3">H460*31.4/1000</f>
        <v>250.82319999999999</v>
      </c>
      <c r="M460" s="111"/>
      <c r="N460" s="111" t="str">
        <f>'Olieforbrug, TJ'!M460</f>
        <v>February</v>
      </c>
    </row>
    <row r="461" spans="1:14" x14ac:dyDescent="0.2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2"/>
        <v>6213</v>
      </c>
      <c r="H461" s="77">
        <v>9885</v>
      </c>
      <c r="I461" s="77">
        <v>52521</v>
      </c>
      <c r="J461" s="112"/>
      <c r="K461" s="112"/>
      <c r="L461" s="77">
        <f t="shared" ref="L461" si="124">H461*31.4/1000</f>
        <v>310.38900000000001</v>
      </c>
      <c r="M461" s="111"/>
      <c r="N461" s="111" t="str">
        <f>'Olieforbrug, TJ'!M461</f>
        <v>March</v>
      </c>
    </row>
    <row r="462" spans="1:14" x14ac:dyDescent="0.2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2"/>
        <v>15182</v>
      </c>
      <c r="H462" s="77">
        <v>11469</v>
      </c>
      <c r="I462" s="77">
        <v>37339</v>
      </c>
      <c r="J462" s="112"/>
      <c r="K462" s="112"/>
      <c r="L462" s="77">
        <f t="shared" ref="L462" si="125">H462*31.4/1000</f>
        <v>360.1266</v>
      </c>
      <c r="M462" s="111"/>
      <c r="N462" s="111" t="str">
        <f>'Olieforbrug, TJ'!M462</f>
        <v>April</v>
      </c>
    </row>
    <row r="463" spans="1:14" x14ac:dyDescent="0.2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2"/>
        <v>-16115</v>
      </c>
      <c r="H463" s="77">
        <v>13326</v>
      </c>
      <c r="I463" s="77">
        <v>53454</v>
      </c>
      <c r="J463" s="112"/>
      <c r="K463" s="112"/>
      <c r="L463" s="77">
        <f t="shared" ref="L463" si="126">H463*31.4/1000</f>
        <v>418.43639999999999</v>
      </c>
      <c r="M463" s="111"/>
      <c r="N463" s="111" t="str">
        <f>'Olieforbrug, TJ'!M463</f>
        <v>Maj</v>
      </c>
    </row>
    <row r="464" spans="1:14" x14ac:dyDescent="0.2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2"/>
        <v>14371</v>
      </c>
      <c r="H464" s="77">
        <v>14396</v>
      </c>
      <c r="I464" s="77">
        <v>39083</v>
      </c>
      <c r="J464" s="112"/>
      <c r="K464" s="112"/>
      <c r="L464" s="77">
        <f t="shared" ref="L464" si="127">H464*31.4/1000</f>
        <v>452.03439999999995</v>
      </c>
      <c r="M464" s="111"/>
      <c r="N464" s="111" t="str">
        <f>'Olieforbrug, TJ'!M464</f>
        <v>June</v>
      </c>
    </row>
    <row r="465" spans="1:14" x14ac:dyDescent="0.2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2"/>
        <v>-7115</v>
      </c>
      <c r="H465" s="77">
        <v>10974</v>
      </c>
      <c r="I465" s="77">
        <v>46198</v>
      </c>
      <c r="J465" s="112"/>
      <c r="K465" s="112"/>
      <c r="L465" s="77">
        <f t="shared" ref="L465" si="128">H465*31.4/1000</f>
        <v>344.58359999999999</v>
      </c>
      <c r="M465" s="111"/>
      <c r="N465" s="111" t="str">
        <f>'Olieforbrug, TJ'!M465</f>
        <v>July</v>
      </c>
    </row>
    <row r="466" spans="1:14" x14ac:dyDescent="0.2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29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0">H466*31.4/1000</f>
        <v>293.24459999999999</v>
      </c>
      <c r="M466" s="111"/>
      <c r="N466" s="111" t="str">
        <f>'Olieforbrug, TJ'!M466</f>
        <v>August</v>
      </c>
    </row>
    <row r="467" spans="1:14" x14ac:dyDescent="0.2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1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2">H467*31.4/1000</f>
        <v>329.44880000000001</v>
      </c>
      <c r="M467" s="111"/>
      <c r="N467" s="111" t="str">
        <f>'Olieforbrug, TJ'!M467</f>
        <v>September</v>
      </c>
    </row>
    <row r="468" spans="1:14" x14ac:dyDescent="0.2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3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4">H468*31.4/1000</f>
        <v>302.1936</v>
      </c>
      <c r="M468" s="111"/>
      <c r="N468" s="111" t="str">
        <f>'Olieforbrug, TJ'!M468</f>
        <v>October</v>
      </c>
    </row>
    <row r="469" spans="1:14" x14ac:dyDescent="0.2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5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6">H469*31.4/1000</f>
        <v>316.3236</v>
      </c>
      <c r="M469" s="111"/>
      <c r="N469" s="111" t="str">
        <f>'Olieforbrug, TJ'!M469</f>
        <v>November</v>
      </c>
    </row>
    <row r="470" spans="1:14" ht="13.5" thickBot="1" x14ac:dyDescent="0.25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7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8">H470*31.4/1000</f>
        <v>319.65199999999999</v>
      </c>
      <c r="M470" s="111"/>
      <c r="N470" s="122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3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39">H472*31.4/1000</f>
        <v>178.76019999999997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3">
        <f t="shared" ref="G473:G478" si="140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1">H473*31.4/1000</f>
        <v>167.4562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3">
        <f t="shared" si="140"/>
        <v>7112</v>
      </c>
      <c r="H474" s="77">
        <v>7162</v>
      </c>
      <c r="I474" s="77">
        <v>54930</v>
      </c>
      <c r="J474" s="112"/>
      <c r="K474" s="112"/>
      <c r="L474" s="77">
        <f t="shared" ref="L474" si="142">H474*31.4/1000</f>
        <v>224.88679999999999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0"/>
        <v>7440</v>
      </c>
      <c r="H475" s="77">
        <v>7440</v>
      </c>
      <c r="I475" s="77">
        <v>47490</v>
      </c>
      <c r="J475" s="112"/>
      <c r="K475" s="112"/>
      <c r="L475" s="77">
        <f t="shared" ref="L475" si="143">H475*31.4/1000</f>
        <v>233.61600000000001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0"/>
        <v>10812</v>
      </c>
      <c r="H476" s="77">
        <v>10812</v>
      </c>
      <c r="I476" s="77">
        <v>36678</v>
      </c>
      <c r="J476" s="112"/>
      <c r="K476" s="112"/>
      <c r="L476" s="77">
        <f t="shared" ref="L476" si="144">H476*31.4/1000</f>
        <v>339.49680000000001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0"/>
        <v>-10709</v>
      </c>
      <c r="H477" s="77">
        <v>12880</v>
      </c>
      <c r="I477" s="77">
        <v>47387</v>
      </c>
      <c r="J477" s="112"/>
      <c r="K477" s="112"/>
      <c r="L477" s="77">
        <f t="shared" ref="L477" si="145">H477*31.4/1000</f>
        <v>404.43200000000002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0"/>
        <v>12951</v>
      </c>
      <c r="H478" s="77">
        <v>14948</v>
      </c>
      <c r="I478" s="77">
        <v>34436</v>
      </c>
      <c r="J478" s="112"/>
      <c r="K478" s="112"/>
      <c r="L478" s="77">
        <f t="shared" ref="L478" si="146">H478*31.4/1000</f>
        <v>469.36719999999997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indexed="42"/>
  </sheetPr>
  <dimension ref="A1:P478"/>
  <sheetViews>
    <sheetView zoomScale="80" zoomScaleNormal="80" workbookViewId="0">
      <pane xSplit="2" ySplit="5" topLeftCell="C441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L480" sqref="L480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">
      <c r="A23" s="22">
        <v>2021</v>
      </c>
      <c r="J23" s="3"/>
      <c r="L23" s="3"/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4610</v>
      </c>
      <c r="D30" s="3">
        <f t="shared" ref="D30:L30" si="10">SUM(D212:D218)</f>
        <v>0</v>
      </c>
      <c r="E30" s="3">
        <f t="shared" si="10"/>
        <v>0</v>
      </c>
      <c r="F30" s="3">
        <f t="shared" si="10"/>
        <v>0</v>
      </c>
      <c r="G30" s="3">
        <f t="shared" si="10"/>
        <v>-4611</v>
      </c>
      <c r="H30" s="3">
        <f t="shared" si="10"/>
        <v>0</v>
      </c>
      <c r="I30" s="3">
        <f>I218</f>
        <v>7687</v>
      </c>
      <c r="J30" s="3"/>
      <c r="K30" s="3"/>
      <c r="L30" s="3">
        <f t="shared" si="10"/>
        <v>0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3575</v>
      </c>
      <c r="D31" s="3">
        <f t="shared" ref="D31:L31" si="11">SUM(D225:D231)</f>
        <v>0</v>
      </c>
      <c r="E31" s="3">
        <f t="shared" si="11"/>
        <v>0</v>
      </c>
      <c r="F31" s="3">
        <f t="shared" si="11"/>
        <v>0</v>
      </c>
      <c r="G31" s="3">
        <f t="shared" si="11"/>
        <v>-3412</v>
      </c>
      <c r="H31" s="3">
        <f t="shared" si="11"/>
        <v>0</v>
      </c>
      <c r="I31" s="3">
        <f>I231</f>
        <v>6716</v>
      </c>
      <c r="J31" s="3"/>
      <c r="K31" s="3"/>
      <c r="L31" s="3">
        <f t="shared" si="11"/>
        <v>0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21181</v>
      </c>
      <c r="D32" s="3">
        <f t="shared" ref="D32:L32" si="12">SUM(D238:D244)</f>
        <v>0</v>
      </c>
      <c r="E32" s="3">
        <f t="shared" si="12"/>
        <v>20792</v>
      </c>
      <c r="F32" s="3">
        <f t="shared" si="12"/>
        <v>0</v>
      </c>
      <c r="G32" s="3">
        <f t="shared" si="12"/>
        <v>-389</v>
      </c>
      <c r="H32" s="3">
        <f t="shared" si="12"/>
        <v>0</v>
      </c>
      <c r="I32" s="3">
        <f>I244</f>
        <v>4786</v>
      </c>
      <c r="J32" s="3"/>
      <c r="K32" s="3"/>
      <c r="L32" s="3">
        <f t="shared" si="12"/>
        <v>0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26490</v>
      </c>
      <c r="D33" s="3">
        <f t="shared" ref="D33:L33" si="13">SUM(D251:D257)</f>
        <v>0</v>
      </c>
      <c r="E33" s="3">
        <f t="shared" si="13"/>
        <v>5058</v>
      </c>
      <c r="F33" s="3">
        <f t="shared" si="13"/>
        <v>0</v>
      </c>
      <c r="G33" s="3">
        <f t="shared" si="13"/>
        <v>-21372</v>
      </c>
      <c r="H33" s="3">
        <f t="shared" si="13"/>
        <v>0</v>
      </c>
      <c r="I33" s="3">
        <f>I257</f>
        <v>23566</v>
      </c>
      <c r="J33" s="3"/>
      <c r="K33" s="3"/>
      <c r="L33" s="3">
        <f t="shared" si="13"/>
        <v>0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5777</v>
      </c>
      <c r="D34" s="3">
        <f t="shared" ref="D34:L34" si="14">SUM(D264:D270)</f>
        <v>0</v>
      </c>
      <c r="E34" s="3">
        <f t="shared" si="14"/>
        <v>7552</v>
      </c>
      <c r="F34" s="3">
        <f t="shared" si="14"/>
        <v>0</v>
      </c>
      <c r="G34" s="3">
        <f t="shared" si="14"/>
        <v>1775</v>
      </c>
      <c r="H34" s="3">
        <f t="shared" si="14"/>
        <v>0</v>
      </c>
      <c r="I34" s="3">
        <f>I270</f>
        <v>1799</v>
      </c>
      <c r="J34" s="3"/>
      <c r="K34" s="3"/>
      <c r="L34" s="3">
        <f t="shared" si="14"/>
        <v>0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15518</v>
      </c>
      <c r="D35" s="3">
        <f t="shared" ref="D35:L35" si="15">SUM(D277:D283)</f>
        <v>0</v>
      </c>
      <c r="E35" s="3">
        <f t="shared" si="15"/>
        <v>18497</v>
      </c>
      <c r="F35" s="3">
        <f t="shared" si="15"/>
        <v>0</v>
      </c>
      <c r="G35" s="3">
        <f t="shared" si="15"/>
        <v>2980</v>
      </c>
      <c r="H35" s="3">
        <f t="shared" si="15"/>
        <v>0</v>
      </c>
      <c r="I35" s="3">
        <f>I283</f>
        <v>1691</v>
      </c>
      <c r="J35" s="3"/>
      <c r="K35" s="3"/>
      <c r="L35" s="3">
        <f t="shared" si="15"/>
        <v>0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0</v>
      </c>
      <c r="D36" s="3">
        <f t="shared" ref="D36:L36" si="16">SUM(D290:D296)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I296</f>
        <v>0</v>
      </c>
      <c r="J36" s="3"/>
      <c r="K36" s="3"/>
      <c r="L36" s="3">
        <f t="shared" si="16"/>
        <v>0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0</v>
      </c>
      <c r="D37" s="3">
        <f t="shared" ref="D37:L37" si="17">SUM(D303:D309)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I309</f>
        <v>0</v>
      </c>
      <c r="J37" s="3"/>
      <c r="K37" s="3"/>
      <c r="L37" s="3">
        <f t="shared" si="17"/>
        <v>0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0</v>
      </c>
      <c r="D38" s="3">
        <f t="shared" ref="D38:L38" si="18">SUM(D316:D322)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I322</f>
        <v>0</v>
      </c>
      <c r="J38" s="3"/>
      <c r="K38" s="3"/>
      <c r="L38" s="3">
        <f t="shared" si="18"/>
        <v>0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0</v>
      </c>
      <c r="D39" s="3">
        <f t="shared" ref="D39:L39" si="19">SUM(D329:D335)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I335</f>
        <v>0</v>
      </c>
      <c r="J39" s="3"/>
      <c r="K39" s="3"/>
      <c r="L39" s="3">
        <f t="shared" si="19"/>
        <v>0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0</v>
      </c>
      <c r="D40" s="3">
        <f t="shared" ref="D40:L40" si="20">SUM(D342:D348)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I348</f>
        <v>0</v>
      </c>
      <c r="J40" s="3"/>
      <c r="K40" s="3"/>
      <c r="L40" s="3">
        <f t="shared" si="20"/>
        <v>0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0</v>
      </c>
      <c r="D41" s="3">
        <f t="shared" ref="D41:L41" si="21">SUM(D355:D361)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I361</f>
        <v>0</v>
      </c>
      <c r="J41" s="3"/>
      <c r="K41" s="3"/>
      <c r="L41" s="3">
        <f t="shared" si="21"/>
        <v>0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0</v>
      </c>
      <c r="D42" s="3">
        <f t="shared" ref="D42:L42" si="22">SUM(D368:D374)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I374</f>
        <v>0</v>
      </c>
      <c r="J42" s="3"/>
      <c r="K42" s="3"/>
      <c r="L42" s="3">
        <f t="shared" si="22"/>
        <v>0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0</v>
      </c>
      <c r="D43" s="3">
        <f t="shared" ref="D43:L43" si="23">SUM(D381:D387)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I387</f>
        <v>0</v>
      </c>
      <c r="J43" s="3"/>
      <c r="K43" s="3"/>
      <c r="L43" s="3">
        <f t="shared" si="23"/>
        <v>0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0</v>
      </c>
      <c r="D44" s="3">
        <f t="shared" ref="D44:L44" si="24">SUM(D394:D400)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I400</f>
        <v>0</v>
      </c>
      <c r="J44" s="3"/>
      <c r="K44" s="3"/>
      <c r="L44" s="3">
        <f t="shared" si="24"/>
        <v>0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0</v>
      </c>
      <c r="D45" s="3">
        <f t="shared" ref="D45:L45" si="25">SUM(D407:D413)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I413</f>
        <v>0</v>
      </c>
      <c r="J45" s="3"/>
      <c r="K45" s="3"/>
      <c r="L45" s="3">
        <f t="shared" si="25"/>
        <v>0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0</v>
      </c>
      <c r="D46" s="3">
        <f t="shared" ref="D46:L46" si="26">SUM(D420:D426)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I426</f>
        <v>0</v>
      </c>
      <c r="J46" s="3"/>
      <c r="K46" s="3"/>
      <c r="L46" s="3">
        <f t="shared" si="26"/>
        <v>0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0</v>
      </c>
      <c r="D47" s="3">
        <f t="shared" ref="D47:L47" si="27">SUM(D433:D439)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I439</f>
        <v>0</v>
      </c>
      <c r="J47" s="3"/>
      <c r="K47" s="3"/>
      <c r="L47" s="3">
        <f t="shared" si="27"/>
        <v>0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0</v>
      </c>
      <c r="D48" s="3">
        <f t="shared" ref="D48:L48" si="28">SUM(D446:D452)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I452</f>
        <v>0</v>
      </c>
      <c r="J48" s="3"/>
      <c r="K48" s="3"/>
      <c r="L48" s="3">
        <f t="shared" si="28"/>
        <v>0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0</v>
      </c>
      <c r="D49" s="3">
        <f t="shared" ref="D49:L49" si="29">SUM(D459:D465)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I465</f>
        <v>0</v>
      </c>
      <c r="J49" s="3"/>
      <c r="K49" s="3"/>
      <c r="L49" s="3">
        <f t="shared" si="29"/>
        <v>0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0</v>
      </c>
      <c r="D50" s="3">
        <f t="shared" ref="D50:L50" si="30">SUM(D472:D478)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I478</f>
        <v>0</v>
      </c>
      <c r="J50" s="3"/>
      <c r="K50" s="3"/>
      <c r="L50" s="3">
        <f t="shared" si="30"/>
        <v>0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5">SUM(D472:D474)</f>
        <v>0</v>
      </c>
      <c r="E153" s="3">
        <f t="shared" si="75"/>
        <v>0</v>
      </c>
      <c r="F153" s="3">
        <f t="shared" si="75"/>
        <v>0</v>
      </c>
      <c r="G153" s="3">
        <f t="shared" si="75"/>
        <v>0</v>
      </c>
      <c r="H153" s="3">
        <f t="shared" si="75"/>
        <v>0</v>
      </c>
      <c r="I153" s="3">
        <f>I474</f>
        <v>0</v>
      </c>
      <c r="J153" s="3"/>
      <c r="K153" s="3"/>
      <c r="L153" s="3">
        <f t="shared" si="75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6">SUM(D475:D477)</f>
        <v>0</v>
      </c>
      <c r="E154" s="3">
        <f t="shared" si="76"/>
        <v>0</v>
      </c>
      <c r="F154" s="3">
        <f t="shared" si="76"/>
        <v>0</v>
      </c>
      <c r="G154" s="3">
        <f t="shared" si="76"/>
        <v>0</v>
      </c>
      <c r="H154" s="3">
        <f t="shared" si="76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5" thickBot="1" x14ac:dyDescent="0.25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5" thickBot="1" x14ac:dyDescent="0.25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5" thickBot="1" x14ac:dyDescent="0.25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5" thickBot="1" x14ac:dyDescent="0.25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5" thickBot="1" x14ac:dyDescent="0.25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7">H342*44.5/1000</f>
        <v>0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8">I342-I343</f>
        <v>0</v>
      </c>
      <c r="H343" s="16">
        <v>0</v>
      </c>
      <c r="I343" s="16">
        <v>0</v>
      </c>
      <c r="J343" s="15"/>
      <c r="K343" s="15"/>
      <c r="L343" s="16">
        <f t="shared" si="77"/>
        <v>0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8"/>
        <v>0</v>
      </c>
      <c r="H344" s="16">
        <v>0</v>
      </c>
      <c r="I344" s="16">
        <v>0</v>
      </c>
      <c r="J344" s="15"/>
      <c r="K344" s="15"/>
      <c r="L344" s="16">
        <f t="shared" si="77"/>
        <v>0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8"/>
        <v>0</v>
      </c>
      <c r="H345" s="16">
        <v>0</v>
      </c>
      <c r="I345" s="16">
        <v>0</v>
      </c>
      <c r="L345" s="16">
        <f t="shared" si="77"/>
        <v>0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8"/>
        <v>0</v>
      </c>
      <c r="H346" s="16">
        <v>0</v>
      </c>
      <c r="I346" s="16">
        <v>0</v>
      </c>
      <c r="L346" s="16">
        <f t="shared" si="77"/>
        <v>0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8"/>
        <v>0</v>
      </c>
      <c r="H347" s="16">
        <v>0</v>
      </c>
      <c r="I347" s="16">
        <v>0</v>
      </c>
      <c r="L347" s="16">
        <f t="shared" si="77"/>
        <v>0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8"/>
        <v>0</v>
      </c>
      <c r="H348" s="16">
        <v>0</v>
      </c>
      <c r="I348" s="16">
        <v>0</v>
      </c>
      <c r="L348" s="16">
        <f t="shared" si="77"/>
        <v>0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8"/>
        <v>0</v>
      </c>
      <c r="H349" s="16">
        <v>0</v>
      </c>
      <c r="I349" s="16">
        <v>0</v>
      </c>
      <c r="L349" s="16">
        <f t="shared" si="77"/>
        <v>0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8"/>
        <v>0</v>
      </c>
      <c r="H350" s="16">
        <v>0</v>
      </c>
      <c r="I350" s="16">
        <v>0</v>
      </c>
      <c r="L350" s="16">
        <f t="shared" si="77"/>
        <v>0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8"/>
        <v>0</v>
      </c>
      <c r="H351" s="16">
        <v>0</v>
      </c>
      <c r="I351" s="16">
        <v>0</v>
      </c>
      <c r="L351" s="16">
        <f t="shared" si="77"/>
        <v>0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8"/>
        <v>0</v>
      </c>
      <c r="H352" s="16">
        <v>0</v>
      </c>
      <c r="I352" s="16">
        <v>0</v>
      </c>
      <c r="L352" s="16">
        <f t="shared" si="77"/>
        <v>0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8"/>
        <v>0</v>
      </c>
      <c r="H353" s="42">
        <v>0</v>
      </c>
      <c r="I353" s="42">
        <v>0</v>
      </c>
      <c r="J353" s="2"/>
      <c r="K353" s="2"/>
      <c r="L353" s="42">
        <f t="shared" si="77"/>
        <v>0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79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79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79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79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79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79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0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1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2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3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4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5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5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5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5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5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5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6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7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8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89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0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1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1"/>
        <v>0</v>
      </c>
      <c r="H474" s="16">
        <v>0</v>
      </c>
      <c r="I474" s="16">
        <v>0</v>
      </c>
      <c r="J474" s="16"/>
      <c r="K474" s="16"/>
      <c r="L474" s="16"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1"/>
        <v>0</v>
      </c>
      <c r="H475" s="16">
        <v>0</v>
      </c>
      <c r="I475" s="16">
        <v>0</v>
      </c>
      <c r="J475" s="16"/>
      <c r="K475" s="16"/>
      <c r="L475" s="16"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1"/>
        <v>0</v>
      </c>
      <c r="H476" s="16">
        <v>0</v>
      </c>
      <c r="I476" s="16">
        <v>0</v>
      </c>
      <c r="J476" s="16"/>
      <c r="K476" s="16"/>
      <c r="L476" s="16"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1"/>
        <v>0</v>
      </c>
      <c r="H477" s="16">
        <v>0</v>
      </c>
      <c r="I477" s="16">
        <v>0</v>
      </c>
      <c r="J477" s="16"/>
      <c r="K477" s="16"/>
      <c r="L477" s="16"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1"/>
        <v>0</v>
      </c>
      <c r="H478" s="16">
        <v>0</v>
      </c>
      <c r="I478" s="16">
        <v>0</v>
      </c>
      <c r="J478" s="16"/>
      <c r="K478" s="16"/>
      <c r="L478" s="16">
        <v>0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indexed="42"/>
  </sheetPr>
  <dimension ref="A1:U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M481" sqref="M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104043</v>
      </c>
      <c r="D30" s="3">
        <f t="shared" ref="D30:L30" si="11">SUM(D212:D218)</f>
        <v>4066</v>
      </c>
      <c r="E30" s="3">
        <f t="shared" si="11"/>
        <v>69666</v>
      </c>
      <c r="F30" s="3">
        <f t="shared" si="11"/>
        <v>0</v>
      </c>
      <c r="G30" s="3">
        <f t="shared" si="11"/>
        <v>-1797</v>
      </c>
      <c r="H30" s="3">
        <f t="shared" si="11"/>
        <v>41112</v>
      </c>
      <c r="I30" s="3">
        <f>I218</f>
        <v>6381</v>
      </c>
      <c r="J30" s="3"/>
      <c r="K30" s="3"/>
      <c r="L30" s="3">
        <f t="shared" si="11"/>
        <v>1891.1519999999998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99591</v>
      </c>
      <c r="D31" s="3">
        <f t="shared" ref="D31:L31" si="12">SUM(D225:D231)</f>
        <v>3427</v>
      </c>
      <c r="E31" s="3">
        <f t="shared" si="12"/>
        <v>61709</v>
      </c>
      <c r="F31" s="3">
        <f t="shared" si="12"/>
        <v>0</v>
      </c>
      <c r="G31" s="3">
        <f t="shared" si="12"/>
        <v>-2186</v>
      </c>
      <c r="H31" s="3">
        <f t="shared" si="12"/>
        <v>38344</v>
      </c>
      <c r="I31" s="3">
        <f>I231</f>
        <v>8625</v>
      </c>
      <c r="J31" s="3"/>
      <c r="K31" s="3"/>
      <c r="L31" s="3">
        <f t="shared" si="12"/>
        <v>1763.8240000000001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113132</v>
      </c>
      <c r="D32" s="3">
        <f t="shared" ref="D32:L32" si="13">SUM(D238:D244)</f>
        <v>3251</v>
      </c>
      <c r="E32" s="3">
        <f t="shared" si="13"/>
        <v>81529</v>
      </c>
      <c r="F32" s="3">
        <f t="shared" si="13"/>
        <v>0</v>
      </c>
      <c r="G32" s="3">
        <f t="shared" si="13"/>
        <v>501</v>
      </c>
      <c r="H32" s="3">
        <f t="shared" si="13"/>
        <v>36601</v>
      </c>
      <c r="I32" s="3">
        <f>I244</f>
        <v>6550</v>
      </c>
      <c r="J32" s="3"/>
      <c r="K32" s="3"/>
      <c r="L32" s="3">
        <f t="shared" si="13"/>
        <v>1683.6459999999997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69093</v>
      </c>
      <c r="D33" s="3">
        <f t="shared" ref="D33:L33" si="14">SUM(D251:D257)</f>
        <v>13763</v>
      </c>
      <c r="E33" s="3">
        <f t="shared" si="14"/>
        <v>50918</v>
      </c>
      <c r="F33" s="3">
        <f t="shared" si="14"/>
        <v>0</v>
      </c>
      <c r="G33" s="3">
        <f t="shared" si="14"/>
        <v>4044</v>
      </c>
      <c r="H33" s="3">
        <f t="shared" si="14"/>
        <v>34303</v>
      </c>
      <c r="I33" s="3">
        <f>I257</f>
        <v>3648</v>
      </c>
      <c r="J33" s="3"/>
      <c r="K33" s="3"/>
      <c r="L33" s="3">
        <f t="shared" si="14"/>
        <v>1577.9379999999999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97723</v>
      </c>
      <c r="D34" s="3">
        <f t="shared" ref="D34:L34" si="15">SUM(D264:D270)</f>
        <v>656</v>
      </c>
      <c r="E34" s="3">
        <f t="shared" si="15"/>
        <v>69532</v>
      </c>
      <c r="F34" s="3">
        <f t="shared" si="15"/>
        <v>0</v>
      </c>
      <c r="G34" s="3">
        <f t="shared" si="15"/>
        <v>398</v>
      </c>
      <c r="H34" s="3">
        <f t="shared" si="15"/>
        <v>29514</v>
      </c>
      <c r="I34" s="3">
        <f>I270</f>
        <v>7475</v>
      </c>
      <c r="J34" s="3"/>
      <c r="K34" s="3"/>
      <c r="L34" s="3">
        <f t="shared" si="15"/>
        <v>1357.644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118104</v>
      </c>
      <c r="D35" s="3">
        <f t="shared" ref="D35:L35" si="16">SUM(D277:D283)</f>
        <v>2657</v>
      </c>
      <c r="E35" s="3">
        <f t="shared" si="16"/>
        <v>93570</v>
      </c>
      <c r="F35" s="3">
        <f t="shared" si="16"/>
        <v>0</v>
      </c>
      <c r="G35" s="3">
        <f t="shared" si="16"/>
        <v>54</v>
      </c>
      <c r="H35" s="3">
        <f t="shared" si="16"/>
        <v>29307</v>
      </c>
      <c r="I35" s="3">
        <f>I283</f>
        <v>4943</v>
      </c>
      <c r="J35" s="3"/>
      <c r="K35" s="3"/>
      <c r="L35" s="3">
        <f t="shared" si="16"/>
        <v>1348.1219999999998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84704</v>
      </c>
      <c r="D36" s="3">
        <f t="shared" ref="D36:L36" si="17">SUM(D290:D296)</f>
        <v>4246</v>
      </c>
      <c r="E36" s="3">
        <f t="shared" si="17"/>
        <v>62555</v>
      </c>
      <c r="F36" s="3">
        <f t="shared" si="17"/>
        <v>0</v>
      </c>
      <c r="G36" s="3">
        <f t="shared" si="17"/>
        <v>-1283</v>
      </c>
      <c r="H36" s="3">
        <f t="shared" si="17"/>
        <v>27560</v>
      </c>
      <c r="I36" s="3">
        <f>I296</f>
        <v>5538</v>
      </c>
      <c r="J36" s="3"/>
      <c r="K36" s="3"/>
      <c r="L36" s="3">
        <f t="shared" si="17"/>
        <v>1267.76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106284</v>
      </c>
      <c r="D37" s="3">
        <f t="shared" ref="D37:L37" si="18">SUM(D303:D309)</f>
        <v>2457</v>
      </c>
      <c r="E37" s="3">
        <f t="shared" si="18"/>
        <v>80788</v>
      </c>
      <c r="F37" s="3">
        <f t="shared" si="18"/>
        <v>0</v>
      </c>
      <c r="G37" s="3">
        <f t="shared" si="18"/>
        <v>-1664</v>
      </c>
      <c r="H37" s="3">
        <f t="shared" si="18"/>
        <v>32224</v>
      </c>
      <c r="I37" s="3">
        <f>I309</f>
        <v>5636</v>
      </c>
      <c r="J37" s="3"/>
      <c r="K37" s="3"/>
      <c r="L37" s="3">
        <f t="shared" si="18"/>
        <v>1482.3039999999999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78739</v>
      </c>
      <c r="D38" s="3">
        <f t="shared" ref="D38:L38" si="19">SUM(D316:D322)</f>
        <v>6544</v>
      </c>
      <c r="E38" s="3">
        <f t="shared" si="19"/>
        <v>59427</v>
      </c>
      <c r="F38" s="3">
        <f t="shared" si="19"/>
        <v>0</v>
      </c>
      <c r="G38" s="3">
        <f t="shared" si="19"/>
        <v>-294</v>
      </c>
      <c r="H38" s="3">
        <f t="shared" si="19"/>
        <v>25658</v>
      </c>
      <c r="I38" s="3">
        <f>I322</f>
        <v>4944</v>
      </c>
      <c r="J38" s="3"/>
      <c r="K38" s="3"/>
      <c r="L38" s="3">
        <f t="shared" si="19"/>
        <v>1180.268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75419</v>
      </c>
      <c r="D39" s="3">
        <f t="shared" ref="D39:L39" si="20">SUM(D329:D335)</f>
        <v>11377</v>
      </c>
      <c r="E39" s="3">
        <f t="shared" si="20"/>
        <v>65319</v>
      </c>
      <c r="F39" s="3">
        <f t="shared" si="20"/>
        <v>0</v>
      </c>
      <c r="G39" s="3">
        <f t="shared" si="20"/>
        <v>2518</v>
      </c>
      <c r="H39" s="3">
        <f t="shared" si="20"/>
        <v>27276</v>
      </c>
      <c r="I39" s="3">
        <f>I335</f>
        <v>5407</v>
      </c>
      <c r="J39" s="3"/>
      <c r="K39" s="3"/>
      <c r="L39" s="3">
        <f t="shared" si="20"/>
        <v>1254.6959999999999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90151</v>
      </c>
      <c r="D40" s="3">
        <f t="shared" ref="D40:L40" si="21">SUM(D342:D348)</f>
        <v>8835</v>
      </c>
      <c r="E40" s="3">
        <f t="shared" si="21"/>
        <v>73796</v>
      </c>
      <c r="F40" s="3">
        <f t="shared" si="21"/>
        <v>0</v>
      </c>
      <c r="G40" s="3">
        <f t="shared" si="21"/>
        <v>-49</v>
      </c>
      <c r="H40" s="3">
        <f t="shared" si="21"/>
        <v>29146</v>
      </c>
      <c r="I40" s="3">
        <f>I348</f>
        <v>4281</v>
      </c>
      <c r="J40" s="3"/>
      <c r="K40" s="3"/>
      <c r="L40" s="3">
        <f t="shared" si="21"/>
        <v>1337.7260000000001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64954</v>
      </c>
      <c r="D41" s="3">
        <f t="shared" ref="D41:L41" si="22">SUM(D355:D361)</f>
        <v>15360</v>
      </c>
      <c r="E41" s="3">
        <f t="shared" si="22"/>
        <v>50303</v>
      </c>
      <c r="F41" s="3">
        <f t="shared" si="22"/>
        <v>0</v>
      </c>
      <c r="G41" s="3">
        <f t="shared" si="22"/>
        <v>-2201</v>
      </c>
      <c r="H41" s="3">
        <f t="shared" si="22"/>
        <v>27783</v>
      </c>
      <c r="I41" s="3">
        <f>I361</f>
        <v>7732</v>
      </c>
      <c r="J41" s="3"/>
      <c r="K41" s="3"/>
      <c r="L41" s="3">
        <f t="shared" si="22"/>
        <v>1278.018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76667</v>
      </c>
      <c r="D42" s="3">
        <f t="shared" ref="D42:L42" si="23">SUM(D368:D374)</f>
        <v>20450</v>
      </c>
      <c r="E42" s="3">
        <f t="shared" si="23"/>
        <v>62015</v>
      </c>
      <c r="F42" s="3">
        <f t="shared" si="23"/>
        <v>0</v>
      </c>
      <c r="G42" s="3">
        <f t="shared" si="23"/>
        <v>-4915</v>
      </c>
      <c r="H42" s="3">
        <f t="shared" si="23"/>
        <v>31134</v>
      </c>
      <c r="I42" s="3">
        <f>I374</f>
        <v>8134</v>
      </c>
      <c r="J42" s="3"/>
      <c r="K42" s="3"/>
      <c r="L42" s="3">
        <f t="shared" si="23"/>
        <v>1432.164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80647</v>
      </c>
      <c r="D43" s="3">
        <f t="shared" ref="D43:L43" si="24">SUM(D381:D387)</f>
        <v>11928</v>
      </c>
      <c r="E43" s="3">
        <f t="shared" si="24"/>
        <v>61109</v>
      </c>
      <c r="F43" s="3">
        <f t="shared" si="24"/>
        <v>0</v>
      </c>
      <c r="G43" s="3">
        <f t="shared" si="24"/>
        <v>-745</v>
      </c>
      <c r="H43" s="3">
        <f t="shared" si="24"/>
        <v>30641</v>
      </c>
      <c r="I43" s="3">
        <f>I387</f>
        <v>7519</v>
      </c>
      <c r="J43" s="3"/>
      <c r="K43" s="3"/>
      <c r="L43" s="3">
        <f t="shared" si="24"/>
        <v>1409.4860000000001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84581</v>
      </c>
      <c r="D44" s="3">
        <f t="shared" ref="D44:L44" si="25">SUM(D394:D400)</f>
        <v>8926</v>
      </c>
      <c r="E44" s="3">
        <f t="shared" si="25"/>
        <v>59846</v>
      </c>
      <c r="F44" s="3">
        <f t="shared" si="25"/>
        <v>0</v>
      </c>
      <c r="G44" s="3">
        <f t="shared" si="25"/>
        <v>59</v>
      </c>
      <c r="H44" s="3">
        <f t="shared" si="25"/>
        <v>34459</v>
      </c>
      <c r="I44" s="3">
        <f>I400</f>
        <v>6761</v>
      </c>
      <c r="J44" s="3"/>
      <c r="K44" s="3"/>
      <c r="L44" s="3">
        <f t="shared" si="25"/>
        <v>1585.114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83708</v>
      </c>
      <c r="D45" s="3">
        <f t="shared" ref="D45:L45" si="26">SUM(D407:D413)</f>
        <v>3504</v>
      </c>
      <c r="E45" s="3">
        <f t="shared" si="26"/>
        <v>53342</v>
      </c>
      <c r="F45" s="3">
        <f t="shared" si="26"/>
        <v>0</v>
      </c>
      <c r="G45" s="3">
        <f t="shared" si="26"/>
        <v>-476</v>
      </c>
      <c r="H45" s="3">
        <f t="shared" si="26"/>
        <v>34037</v>
      </c>
      <c r="I45" s="3">
        <f>I413</f>
        <v>5871</v>
      </c>
      <c r="J45" s="3"/>
      <c r="K45" s="3"/>
      <c r="L45" s="3">
        <f t="shared" si="26"/>
        <v>1565.702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66079</v>
      </c>
      <c r="D46" s="3">
        <f t="shared" ref="D46:L46" si="27">SUM(D420:D426)</f>
        <v>13590</v>
      </c>
      <c r="E46" s="3">
        <f t="shared" si="27"/>
        <v>44702</v>
      </c>
      <c r="F46" s="3">
        <f t="shared" si="27"/>
        <v>0</v>
      </c>
      <c r="G46" s="3">
        <f t="shared" si="27"/>
        <v>2251</v>
      </c>
      <c r="H46" s="3">
        <f t="shared" si="27"/>
        <v>37559</v>
      </c>
      <c r="I46" s="3">
        <f>I426</f>
        <v>5749</v>
      </c>
      <c r="J46" s="3"/>
      <c r="K46" s="3"/>
      <c r="L46" s="3">
        <f t="shared" si="27"/>
        <v>1727.7139999999999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53787</v>
      </c>
      <c r="D47" s="3">
        <f t="shared" ref="D47:L47" si="28">SUM(D433:D439)</f>
        <v>16427</v>
      </c>
      <c r="E47" s="3">
        <f t="shared" si="28"/>
        <v>34507</v>
      </c>
      <c r="F47" s="3">
        <f t="shared" si="28"/>
        <v>0</v>
      </c>
      <c r="G47" s="3">
        <f t="shared" si="28"/>
        <v>-1472</v>
      </c>
      <c r="H47" s="3">
        <f t="shared" si="28"/>
        <v>34416</v>
      </c>
      <c r="I47" s="3">
        <f>I439</f>
        <v>6434</v>
      </c>
      <c r="J47" s="3"/>
      <c r="K47" s="3"/>
      <c r="L47" s="3">
        <f t="shared" si="28"/>
        <v>1583.1360000000002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44759</v>
      </c>
      <c r="D48" s="3">
        <f t="shared" ref="D48:L48" si="29">SUM(D446:D452)</f>
        <v>43375</v>
      </c>
      <c r="E48" s="3">
        <f t="shared" si="29"/>
        <v>34728</v>
      </c>
      <c r="F48" s="3">
        <f t="shared" si="29"/>
        <v>0</v>
      </c>
      <c r="G48" s="3">
        <f t="shared" si="29"/>
        <v>-2789</v>
      </c>
      <c r="H48" s="3">
        <f t="shared" si="29"/>
        <v>53462</v>
      </c>
      <c r="I48" s="3">
        <f>I452</f>
        <v>7961</v>
      </c>
      <c r="J48" s="3"/>
      <c r="K48" s="3"/>
      <c r="L48" s="3">
        <f t="shared" si="29"/>
        <v>2459.252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35504</v>
      </c>
      <c r="D49" s="3">
        <f t="shared" ref="D49:L49" si="30">SUM(D459:D465)</f>
        <v>29051</v>
      </c>
      <c r="E49" s="3">
        <f t="shared" si="30"/>
        <v>23308</v>
      </c>
      <c r="F49" s="3">
        <f t="shared" si="30"/>
        <v>0</v>
      </c>
      <c r="G49" s="3">
        <f t="shared" si="30"/>
        <v>916</v>
      </c>
      <c r="H49" s="3">
        <f t="shared" si="30"/>
        <v>43190</v>
      </c>
      <c r="I49" s="3">
        <f>I465</f>
        <v>6299</v>
      </c>
      <c r="J49" s="3"/>
      <c r="K49" s="3"/>
      <c r="L49" s="3">
        <f t="shared" si="30"/>
        <v>1986.74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42962</v>
      </c>
      <c r="D50" s="3">
        <f t="shared" ref="D50:L50" si="31">SUM(D472:D478)</f>
        <v>22755</v>
      </c>
      <c r="E50" s="3">
        <f t="shared" si="31"/>
        <v>28616</v>
      </c>
      <c r="F50" s="3">
        <f t="shared" si="31"/>
        <v>0</v>
      </c>
      <c r="G50" s="3">
        <f t="shared" si="31"/>
        <v>-729</v>
      </c>
      <c r="H50" s="3">
        <f t="shared" si="31"/>
        <v>37204</v>
      </c>
      <c r="I50" s="3">
        <f>I478</f>
        <v>7522</v>
      </c>
      <c r="J50" s="3"/>
      <c r="K50" s="3"/>
      <c r="L50" s="3">
        <f t="shared" si="31"/>
        <v>1711.384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8620</v>
      </c>
      <c r="D153" s="3">
        <f t="shared" ref="D153:L153" si="88">SUM(D472:D474)</f>
        <v>12082</v>
      </c>
      <c r="E153" s="3">
        <f t="shared" si="88"/>
        <v>4011</v>
      </c>
      <c r="F153" s="3">
        <f t="shared" si="88"/>
        <v>0</v>
      </c>
      <c r="G153" s="3">
        <f t="shared" si="88"/>
        <v>-1153</v>
      </c>
      <c r="H153" s="3">
        <f t="shared" si="88"/>
        <v>15877</v>
      </c>
      <c r="I153" s="3">
        <f>I474</f>
        <v>7946</v>
      </c>
      <c r="J153" s="3"/>
      <c r="K153" s="3"/>
      <c r="L153" s="3">
        <f t="shared" si="88"/>
        <v>730.34199999999998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24565</v>
      </c>
      <c r="D154" s="3">
        <f t="shared" ref="D154:H154" si="89">SUM(D475:D477)</f>
        <v>8889</v>
      </c>
      <c r="E154" s="3">
        <f t="shared" si="89"/>
        <v>17439</v>
      </c>
      <c r="F154" s="3">
        <f t="shared" si="89"/>
        <v>0</v>
      </c>
      <c r="G154" s="3">
        <f t="shared" si="89"/>
        <v>62</v>
      </c>
      <c r="H154" s="3">
        <f t="shared" si="89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5" thickBot="1" x14ac:dyDescent="0.25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5" thickBot="1" x14ac:dyDescent="0.25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5" thickBot="1" x14ac:dyDescent="0.25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5" thickBot="1" x14ac:dyDescent="0.25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5" thickBot="1" x14ac:dyDescent="0.25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5" thickBot="1" x14ac:dyDescent="0.25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5" thickBot="1" x14ac:dyDescent="0.25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7"/>
      <c r="S317" s="12"/>
      <c r="T317" s="12"/>
      <c r="U317" s="12"/>
    </row>
    <row r="318" spans="1:21" x14ac:dyDescent="0.2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7"/>
      <c r="S318" s="12"/>
      <c r="T318" s="12"/>
      <c r="U318" s="12"/>
    </row>
    <row r="319" spans="1:21" x14ac:dyDescent="0.2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7"/>
      <c r="S319" s="12"/>
      <c r="T319" s="12"/>
      <c r="U319" s="12"/>
    </row>
    <row r="320" spans="1:21" x14ac:dyDescent="0.2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7"/>
      <c r="S320" s="12"/>
      <c r="T320" s="12"/>
      <c r="U320" s="12"/>
    </row>
    <row r="321" spans="1:21" x14ac:dyDescent="0.2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7"/>
      <c r="S321" s="12"/>
      <c r="T321" s="12"/>
      <c r="U321" s="12"/>
    </row>
    <row r="322" spans="1:21" x14ac:dyDescent="0.2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7"/>
      <c r="S322" s="12"/>
      <c r="T322" s="12"/>
      <c r="U322" s="12"/>
    </row>
    <row r="323" spans="1:21" x14ac:dyDescent="0.2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7"/>
      <c r="S323" s="12"/>
      <c r="T323" s="12"/>
      <c r="U323" s="12"/>
    </row>
    <row r="324" spans="1:21" x14ac:dyDescent="0.2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7"/>
      <c r="S324" s="12"/>
      <c r="T324" s="12"/>
      <c r="U324" s="12"/>
    </row>
    <row r="325" spans="1:21" x14ac:dyDescent="0.2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7"/>
      <c r="S325" s="12"/>
      <c r="T325" s="12"/>
      <c r="U325" s="12"/>
    </row>
    <row r="326" spans="1:21" x14ac:dyDescent="0.2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7"/>
      <c r="S326" s="12"/>
      <c r="T326" s="12"/>
      <c r="U326" s="12"/>
    </row>
    <row r="327" spans="1:21" ht="13.5" thickBot="1" x14ac:dyDescent="0.25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7"/>
      <c r="S327" s="12"/>
      <c r="T327" s="12"/>
      <c r="U327" s="12"/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7"/>
      <c r="S333" s="12"/>
      <c r="T333" s="12"/>
      <c r="U333" s="12"/>
    </row>
    <row r="334" spans="1:21" x14ac:dyDescent="0.2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7"/>
      <c r="S334" s="12"/>
      <c r="T334" s="12"/>
      <c r="U334" s="12"/>
    </row>
    <row r="335" spans="1:21" x14ac:dyDescent="0.2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7"/>
      <c r="S335" s="12"/>
      <c r="T335" s="12"/>
      <c r="U335" s="12"/>
    </row>
    <row r="336" spans="1:21" x14ac:dyDescent="0.2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7"/>
      <c r="S336" s="12"/>
      <c r="T336" s="12"/>
      <c r="U336" s="12"/>
    </row>
    <row r="337" spans="1:21" x14ac:dyDescent="0.2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7"/>
      <c r="S337" s="12"/>
      <c r="T337" s="12"/>
      <c r="U337" s="12"/>
    </row>
    <row r="338" spans="1:21" x14ac:dyDescent="0.2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7"/>
      <c r="S338" s="12"/>
      <c r="T338" s="12"/>
      <c r="U338" s="12"/>
    </row>
    <row r="339" spans="1:21" x14ac:dyDescent="0.2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7"/>
      <c r="S339" s="12"/>
      <c r="T339" s="12"/>
      <c r="U339" s="12"/>
    </row>
    <row r="340" spans="1:21" ht="13.5" thickBot="1" x14ac:dyDescent="0.25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7"/>
      <c r="S340" s="12"/>
      <c r="T340" s="12"/>
      <c r="U340" s="12"/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0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7"/>
      <c r="S343" s="12"/>
      <c r="T343" s="12"/>
      <c r="U343" s="12"/>
    </row>
    <row r="344" spans="1:21" x14ac:dyDescent="0.2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0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7"/>
      <c r="S344" s="12"/>
      <c r="T344" s="12"/>
      <c r="U344" s="12"/>
    </row>
    <row r="345" spans="1:21" x14ac:dyDescent="0.2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0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7"/>
      <c r="S345" s="12"/>
      <c r="T345" s="12"/>
      <c r="U345" s="12"/>
    </row>
    <row r="346" spans="1:21" x14ac:dyDescent="0.2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0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7"/>
      <c r="S346" s="12"/>
      <c r="T346" s="12"/>
      <c r="U346" s="12"/>
    </row>
    <row r="347" spans="1:21" x14ac:dyDescent="0.2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0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7"/>
      <c r="S347" s="12"/>
      <c r="T347" s="12"/>
      <c r="U347" s="12"/>
    </row>
    <row r="348" spans="1:21" x14ac:dyDescent="0.2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0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7"/>
      <c r="S348" s="12"/>
      <c r="T348" s="12"/>
      <c r="U348" s="12"/>
    </row>
    <row r="349" spans="1:21" x14ac:dyDescent="0.2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7"/>
      <c r="S349" s="12"/>
      <c r="T349" s="12"/>
      <c r="U349" s="12"/>
    </row>
    <row r="350" spans="1:21" x14ac:dyDescent="0.2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7"/>
      <c r="S350" s="12"/>
      <c r="T350" s="12"/>
      <c r="U350" s="12"/>
    </row>
    <row r="351" spans="1:21" x14ac:dyDescent="0.2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7"/>
      <c r="S351" s="12"/>
      <c r="T351" s="12"/>
      <c r="U351" s="12"/>
    </row>
    <row r="352" spans="1:21" x14ac:dyDescent="0.2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7"/>
      <c r="S352" s="12"/>
      <c r="T352" s="12"/>
      <c r="U352" s="12"/>
    </row>
    <row r="353" spans="1:21" ht="13.5" thickBot="1" x14ac:dyDescent="0.25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7"/>
      <c r="S353" s="12"/>
      <c r="T353" s="12"/>
      <c r="U353" s="12"/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7"/>
      <c r="S357" s="12"/>
      <c r="T357" s="12"/>
      <c r="U357" s="12"/>
    </row>
    <row r="358" spans="1:21" x14ac:dyDescent="0.2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7"/>
      <c r="S358" s="12"/>
      <c r="T358" s="12"/>
      <c r="U358" s="12"/>
    </row>
    <row r="359" spans="1:21" x14ac:dyDescent="0.2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7"/>
      <c r="S359" s="12"/>
      <c r="T359" s="12"/>
      <c r="U359" s="12"/>
    </row>
    <row r="360" spans="1:21" ht="14.1" customHeight="1" x14ac:dyDescent="0.2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7"/>
      <c r="S360" s="12"/>
      <c r="T360" s="12"/>
      <c r="U360" s="12"/>
    </row>
    <row r="361" spans="1:21" x14ac:dyDescent="0.2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7"/>
      <c r="S361" s="12"/>
      <c r="T361" s="12"/>
      <c r="U361" s="12"/>
    </row>
    <row r="362" spans="1:21" x14ac:dyDescent="0.2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7"/>
      <c r="S362" s="12"/>
      <c r="T362" s="12"/>
      <c r="U362" s="12"/>
    </row>
    <row r="363" spans="1:21" x14ac:dyDescent="0.2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7"/>
      <c r="S363" s="12"/>
      <c r="T363" s="12"/>
      <c r="U363" s="12"/>
    </row>
    <row r="364" spans="1:21" x14ac:dyDescent="0.2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7"/>
      <c r="S364" s="12"/>
      <c r="T364" s="12"/>
      <c r="U364" s="12"/>
    </row>
    <row r="365" spans="1:21" x14ac:dyDescent="0.2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7"/>
      <c r="S365" s="12"/>
      <c r="T365" s="12"/>
      <c r="U365" s="12"/>
    </row>
    <row r="366" spans="1:21" ht="13.5" thickBot="1" x14ac:dyDescent="0.25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7"/>
      <c r="S366" s="12"/>
      <c r="T366" s="12"/>
      <c r="U366" s="12"/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1">H368*46/1000</f>
        <v>192.97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2">I368-I369</f>
        <v>-926</v>
      </c>
      <c r="H369" s="16">
        <v>3857</v>
      </c>
      <c r="I369" s="16">
        <v>5607</v>
      </c>
      <c r="J369" s="15"/>
      <c r="K369" s="15"/>
      <c r="L369" s="16">
        <f t="shared" si="91"/>
        <v>177.422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2"/>
        <v>-1444</v>
      </c>
      <c r="H370" s="16">
        <v>4425</v>
      </c>
      <c r="I370" s="16">
        <v>7051</v>
      </c>
      <c r="J370" s="15"/>
      <c r="K370" s="15"/>
      <c r="L370" s="16">
        <f t="shared" si="91"/>
        <v>203.55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2"/>
        <v>760</v>
      </c>
      <c r="H371" s="16">
        <v>4344</v>
      </c>
      <c r="I371" s="16">
        <v>6291</v>
      </c>
      <c r="J371" s="15"/>
      <c r="K371" s="15"/>
      <c r="L371" s="16">
        <f t="shared" si="91"/>
        <v>199.82400000000001</v>
      </c>
      <c r="N371" s="23" t="s">
        <v>118</v>
      </c>
    </row>
    <row r="372" spans="1:14" x14ac:dyDescent="0.2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2"/>
        <v>-600</v>
      </c>
      <c r="H372" s="16">
        <v>5607</v>
      </c>
      <c r="I372" s="16">
        <v>6891</v>
      </c>
      <c r="J372" s="15"/>
      <c r="K372" s="15"/>
      <c r="L372" s="16">
        <f t="shared" si="91"/>
        <v>257.92200000000003</v>
      </c>
      <c r="N372" s="23" t="s">
        <v>137</v>
      </c>
    </row>
    <row r="373" spans="1:14" x14ac:dyDescent="0.2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2"/>
        <v>2310</v>
      </c>
      <c r="H373" s="16">
        <v>4957</v>
      </c>
      <c r="I373" s="16">
        <v>4581</v>
      </c>
      <c r="J373" s="15"/>
      <c r="K373" s="15"/>
      <c r="L373" s="16">
        <f t="shared" si="91"/>
        <v>228.02199999999999</v>
      </c>
      <c r="N373" s="23" t="s">
        <v>138</v>
      </c>
    </row>
    <row r="374" spans="1:14" x14ac:dyDescent="0.2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2"/>
        <v>-3553</v>
      </c>
      <c r="H374" s="16">
        <v>3749</v>
      </c>
      <c r="I374" s="16">
        <v>8134</v>
      </c>
      <c r="J374" s="15"/>
      <c r="K374" s="15"/>
      <c r="L374" s="16">
        <f t="shared" si="91"/>
        <v>172.45400000000001</v>
      </c>
      <c r="N374" s="23" t="s">
        <v>129</v>
      </c>
    </row>
    <row r="375" spans="1:14" x14ac:dyDescent="0.2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1"/>
        <v>262.56799999999998</v>
      </c>
      <c r="N375" s="23" t="s">
        <v>122</v>
      </c>
    </row>
    <row r="376" spans="1:14" x14ac:dyDescent="0.2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1"/>
        <v>195.5</v>
      </c>
      <c r="N376" s="23" t="s">
        <v>123</v>
      </c>
    </row>
    <row r="377" spans="1:14" x14ac:dyDescent="0.2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1"/>
        <v>142.46199999999999</v>
      </c>
      <c r="N377" s="23" t="s">
        <v>131</v>
      </c>
    </row>
    <row r="378" spans="1:14" x14ac:dyDescent="0.2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1"/>
        <v>234.14</v>
      </c>
      <c r="N378" s="23" t="s">
        <v>125</v>
      </c>
    </row>
    <row r="379" spans="1:14" ht="13.5" thickBot="1" x14ac:dyDescent="0.25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1"/>
        <v>194.44200000000001</v>
      </c>
      <c r="N379" s="43" t="s">
        <v>113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3">H381*46/1000</f>
        <v>213.67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4">I381-I382</f>
        <v>2453</v>
      </c>
      <c r="H382" s="16">
        <v>4230</v>
      </c>
      <c r="I382" s="16">
        <v>5143</v>
      </c>
      <c r="J382" s="15"/>
      <c r="K382" s="15"/>
      <c r="L382" s="16">
        <f t="shared" si="93"/>
        <v>194.58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4"/>
        <v>-2067</v>
      </c>
      <c r="H383" s="16">
        <v>4896</v>
      </c>
      <c r="I383" s="16">
        <v>7210</v>
      </c>
      <c r="J383" s="15"/>
      <c r="K383" s="15"/>
      <c r="L383" s="16">
        <f t="shared" si="93"/>
        <v>225.21600000000001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4"/>
        <v>408</v>
      </c>
      <c r="H384" s="16">
        <v>3727</v>
      </c>
      <c r="I384" s="16">
        <v>6802</v>
      </c>
      <c r="J384" s="15"/>
      <c r="K384" s="15"/>
      <c r="L384" s="16">
        <f t="shared" si="93"/>
        <v>171.44200000000001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4"/>
        <v>0</v>
      </c>
      <c r="H385" s="16">
        <v>3727</v>
      </c>
      <c r="I385" s="16">
        <v>6802</v>
      </c>
      <c r="J385" s="15"/>
      <c r="K385" s="15"/>
      <c r="L385" s="16">
        <f t="shared" si="93"/>
        <v>171.44200000000001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4"/>
        <v>-986</v>
      </c>
      <c r="H386" s="16">
        <v>4744</v>
      </c>
      <c r="I386" s="16">
        <v>7788</v>
      </c>
      <c r="J386" s="15"/>
      <c r="K386" s="15"/>
      <c r="L386" s="16">
        <f t="shared" si="93"/>
        <v>218.22399999999999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4"/>
        <v>269</v>
      </c>
      <c r="H387" s="16">
        <v>4672</v>
      </c>
      <c r="I387" s="16">
        <v>7519</v>
      </c>
      <c r="J387" s="15"/>
      <c r="K387" s="15"/>
      <c r="L387" s="16">
        <f t="shared" si="93"/>
        <v>214.91200000000001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4"/>
        <v>1541</v>
      </c>
      <c r="H388" s="16">
        <v>4633</v>
      </c>
      <c r="I388" s="16">
        <v>5978</v>
      </c>
      <c r="J388" s="15"/>
      <c r="K388" s="15"/>
      <c r="L388" s="16">
        <f t="shared" si="93"/>
        <v>213.11799999999999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4"/>
        <v>1390</v>
      </c>
      <c r="H389" s="16">
        <v>4087</v>
      </c>
      <c r="I389" s="16">
        <v>4588</v>
      </c>
      <c r="J389" s="15"/>
      <c r="K389" s="15"/>
      <c r="L389" s="16">
        <f t="shared" si="93"/>
        <v>188.00200000000001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4"/>
        <v>-445</v>
      </c>
      <c r="H390" s="16">
        <v>4153</v>
      </c>
      <c r="I390" s="16">
        <v>5033</v>
      </c>
      <c r="J390" s="15"/>
      <c r="K390" s="15"/>
      <c r="L390" s="16">
        <f t="shared" si="93"/>
        <v>191.03800000000001</v>
      </c>
      <c r="N390" s="23" t="str">
        <f>'Olieforbrug, TJ'!M390</f>
        <v>October</v>
      </c>
    </row>
    <row r="391" spans="1:14" ht="15" customHeight="1" x14ac:dyDescent="0.2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4"/>
        <v>2</v>
      </c>
      <c r="H391" s="16">
        <v>4932</v>
      </c>
      <c r="I391" s="16">
        <v>5031</v>
      </c>
      <c r="J391" s="15"/>
      <c r="K391" s="15"/>
      <c r="L391" s="16">
        <f t="shared" si="93"/>
        <v>226.87200000000001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4"/>
        <v>-1789</v>
      </c>
      <c r="H392" s="42">
        <v>4078</v>
      </c>
      <c r="I392" s="42">
        <v>6820</v>
      </c>
      <c r="J392" s="2"/>
      <c r="K392" s="2"/>
      <c r="L392" s="42">
        <f t="shared" si="93"/>
        <v>187.58799999999999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5">H394*46/1000</f>
        <v>223.69800000000001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6">I394-I395</f>
        <v>-3674</v>
      </c>
      <c r="H395" s="16">
        <v>4312</v>
      </c>
      <c r="I395" s="16">
        <v>8380</v>
      </c>
      <c r="J395" s="15"/>
      <c r="K395" s="15"/>
      <c r="L395" s="16">
        <f t="shared" si="95"/>
        <v>198.352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6"/>
        <v>812</v>
      </c>
      <c r="H396" s="16">
        <v>4095</v>
      </c>
      <c r="I396" s="16">
        <v>7568</v>
      </c>
      <c r="J396" s="15"/>
      <c r="K396" s="15"/>
      <c r="L396" s="16">
        <f t="shared" si="95"/>
        <v>188.37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6"/>
        <v>2238</v>
      </c>
      <c r="H397" s="16">
        <v>5116</v>
      </c>
      <c r="I397" s="16">
        <v>5330</v>
      </c>
      <c r="J397" s="15"/>
      <c r="K397" s="15"/>
      <c r="L397" s="16">
        <f t="shared" si="95"/>
        <v>235.33600000000001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6"/>
        <v>-655</v>
      </c>
      <c r="H398" s="16">
        <v>5565</v>
      </c>
      <c r="I398" s="16">
        <v>5985</v>
      </c>
      <c r="J398" s="15"/>
      <c r="K398" s="15"/>
      <c r="L398" s="16">
        <f t="shared" si="95"/>
        <v>255.99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6"/>
        <v>779</v>
      </c>
      <c r="H399" s="16">
        <v>5112</v>
      </c>
      <c r="I399" s="16">
        <v>5206</v>
      </c>
      <c r="J399" s="15"/>
      <c r="K399" s="15"/>
      <c r="L399" s="16">
        <f t="shared" si="95"/>
        <v>235.15199999999999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6"/>
        <v>-1555</v>
      </c>
      <c r="H400" s="16">
        <v>5396</v>
      </c>
      <c r="I400" s="16">
        <v>6761</v>
      </c>
      <c r="J400" s="15"/>
      <c r="K400" s="15"/>
      <c r="L400" s="16">
        <f t="shared" si="95"/>
        <v>248.21600000000001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5"/>
        <v>278.43799999999999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5"/>
        <v>157.68799999999999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5"/>
        <v>202.21600000000001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5"/>
        <v>221.44399999999999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5"/>
        <v>191.68199999999999</v>
      </c>
      <c r="N405" s="43" t="str">
        <f>'Olieforbrug, TJ'!M405</f>
        <v>December</v>
      </c>
    </row>
    <row r="406" spans="1:14" x14ac:dyDescent="0.2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7">H407*46/1000</f>
        <v>213.762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8">I407-I408</f>
        <v>-753</v>
      </c>
      <c r="H408" s="16">
        <v>3994</v>
      </c>
      <c r="I408" s="16">
        <v>7161</v>
      </c>
      <c r="J408" s="15"/>
      <c r="K408" s="15"/>
      <c r="L408" s="16">
        <f t="shared" si="97"/>
        <v>183.72399999999999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8"/>
        <v>1036</v>
      </c>
      <c r="H409" s="16">
        <v>4535</v>
      </c>
      <c r="I409" s="16">
        <v>6125</v>
      </c>
      <c r="J409" s="15"/>
      <c r="K409" s="15"/>
      <c r="L409" s="16">
        <f t="shared" si="97"/>
        <v>208.61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8"/>
        <v>941</v>
      </c>
      <c r="H410" s="16">
        <v>5403</v>
      </c>
      <c r="I410" s="16">
        <v>5184</v>
      </c>
      <c r="J410" s="15"/>
      <c r="K410" s="15"/>
      <c r="L410" s="16">
        <f t="shared" si="97"/>
        <v>248.53800000000001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8"/>
        <v>-90</v>
      </c>
      <c r="H411" s="16">
        <v>5413</v>
      </c>
      <c r="I411" s="16">
        <v>5274</v>
      </c>
      <c r="J411" s="15"/>
      <c r="K411" s="15"/>
      <c r="L411" s="16">
        <f t="shared" si="97"/>
        <v>248.99799999999999</v>
      </c>
      <c r="N411" s="23" t="str">
        <f>'Olieforbrug, TJ'!M411</f>
        <v>May</v>
      </c>
    </row>
    <row r="412" spans="1:14" ht="12" customHeight="1" x14ac:dyDescent="0.2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8"/>
        <v>66</v>
      </c>
      <c r="H412" s="16">
        <v>4819</v>
      </c>
      <c r="I412" s="16">
        <v>5208</v>
      </c>
      <c r="J412" s="15"/>
      <c r="K412" s="15"/>
      <c r="L412" s="16">
        <f t="shared" si="97"/>
        <v>221.67400000000001</v>
      </c>
      <c r="N412" s="23" t="str">
        <f>'Olieforbrug, TJ'!M412</f>
        <v>June</v>
      </c>
    </row>
    <row r="413" spans="1:14" ht="12" customHeight="1" x14ac:dyDescent="0.2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8"/>
        <v>-663</v>
      </c>
      <c r="H413" s="16">
        <v>5226</v>
      </c>
      <c r="I413" s="16">
        <v>5871</v>
      </c>
      <c r="J413" s="15"/>
      <c r="K413" s="15"/>
      <c r="L413" s="16">
        <f t="shared" si="97"/>
        <v>240.39599999999999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7"/>
        <v>225.63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7"/>
        <v>218.63800000000001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7"/>
        <v>192.74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7"/>
        <v>192.23400000000001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7"/>
        <v>202.124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99">H420*46/1000</f>
        <v>202.30799999999999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0">I420-I421</f>
        <v>-609</v>
      </c>
      <c r="H421" s="16">
        <v>4465</v>
      </c>
      <c r="I421" s="16">
        <v>6588</v>
      </c>
      <c r="J421" s="15"/>
      <c r="K421" s="15"/>
      <c r="L421" s="16">
        <f t="shared" si="99"/>
        <v>205.39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0"/>
        <v>1266</v>
      </c>
      <c r="H422" s="16">
        <v>5874</v>
      </c>
      <c r="I422" s="16">
        <v>5322</v>
      </c>
      <c r="J422" s="15"/>
      <c r="K422" s="15"/>
      <c r="L422" s="16">
        <f t="shared" si="99"/>
        <v>270.20400000000001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0"/>
        <v>1328</v>
      </c>
      <c r="H423" s="16">
        <v>5236</v>
      </c>
      <c r="I423" s="16">
        <v>3994</v>
      </c>
      <c r="J423" s="15"/>
      <c r="K423" s="15"/>
      <c r="L423" s="16">
        <f t="shared" si="99"/>
        <v>240.85599999999999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0"/>
        <v>-1970</v>
      </c>
      <c r="H424" s="16">
        <v>5630</v>
      </c>
      <c r="I424" s="16">
        <v>5964</v>
      </c>
      <c r="J424" s="15"/>
      <c r="K424" s="15"/>
      <c r="L424" s="16">
        <f t="shared" si="99"/>
        <v>258.98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0"/>
        <v>1148</v>
      </c>
      <c r="H425" s="16">
        <v>6610</v>
      </c>
      <c r="I425" s="16">
        <v>4816</v>
      </c>
      <c r="J425" s="15"/>
      <c r="K425" s="15"/>
      <c r="L425" s="16">
        <f t="shared" si="99"/>
        <v>304.06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0"/>
        <v>-933</v>
      </c>
      <c r="H426" s="16">
        <v>5346</v>
      </c>
      <c r="I426" s="16">
        <v>5749</v>
      </c>
      <c r="J426" s="15"/>
      <c r="K426" s="15"/>
      <c r="L426" s="16">
        <f t="shared" si="99"/>
        <v>245.916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0"/>
        <v>827</v>
      </c>
      <c r="H427" s="16">
        <v>5978</v>
      </c>
      <c r="I427" s="16">
        <v>4922</v>
      </c>
      <c r="J427" s="15"/>
      <c r="K427" s="15"/>
      <c r="L427" s="16">
        <f t="shared" si="99"/>
        <v>274.988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0"/>
        <v>1085</v>
      </c>
      <c r="H428" s="16">
        <v>4125</v>
      </c>
      <c r="I428" s="16">
        <v>3837</v>
      </c>
      <c r="J428" s="15"/>
      <c r="K428" s="15"/>
      <c r="L428" s="16">
        <f t="shared" si="99"/>
        <v>189.75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0"/>
        <v>-2135</v>
      </c>
      <c r="H429" s="16">
        <v>4669</v>
      </c>
      <c r="I429" s="16">
        <v>5972</v>
      </c>
      <c r="J429" s="15"/>
      <c r="K429" s="15"/>
      <c r="L429" s="16">
        <f t="shared" si="99"/>
        <v>214.774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0"/>
        <v>-657</v>
      </c>
      <c r="H430" s="16">
        <v>4916</v>
      </c>
      <c r="I430" s="16">
        <v>6629</v>
      </c>
      <c r="J430" s="15"/>
      <c r="K430" s="15"/>
      <c r="L430" s="16">
        <f t="shared" si="99"/>
        <v>226.136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0"/>
        <v>1667</v>
      </c>
      <c r="H431" s="42">
        <v>5053</v>
      </c>
      <c r="I431" s="42">
        <v>4962</v>
      </c>
      <c r="J431" s="2"/>
      <c r="K431" s="2"/>
      <c r="L431" s="42">
        <f t="shared" si="99"/>
        <v>232.43799999999999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1">H433*46/1000</f>
        <v>214.36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2">I433-I434</f>
        <v>-3087</v>
      </c>
      <c r="H434" s="16">
        <v>4359</v>
      </c>
      <c r="I434" s="16">
        <v>8868</v>
      </c>
      <c r="J434" s="15"/>
      <c r="K434" s="15"/>
      <c r="L434" s="16">
        <f t="shared" si="101"/>
        <v>200.51400000000001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2"/>
        <v>4071</v>
      </c>
      <c r="H435" s="16">
        <v>4316</v>
      </c>
      <c r="I435" s="16">
        <v>4797</v>
      </c>
      <c r="J435" s="15"/>
      <c r="K435" s="15"/>
      <c r="L435" s="16">
        <f t="shared" si="101"/>
        <v>198.536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2"/>
        <v>-1202</v>
      </c>
      <c r="H436" s="16">
        <v>4426</v>
      </c>
      <c r="I436" s="16">
        <v>5999</v>
      </c>
      <c r="J436" s="15"/>
      <c r="K436" s="15"/>
      <c r="L436" s="16">
        <f t="shared" si="101"/>
        <v>203.596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2"/>
        <v>-734</v>
      </c>
      <c r="H437" s="16">
        <v>5874</v>
      </c>
      <c r="I437" s="16">
        <v>6733</v>
      </c>
      <c r="J437" s="15"/>
      <c r="K437" s="15"/>
      <c r="L437" s="16">
        <f t="shared" si="101"/>
        <v>270.20400000000001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2"/>
        <v>2240</v>
      </c>
      <c r="H438" s="16">
        <v>6025</v>
      </c>
      <c r="I438" s="16">
        <v>4493</v>
      </c>
      <c r="J438" s="15"/>
      <c r="K438" s="15"/>
      <c r="L438" s="16">
        <f t="shared" si="101"/>
        <v>277.14999999999998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2"/>
        <v>-1941</v>
      </c>
      <c r="H439" s="16">
        <v>4756</v>
      </c>
      <c r="I439" s="16">
        <v>6434</v>
      </c>
      <c r="J439" s="15"/>
      <c r="K439" s="15"/>
      <c r="L439" s="16">
        <f t="shared" ref="L439" si="103">H439*46/1000</f>
        <v>218.77600000000001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4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5">H440*46/1000</f>
        <v>303.27800000000002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6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7">H441*46/1000</f>
        <v>332.81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8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09">H442*46/1000</f>
        <v>283.17599999999999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0">I442-I443</f>
        <v>74</v>
      </c>
      <c r="H443" s="16">
        <v>6151</v>
      </c>
      <c r="I443" s="16">
        <v>5881</v>
      </c>
      <c r="J443" s="15"/>
      <c r="K443" s="15"/>
      <c r="L443" s="16">
        <f t="shared" ref="L443" si="111">H443*46/1000</f>
        <v>282.94600000000003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2">I443-I444</f>
        <v>709</v>
      </c>
      <c r="H444" s="42">
        <v>6029</v>
      </c>
      <c r="I444" s="42">
        <v>5172</v>
      </c>
      <c r="J444" s="2"/>
      <c r="K444" s="2"/>
      <c r="L444" s="42">
        <f t="shared" ref="L444" si="113">H444*46/1000</f>
        <v>277.334</v>
      </c>
      <c r="N444" s="43" t="str">
        <f>'Olieforbrug, TJ'!M444</f>
        <v>December</v>
      </c>
    </row>
    <row r="445" spans="1:14" x14ac:dyDescent="0.2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4">H446*46/1000</f>
        <v>388.976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5">I446-I447</f>
        <v>414</v>
      </c>
      <c r="H447" s="16">
        <v>7740</v>
      </c>
      <c r="I447" s="16">
        <v>4326</v>
      </c>
      <c r="J447" s="15"/>
      <c r="K447" s="15"/>
      <c r="L447" s="16">
        <f t="shared" ref="L447" si="116">H447*46/1000</f>
        <v>356.04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5"/>
        <v>-1473</v>
      </c>
      <c r="H448" s="16">
        <v>8584</v>
      </c>
      <c r="I448" s="16">
        <v>5799</v>
      </c>
      <c r="J448" s="15"/>
      <c r="K448" s="15"/>
      <c r="L448" s="16">
        <f t="shared" ref="L448" si="117">H448*46/1000</f>
        <v>394.86399999999998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5"/>
        <v>-83</v>
      </c>
      <c r="H449" s="16">
        <v>7099</v>
      </c>
      <c r="I449" s="16">
        <v>5882</v>
      </c>
      <c r="J449" s="15"/>
      <c r="K449" s="15"/>
      <c r="L449" s="16">
        <f t="shared" ref="L449" si="118">H449*46/1000</f>
        <v>326.55399999999997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5"/>
        <v>-1315</v>
      </c>
      <c r="H450" s="16">
        <v>8679</v>
      </c>
      <c r="I450" s="16">
        <v>7197</v>
      </c>
      <c r="J450" s="15"/>
      <c r="K450" s="15"/>
      <c r="L450" s="16">
        <f t="shared" ref="L450" si="119">H450*46/1000</f>
        <v>399.23399999999998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5"/>
        <v>613</v>
      </c>
      <c r="H451" s="16">
        <v>7567</v>
      </c>
      <c r="I451" s="16">
        <v>6584</v>
      </c>
      <c r="J451" s="15"/>
      <c r="K451" s="15"/>
      <c r="L451" s="16">
        <f t="shared" ref="L451" si="120">H451*46/1000</f>
        <v>348.08199999999999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5"/>
        <v>-1377</v>
      </c>
      <c r="H452" s="16">
        <v>5337</v>
      </c>
      <c r="I452" s="16">
        <v>7961</v>
      </c>
      <c r="J452" s="15"/>
      <c r="K452" s="15"/>
      <c r="L452" s="16">
        <f t="shared" ref="L452" si="121">H452*46/1000</f>
        <v>245.50200000000001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2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3">H453*46/1000</f>
        <v>340.44600000000003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4">I453-I454</f>
        <v>653</v>
      </c>
      <c r="H454" s="16">
        <v>6164</v>
      </c>
      <c r="I454" s="16">
        <v>5653</v>
      </c>
      <c r="J454" s="15"/>
      <c r="K454" s="15"/>
      <c r="L454" s="16">
        <f t="shared" ref="L454" si="125">H454*46/1000</f>
        <v>283.54399999999998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6">I454-I455</f>
        <v>661</v>
      </c>
      <c r="H455" s="16">
        <v>6427</v>
      </c>
      <c r="I455" s="16">
        <v>4992</v>
      </c>
      <c r="J455" s="15"/>
      <c r="K455" s="15"/>
      <c r="L455" s="16">
        <f t="shared" ref="L455" si="127">H455*46/1000</f>
        <v>295.642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8">I455-I456</f>
        <v>-573</v>
      </c>
      <c r="H456" s="16">
        <v>6234</v>
      </c>
      <c r="I456" s="16">
        <v>5565</v>
      </c>
      <c r="J456" s="15"/>
      <c r="K456" s="15"/>
      <c r="L456" s="16">
        <f t="shared" ref="L456" si="129">H456*46/1000</f>
        <v>286.76400000000001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0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1">H457*46/1000</f>
        <v>256.86399999999998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2">H459*46/1000</f>
        <v>277.88600000000002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3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4">H460*46/1000</f>
        <v>249.41200000000001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3"/>
        <v>-2398</v>
      </c>
      <c r="H461" s="3">
        <v>5949</v>
      </c>
      <c r="I461" s="16">
        <v>8169</v>
      </c>
      <c r="J461" s="15"/>
      <c r="K461" s="15"/>
      <c r="L461" s="16">
        <f t="shared" ref="L461" si="135">H461*46/1000</f>
        <v>273.654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3"/>
        <v>1900</v>
      </c>
      <c r="H462" s="3">
        <v>6272</v>
      </c>
      <c r="I462" s="16">
        <v>6269</v>
      </c>
      <c r="J462" s="15"/>
      <c r="K462" s="15"/>
      <c r="L462" s="16">
        <f t="shared" ref="L462" si="136">H462*46/1000</f>
        <v>288.512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3"/>
        <v>843</v>
      </c>
      <c r="H463" s="3">
        <v>7242</v>
      </c>
      <c r="I463" s="16">
        <v>5426</v>
      </c>
      <c r="J463" s="15"/>
      <c r="K463" s="15"/>
      <c r="L463" s="16">
        <f t="shared" ref="L463" si="137">H463*46/1000</f>
        <v>333.13200000000001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3"/>
        <v>206</v>
      </c>
      <c r="H464" s="3">
        <v>6833</v>
      </c>
      <c r="I464" s="16">
        <v>5220</v>
      </c>
      <c r="J464" s="15"/>
      <c r="K464" s="15"/>
      <c r="L464" s="16">
        <f t="shared" ref="L464" si="138">H464*46/1000</f>
        <v>314.31799999999998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3"/>
        <v>-1079</v>
      </c>
      <c r="H465" s="3">
        <v>5431</v>
      </c>
      <c r="I465" s="16">
        <v>6299</v>
      </c>
      <c r="J465" s="15"/>
      <c r="K465" s="15"/>
      <c r="L465" s="16">
        <f t="shared" ref="L465" si="139">H465*46/1000</f>
        <v>249.82599999999999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0">I465-I466</f>
        <v>-604</v>
      </c>
      <c r="H466" s="3">
        <v>6242</v>
      </c>
      <c r="I466" s="16">
        <v>6903</v>
      </c>
      <c r="J466" s="15"/>
      <c r="K466" s="15"/>
      <c r="L466" s="16">
        <f t="shared" ref="L466" si="141">H466*46/1000</f>
        <v>287.13200000000001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2">I466-I467</f>
        <v>1805</v>
      </c>
      <c r="H467" s="3">
        <v>5287</v>
      </c>
      <c r="I467" s="16">
        <v>5098</v>
      </c>
      <c r="J467" s="15"/>
      <c r="K467" s="15"/>
      <c r="L467" s="16">
        <f t="shared" ref="L467" si="143">H467*46/1000</f>
        <v>243.202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4">I467-I468</f>
        <v>-965</v>
      </c>
      <c r="H468" s="3">
        <v>5599</v>
      </c>
      <c r="I468" s="16">
        <v>6063</v>
      </c>
      <c r="J468" s="15"/>
      <c r="K468" s="15"/>
      <c r="L468" s="16">
        <f t="shared" ref="L468" si="145">H468*46/1000</f>
        <v>257.55399999999997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6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7">H469*46/1000</f>
        <v>327.98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8">I469-I470</f>
        <v>303</v>
      </c>
      <c r="H470" s="42">
        <v>4713</v>
      </c>
      <c r="I470" s="42">
        <v>6793</v>
      </c>
      <c r="J470" s="2"/>
      <c r="K470" s="2"/>
      <c r="L470" s="42">
        <f t="shared" ref="L470" si="149">H470*46/1000</f>
        <v>216.798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0">H472*46/1000</f>
        <v>240.81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1">I472-I473</f>
        <v>251</v>
      </c>
      <c r="H473" s="16">
        <v>5102</v>
      </c>
      <c r="I473" s="16">
        <v>6011</v>
      </c>
      <c r="J473" s="15"/>
      <c r="K473" s="15"/>
      <c r="L473" s="16">
        <f t="shared" ref="L473" si="152">H473*46/1000</f>
        <v>234.69200000000001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1"/>
        <v>-1935</v>
      </c>
      <c r="H474" s="16">
        <v>5540</v>
      </c>
      <c r="I474" s="16">
        <v>7946</v>
      </c>
      <c r="J474" s="15"/>
      <c r="K474" s="15"/>
      <c r="L474" s="16">
        <f t="shared" ref="L474" si="153">H474*46/1000</f>
        <v>254.84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1"/>
        <v>2019</v>
      </c>
      <c r="H475" s="16">
        <v>5638</v>
      </c>
      <c r="I475" s="16">
        <v>5927</v>
      </c>
      <c r="J475" s="15"/>
      <c r="K475" s="15"/>
      <c r="L475" s="16">
        <f t="shared" ref="L475" si="154">H475*46/1000</f>
        <v>259.34800000000001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1"/>
        <v>-1094</v>
      </c>
      <c r="H476" s="16">
        <v>5347</v>
      </c>
      <c r="I476" s="16">
        <v>7021</v>
      </c>
      <c r="J476" s="15"/>
      <c r="K476" s="15"/>
      <c r="L476" s="16">
        <f t="shared" ref="L476" si="155">H476*46/1000</f>
        <v>245.96199999999999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1"/>
        <v>-863</v>
      </c>
      <c r="H477" s="16">
        <v>5465</v>
      </c>
      <c r="I477" s="16">
        <v>7884</v>
      </c>
      <c r="J477" s="15"/>
      <c r="K477" s="15"/>
      <c r="L477" s="16">
        <f t="shared" ref="L477" si="156">H477*46/1000</f>
        <v>251.39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1"/>
        <v>362</v>
      </c>
      <c r="H478" s="16">
        <v>4877</v>
      </c>
      <c r="I478" s="16">
        <v>7522</v>
      </c>
      <c r="J478" s="15"/>
      <c r="K478" s="15"/>
      <c r="L478" s="16">
        <f t="shared" ref="L478" si="157">H478*46/1000</f>
        <v>224.34200000000001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indexed="42"/>
  </sheetPr>
  <dimension ref="A1:V478"/>
  <sheetViews>
    <sheetView zoomScale="80" zoomScaleNormal="80" workbookViewId="0">
      <pane xSplit="2" ySplit="5" topLeftCell="C441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478" sqref="C478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2" x14ac:dyDescent="0.2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">
      <c r="A6" s="21"/>
      <c r="C6" s="10"/>
      <c r="D6" s="10"/>
      <c r="E6" s="10"/>
      <c r="F6" s="10"/>
      <c r="G6" s="10"/>
      <c r="H6" s="10"/>
      <c r="I6" s="10"/>
    </row>
    <row r="7" spans="1:12" x14ac:dyDescent="0.2">
      <c r="A7" s="22">
        <v>2005</v>
      </c>
      <c r="J7" s="3"/>
      <c r="K7" s="22">
        <v>2005</v>
      </c>
    </row>
    <row r="8" spans="1:12" x14ac:dyDescent="0.2">
      <c r="A8" s="22">
        <v>2006</v>
      </c>
      <c r="J8" s="3"/>
      <c r="K8" s="22">
        <v>2006</v>
      </c>
    </row>
    <row r="9" spans="1:12" x14ac:dyDescent="0.2">
      <c r="A9" s="22">
        <v>2007</v>
      </c>
      <c r="J9" s="3"/>
      <c r="K9" s="22">
        <v>2007</v>
      </c>
    </row>
    <row r="10" spans="1:12" x14ac:dyDescent="0.2">
      <c r="A10" s="22">
        <v>2008</v>
      </c>
      <c r="J10" s="3"/>
      <c r="K10" s="22">
        <v>2008</v>
      </c>
    </row>
    <row r="11" spans="1:12" x14ac:dyDescent="0.2">
      <c r="A11" s="22">
        <v>2009</v>
      </c>
      <c r="J11" s="3"/>
      <c r="K11" s="22">
        <v>2009</v>
      </c>
    </row>
    <row r="12" spans="1:12" x14ac:dyDescent="0.2">
      <c r="A12" s="22">
        <v>2010</v>
      </c>
      <c r="J12" s="3"/>
      <c r="K12" s="22">
        <v>2010</v>
      </c>
    </row>
    <row r="13" spans="1:12" x14ac:dyDescent="0.2">
      <c r="A13" s="22">
        <v>2011</v>
      </c>
      <c r="J13" s="3"/>
      <c r="K13" s="22">
        <v>2011</v>
      </c>
    </row>
    <row r="14" spans="1:12" x14ac:dyDescent="0.2">
      <c r="A14" s="22">
        <v>2012</v>
      </c>
      <c r="J14" s="3"/>
      <c r="K14" s="22">
        <v>2012</v>
      </c>
    </row>
    <row r="15" spans="1:12" ht="12.75" customHeight="1" x14ac:dyDescent="0.2">
      <c r="A15" s="22">
        <v>2013</v>
      </c>
      <c r="J15" s="3"/>
      <c r="K15" s="22">
        <v>2013</v>
      </c>
    </row>
    <row r="16" spans="1:12" ht="12.75" customHeight="1" x14ac:dyDescent="0.2">
      <c r="A16" s="22">
        <v>2014</v>
      </c>
      <c r="J16" s="3"/>
      <c r="K16" s="22">
        <v>2014</v>
      </c>
    </row>
    <row r="17" spans="1:13" x14ac:dyDescent="0.2">
      <c r="A17" s="22">
        <v>2015</v>
      </c>
      <c r="J17" s="3"/>
      <c r="K17" s="22">
        <v>2015</v>
      </c>
      <c r="M17" s="3"/>
    </row>
    <row r="18" spans="1:13" x14ac:dyDescent="0.2">
      <c r="A18" s="22">
        <v>2016</v>
      </c>
      <c r="J18" s="3"/>
      <c r="K18" s="22">
        <v>2016</v>
      </c>
      <c r="M18" s="3"/>
    </row>
    <row r="19" spans="1:13" x14ac:dyDescent="0.2">
      <c r="A19" s="22">
        <v>2017</v>
      </c>
      <c r="J19" s="3"/>
      <c r="K19" s="22">
        <v>2017</v>
      </c>
      <c r="L19" s="3"/>
      <c r="M19" s="57"/>
    </row>
    <row r="20" spans="1:13" x14ac:dyDescent="0.2">
      <c r="A20" s="22">
        <v>2018</v>
      </c>
      <c r="J20" s="3"/>
      <c r="K20" s="22">
        <v>2018</v>
      </c>
      <c r="L20" s="3"/>
      <c r="M20" s="57"/>
    </row>
    <row r="21" spans="1:13" x14ac:dyDescent="0.2">
      <c r="A21" s="22">
        <v>2019</v>
      </c>
      <c r="J21" s="3"/>
      <c r="K21" s="22">
        <v>2019</v>
      </c>
      <c r="L21" s="3"/>
      <c r="M21" s="57"/>
    </row>
    <row r="22" spans="1:13" x14ac:dyDescent="0.2">
      <c r="A22" s="22">
        <v>2020</v>
      </c>
      <c r="J22" s="3"/>
      <c r="K22" s="22">
        <v>2020</v>
      </c>
      <c r="L22" s="3"/>
      <c r="M22" s="57"/>
    </row>
    <row r="23" spans="1:13" x14ac:dyDescent="0.2">
      <c r="A23" s="22">
        <v>2021</v>
      </c>
      <c r="J23" s="3"/>
      <c r="K23" s="22">
        <v>2021</v>
      </c>
      <c r="L23" s="3"/>
      <c r="M23" s="57"/>
    </row>
    <row r="24" spans="1:13" x14ac:dyDescent="0.2">
      <c r="A24" s="22">
        <v>2022</v>
      </c>
      <c r="J24" s="3"/>
      <c r="K24" s="22">
        <v>2022</v>
      </c>
      <c r="L24" s="3"/>
      <c r="M24" s="57"/>
    </row>
    <row r="25" spans="1:13" x14ac:dyDescent="0.2">
      <c r="A25" s="22">
        <v>2023</v>
      </c>
      <c r="J25" s="3"/>
      <c r="K25" s="22">
        <v>2023</v>
      </c>
      <c r="L25" s="3"/>
      <c r="M25" s="57"/>
    </row>
    <row r="26" spans="1:13" x14ac:dyDescent="0.2">
      <c r="A26" s="22">
        <v>2024</v>
      </c>
      <c r="J26" s="3"/>
      <c r="K26" s="22">
        <v>2024</v>
      </c>
      <c r="L26" s="3"/>
      <c r="M26" s="57"/>
    </row>
    <row r="27" spans="1:13" x14ac:dyDescent="0.2">
      <c r="A27" s="22">
        <v>2025</v>
      </c>
      <c r="J27" s="3"/>
      <c r="K27" s="22">
        <v>2025</v>
      </c>
      <c r="L27" s="3"/>
      <c r="M27" s="57"/>
    </row>
    <row r="28" spans="1:13" ht="12.75" customHeight="1" x14ac:dyDescent="0.2">
      <c r="A28" s="22"/>
      <c r="J28" s="3"/>
      <c r="K28" s="22"/>
    </row>
    <row r="29" spans="1:13" x14ac:dyDescent="0.2">
      <c r="A29" s="22" t="str">
        <f>'Olieforbrug, TJ'!A29</f>
        <v>Januar - Juli</v>
      </c>
      <c r="J29" s="3"/>
      <c r="K29" s="22" t="str">
        <f>'Olieforbrug, TJ'!M29</f>
        <v>January - July</v>
      </c>
    </row>
    <row r="30" spans="1:13" x14ac:dyDescent="0.2">
      <c r="A30" s="22">
        <f>'Olieforbrug, TJ'!A30</f>
        <v>2005</v>
      </c>
      <c r="J30" s="3"/>
      <c r="K30" s="22">
        <v>2005</v>
      </c>
      <c r="M30" s="3"/>
    </row>
    <row r="31" spans="1:13" x14ac:dyDescent="0.2">
      <c r="A31" s="22">
        <f>'Olieforbrug, TJ'!A31</f>
        <v>2006</v>
      </c>
      <c r="J31" s="3"/>
      <c r="K31" s="22">
        <v>2006</v>
      </c>
      <c r="M31" s="3"/>
    </row>
    <row r="32" spans="1:13" x14ac:dyDescent="0.2">
      <c r="A32" s="22">
        <f>'Olieforbrug, TJ'!A32</f>
        <v>2007</v>
      </c>
      <c r="J32" s="3"/>
      <c r="K32" s="22">
        <v>2007</v>
      </c>
      <c r="M32" s="3"/>
    </row>
    <row r="33" spans="1:13" x14ac:dyDescent="0.2">
      <c r="A33" s="22">
        <f>'Olieforbrug, TJ'!A33</f>
        <v>2008</v>
      </c>
      <c r="J33" s="3"/>
      <c r="K33" s="22">
        <v>2008</v>
      </c>
      <c r="M33" s="3"/>
    </row>
    <row r="34" spans="1:13" x14ac:dyDescent="0.2">
      <c r="A34" s="22">
        <f>'Olieforbrug, TJ'!A34</f>
        <v>2009</v>
      </c>
      <c r="J34" s="3"/>
      <c r="K34" s="22">
        <v>2009</v>
      </c>
      <c r="M34" s="3"/>
    </row>
    <row r="35" spans="1:13" x14ac:dyDescent="0.2">
      <c r="A35" s="22">
        <f>'Olieforbrug, TJ'!A35</f>
        <v>2010</v>
      </c>
      <c r="J35" s="3"/>
      <c r="K35" s="22">
        <v>2010</v>
      </c>
      <c r="M35" s="3"/>
    </row>
    <row r="36" spans="1:13" x14ac:dyDescent="0.2">
      <c r="A36" s="22">
        <f>'Olieforbrug, TJ'!A36</f>
        <v>2011</v>
      </c>
      <c r="J36" s="3"/>
      <c r="K36" s="22">
        <v>2011</v>
      </c>
      <c r="M36" s="3"/>
    </row>
    <row r="37" spans="1:13" x14ac:dyDescent="0.2">
      <c r="A37" s="22">
        <f>'Olieforbrug, TJ'!A37</f>
        <v>2012</v>
      </c>
      <c r="J37" s="3"/>
      <c r="K37" s="22">
        <v>2012</v>
      </c>
      <c r="M37" s="3"/>
    </row>
    <row r="38" spans="1:13" x14ac:dyDescent="0.2">
      <c r="A38" s="22">
        <f>'Olieforbrug, TJ'!A38</f>
        <v>2013</v>
      </c>
      <c r="J38" s="3"/>
      <c r="K38" s="22">
        <v>2013</v>
      </c>
      <c r="M38" s="3"/>
    </row>
    <row r="39" spans="1:13" x14ac:dyDescent="0.2">
      <c r="A39" s="22">
        <f>'Olieforbrug, TJ'!A39</f>
        <v>2014</v>
      </c>
      <c r="J39" s="3"/>
      <c r="K39" s="22">
        <v>2014</v>
      </c>
      <c r="M39" s="3"/>
    </row>
    <row r="40" spans="1:13" x14ac:dyDescent="0.2">
      <c r="A40" s="22">
        <f>'Olieforbrug, TJ'!A40</f>
        <v>2015</v>
      </c>
      <c r="J40" s="3"/>
      <c r="K40" s="22">
        <v>2015</v>
      </c>
      <c r="M40" s="3"/>
    </row>
    <row r="41" spans="1:13" x14ac:dyDescent="0.2">
      <c r="A41" s="22">
        <f>'Olieforbrug, TJ'!A41</f>
        <v>2016</v>
      </c>
      <c r="J41" s="3"/>
      <c r="K41" s="22">
        <v>2016</v>
      </c>
      <c r="M41" s="3"/>
    </row>
    <row r="42" spans="1:13" x14ac:dyDescent="0.2">
      <c r="A42" s="22">
        <f>'Olieforbrug, TJ'!A42</f>
        <v>2017</v>
      </c>
      <c r="J42" s="3"/>
      <c r="K42" s="22">
        <v>2017</v>
      </c>
      <c r="M42" s="3"/>
    </row>
    <row r="43" spans="1:13" x14ac:dyDescent="0.2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">
      <c r="A51" s="22"/>
      <c r="J51" s="51"/>
      <c r="K51" s="22"/>
    </row>
    <row r="52" spans="1:13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">
      <c r="A57" s="23"/>
      <c r="J57" s="3"/>
    </row>
    <row r="58" spans="1:13" x14ac:dyDescent="0.2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">
      <c r="A62" s="23"/>
      <c r="J62" s="3"/>
    </row>
    <row r="63" spans="1:13" x14ac:dyDescent="0.2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">
      <c r="A82" s="32"/>
      <c r="J82" s="3"/>
      <c r="K82" s="26"/>
    </row>
    <row r="83" spans="1:11" ht="12.75" customHeight="1" x14ac:dyDescent="0.2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">
      <c r="A87" s="32"/>
      <c r="J87" s="3"/>
      <c r="K87" s="26"/>
    </row>
    <row r="88" spans="1:11" ht="12.75" customHeight="1" x14ac:dyDescent="0.2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">
      <c r="A92" s="32"/>
      <c r="J92" s="3"/>
      <c r="K92" s="26"/>
    </row>
    <row r="93" spans="1:11" x14ac:dyDescent="0.2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">
      <c r="A97" s="32"/>
      <c r="J97" s="3"/>
      <c r="M97" s="26"/>
    </row>
    <row r="98" spans="1:22" x14ac:dyDescent="0.2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">
      <c r="A102" s="32"/>
      <c r="J102" s="3"/>
      <c r="K102" s="26"/>
      <c r="L102" s="3"/>
      <c r="M102" s="3"/>
    </row>
    <row r="103" spans="1:22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">
      <c r="A157" s="32"/>
      <c r="J157" s="3"/>
      <c r="K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5" thickBot="1" x14ac:dyDescent="0.25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5" thickBot="1" x14ac:dyDescent="0.25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4"/>
      <c r="K472" s="180" t="str">
        <f>'Olieforbrug, TJ'!M472</f>
        <v>January</v>
      </c>
      <c r="L472" s="173"/>
      <c r="M472" s="174"/>
    </row>
    <row r="473" spans="1:13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4"/>
      <c r="K473" s="180" t="str">
        <f>'Olieforbrug, TJ'!M473</f>
        <v>February</v>
      </c>
    </row>
    <row r="474" spans="1:13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4"/>
      <c r="K474" s="180" t="str">
        <f>'Olieforbrug, TJ'!M474</f>
        <v>March</v>
      </c>
    </row>
    <row r="475" spans="1:13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4"/>
      <c r="K475" s="180" t="str">
        <f>'Olieforbrug, TJ'!M475</f>
        <v>April</v>
      </c>
    </row>
    <row r="476" spans="1:13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4"/>
      <c r="K476" s="180" t="str">
        <f>'Olieforbrug, TJ'!M476</f>
        <v>May</v>
      </c>
    </row>
    <row r="477" spans="1:13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4"/>
      <c r="K477" s="180" t="str">
        <f>'Olieforbrug, TJ'!M477</f>
        <v>June</v>
      </c>
    </row>
    <row r="478" spans="1:13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4"/>
      <c r="K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indexed="42"/>
  </sheetPr>
  <dimension ref="A1:U478"/>
  <sheetViews>
    <sheetView zoomScale="80" zoomScaleNormal="80" workbookViewId="0">
      <pane xSplit="2" ySplit="5" topLeftCell="C443" activePane="bottomRight" state="frozen"/>
      <selection pane="topRight" activeCell="C1" sqref="C1"/>
      <selection pane="bottomLeft" activeCell="A6" sqref="A6"/>
      <selection pane="bottomRight" activeCell="M482" sqref="M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.42578125" customWidth="1"/>
    <col min="17" max="17" width="22.5703125" customWidth="1"/>
    <col min="18" max="18" width="10.140625" customWidth="1"/>
  </cols>
  <sheetData>
    <row r="1" spans="1:16" x14ac:dyDescent="0.2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0</v>
      </c>
      <c r="D30" s="3">
        <f t="shared" ref="D30:L30" si="11">SUM(D212:D218)</f>
        <v>110182</v>
      </c>
      <c r="E30" s="3">
        <f t="shared" si="11"/>
        <v>175</v>
      </c>
      <c r="F30" s="3">
        <f t="shared" si="11"/>
        <v>0</v>
      </c>
      <c r="G30" s="3">
        <f t="shared" si="11"/>
        <v>-11692</v>
      </c>
      <c r="H30" s="3">
        <f t="shared" si="11"/>
        <v>101723</v>
      </c>
      <c r="I30" s="3">
        <f>I218</f>
        <v>23862</v>
      </c>
      <c r="J30" s="3"/>
      <c r="K30" s="3"/>
      <c r="L30" s="3">
        <f t="shared" si="11"/>
        <v>4048.5753999999997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0</v>
      </c>
      <c r="D31" s="3">
        <f t="shared" ref="D31:L31" si="12">SUM(D225:D231)</f>
        <v>109503</v>
      </c>
      <c r="E31" s="3">
        <f t="shared" si="12"/>
        <v>1412</v>
      </c>
      <c r="F31" s="3">
        <f t="shared" si="12"/>
        <v>0</v>
      </c>
      <c r="G31" s="3">
        <f t="shared" si="12"/>
        <v>-4177</v>
      </c>
      <c r="H31" s="3">
        <f t="shared" si="12"/>
        <v>106918</v>
      </c>
      <c r="I31" s="3">
        <f>I231</f>
        <v>28431</v>
      </c>
      <c r="J31" s="3"/>
      <c r="K31" s="3"/>
      <c r="L31" s="3">
        <f t="shared" si="12"/>
        <v>4255.3363999999992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0</v>
      </c>
      <c r="D32" s="3">
        <f t="shared" ref="D32:L32" si="13">SUM(D238:D244)</f>
        <v>142607</v>
      </c>
      <c r="E32" s="3">
        <f t="shared" si="13"/>
        <v>3163</v>
      </c>
      <c r="F32" s="3">
        <f t="shared" si="13"/>
        <v>0</v>
      </c>
      <c r="G32" s="3">
        <f t="shared" si="13"/>
        <v>-22233</v>
      </c>
      <c r="H32" s="3">
        <f t="shared" si="13"/>
        <v>118149</v>
      </c>
      <c r="I32" s="3">
        <f>I244</f>
        <v>40309</v>
      </c>
      <c r="J32" s="3"/>
      <c r="K32" s="3"/>
      <c r="L32" s="3">
        <f t="shared" si="13"/>
        <v>4702.3301999999994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0</v>
      </c>
      <c r="D33" s="3">
        <f t="shared" ref="D33:L33" si="14">SUM(D251:D257)</f>
        <v>109422</v>
      </c>
      <c r="E33" s="3">
        <f t="shared" si="14"/>
        <v>3332</v>
      </c>
      <c r="F33" s="3">
        <f t="shared" si="14"/>
        <v>0</v>
      </c>
      <c r="G33" s="3">
        <f t="shared" si="14"/>
        <v>4126</v>
      </c>
      <c r="H33" s="3">
        <f t="shared" si="14"/>
        <v>110142</v>
      </c>
      <c r="I33" s="3">
        <f>I257</f>
        <v>23289</v>
      </c>
      <c r="J33" s="3"/>
      <c r="K33" s="3"/>
      <c r="L33" s="3">
        <f t="shared" si="14"/>
        <v>4383.6515999999992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0</v>
      </c>
      <c r="D34" s="3">
        <f t="shared" ref="D34:L34" si="15">SUM(D264:D270)</f>
        <v>118035</v>
      </c>
      <c r="E34" s="3">
        <f t="shared" si="15"/>
        <v>2364</v>
      </c>
      <c r="F34" s="3">
        <f t="shared" si="15"/>
        <v>0</v>
      </c>
      <c r="G34" s="3">
        <f t="shared" si="15"/>
        <v>-6292</v>
      </c>
      <c r="H34" s="3">
        <f t="shared" si="15"/>
        <v>104497</v>
      </c>
      <c r="I34" s="3">
        <f>I270</f>
        <v>25509</v>
      </c>
      <c r="J34" s="3"/>
      <c r="K34" s="3"/>
      <c r="L34" s="3">
        <f t="shared" si="15"/>
        <v>4158.9805999999999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0</v>
      </c>
      <c r="D35" s="3">
        <f t="shared" ref="D35:L35" si="16">SUM(D277:D283)</f>
        <v>103905</v>
      </c>
      <c r="E35" s="3">
        <f t="shared" si="16"/>
        <v>1670</v>
      </c>
      <c r="F35" s="3">
        <f t="shared" si="16"/>
        <v>0</v>
      </c>
      <c r="G35" s="3">
        <f t="shared" si="16"/>
        <v>-811</v>
      </c>
      <c r="H35" s="3">
        <f t="shared" si="16"/>
        <v>101333</v>
      </c>
      <c r="I35" s="3">
        <f>I283</f>
        <v>16305</v>
      </c>
      <c r="J35" s="3"/>
      <c r="K35" s="3"/>
      <c r="L35" s="3">
        <f t="shared" si="16"/>
        <v>4033.0533999999998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0</v>
      </c>
      <c r="D36" s="3">
        <f t="shared" ref="D36:L36" si="17">SUM(D290:D296)</f>
        <v>130752</v>
      </c>
      <c r="E36" s="3">
        <f t="shared" si="17"/>
        <v>2006</v>
      </c>
      <c r="F36" s="3">
        <f t="shared" si="17"/>
        <v>0</v>
      </c>
      <c r="G36" s="3">
        <f t="shared" si="17"/>
        <v>-8986</v>
      </c>
      <c r="H36" s="3">
        <f t="shared" si="17"/>
        <v>120057</v>
      </c>
      <c r="I36" s="3">
        <f>I296</f>
        <v>29751</v>
      </c>
      <c r="J36" s="3"/>
      <c r="K36" s="3"/>
      <c r="L36" s="3">
        <f t="shared" si="17"/>
        <v>4778.2685999999994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0</v>
      </c>
      <c r="D37" s="3">
        <f t="shared" ref="D37:L37" si="18">SUM(D303:D309)</f>
        <v>128632</v>
      </c>
      <c r="E37" s="3">
        <f t="shared" si="18"/>
        <v>4171</v>
      </c>
      <c r="F37" s="3">
        <f t="shared" si="18"/>
        <v>0</v>
      </c>
      <c r="G37" s="3">
        <f t="shared" si="18"/>
        <v>-3143</v>
      </c>
      <c r="H37" s="3">
        <f t="shared" si="18"/>
        <v>121584</v>
      </c>
      <c r="I37" s="3">
        <f>I309</f>
        <v>19684</v>
      </c>
      <c r="J37" s="3"/>
      <c r="K37" s="3"/>
      <c r="L37" s="3">
        <f t="shared" si="18"/>
        <v>4839.0432000000001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0</v>
      </c>
      <c r="D38" s="3">
        <f t="shared" ref="D38:L38" si="19">SUM(D316:D322)</f>
        <v>116867</v>
      </c>
      <c r="E38" s="3">
        <f t="shared" si="19"/>
        <v>1665</v>
      </c>
      <c r="F38" s="3">
        <f t="shared" si="19"/>
        <v>0</v>
      </c>
      <c r="G38" s="3">
        <f t="shared" si="19"/>
        <v>-9254</v>
      </c>
      <c r="H38" s="3">
        <f t="shared" si="19"/>
        <v>72362</v>
      </c>
      <c r="I38" s="3">
        <f>I322</f>
        <v>24207</v>
      </c>
      <c r="J38" s="3"/>
      <c r="K38" s="3"/>
      <c r="L38" s="3">
        <f t="shared" si="19"/>
        <v>2880.0075999999995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0</v>
      </c>
      <c r="D39" s="3">
        <f t="shared" ref="D39:L39" si="20">SUM(D329:D335)</f>
        <v>97697</v>
      </c>
      <c r="E39" s="3">
        <f t="shared" si="20"/>
        <v>760</v>
      </c>
      <c r="F39" s="3">
        <f t="shared" si="20"/>
        <v>0</v>
      </c>
      <c r="G39" s="3">
        <f t="shared" si="20"/>
        <v>-8925</v>
      </c>
      <c r="H39" s="3">
        <f t="shared" si="20"/>
        <v>64008</v>
      </c>
      <c r="I39" s="3">
        <f>I335</f>
        <v>17660</v>
      </c>
      <c r="J39" s="3"/>
      <c r="K39" s="3"/>
      <c r="L39" s="3">
        <f t="shared" si="20"/>
        <v>2547.5183999999999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0</v>
      </c>
      <c r="D40" s="3">
        <f t="shared" ref="D40:L40" si="21">SUM(D342:D348)</f>
        <v>102806</v>
      </c>
      <c r="E40" s="3">
        <f t="shared" si="21"/>
        <v>0</v>
      </c>
      <c r="F40" s="3">
        <f t="shared" si="21"/>
        <v>0</v>
      </c>
      <c r="G40" s="3">
        <f t="shared" si="21"/>
        <v>-1648</v>
      </c>
      <c r="H40" s="3">
        <f t="shared" si="21"/>
        <v>75396</v>
      </c>
      <c r="I40" s="3">
        <f>I348</f>
        <v>15631</v>
      </c>
      <c r="J40" s="3"/>
      <c r="K40" s="3"/>
      <c r="L40" s="3">
        <f t="shared" si="21"/>
        <v>3000.7608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0</v>
      </c>
      <c r="D41" s="3">
        <f t="shared" ref="D41:L41" si="22">SUM(D355:D361)</f>
        <v>98053</v>
      </c>
      <c r="E41" s="3">
        <f t="shared" si="22"/>
        <v>0</v>
      </c>
      <c r="F41" s="3">
        <f t="shared" si="22"/>
        <v>0</v>
      </c>
      <c r="G41" s="3">
        <f t="shared" si="22"/>
        <v>-6786</v>
      </c>
      <c r="H41" s="3">
        <f t="shared" si="22"/>
        <v>72327</v>
      </c>
      <c r="I41" s="3">
        <f>I361</f>
        <v>18166</v>
      </c>
      <c r="J41" s="3"/>
      <c r="K41" s="3"/>
      <c r="L41" s="3">
        <f t="shared" si="22"/>
        <v>2878.6145999999994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0</v>
      </c>
      <c r="D42" s="3">
        <f t="shared" ref="D42:L42" si="23">SUM(D368:D374)</f>
        <v>98591</v>
      </c>
      <c r="E42" s="3">
        <f t="shared" si="23"/>
        <v>0</v>
      </c>
      <c r="F42" s="3">
        <f t="shared" si="23"/>
        <v>0</v>
      </c>
      <c r="G42" s="3">
        <f t="shared" si="23"/>
        <v>-3727</v>
      </c>
      <c r="H42" s="3">
        <f t="shared" si="23"/>
        <v>75631</v>
      </c>
      <c r="I42" s="3">
        <f>I374</f>
        <v>15402</v>
      </c>
      <c r="J42" s="3"/>
      <c r="K42" s="3"/>
      <c r="L42" s="3">
        <f t="shared" si="23"/>
        <v>3010.1137999999996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0</v>
      </c>
      <c r="D43" s="3">
        <f t="shared" ref="D43:L43" si="24">SUM(D381:D387)</f>
        <v>87598</v>
      </c>
      <c r="E43" s="3">
        <f t="shared" si="24"/>
        <v>0</v>
      </c>
      <c r="F43" s="3">
        <f t="shared" si="24"/>
        <v>0</v>
      </c>
      <c r="G43" s="3">
        <f t="shared" si="24"/>
        <v>-2217</v>
      </c>
      <c r="H43" s="3">
        <f t="shared" si="24"/>
        <v>63768</v>
      </c>
      <c r="I43" s="3">
        <f>I387</f>
        <v>12734</v>
      </c>
      <c r="J43" s="3"/>
      <c r="K43" s="3"/>
      <c r="L43" s="3">
        <f t="shared" si="24"/>
        <v>2537.9663999999998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0</v>
      </c>
      <c r="D44" s="3">
        <f t="shared" ref="D44:L44" si="25">SUM(D394:D400)</f>
        <v>78744</v>
      </c>
      <c r="E44" s="3">
        <f t="shared" si="25"/>
        <v>0</v>
      </c>
      <c r="F44" s="3">
        <f t="shared" si="25"/>
        <v>0</v>
      </c>
      <c r="G44" s="3">
        <f t="shared" si="25"/>
        <v>-7877</v>
      </c>
      <c r="H44" s="3">
        <f t="shared" si="25"/>
        <v>49352</v>
      </c>
      <c r="I44" s="3">
        <f>I400</f>
        <v>15112</v>
      </c>
      <c r="J44" s="3"/>
      <c r="K44" s="3"/>
      <c r="L44" s="3">
        <f t="shared" si="25"/>
        <v>1964.2095999999999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0</v>
      </c>
      <c r="D45" s="3">
        <f t="shared" ref="D45:L45" si="26">SUM(D407:D413)</f>
        <v>80429</v>
      </c>
      <c r="E45" s="3">
        <f t="shared" si="26"/>
        <v>0</v>
      </c>
      <c r="F45" s="3">
        <f t="shared" si="26"/>
        <v>0</v>
      </c>
      <c r="G45" s="3">
        <f t="shared" si="26"/>
        <v>-113</v>
      </c>
      <c r="H45" s="3">
        <f t="shared" si="26"/>
        <v>61172</v>
      </c>
      <c r="I45" s="3">
        <f>I413</f>
        <v>13889</v>
      </c>
      <c r="J45" s="3"/>
      <c r="K45" s="3"/>
      <c r="L45" s="3">
        <f t="shared" si="26"/>
        <v>2434.6455999999998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0</v>
      </c>
      <c r="D46" s="3">
        <f t="shared" ref="D46:L46" si="27">SUM(D420:D426)</f>
        <v>89506</v>
      </c>
      <c r="E46" s="3">
        <f t="shared" si="27"/>
        <v>0</v>
      </c>
      <c r="F46" s="3">
        <f t="shared" si="27"/>
        <v>0</v>
      </c>
      <c r="G46" s="3">
        <f t="shared" si="27"/>
        <v>-2276</v>
      </c>
      <c r="H46" s="3">
        <f t="shared" si="27"/>
        <v>66585</v>
      </c>
      <c r="I46" s="3">
        <f>I426</f>
        <v>16926</v>
      </c>
      <c r="J46" s="3"/>
      <c r="K46" s="3"/>
      <c r="L46" s="3">
        <f t="shared" si="27"/>
        <v>2650.0829999999996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0</v>
      </c>
      <c r="D47" s="3">
        <f t="shared" ref="D47:L47" si="28">SUM(D433:D439)</f>
        <v>84569</v>
      </c>
      <c r="E47" s="3">
        <f t="shared" si="28"/>
        <v>0</v>
      </c>
      <c r="F47" s="3">
        <f t="shared" si="28"/>
        <v>0</v>
      </c>
      <c r="G47" s="3">
        <f t="shared" si="28"/>
        <v>-3299</v>
      </c>
      <c r="H47" s="3">
        <f t="shared" si="28"/>
        <v>74301</v>
      </c>
      <c r="I47" s="3">
        <f>I439</f>
        <v>14666</v>
      </c>
      <c r="J47" s="3"/>
      <c r="K47" s="3"/>
      <c r="L47" s="3">
        <f t="shared" si="28"/>
        <v>2957.1797999999999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0</v>
      </c>
      <c r="D48" s="3">
        <f t="shared" ref="D48:L48" si="29">SUM(D446:D452)</f>
        <v>73343</v>
      </c>
      <c r="E48" s="3">
        <f t="shared" si="29"/>
        <v>0</v>
      </c>
      <c r="F48" s="3">
        <f t="shared" si="29"/>
        <v>0</v>
      </c>
      <c r="G48" s="3">
        <f t="shared" si="29"/>
        <v>-236</v>
      </c>
      <c r="H48" s="3">
        <f t="shared" si="29"/>
        <v>70767</v>
      </c>
      <c r="I48" s="3">
        <f>I452</f>
        <v>13722</v>
      </c>
      <c r="J48" s="3"/>
      <c r="K48" s="3"/>
      <c r="L48" s="3">
        <f t="shared" si="29"/>
        <v>2816.5265999999997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0</v>
      </c>
      <c r="D49" s="3">
        <f t="shared" ref="D49:L49" si="30">SUM(D459:D465)</f>
        <v>69420</v>
      </c>
      <c r="E49" s="3">
        <f t="shared" si="30"/>
        <v>0</v>
      </c>
      <c r="F49" s="3">
        <f t="shared" si="30"/>
        <v>0</v>
      </c>
      <c r="G49" s="3">
        <f t="shared" si="30"/>
        <v>7850</v>
      </c>
      <c r="H49" s="3">
        <f t="shared" si="30"/>
        <v>76852</v>
      </c>
      <c r="I49" s="3">
        <f>I465</f>
        <v>10492</v>
      </c>
      <c r="J49" s="3"/>
      <c r="K49" s="3"/>
      <c r="L49" s="3">
        <f t="shared" si="30"/>
        <v>3058.7095999999992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0</v>
      </c>
      <c r="D50" s="3">
        <f t="shared" ref="D50:L50" si="31">SUM(D472:D478)</f>
        <v>88088</v>
      </c>
      <c r="E50" s="3">
        <f t="shared" si="31"/>
        <v>0</v>
      </c>
      <c r="F50" s="3">
        <f t="shared" si="31"/>
        <v>0</v>
      </c>
      <c r="G50" s="3">
        <f t="shared" si="31"/>
        <v>-7864</v>
      </c>
      <c r="H50" s="3">
        <f t="shared" si="31"/>
        <v>79062</v>
      </c>
      <c r="I50" s="3">
        <f>I478</f>
        <v>18258</v>
      </c>
      <c r="J50" s="3"/>
      <c r="K50" s="3"/>
      <c r="L50" s="3">
        <f t="shared" si="31"/>
        <v>3146.6675999999998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16823</v>
      </c>
      <c r="E98" s="3">
        <f t="shared" si="32"/>
        <v>447</v>
      </c>
      <c r="F98" s="3">
        <f t="shared" si="32"/>
        <v>0</v>
      </c>
      <c r="G98" s="3">
        <f t="shared" si="32"/>
        <v>-408</v>
      </c>
      <c r="H98" s="3">
        <f t="shared" si="32"/>
        <v>13421</v>
      </c>
      <c r="I98" s="3">
        <f>I331</f>
        <v>9143</v>
      </c>
      <c r="J98" s="3"/>
      <c r="K98" s="3"/>
      <c r="L98" s="3">
        <f t="shared" ref="L98" si="33">SUM(L329:L331)</f>
        <v>534.1558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0</v>
      </c>
      <c r="D99" s="3">
        <f t="shared" si="34"/>
        <v>60943</v>
      </c>
      <c r="E99" s="3">
        <f t="shared" si="34"/>
        <v>313</v>
      </c>
      <c r="F99" s="3">
        <f t="shared" si="34"/>
        <v>0</v>
      </c>
      <c r="G99" s="3">
        <f t="shared" si="34"/>
        <v>-5701</v>
      </c>
      <c r="H99" s="3">
        <f t="shared" si="34"/>
        <v>38918</v>
      </c>
      <c r="I99" s="3">
        <f>I334</f>
        <v>14844</v>
      </c>
      <c r="J99" s="3"/>
      <c r="L99" s="3">
        <f t="shared" ref="L99" si="35">SUM(L332:L334)</f>
        <v>1548.9363999999998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0</v>
      </c>
      <c r="D100" s="3">
        <f t="shared" si="36"/>
        <v>78870</v>
      </c>
      <c r="E100" s="3">
        <f t="shared" si="36"/>
        <v>0</v>
      </c>
      <c r="F100" s="3">
        <f t="shared" si="36"/>
        <v>0</v>
      </c>
      <c r="G100" s="3">
        <f t="shared" si="36"/>
        <v>241</v>
      </c>
      <c r="H100" s="3">
        <f t="shared" si="36"/>
        <v>60830</v>
      </c>
      <c r="I100" s="3">
        <f>I337</f>
        <v>14603</v>
      </c>
      <c r="J100" s="3"/>
      <c r="L100" s="3">
        <f t="shared" ref="L100" si="37">SUM(L335:L337)</f>
        <v>2421.0339999999997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0</v>
      </c>
      <c r="D101" s="3">
        <f t="shared" si="38"/>
        <v>49954</v>
      </c>
      <c r="E101" s="3">
        <f t="shared" si="38"/>
        <v>0</v>
      </c>
      <c r="F101" s="3">
        <f t="shared" si="38"/>
        <v>0</v>
      </c>
      <c r="G101" s="3">
        <f t="shared" si="38"/>
        <v>620</v>
      </c>
      <c r="H101" s="3">
        <f t="shared" si="38"/>
        <v>41640</v>
      </c>
      <c r="I101" s="3">
        <f>I340</f>
        <v>13983</v>
      </c>
      <c r="J101" s="3"/>
      <c r="L101" s="3">
        <f t="shared" ref="L101" si="39">SUM(L338:L340)</f>
        <v>1657.2719999999999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15840</v>
      </c>
      <c r="E103" s="3">
        <f t="shared" si="40"/>
        <v>0</v>
      </c>
      <c r="F103" s="3">
        <f t="shared" si="40"/>
        <v>0</v>
      </c>
      <c r="G103" s="3">
        <f t="shared" si="40"/>
        <v>585</v>
      </c>
      <c r="H103" s="3">
        <f t="shared" si="40"/>
        <v>16190</v>
      </c>
      <c r="I103" s="3">
        <f>I344</f>
        <v>13398</v>
      </c>
      <c r="J103" s="65"/>
      <c r="L103" s="3">
        <f t="shared" ref="L103" si="41">SUM(L342:L344)</f>
        <v>644.36199999999997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0</v>
      </c>
      <c r="D104" s="3">
        <f t="shared" si="42"/>
        <v>68772</v>
      </c>
      <c r="E104" s="3">
        <f t="shared" si="42"/>
        <v>0</v>
      </c>
      <c r="F104" s="3">
        <f t="shared" si="42"/>
        <v>0</v>
      </c>
      <c r="G104" s="3">
        <f t="shared" si="42"/>
        <v>-1300</v>
      </c>
      <c r="H104" s="3">
        <f t="shared" si="42"/>
        <v>43005</v>
      </c>
      <c r="I104" s="3">
        <f>I347</f>
        <v>14698</v>
      </c>
      <c r="J104" s="65"/>
      <c r="L104" s="3">
        <f t="shared" ref="L104" si="43">SUM(L345:L347)</f>
        <v>1711.5989999999997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71293</v>
      </c>
      <c r="E105" s="3">
        <f t="shared" si="44"/>
        <v>0</v>
      </c>
      <c r="F105" s="3">
        <f t="shared" si="44"/>
        <v>0</v>
      </c>
      <c r="G105" s="3">
        <f t="shared" si="44"/>
        <v>-123</v>
      </c>
      <c r="H105" s="3">
        <f t="shared" si="44"/>
        <v>62673</v>
      </c>
      <c r="I105" s="3">
        <f>I350</f>
        <v>14821</v>
      </c>
      <c r="J105" s="65"/>
      <c r="L105" s="3">
        <f t="shared" ref="L105" si="45">SUM(L348:L350)</f>
        <v>2494.3854000000001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0</v>
      </c>
      <c r="D106" s="3">
        <f t="shared" si="46"/>
        <v>44151</v>
      </c>
      <c r="E106" s="3">
        <f t="shared" si="46"/>
        <v>0</v>
      </c>
      <c r="F106" s="3">
        <f t="shared" si="46"/>
        <v>0</v>
      </c>
      <c r="G106" s="3">
        <f t="shared" si="46"/>
        <v>3441</v>
      </c>
      <c r="H106" s="3">
        <f t="shared" si="46"/>
        <v>34250</v>
      </c>
      <c r="I106" s="3">
        <f>I353</f>
        <v>11380</v>
      </c>
      <c r="J106" s="65"/>
      <c r="L106" s="3">
        <f t="shared" ref="L106" si="47">SUM(L351:L353)</f>
        <v>1363.15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H108" si="48">SUM(D355:D357)</f>
        <v>15760</v>
      </c>
      <c r="E108" s="3">
        <f t="shared" si="48"/>
        <v>0</v>
      </c>
      <c r="F108" s="3">
        <f t="shared" si="48"/>
        <v>0</v>
      </c>
      <c r="G108" s="3">
        <f t="shared" si="48"/>
        <v>-79</v>
      </c>
      <c r="H108" s="3">
        <f t="shared" si="48"/>
        <v>15059</v>
      </c>
      <c r="I108" s="3">
        <f>I357</f>
        <v>11459</v>
      </c>
      <c r="J108" s="3"/>
      <c r="K108" s="3"/>
      <c r="L108" s="3">
        <f t="shared" ref="L108" si="49">SUM(L355:L357)</f>
        <v>599.34819999999991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0</v>
      </c>
      <c r="D109" s="3">
        <f t="shared" si="50"/>
        <v>60766</v>
      </c>
      <c r="E109" s="3">
        <f t="shared" si="50"/>
        <v>0</v>
      </c>
      <c r="F109" s="3">
        <f t="shared" si="50"/>
        <v>0</v>
      </c>
      <c r="G109" s="3">
        <f t="shared" si="50"/>
        <v>1147</v>
      </c>
      <c r="H109" s="3">
        <f t="shared" si="50"/>
        <v>47364</v>
      </c>
      <c r="I109" s="3">
        <f>I360</f>
        <v>10312</v>
      </c>
      <c r="J109" s="3"/>
      <c r="K109" s="3"/>
      <c r="L109" s="3">
        <f t="shared" ref="L109" si="51">SUM(L358:L360)</f>
        <v>1885.0871999999997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H110" si="52">SUM(D361:D363)</f>
        <v>71048</v>
      </c>
      <c r="E110" s="3">
        <f t="shared" si="52"/>
        <v>0</v>
      </c>
      <c r="F110" s="3">
        <f t="shared" si="52"/>
        <v>0</v>
      </c>
      <c r="G110" s="3">
        <f t="shared" si="52"/>
        <v>-1868</v>
      </c>
      <c r="H110" s="3">
        <f t="shared" si="52"/>
        <v>50494</v>
      </c>
      <c r="I110" s="3">
        <f>I363</f>
        <v>12180</v>
      </c>
      <c r="J110" s="3"/>
      <c r="K110" s="3"/>
      <c r="L110" s="3">
        <f t="shared" ref="L110" si="53">SUM(L361:L363)</f>
        <v>2009.6612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H111" si="54">SUM(D364:D366)</f>
        <v>52831</v>
      </c>
      <c r="E111" s="3">
        <f t="shared" si="54"/>
        <v>0</v>
      </c>
      <c r="F111" s="3">
        <f t="shared" si="54"/>
        <v>0</v>
      </c>
      <c r="G111" s="3">
        <f t="shared" si="54"/>
        <v>505</v>
      </c>
      <c r="H111" s="3">
        <f t="shared" si="54"/>
        <v>41839</v>
      </c>
      <c r="I111" s="3">
        <f>I366</f>
        <v>11675</v>
      </c>
      <c r="J111" s="3"/>
      <c r="K111" s="3"/>
      <c r="L111" s="3">
        <f t="shared" ref="L111" si="55">SUM(L364:L366)</f>
        <v>1665.1922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0</v>
      </c>
      <c r="D113" s="3">
        <f t="shared" si="56"/>
        <v>23461</v>
      </c>
      <c r="E113" s="3">
        <f t="shared" si="56"/>
        <v>0</v>
      </c>
      <c r="F113" s="3">
        <f t="shared" si="56"/>
        <v>0</v>
      </c>
      <c r="G113" s="3">
        <f t="shared" si="56"/>
        <v>-4739</v>
      </c>
      <c r="H113" s="3">
        <f t="shared" si="56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0</v>
      </c>
      <c r="D114" s="3">
        <f t="shared" si="57"/>
        <v>61392</v>
      </c>
      <c r="E114" s="3">
        <f t="shared" si="57"/>
        <v>0</v>
      </c>
      <c r="F114" s="3">
        <f t="shared" si="57"/>
        <v>0</v>
      </c>
      <c r="G114" s="3">
        <f t="shared" si="57"/>
        <v>948</v>
      </c>
      <c r="H114" s="3">
        <f t="shared" si="57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58">SUM(D374:D376)</f>
        <v>60815</v>
      </c>
      <c r="E115" s="3">
        <f t="shared" si="58"/>
        <v>0</v>
      </c>
      <c r="F115" s="3">
        <f t="shared" si="58"/>
        <v>0</v>
      </c>
      <c r="G115" s="3">
        <f t="shared" si="58"/>
        <v>3583</v>
      </c>
      <c r="H115" s="3">
        <f t="shared" si="58"/>
        <v>52954</v>
      </c>
      <c r="I115" s="3">
        <f>I376</f>
        <v>11883</v>
      </c>
      <c r="J115" s="3"/>
      <c r="K115" s="3"/>
      <c r="L115" s="3">
        <f t="shared" si="58"/>
        <v>2107.5691999999999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0</v>
      </c>
      <c r="D116" s="3">
        <f t="shared" si="59"/>
        <v>52149</v>
      </c>
      <c r="E116" s="3">
        <f t="shared" si="59"/>
        <v>0</v>
      </c>
      <c r="F116" s="3">
        <f t="shared" si="59"/>
        <v>0</v>
      </c>
      <c r="G116" s="3">
        <f t="shared" si="59"/>
        <v>1366</v>
      </c>
      <c r="H116" s="3">
        <f t="shared" si="59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0</v>
      </c>
      <c r="D118" s="3">
        <f t="shared" si="60"/>
        <v>24899</v>
      </c>
      <c r="E118" s="3">
        <f t="shared" si="60"/>
        <v>0</v>
      </c>
      <c r="F118" s="3">
        <f t="shared" si="60"/>
        <v>0</v>
      </c>
      <c r="G118" s="3">
        <f t="shared" si="60"/>
        <v>-12156</v>
      </c>
      <c r="H118" s="3">
        <f t="shared" si="60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1">SUM(E384:E386)</f>
        <v>0</v>
      </c>
      <c r="F119" s="3">
        <f t="shared" si="61"/>
        <v>0</v>
      </c>
      <c r="G119" s="3">
        <f t="shared" si="61"/>
        <v>8238</v>
      </c>
      <c r="H119" s="3">
        <f t="shared" si="61"/>
        <v>45198</v>
      </c>
      <c r="I119" s="3">
        <f>I386</f>
        <v>14435</v>
      </c>
      <c r="J119" s="3"/>
      <c r="K119" s="3"/>
      <c r="L119" s="3">
        <f t="shared" si="61"/>
        <v>1798.8803999999998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0</v>
      </c>
      <c r="D120" s="3">
        <f t="shared" si="62"/>
        <v>59062</v>
      </c>
      <c r="E120" s="3">
        <f t="shared" si="62"/>
        <v>0</v>
      </c>
      <c r="F120" s="3">
        <f t="shared" si="62"/>
        <v>0</v>
      </c>
      <c r="G120" s="3">
        <f t="shared" si="62"/>
        <v>5790</v>
      </c>
      <c r="H120" s="3">
        <f t="shared" si="62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0</v>
      </c>
      <c r="D121" s="3">
        <f t="shared" si="63"/>
        <v>52153</v>
      </c>
      <c r="E121" s="3">
        <f t="shared" si="63"/>
        <v>0</v>
      </c>
      <c r="F121" s="3">
        <f t="shared" si="63"/>
        <v>0</v>
      </c>
      <c r="G121" s="3">
        <f t="shared" si="63"/>
        <v>1410</v>
      </c>
      <c r="H121" s="3">
        <f t="shared" si="63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">
      <c r="A122" s="32"/>
      <c r="J122" s="3"/>
      <c r="K122" s="3"/>
      <c r="L122" s="3"/>
      <c r="M122" s="3"/>
      <c r="N122" s="26"/>
    </row>
    <row r="123" spans="1:14" x14ac:dyDescent="0.2">
      <c r="A123" s="32" t="str">
        <f>'Olieforbrug, TJ'!A123</f>
        <v>1. kvartal 2019</v>
      </c>
      <c r="C123" s="3">
        <f t="shared" ref="C123:H123" si="64">SUM(C394:C396)</f>
        <v>0</v>
      </c>
      <c r="D123" s="3">
        <f t="shared" si="64"/>
        <v>15878</v>
      </c>
      <c r="E123" s="3">
        <f t="shared" si="64"/>
        <v>0</v>
      </c>
      <c r="F123" s="3">
        <f t="shared" si="64"/>
        <v>0</v>
      </c>
      <c r="G123" s="3">
        <f t="shared" si="64"/>
        <v>926</v>
      </c>
      <c r="H123" s="3">
        <f t="shared" si="64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">
      <c r="A124" s="32" t="str">
        <f>'Olieforbrug, TJ'!A124</f>
        <v>2. kvartal 2019</v>
      </c>
      <c r="C124" s="3">
        <f t="shared" ref="C124:H124" si="65">SUM(C397:C399)</f>
        <v>0</v>
      </c>
      <c r="D124" s="3">
        <f t="shared" si="65"/>
        <v>54952</v>
      </c>
      <c r="E124" s="3">
        <f t="shared" si="65"/>
        <v>0</v>
      </c>
      <c r="F124" s="3">
        <f t="shared" si="65"/>
        <v>0</v>
      </c>
      <c r="G124" s="3">
        <f t="shared" si="65"/>
        <v>-10411</v>
      </c>
      <c r="H124" s="3">
        <f t="shared" si="65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">
      <c r="A125" s="32" t="str">
        <f>'Olieforbrug, TJ'!A125</f>
        <v>3. kvartal 2019</v>
      </c>
      <c r="C125" s="3">
        <f t="shared" ref="C125:H125" si="66">SUM(C400:C402)</f>
        <v>0</v>
      </c>
      <c r="D125" s="3">
        <f t="shared" si="66"/>
        <v>41358</v>
      </c>
      <c r="E125" s="3">
        <f t="shared" si="66"/>
        <v>0</v>
      </c>
      <c r="F125" s="3">
        <f t="shared" si="66"/>
        <v>0</v>
      </c>
      <c r="G125" s="3">
        <f t="shared" si="66"/>
        <v>5255</v>
      </c>
      <c r="H125" s="3">
        <f t="shared" si="66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">
      <c r="A126" s="32" t="str">
        <f>'Olieforbrug, TJ'!A126</f>
        <v>4. kvartal 2019</v>
      </c>
      <c r="C126" s="3">
        <f t="shared" ref="C126:H126" si="67">SUM(C403:C405)</f>
        <v>0</v>
      </c>
      <c r="D126" s="3">
        <f t="shared" si="67"/>
        <v>44586</v>
      </c>
      <c r="E126" s="3">
        <f t="shared" si="67"/>
        <v>0</v>
      </c>
      <c r="F126" s="3">
        <f t="shared" si="67"/>
        <v>0</v>
      </c>
      <c r="G126" s="3">
        <f t="shared" si="67"/>
        <v>-2311</v>
      </c>
      <c r="H126" s="3">
        <f t="shared" si="67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">
      <c r="A127" s="32"/>
      <c r="J127" s="3"/>
      <c r="K127" s="57"/>
      <c r="L127" s="3"/>
      <c r="M127" s="3"/>
      <c r="N127" s="26"/>
    </row>
    <row r="128" spans="1:14" x14ac:dyDescent="0.2">
      <c r="A128" s="32" t="str">
        <f>'Olieforbrug, TJ'!A128</f>
        <v>1. kvartal 2020</v>
      </c>
      <c r="C128" s="3">
        <f t="shared" ref="C128:H128" si="68">SUM(C407:C409)</f>
        <v>0</v>
      </c>
      <c r="D128" s="3">
        <f t="shared" si="68"/>
        <v>20766</v>
      </c>
      <c r="E128" s="3">
        <f t="shared" si="68"/>
        <v>0</v>
      </c>
      <c r="F128" s="3">
        <f t="shared" si="68"/>
        <v>0</v>
      </c>
      <c r="G128" s="3">
        <f t="shared" si="68"/>
        <v>-6455</v>
      </c>
      <c r="H128" s="3">
        <f t="shared" si="68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69">SUM(C410:C412)</f>
        <v>0</v>
      </c>
      <c r="D129" s="3">
        <f t="shared" si="69"/>
        <v>50907</v>
      </c>
      <c r="E129" s="3">
        <f t="shared" si="69"/>
        <v>0</v>
      </c>
      <c r="F129" s="3">
        <f t="shared" si="69"/>
        <v>0</v>
      </c>
      <c r="G129" s="3">
        <f t="shared" si="69"/>
        <v>4276</v>
      </c>
      <c r="H129" s="3">
        <f t="shared" si="69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70">SUM(C413:C415)</f>
        <v>0</v>
      </c>
      <c r="D130" s="3">
        <f t="shared" si="70"/>
        <v>54944</v>
      </c>
      <c r="E130" s="3">
        <f t="shared" si="70"/>
        <v>0</v>
      </c>
      <c r="F130" s="3">
        <f t="shared" si="70"/>
        <v>0</v>
      </c>
      <c r="G130" s="3">
        <f t="shared" si="70"/>
        <v>1291</v>
      </c>
      <c r="H130" s="3">
        <f t="shared" si="70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71">SUM(C416:C418)</f>
        <v>0</v>
      </c>
      <c r="D131" s="3">
        <f t="shared" si="71"/>
        <v>49098</v>
      </c>
      <c r="E131" s="3">
        <f t="shared" si="71"/>
        <v>0</v>
      </c>
      <c r="F131" s="3">
        <f t="shared" si="71"/>
        <v>0</v>
      </c>
      <c r="G131" s="3">
        <f t="shared" si="71"/>
        <v>14</v>
      </c>
      <c r="H131" s="3">
        <f t="shared" si="71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">
      <c r="A132" s="32"/>
      <c r="J132" s="3"/>
      <c r="K132" s="57"/>
      <c r="L132" s="3"/>
      <c r="M132" s="3"/>
      <c r="N132" s="26"/>
    </row>
    <row r="133" spans="1:14" x14ac:dyDescent="0.2">
      <c r="A133" s="32" t="str">
        <f>'Olieforbrug, TJ'!A133</f>
        <v>1. kvartal 2021</v>
      </c>
      <c r="C133" s="3">
        <f t="shared" ref="C133:H133" si="72">SUM(C420:C422)</f>
        <v>0</v>
      </c>
      <c r="D133" s="3">
        <f t="shared" si="72"/>
        <v>26830</v>
      </c>
      <c r="E133" s="3">
        <f t="shared" si="72"/>
        <v>0</v>
      </c>
      <c r="F133" s="3">
        <f t="shared" si="72"/>
        <v>0</v>
      </c>
      <c r="G133" s="3">
        <f t="shared" si="72"/>
        <v>-4124</v>
      </c>
      <c r="H133" s="3">
        <f t="shared" si="72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73">SUM(C423:C425)</f>
        <v>0</v>
      </c>
      <c r="D134" s="3">
        <f t="shared" si="73"/>
        <v>49073</v>
      </c>
      <c r="E134" s="3">
        <f t="shared" si="73"/>
        <v>0</v>
      </c>
      <c r="F134" s="3">
        <f t="shared" si="73"/>
        <v>0</v>
      </c>
      <c r="G134" s="3">
        <f t="shared" si="73"/>
        <v>3190</v>
      </c>
      <c r="H134" s="3">
        <f t="shared" si="73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74">SUM(C426:C428)</f>
        <v>0</v>
      </c>
      <c r="D135" s="3">
        <f t="shared" si="74"/>
        <v>52293</v>
      </c>
      <c r="E135" s="3">
        <f t="shared" si="74"/>
        <v>0</v>
      </c>
      <c r="F135" s="3">
        <f t="shared" si="74"/>
        <v>0</v>
      </c>
      <c r="G135" s="3">
        <f t="shared" si="74"/>
        <v>2400</v>
      </c>
      <c r="H135" s="3">
        <f t="shared" si="74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75">SUM(C429:C431)</f>
        <v>0</v>
      </c>
      <c r="D136" s="3">
        <f t="shared" si="75"/>
        <v>40643</v>
      </c>
      <c r="E136" s="3">
        <f t="shared" si="75"/>
        <v>0</v>
      </c>
      <c r="F136" s="3">
        <f t="shared" si="75"/>
        <v>0</v>
      </c>
      <c r="G136" s="3">
        <f t="shared" si="75"/>
        <v>1817</v>
      </c>
      <c r="H136" s="3">
        <f t="shared" si="75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">
      <c r="A137" s="32"/>
      <c r="J137" s="3"/>
      <c r="K137" s="57"/>
      <c r="L137" s="3"/>
      <c r="M137" s="3"/>
      <c r="N137" s="26"/>
    </row>
    <row r="138" spans="1:14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6">SUM(D433:D435)</f>
        <v>21005</v>
      </c>
      <c r="E138" s="3">
        <f t="shared" si="76"/>
        <v>0</v>
      </c>
      <c r="F138" s="3">
        <f t="shared" si="76"/>
        <v>0</v>
      </c>
      <c r="G138" s="3">
        <f t="shared" si="76"/>
        <v>-3014</v>
      </c>
      <c r="H138" s="3">
        <f t="shared" si="76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77">SUM(D436:D438)</f>
        <v>51317</v>
      </c>
      <c r="E139" s="3">
        <f t="shared" si="77"/>
        <v>0</v>
      </c>
      <c r="F139" s="3">
        <f t="shared" si="77"/>
        <v>0</v>
      </c>
      <c r="G139" s="3">
        <f t="shared" si="77"/>
        <v>1420</v>
      </c>
      <c r="H139" s="3">
        <f t="shared" si="77"/>
        <v>49693</v>
      </c>
      <c r="I139" s="3">
        <f>SUM(I438)</f>
        <v>12961</v>
      </c>
      <c r="J139" s="3"/>
      <c r="K139" s="3"/>
      <c r="L139" s="3">
        <f t="shared" si="77"/>
        <v>1977.7813999999998</v>
      </c>
      <c r="M139" s="3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78">SUM(D439:D441)</f>
        <v>56659</v>
      </c>
      <c r="E140" s="3">
        <f t="shared" si="78"/>
        <v>0</v>
      </c>
      <c r="F140" s="3">
        <f t="shared" si="78"/>
        <v>0</v>
      </c>
      <c r="G140" s="3">
        <f t="shared" si="78"/>
        <v>-6977</v>
      </c>
      <c r="H140" s="3">
        <f t="shared" si="78"/>
        <v>48737</v>
      </c>
      <c r="I140" s="3">
        <f>SUM(I441)</f>
        <v>19938</v>
      </c>
      <c r="J140" s="3"/>
      <c r="K140" s="3"/>
      <c r="L140" s="3">
        <f t="shared" si="78"/>
        <v>1939.7325999999998</v>
      </c>
      <c r="M140" s="3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32275</v>
      </c>
      <c r="E141" s="3">
        <f t="shared" si="79"/>
        <v>0</v>
      </c>
      <c r="F141" s="3">
        <f t="shared" si="79"/>
        <v>0</v>
      </c>
      <c r="G141" s="3">
        <f t="shared" si="79"/>
        <v>6452</v>
      </c>
      <c r="H141" s="3">
        <f t="shared" si="79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80">SUM(D446:D448)</f>
        <v>18993</v>
      </c>
      <c r="E143" s="3">
        <f t="shared" si="80"/>
        <v>0</v>
      </c>
      <c r="F143" s="3">
        <f t="shared" si="80"/>
        <v>0</v>
      </c>
      <c r="G143" s="3">
        <f t="shared" si="80"/>
        <v>-3178</v>
      </c>
      <c r="H143" s="3">
        <f t="shared" si="80"/>
        <v>15798</v>
      </c>
      <c r="I143" s="3">
        <f>SUM(I448)</f>
        <v>16664</v>
      </c>
      <c r="J143" s="3"/>
      <c r="K143" s="3"/>
      <c r="L143" s="3">
        <f t="shared" si="80"/>
        <v>628.7604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0</v>
      </c>
      <c r="D144" s="3">
        <f t="shared" si="81"/>
        <v>42392</v>
      </c>
      <c r="E144" s="3">
        <f t="shared" si="81"/>
        <v>0</v>
      </c>
      <c r="F144" s="3">
        <f t="shared" si="81"/>
        <v>0</v>
      </c>
      <c r="G144" s="3">
        <f t="shared" si="81"/>
        <v>7646</v>
      </c>
      <c r="H144" s="3">
        <f t="shared" si="81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82">SUM(D452:D454)</f>
        <v>48299</v>
      </c>
      <c r="E145" s="3">
        <f t="shared" si="82"/>
        <v>0</v>
      </c>
      <c r="F145" s="3">
        <f t="shared" si="82"/>
        <v>0</v>
      </c>
      <c r="G145" s="3">
        <f t="shared" si="82"/>
        <v>-6420</v>
      </c>
      <c r="H145" s="3">
        <f t="shared" si="82"/>
        <v>40769</v>
      </c>
      <c r="I145" s="3">
        <f>SUM(I454)</f>
        <v>15438</v>
      </c>
      <c r="J145" s="3"/>
      <c r="K145" s="3"/>
      <c r="L145" s="3">
        <f t="shared" si="82"/>
        <v>1622.6061999999997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83">SUM(D455:D457)</f>
        <v>31531</v>
      </c>
      <c r="E146" s="3">
        <f t="shared" si="83"/>
        <v>0</v>
      </c>
      <c r="F146" s="3">
        <f t="shared" si="83"/>
        <v>0</v>
      </c>
      <c r="G146" s="3">
        <f t="shared" si="83"/>
        <v>-2904</v>
      </c>
      <c r="H146" s="3">
        <f t="shared" si="83"/>
        <v>28490</v>
      </c>
      <c r="I146" s="3">
        <f>SUM(I457)</f>
        <v>18342</v>
      </c>
      <c r="J146" s="3"/>
      <c r="K146" s="3"/>
      <c r="L146" s="3">
        <f t="shared" si="83"/>
        <v>1133.9019999999998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0</v>
      </c>
      <c r="D148" s="3">
        <f t="shared" si="84"/>
        <v>9575</v>
      </c>
      <c r="E148" s="3">
        <f t="shared" si="84"/>
        <v>0</v>
      </c>
      <c r="F148" s="3">
        <f t="shared" si="84"/>
        <v>0</v>
      </c>
      <c r="G148" s="3">
        <f t="shared" si="84"/>
        <v>3871</v>
      </c>
      <c r="H148" s="3">
        <f t="shared" si="84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85">SUM(D462:D464)</f>
        <v>53212</v>
      </c>
      <c r="E149" s="3">
        <f t="shared" si="85"/>
        <v>0</v>
      </c>
      <c r="F149" s="3">
        <f t="shared" si="85"/>
        <v>0</v>
      </c>
      <c r="G149" s="3">
        <f t="shared" si="85"/>
        <v>-1418</v>
      </c>
      <c r="H149" s="3">
        <f t="shared" si="85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86">SUM(D465:D467)</f>
        <v>53214</v>
      </c>
      <c r="E150" s="3">
        <f t="shared" si="86"/>
        <v>0</v>
      </c>
      <c r="F150" s="3">
        <f t="shared" si="86"/>
        <v>0</v>
      </c>
      <c r="G150" s="3">
        <f t="shared" si="86"/>
        <v>-2026</v>
      </c>
      <c r="H150" s="3">
        <f t="shared" si="86"/>
        <v>50964</v>
      </c>
      <c r="I150" s="3">
        <f>I467</f>
        <v>17915</v>
      </c>
      <c r="J150" s="3"/>
      <c r="K150" s="3"/>
      <c r="L150" s="3">
        <f t="shared" si="86"/>
        <v>2028.3671999999999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87">SUM(D468:D470)</f>
        <v>35507</v>
      </c>
      <c r="E151" s="3">
        <f t="shared" si="87"/>
        <v>0</v>
      </c>
      <c r="F151" s="3">
        <f t="shared" si="87"/>
        <v>0</v>
      </c>
      <c r="G151" s="3">
        <f t="shared" si="87"/>
        <v>7521</v>
      </c>
      <c r="H151" s="3">
        <f t="shared" si="87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88">SUM(D472:D474)</f>
        <v>20792</v>
      </c>
      <c r="E153" s="3">
        <f t="shared" si="88"/>
        <v>0</v>
      </c>
      <c r="F153" s="3">
        <f t="shared" si="88"/>
        <v>0</v>
      </c>
      <c r="G153" s="3">
        <f t="shared" si="88"/>
        <v>-5784</v>
      </c>
      <c r="H153" s="3">
        <f t="shared" si="88"/>
        <v>15065</v>
      </c>
      <c r="I153" s="3">
        <f>I474</f>
        <v>16178</v>
      </c>
      <c r="J153" s="3"/>
      <c r="K153" s="3"/>
      <c r="L153" s="3">
        <f t="shared" si="88"/>
        <v>599.58699999999999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89">SUM(D475:D477)</f>
        <v>51083</v>
      </c>
      <c r="E154" s="3">
        <f t="shared" si="89"/>
        <v>0</v>
      </c>
      <c r="F154" s="3">
        <f t="shared" si="89"/>
        <v>0</v>
      </c>
      <c r="G154" s="3">
        <f t="shared" si="89"/>
        <v>4423</v>
      </c>
      <c r="H154" s="3">
        <f t="shared" si="89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5" thickBot="1" x14ac:dyDescent="0.25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5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275</v>
      </c>
      <c r="P315" t="s">
        <v>276</v>
      </c>
      <c r="Q315" s="128" t="s">
        <v>274</v>
      </c>
      <c r="S315" t="s">
        <v>278</v>
      </c>
      <c r="T315" t="s">
        <v>279</v>
      </c>
      <c r="U315" t="s">
        <v>277</v>
      </c>
    </row>
    <row r="316" spans="1:21" x14ac:dyDescent="0.2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7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90">O317-Q317</f>
        <v>2851</v>
      </c>
      <c r="Q317" s="127">
        <v>472</v>
      </c>
      <c r="S317" s="12">
        <v>132.25539999999998</v>
      </c>
      <c r="T317" s="12">
        <f t="shared" ref="T317:T366" si="91">+S317-U317</f>
        <v>113.46979999999998</v>
      </c>
      <c r="U317" s="12">
        <f t="shared" ref="U317:U366" si="92">+Q317*39.8/1000</f>
        <v>18.785599999999999</v>
      </c>
    </row>
    <row r="318" spans="1:21" x14ac:dyDescent="0.2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90"/>
        <v>-407</v>
      </c>
      <c r="Q318" s="127">
        <v>4499</v>
      </c>
      <c r="S318" s="12">
        <v>162.86159999999998</v>
      </c>
      <c r="T318" s="12">
        <f t="shared" si="91"/>
        <v>-16.198599999999999</v>
      </c>
      <c r="U318" s="12">
        <f t="shared" si="92"/>
        <v>179.06019999999998</v>
      </c>
    </row>
    <row r="319" spans="1:21" x14ac:dyDescent="0.2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90"/>
        <v>14905</v>
      </c>
      <c r="Q319" s="127">
        <v>2589</v>
      </c>
      <c r="S319" s="12">
        <v>696.26119999999992</v>
      </c>
      <c r="T319" s="12">
        <f t="shared" si="91"/>
        <v>593.21899999999994</v>
      </c>
      <c r="U319" s="12">
        <f t="shared" si="92"/>
        <v>103.04219999999999</v>
      </c>
    </row>
    <row r="320" spans="1:21" x14ac:dyDescent="0.2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90"/>
        <v>17800</v>
      </c>
      <c r="Q320" s="127">
        <v>9552</v>
      </c>
      <c r="S320" s="12">
        <v>1088.6095999999998</v>
      </c>
      <c r="T320" s="12">
        <f t="shared" si="91"/>
        <v>708.43999999999983</v>
      </c>
      <c r="U320" s="12">
        <f t="shared" si="92"/>
        <v>380.1696</v>
      </c>
    </row>
    <row r="321" spans="1:21" x14ac:dyDescent="0.2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90"/>
        <v>21487</v>
      </c>
      <c r="Q321" s="127">
        <v>8803</v>
      </c>
      <c r="S321" s="12">
        <v>1205.5419999999999</v>
      </c>
      <c r="T321" s="12">
        <f t="shared" si="91"/>
        <v>855.18259999999998</v>
      </c>
      <c r="U321" s="12">
        <f t="shared" si="92"/>
        <v>350.35939999999994</v>
      </c>
    </row>
    <row r="322" spans="1:21" x14ac:dyDescent="0.2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90"/>
        <v>11995</v>
      </c>
      <c r="Q322" s="127">
        <v>8724</v>
      </c>
      <c r="S322" s="12">
        <v>824.61619999999994</v>
      </c>
      <c r="T322" s="12">
        <f t="shared" si="91"/>
        <v>477.40099999999995</v>
      </c>
      <c r="U322" s="12">
        <f t="shared" si="92"/>
        <v>347.21519999999998</v>
      </c>
    </row>
    <row r="323" spans="1:21" x14ac:dyDescent="0.2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90"/>
        <v>24405</v>
      </c>
      <c r="Q323" s="127">
        <v>5572</v>
      </c>
      <c r="S323" s="12">
        <v>1193.0845999999999</v>
      </c>
      <c r="T323" s="12">
        <f t="shared" si="91"/>
        <v>971.31899999999996</v>
      </c>
      <c r="U323" s="12">
        <f t="shared" si="92"/>
        <v>221.76559999999998</v>
      </c>
    </row>
    <row r="324" spans="1:21" x14ac:dyDescent="0.2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90"/>
        <v>29356</v>
      </c>
      <c r="Q324" s="127">
        <v>5163</v>
      </c>
      <c r="S324" s="12">
        <v>1373.8561999999999</v>
      </c>
      <c r="T324" s="12">
        <f t="shared" si="91"/>
        <v>1168.3688</v>
      </c>
      <c r="U324" s="12">
        <f t="shared" si="92"/>
        <v>205.48740000000001</v>
      </c>
    </row>
    <row r="325" spans="1:21" x14ac:dyDescent="0.2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90"/>
        <v>16936</v>
      </c>
      <c r="Q325" s="127">
        <v>10231</v>
      </c>
      <c r="S325" s="12">
        <v>1081.2465999999999</v>
      </c>
      <c r="T325" s="12">
        <f t="shared" si="91"/>
        <v>674.05279999999993</v>
      </c>
      <c r="U325" s="12">
        <f t="shared" si="92"/>
        <v>407.19380000000001</v>
      </c>
    </row>
    <row r="326" spans="1:21" x14ac:dyDescent="0.2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90"/>
        <v>19037</v>
      </c>
      <c r="Q326" s="127">
        <v>1466</v>
      </c>
      <c r="S326" s="12">
        <v>816.01939999999991</v>
      </c>
      <c r="T326" s="12">
        <f t="shared" si="91"/>
        <v>757.67259999999987</v>
      </c>
      <c r="U326" s="12">
        <f t="shared" si="92"/>
        <v>58.346799999999995</v>
      </c>
    </row>
    <row r="327" spans="1:21" ht="13.5" thickBot="1" x14ac:dyDescent="0.25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90"/>
        <v>6404</v>
      </c>
      <c r="Q327" s="127">
        <v>1344</v>
      </c>
      <c r="S327" s="12">
        <v>308.37039999999996</v>
      </c>
      <c r="T327" s="12">
        <f t="shared" si="91"/>
        <v>254.87919999999997</v>
      </c>
      <c r="U327" s="12">
        <f t="shared" si="92"/>
        <v>53.491199999999999</v>
      </c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90"/>
        <v>2566</v>
      </c>
      <c r="Q329" s="127">
        <v>347</v>
      </c>
      <c r="S329" s="12">
        <v>115.9374</v>
      </c>
      <c r="T329" s="12">
        <f t="shared" si="91"/>
        <v>102.1268</v>
      </c>
      <c r="U329" s="12">
        <f t="shared" si="92"/>
        <v>13.810599999999999</v>
      </c>
    </row>
    <row r="330" spans="1:21" x14ac:dyDescent="0.2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90"/>
        <v>3543</v>
      </c>
      <c r="Q330" s="127">
        <v>625</v>
      </c>
      <c r="S330" s="12">
        <v>165.88639999999998</v>
      </c>
      <c r="T330" s="12">
        <f t="shared" si="91"/>
        <v>141.01139999999998</v>
      </c>
      <c r="U330" s="12">
        <f t="shared" si="92"/>
        <v>24.875</v>
      </c>
    </row>
    <row r="331" spans="1:21" x14ac:dyDescent="0.2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90"/>
        <v>7312</v>
      </c>
      <c r="Q331" s="127">
        <v>1923</v>
      </c>
      <c r="S331" s="12">
        <v>367.553</v>
      </c>
      <c r="T331" s="12">
        <f t="shared" si="91"/>
        <v>291.01760000000002</v>
      </c>
      <c r="U331" s="12">
        <f t="shared" si="92"/>
        <v>76.535399999999996</v>
      </c>
    </row>
    <row r="332" spans="1:21" x14ac:dyDescent="0.2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90"/>
        <v>4944</v>
      </c>
      <c r="Q332" s="127">
        <v>12140</v>
      </c>
      <c r="S332" s="12">
        <v>679.94319999999993</v>
      </c>
      <c r="T332" s="12">
        <f t="shared" si="91"/>
        <v>196.77119999999996</v>
      </c>
      <c r="U332" s="12">
        <f t="shared" si="92"/>
        <v>483.17199999999997</v>
      </c>
    </row>
    <row r="333" spans="1:21" x14ac:dyDescent="0.2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90"/>
        <v>19963</v>
      </c>
      <c r="Q333" s="127">
        <v>6214</v>
      </c>
      <c r="S333" s="12">
        <v>1041.8445999999999</v>
      </c>
      <c r="T333" s="12">
        <f t="shared" si="91"/>
        <v>794.52739999999994</v>
      </c>
      <c r="U333" s="12">
        <f t="shared" si="92"/>
        <v>247.31719999999999</v>
      </c>
    </row>
    <row r="334" spans="1:21" x14ac:dyDescent="0.2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90"/>
        <v>14011</v>
      </c>
      <c r="Q334" s="127">
        <v>9738</v>
      </c>
      <c r="S334" s="12">
        <v>945.21019999999999</v>
      </c>
      <c r="T334" s="12">
        <f t="shared" si="91"/>
        <v>557.63779999999997</v>
      </c>
      <c r="U334" s="12">
        <f t="shared" si="92"/>
        <v>387.57239999999996</v>
      </c>
    </row>
    <row r="335" spans="1:21" x14ac:dyDescent="0.2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90"/>
        <v>11669</v>
      </c>
      <c r="Q335" s="127">
        <v>4409</v>
      </c>
      <c r="S335" s="12">
        <v>639.9043999999999</v>
      </c>
      <c r="T335" s="12">
        <f t="shared" si="91"/>
        <v>464.42619999999988</v>
      </c>
      <c r="U335" s="12">
        <f t="shared" si="92"/>
        <v>175.47819999999999</v>
      </c>
    </row>
    <row r="336" spans="1:21" x14ac:dyDescent="0.2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90"/>
        <v>24064</v>
      </c>
      <c r="Q336" s="127">
        <v>8402</v>
      </c>
      <c r="S336" s="12">
        <v>1292.1467999999998</v>
      </c>
      <c r="T336" s="12">
        <f t="shared" si="91"/>
        <v>957.74719999999979</v>
      </c>
      <c r="U336" s="12">
        <f t="shared" si="92"/>
        <v>334.39959999999996</v>
      </c>
    </row>
    <row r="337" spans="1:21" x14ac:dyDescent="0.2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90"/>
        <v>25097</v>
      </c>
      <c r="Q337" s="127">
        <v>8503</v>
      </c>
      <c r="S337" s="12">
        <v>1337.28</v>
      </c>
      <c r="T337" s="12">
        <f t="shared" si="91"/>
        <v>998.86059999999998</v>
      </c>
      <c r="U337" s="12">
        <f t="shared" si="92"/>
        <v>338.41939999999994</v>
      </c>
    </row>
    <row r="338" spans="1:21" x14ac:dyDescent="0.2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90"/>
        <v>19815</v>
      </c>
      <c r="Q338" s="127">
        <v>4146</v>
      </c>
      <c r="S338" s="12">
        <v>953.64779999999996</v>
      </c>
      <c r="T338" s="12">
        <f t="shared" si="91"/>
        <v>788.63699999999994</v>
      </c>
      <c r="U338" s="12">
        <f t="shared" si="92"/>
        <v>165.01079999999999</v>
      </c>
    </row>
    <row r="339" spans="1:21" x14ac:dyDescent="0.2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90"/>
        <v>12910</v>
      </c>
      <c r="Q339" s="127">
        <v>4772</v>
      </c>
      <c r="S339" s="12">
        <v>703.74360000000001</v>
      </c>
      <c r="T339" s="12">
        <f t="shared" si="91"/>
        <v>513.81799999999998</v>
      </c>
      <c r="U339" s="12">
        <f t="shared" si="92"/>
        <v>189.92559999999997</v>
      </c>
    </row>
    <row r="340" spans="1:21" ht="13.5" thickBot="1" x14ac:dyDescent="0.25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90"/>
        <v>8915</v>
      </c>
      <c r="Q340" s="127">
        <v>65</v>
      </c>
      <c r="S340" s="12">
        <v>357.404</v>
      </c>
      <c r="T340" s="12">
        <f t="shared" si="91"/>
        <v>354.81700000000001</v>
      </c>
      <c r="U340" s="12">
        <f t="shared" si="92"/>
        <v>2.5870000000000002</v>
      </c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90"/>
        <v>2923</v>
      </c>
      <c r="Q342" s="127">
        <v>62</v>
      </c>
      <c r="S342" s="12">
        <v>118.80299999999998</v>
      </c>
      <c r="T342" s="12">
        <f t="shared" si="91"/>
        <v>116.33539999999998</v>
      </c>
      <c r="U342" s="12">
        <f t="shared" si="92"/>
        <v>2.4676</v>
      </c>
    </row>
    <row r="343" spans="1:21" x14ac:dyDescent="0.2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3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90"/>
        <v>4321</v>
      </c>
      <c r="Q343" s="127">
        <v>130</v>
      </c>
      <c r="S343" s="12">
        <v>177.1498</v>
      </c>
      <c r="T343" s="12">
        <f t="shared" si="91"/>
        <v>171.97579999999999</v>
      </c>
      <c r="U343" s="12">
        <f t="shared" si="92"/>
        <v>5.1740000000000004</v>
      </c>
    </row>
    <row r="344" spans="1:21" x14ac:dyDescent="0.2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3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90"/>
        <v>8946</v>
      </c>
      <c r="Q344" s="127">
        <v>205</v>
      </c>
      <c r="S344" s="12">
        <v>364.20979999999997</v>
      </c>
      <c r="T344" s="12">
        <f t="shared" si="91"/>
        <v>356.05079999999998</v>
      </c>
      <c r="U344" s="12">
        <f t="shared" si="92"/>
        <v>8.1589999999999989</v>
      </c>
    </row>
    <row r="345" spans="1:21" x14ac:dyDescent="0.2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3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90"/>
        <v>6944</v>
      </c>
      <c r="Q345" s="127">
        <v>13696</v>
      </c>
      <c r="S345" s="12">
        <v>821.47199999999987</v>
      </c>
      <c r="T345" s="12">
        <f t="shared" si="91"/>
        <v>276.37119999999993</v>
      </c>
      <c r="U345" s="12">
        <f t="shared" si="92"/>
        <v>545.10079999999994</v>
      </c>
    </row>
    <row r="346" spans="1:21" x14ac:dyDescent="0.2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3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90"/>
        <v>18535</v>
      </c>
      <c r="Q346" s="127">
        <v>5883</v>
      </c>
      <c r="S346" s="12">
        <v>971.83639999999991</v>
      </c>
      <c r="T346" s="12">
        <f t="shared" si="91"/>
        <v>737.69299999999998</v>
      </c>
      <c r="U346" s="12">
        <f t="shared" si="92"/>
        <v>234.14339999999999</v>
      </c>
    </row>
    <row r="347" spans="1:21" x14ac:dyDescent="0.2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3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90"/>
        <v>17526</v>
      </c>
      <c r="Q347" s="127">
        <v>13142</v>
      </c>
      <c r="S347" s="12">
        <v>1220.5863999999999</v>
      </c>
      <c r="T347" s="12">
        <f t="shared" si="91"/>
        <v>697.5347999999999</v>
      </c>
      <c r="U347" s="12">
        <f t="shared" si="92"/>
        <v>523.05160000000001</v>
      </c>
    </row>
    <row r="348" spans="1:21" x14ac:dyDescent="0.2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3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90"/>
        <v>16201</v>
      </c>
      <c r="Q348" s="127">
        <v>1604</v>
      </c>
      <c r="S348" s="12">
        <v>708.63900000000001</v>
      </c>
      <c r="T348" s="12">
        <f t="shared" si="91"/>
        <v>644.7998</v>
      </c>
      <c r="U348" s="12">
        <f t="shared" si="92"/>
        <v>63.839199999999998</v>
      </c>
    </row>
    <row r="349" spans="1:21" x14ac:dyDescent="0.2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90"/>
        <v>26063</v>
      </c>
      <c r="Q349" s="127">
        <v>8060</v>
      </c>
      <c r="S349" s="12">
        <v>1358.0953999999999</v>
      </c>
      <c r="T349" s="12">
        <f t="shared" si="91"/>
        <v>1037.3073999999999</v>
      </c>
      <c r="U349" s="12">
        <f t="shared" si="92"/>
        <v>320.78800000000001</v>
      </c>
    </row>
    <row r="350" spans="1:21" x14ac:dyDescent="0.2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90"/>
        <v>20409</v>
      </c>
      <c r="Q350" s="127">
        <v>8040</v>
      </c>
      <c r="S350" s="12">
        <v>1132.2701999999999</v>
      </c>
      <c r="T350" s="12">
        <f t="shared" si="91"/>
        <v>812.27819999999997</v>
      </c>
      <c r="U350" s="12">
        <f t="shared" si="92"/>
        <v>319.99200000000002</v>
      </c>
    </row>
    <row r="351" spans="1:21" x14ac:dyDescent="0.2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90"/>
        <v>12407</v>
      </c>
      <c r="Q351" s="127">
        <v>11493</v>
      </c>
      <c r="S351" s="12">
        <v>951.21999999999991</v>
      </c>
      <c r="T351" s="12">
        <f t="shared" si="91"/>
        <v>493.79859999999996</v>
      </c>
      <c r="U351" s="12">
        <f t="shared" si="92"/>
        <v>457.42139999999995</v>
      </c>
    </row>
    <row r="352" spans="1:21" x14ac:dyDescent="0.2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90"/>
        <v>14896</v>
      </c>
      <c r="Q352" s="127">
        <v>547</v>
      </c>
      <c r="S352" s="12">
        <v>614.63139999999987</v>
      </c>
      <c r="T352" s="12">
        <f t="shared" si="91"/>
        <v>592.86079999999993</v>
      </c>
      <c r="U352" s="12">
        <f t="shared" si="92"/>
        <v>21.770599999999998</v>
      </c>
    </row>
    <row r="353" spans="1:21" ht="13.5" thickBot="1" x14ac:dyDescent="0.25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90"/>
        <v>6947</v>
      </c>
      <c r="Q353" s="127">
        <v>1868</v>
      </c>
      <c r="S353" s="12">
        <v>350.83699999999999</v>
      </c>
      <c r="T353" s="12">
        <f t="shared" si="91"/>
        <v>276.49059999999997</v>
      </c>
      <c r="U353" s="12">
        <f t="shared" si="92"/>
        <v>74.346399999999988</v>
      </c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90"/>
        <v>2502</v>
      </c>
      <c r="Q355" s="127">
        <v>148</v>
      </c>
      <c r="S355" s="12">
        <v>105.46999999999998</v>
      </c>
      <c r="T355" s="12">
        <f t="shared" si="91"/>
        <v>99.579599999999985</v>
      </c>
      <c r="U355" s="12">
        <f t="shared" si="92"/>
        <v>5.8903999999999996</v>
      </c>
    </row>
    <row r="356" spans="1:21" x14ac:dyDescent="0.2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90"/>
        <v>4583</v>
      </c>
      <c r="Q356" s="127">
        <v>121</v>
      </c>
      <c r="S356" s="12">
        <v>187.21919999999997</v>
      </c>
      <c r="T356" s="12">
        <f t="shared" si="91"/>
        <v>182.40339999999998</v>
      </c>
      <c r="U356" s="12">
        <f t="shared" si="92"/>
        <v>4.8157999999999994</v>
      </c>
    </row>
    <row r="357" spans="1:21" x14ac:dyDescent="0.2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90"/>
        <v>7974</v>
      </c>
      <c r="Q357" s="127">
        <v>614</v>
      </c>
      <c r="S357" s="12">
        <v>341.80239999999998</v>
      </c>
      <c r="T357" s="12">
        <f t="shared" si="91"/>
        <v>317.36519999999996</v>
      </c>
      <c r="U357" s="12">
        <f t="shared" si="92"/>
        <v>24.437199999999997</v>
      </c>
    </row>
    <row r="358" spans="1:21" x14ac:dyDescent="0.2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90"/>
        <v>4898</v>
      </c>
      <c r="Q358" s="127">
        <v>11637</v>
      </c>
      <c r="S358" s="12">
        <v>658.09299999999996</v>
      </c>
      <c r="T358" s="12">
        <f t="shared" si="91"/>
        <v>194.94040000000001</v>
      </c>
      <c r="U358" s="12">
        <f t="shared" si="92"/>
        <v>463.15259999999995</v>
      </c>
    </row>
    <row r="359" spans="1:21" x14ac:dyDescent="0.2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90"/>
        <v>21246</v>
      </c>
      <c r="Q359" s="127">
        <v>4403</v>
      </c>
      <c r="S359" s="12">
        <v>1020.8302</v>
      </c>
      <c r="T359" s="12">
        <f t="shared" si="91"/>
        <v>845.59079999999994</v>
      </c>
      <c r="U359" s="12">
        <f t="shared" si="92"/>
        <v>175.23939999999999</v>
      </c>
    </row>
    <row r="360" spans="1:21" x14ac:dyDescent="0.2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90"/>
        <v>21220</v>
      </c>
      <c r="Q360" s="127">
        <v>8932</v>
      </c>
      <c r="S360" s="12">
        <v>1200.0495999999998</v>
      </c>
      <c r="T360" s="12">
        <f t="shared" si="91"/>
        <v>844.55599999999981</v>
      </c>
      <c r="U360" s="12">
        <f t="shared" si="92"/>
        <v>355.49359999999996</v>
      </c>
    </row>
    <row r="361" spans="1:21" x14ac:dyDescent="0.2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90"/>
        <v>9904</v>
      </c>
      <c r="Q361" s="127">
        <v>4261</v>
      </c>
      <c r="S361" s="12">
        <v>563.76700000000005</v>
      </c>
      <c r="T361" s="12">
        <f t="shared" si="91"/>
        <v>394.17920000000004</v>
      </c>
      <c r="U361" s="12">
        <f t="shared" si="92"/>
        <v>169.58779999999999</v>
      </c>
    </row>
    <row r="362" spans="1:21" x14ac:dyDescent="0.2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90"/>
        <v>18225</v>
      </c>
      <c r="Q362" s="127">
        <v>8591</v>
      </c>
      <c r="S362" s="12">
        <v>1067.2767999999999</v>
      </c>
      <c r="T362" s="12">
        <f t="shared" si="91"/>
        <v>725.3549999999999</v>
      </c>
      <c r="U362" s="12">
        <f t="shared" si="92"/>
        <v>341.92179999999996</v>
      </c>
    </row>
    <row r="363" spans="1:21" x14ac:dyDescent="0.2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90"/>
        <v>22365</v>
      </c>
      <c r="Q363" s="127">
        <v>8106</v>
      </c>
      <c r="S363" s="12">
        <v>1212.7457999999999</v>
      </c>
      <c r="T363" s="12">
        <f t="shared" si="91"/>
        <v>890.12699999999995</v>
      </c>
      <c r="U363" s="12">
        <f t="shared" si="92"/>
        <v>322.61879999999996</v>
      </c>
    </row>
    <row r="364" spans="1:21" x14ac:dyDescent="0.2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90"/>
        <v>18460</v>
      </c>
      <c r="Q364" s="127">
        <v>4542</v>
      </c>
      <c r="S364" s="12">
        <v>915.4796</v>
      </c>
      <c r="T364" s="12">
        <f t="shared" si="91"/>
        <v>734.70800000000008</v>
      </c>
      <c r="U364" s="12">
        <f t="shared" si="92"/>
        <v>180.77159999999998</v>
      </c>
    </row>
    <row r="365" spans="1:21" x14ac:dyDescent="0.2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90"/>
        <v>11614</v>
      </c>
      <c r="Q365" s="127">
        <v>7672</v>
      </c>
      <c r="S365" s="12">
        <v>767.58279999999991</v>
      </c>
      <c r="T365" s="12">
        <f t="shared" si="91"/>
        <v>462.23719999999992</v>
      </c>
      <c r="U365" s="12">
        <f t="shared" si="92"/>
        <v>305.34559999999999</v>
      </c>
    </row>
    <row r="366" spans="1:21" ht="13.5" thickBot="1" x14ac:dyDescent="0.25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90"/>
        <v>11765</v>
      </c>
      <c r="Q366" s="127">
        <v>213</v>
      </c>
      <c r="S366" s="12">
        <v>476.72439999999995</v>
      </c>
      <c r="T366" s="12">
        <f t="shared" si="91"/>
        <v>468.24699999999996</v>
      </c>
      <c r="U366" s="12">
        <f t="shared" si="92"/>
        <v>8.4773999999999994</v>
      </c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4">H368*39.8/1000</f>
        <v>123.02179999999998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5">I368-I369</f>
        <v>-4127</v>
      </c>
      <c r="H369" s="16">
        <v>655</v>
      </c>
      <c r="I369" s="16">
        <v>20971</v>
      </c>
      <c r="J369" s="15"/>
      <c r="K369" s="15"/>
      <c r="L369" s="16">
        <f t="shared" si="94"/>
        <v>26.068999999999996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5"/>
        <v>4557</v>
      </c>
      <c r="H370" s="16">
        <v>11330</v>
      </c>
      <c r="I370" s="16">
        <v>16414</v>
      </c>
      <c r="J370" s="15"/>
      <c r="K370" s="15"/>
      <c r="L370" s="16">
        <f t="shared" si="94"/>
        <v>450.93399999999997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5"/>
        <v>-7903</v>
      </c>
      <c r="H371" s="16">
        <v>6516</v>
      </c>
      <c r="I371" s="16">
        <v>24317</v>
      </c>
      <c r="J371" s="15"/>
      <c r="K371" s="15"/>
      <c r="L371" s="16">
        <f t="shared" si="94"/>
        <v>259.33679999999998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5"/>
        <v>6279</v>
      </c>
      <c r="H372" s="16">
        <v>17958</v>
      </c>
      <c r="I372" s="16">
        <v>18038</v>
      </c>
      <c r="J372" s="15"/>
      <c r="K372" s="15"/>
      <c r="L372" s="16">
        <f t="shared" si="94"/>
        <v>714.72839999999985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5"/>
        <v>2572</v>
      </c>
      <c r="H373" s="16">
        <v>22428</v>
      </c>
      <c r="I373" s="16">
        <v>15466</v>
      </c>
      <c r="J373" s="15"/>
      <c r="K373" s="15"/>
      <c r="L373" s="16">
        <f t="shared" si="94"/>
        <v>892.63439999999991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5"/>
        <v>64</v>
      </c>
      <c r="H374" s="16">
        <v>13653</v>
      </c>
      <c r="I374" s="16">
        <v>15402</v>
      </c>
      <c r="J374" s="15"/>
      <c r="K374" s="15"/>
      <c r="L374" s="16">
        <f t="shared" si="94"/>
        <v>543.38939999999991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4"/>
        <v>595.52739999999994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4"/>
        <v>968.65239999999994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4"/>
        <v>480.54519999999997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4"/>
        <v>700.55959999999993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4"/>
        <v>237.56619999999998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96">H381*39.8/1000</f>
        <v>130.1858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97">I381-I382</f>
        <v>-8375</v>
      </c>
      <c r="H382" s="16">
        <v>265</v>
      </c>
      <c r="I382" s="16">
        <v>20962</v>
      </c>
      <c r="J382" s="15"/>
      <c r="K382" s="15"/>
      <c r="L382" s="16">
        <f t="shared" si="96"/>
        <v>10.547000000000001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97"/>
        <v>-1711</v>
      </c>
      <c r="H383" s="16">
        <v>1674</v>
      </c>
      <c r="I383" s="16">
        <v>22673</v>
      </c>
      <c r="J383" s="15"/>
      <c r="K383" s="15"/>
      <c r="L383" s="16">
        <f t="shared" si="96"/>
        <v>66.625199999999992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97"/>
        <v>1187</v>
      </c>
      <c r="H384" s="16">
        <v>12075</v>
      </c>
      <c r="I384" s="16">
        <v>21486</v>
      </c>
      <c r="J384" s="15"/>
      <c r="K384" s="15"/>
      <c r="L384" s="16">
        <f t="shared" si="96"/>
        <v>480.58499999999992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97"/>
        <v>0</v>
      </c>
      <c r="H385" s="16">
        <v>12075</v>
      </c>
      <c r="I385" s="16">
        <v>21486</v>
      </c>
      <c r="J385" s="15"/>
      <c r="K385" s="15"/>
      <c r="L385" s="16">
        <f t="shared" si="96"/>
        <v>480.58499999999992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97"/>
        <v>7051</v>
      </c>
      <c r="H386" s="16">
        <v>21048</v>
      </c>
      <c r="I386" s="16">
        <v>14435</v>
      </c>
      <c r="J386" s="15"/>
      <c r="K386" s="15"/>
      <c r="L386" s="16">
        <f t="shared" si="96"/>
        <v>837.71039999999994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97"/>
        <v>1701</v>
      </c>
      <c r="H387" s="16">
        <v>13360</v>
      </c>
      <c r="I387" s="16">
        <v>12734</v>
      </c>
      <c r="J387" s="15"/>
      <c r="K387" s="15"/>
      <c r="L387" s="16">
        <f t="shared" si="96"/>
        <v>531.72799999999995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96"/>
        <v>706.72860000000003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96"/>
        <v>820.67599999999993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96"/>
        <v>718.86759999999992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96"/>
        <v>431.39219999999995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96"/>
        <v>438.59599999999995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98">H394*39.8/1000</f>
        <v>106.26599999999999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99">I394-I395</f>
        <v>-1040</v>
      </c>
      <c r="H395" s="16">
        <v>1697</v>
      </c>
      <c r="I395" s="16">
        <v>10694</v>
      </c>
      <c r="J395" s="15"/>
      <c r="K395" s="15"/>
      <c r="L395" s="16">
        <f t="shared" si="98"/>
        <v>67.540599999999998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99"/>
        <v>4385</v>
      </c>
      <c r="H396" s="16">
        <v>8704</v>
      </c>
      <c r="I396" s="16">
        <v>6309</v>
      </c>
      <c r="J396" s="15"/>
      <c r="K396" s="15"/>
      <c r="L396" s="16">
        <f t="shared" si="98"/>
        <v>346.41919999999993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99"/>
        <v>-8519</v>
      </c>
      <c r="H397" s="16">
        <v>4597</v>
      </c>
      <c r="I397" s="16">
        <v>14828</v>
      </c>
      <c r="J397" s="15"/>
      <c r="K397" s="15"/>
      <c r="L397" s="16">
        <f t="shared" si="98"/>
        <v>182.96059999999997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99"/>
        <v>1424</v>
      </c>
      <c r="H398" s="16">
        <v>12427</v>
      </c>
      <c r="I398" s="16">
        <v>13404</v>
      </c>
      <c r="J398" s="15"/>
      <c r="K398" s="15"/>
      <c r="L398" s="16">
        <f t="shared" si="98"/>
        <v>494.59459999999996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99"/>
        <v>-3316</v>
      </c>
      <c r="H399" s="16">
        <v>10019</v>
      </c>
      <c r="I399" s="16">
        <v>16720</v>
      </c>
      <c r="J399" s="15"/>
      <c r="K399" s="15"/>
      <c r="L399" s="16">
        <f t="shared" si="98"/>
        <v>398.75619999999998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99"/>
        <v>1608</v>
      </c>
      <c r="H400" s="16">
        <v>9238</v>
      </c>
      <c r="I400" s="16">
        <v>15112</v>
      </c>
      <c r="J400" s="15"/>
      <c r="K400" s="15"/>
      <c r="L400" s="16">
        <f t="shared" si="98"/>
        <v>367.67239999999998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98"/>
        <v>520.82280000000003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98"/>
        <v>612.99959999999999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98"/>
        <v>500.7636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98"/>
        <v>509.87779999999998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98"/>
        <v>337.82239999999996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00">H407*39.8/1000</f>
        <v>106.06699999999998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01">I407-I408</f>
        <v>-5426</v>
      </c>
      <c r="H408" s="16">
        <v>-515</v>
      </c>
      <c r="I408" s="16">
        <v>17323</v>
      </c>
      <c r="J408" s="15"/>
      <c r="K408" s="15"/>
      <c r="L408" s="16">
        <f t="shared" si="100"/>
        <v>-20.497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01"/>
        <v>-2908</v>
      </c>
      <c r="H409" s="16">
        <v>4621</v>
      </c>
      <c r="I409" s="16">
        <v>20231</v>
      </c>
      <c r="J409" s="15"/>
      <c r="K409" s="15"/>
      <c r="L409" s="16">
        <f t="shared" si="100"/>
        <v>183.91579999999999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01"/>
        <v>1222</v>
      </c>
      <c r="H410" s="16">
        <v>14813</v>
      </c>
      <c r="I410" s="16">
        <v>19009</v>
      </c>
      <c r="J410" s="15"/>
      <c r="K410" s="15"/>
      <c r="L410" s="16">
        <f t="shared" si="100"/>
        <v>589.55739999999992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01"/>
        <v>-316</v>
      </c>
      <c r="H411" s="16">
        <v>13394</v>
      </c>
      <c r="I411" s="16">
        <v>19325</v>
      </c>
      <c r="J411" s="15"/>
      <c r="K411" s="15"/>
      <c r="L411" s="16">
        <f t="shared" si="100"/>
        <v>533.08119999999997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01"/>
        <v>3370</v>
      </c>
      <c r="H412" s="16">
        <v>16199</v>
      </c>
      <c r="I412" s="16">
        <v>15955</v>
      </c>
      <c r="J412" s="15"/>
      <c r="K412" s="15"/>
      <c r="L412" s="16">
        <f t="shared" si="100"/>
        <v>644.72019999999998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01"/>
        <v>2066</v>
      </c>
      <c r="H413" s="16">
        <v>9995</v>
      </c>
      <c r="I413" s="16">
        <v>13889</v>
      </c>
      <c r="J413" s="15"/>
      <c r="K413" s="15"/>
      <c r="L413" s="16">
        <f t="shared" si="100"/>
        <v>397.80099999999999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01"/>
        <v>439</v>
      </c>
      <c r="H414" s="16">
        <v>16367</v>
      </c>
      <c r="I414" s="16">
        <v>13450</v>
      </c>
      <c r="L414" s="16">
        <f t="shared" si="100"/>
        <v>651.40660000000003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01"/>
        <v>-1214</v>
      </c>
      <c r="H415" s="16">
        <v>19476</v>
      </c>
      <c r="I415" s="16">
        <v>14664</v>
      </c>
      <c r="L415" s="16">
        <f t="shared" si="100"/>
        <v>775.14479999999992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01"/>
        <v>3029</v>
      </c>
      <c r="H416" s="16">
        <v>15607</v>
      </c>
      <c r="I416" s="16">
        <v>11635</v>
      </c>
      <c r="L416" s="16">
        <f t="shared" si="100"/>
        <v>621.15859999999998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01"/>
        <v>-4817</v>
      </c>
      <c r="H417" s="16">
        <v>13164</v>
      </c>
      <c r="I417" s="16">
        <v>16452</v>
      </c>
      <c r="L417" s="16">
        <f t="shared" si="100"/>
        <v>523.92719999999997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01"/>
        <v>1802</v>
      </c>
      <c r="H418" s="42">
        <v>5649</v>
      </c>
      <c r="I418" s="42">
        <v>14650</v>
      </c>
      <c r="J418" s="2"/>
      <c r="K418" s="2"/>
      <c r="L418" s="42">
        <f t="shared" si="100"/>
        <v>224.83019999999999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2">H420*39.8/1000</f>
        <v>244.25259999999997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3">I420-I421</f>
        <v>-3678</v>
      </c>
      <c r="H421" s="16">
        <v>2997</v>
      </c>
      <c r="I421" s="16">
        <v>17225</v>
      </c>
      <c r="J421" s="15"/>
      <c r="K421" s="15"/>
      <c r="L421" s="16">
        <f t="shared" si="102"/>
        <v>119.28059999999999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3"/>
        <v>-1549</v>
      </c>
      <c r="H422" s="16">
        <v>5245</v>
      </c>
      <c r="I422" s="16">
        <v>18774</v>
      </c>
      <c r="J422" s="15"/>
      <c r="K422" s="15"/>
      <c r="L422" s="16">
        <f t="shared" si="102"/>
        <v>208.75099999999998</v>
      </c>
      <c r="N422" s="23" t="str">
        <f>'Olieforbrug, TJ'!M422</f>
        <v>March</v>
      </c>
    </row>
    <row r="423" spans="1:14" ht="12.95" customHeight="1" x14ac:dyDescent="0.2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3"/>
        <v>962</v>
      </c>
      <c r="H423" s="16">
        <v>12161</v>
      </c>
      <c r="I423" s="16">
        <v>17812</v>
      </c>
      <c r="J423" s="15"/>
      <c r="K423" s="15"/>
      <c r="L423" s="16">
        <f t="shared" si="102"/>
        <v>484.00779999999997</v>
      </c>
      <c r="N423" s="23" t="str">
        <f>'Olieforbrug, TJ'!M423</f>
        <v>April</v>
      </c>
    </row>
    <row r="424" spans="1:14" ht="12.95" customHeight="1" x14ac:dyDescent="0.2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3"/>
        <v>3753</v>
      </c>
      <c r="H424" s="16">
        <v>15688</v>
      </c>
      <c r="I424" s="16">
        <v>14059</v>
      </c>
      <c r="J424" s="15"/>
      <c r="K424" s="15"/>
      <c r="L424" s="16">
        <f t="shared" si="102"/>
        <v>624.38239999999996</v>
      </c>
      <c r="N424" s="23" t="str">
        <f>'Olieforbrug, TJ'!M424</f>
        <v>May</v>
      </c>
    </row>
    <row r="425" spans="1:14" ht="12.95" customHeight="1" x14ac:dyDescent="0.2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3"/>
        <v>-1525</v>
      </c>
      <c r="H425" s="16">
        <v>16794</v>
      </c>
      <c r="I425" s="16">
        <v>15584</v>
      </c>
      <c r="J425" s="15"/>
      <c r="K425" s="15"/>
      <c r="L425" s="16">
        <f t="shared" si="102"/>
        <v>668.4011999999999</v>
      </c>
      <c r="N425" s="23" t="str">
        <f>'Olieforbrug, TJ'!M425</f>
        <v>June</v>
      </c>
    </row>
    <row r="426" spans="1:14" ht="12.6" customHeight="1" x14ac:dyDescent="0.2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3"/>
        <v>-1342</v>
      </c>
      <c r="H426" s="16">
        <v>7563</v>
      </c>
      <c r="I426" s="16">
        <v>16926</v>
      </c>
      <c r="J426" s="15"/>
      <c r="K426" s="15"/>
      <c r="L426" s="16">
        <f t="shared" si="102"/>
        <v>301.00739999999996</v>
      </c>
      <c r="N426" s="23" t="str">
        <f>'Olieforbrug, TJ'!M426</f>
        <v>July</v>
      </c>
    </row>
    <row r="427" spans="1:14" ht="12.6" customHeight="1" x14ac:dyDescent="0.2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2"/>
        <v>761.73219999999992</v>
      </c>
      <c r="N427" s="23" t="str">
        <f>'Olieforbrug, TJ'!M427</f>
        <v>August</v>
      </c>
    </row>
    <row r="428" spans="1:14" ht="12.6" customHeight="1" x14ac:dyDescent="0.2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2"/>
        <v>692.52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2"/>
        <v>547.68779999999992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2"/>
        <v>494.07719999999995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2"/>
        <v>319.35519999999997</v>
      </c>
      <c r="M431" s="2"/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4">H433*39.8/1000</f>
        <v>123.02179999999998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5">I433-I434</f>
        <v>-5117</v>
      </c>
      <c r="H434" s="16">
        <v>4768</v>
      </c>
      <c r="I434" s="16">
        <v>15079</v>
      </c>
      <c r="J434" s="15"/>
      <c r="K434" s="15"/>
      <c r="L434" s="16">
        <f t="shared" si="104"/>
        <v>189.7664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5"/>
        <v>698</v>
      </c>
      <c r="H435" s="16">
        <v>6380</v>
      </c>
      <c r="I435" s="16">
        <v>14381</v>
      </c>
      <c r="J435" s="15"/>
      <c r="K435" s="15"/>
      <c r="L435" s="16">
        <f t="shared" si="104"/>
        <v>253.92399999999998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5"/>
        <v>284</v>
      </c>
      <c r="H436" s="16">
        <v>11573</v>
      </c>
      <c r="I436" s="16">
        <v>14097</v>
      </c>
      <c r="J436" s="15"/>
      <c r="K436" s="15"/>
      <c r="L436" s="16">
        <f t="shared" si="104"/>
        <v>460.60539999999997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5"/>
        <v>1981</v>
      </c>
      <c r="H437" s="16">
        <v>18856</v>
      </c>
      <c r="I437" s="16">
        <v>12116</v>
      </c>
      <c r="J437" s="15"/>
      <c r="K437" s="15"/>
      <c r="L437" s="16">
        <f t="shared" si="104"/>
        <v>750.46879999999987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5"/>
        <v>-845</v>
      </c>
      <c r="H438" s="16">
        <v>19264</v>
      </c>
      <c r="I438" s="16">
        <v>12961</v>
      </c>
      <c r="J438" s="15"/>
      <c r="K438" s="15"/>
      <c r="L438" s="16">
        <f t="shared" si="104"/>
        <v>766.70719999999994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5"/>
        <v>-1705</v>
      </c>
      <c r="H439" s="16">
        <v>10369</v>
      </c>
      <c r="I439" s="16">
        <v>14666</v>
      </c>
      <c r="J439" s="15"/>
      <c r="K439" s="15"/>
      <c r="L439" s="16">
        <f t="shared" ref="L439" si="106">H439*39.8/1000</f>
        <v>412.68619999999993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07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08">H440*39.8/1000</f>
        <v>779.80139999999994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09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10">H441*39.8/1000</f>
        <v>747.245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11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2">H442*39.8/1000</f>
        <v>649.73500000000001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3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4">H443*39.8/1000</f>
        <v>589.00019999999995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5">I443-I444</f>
        <v>-5550</v>
      </c>
      <c r="H444" s="42">
        <v>6613</v>
      </c>
      <c r="I444" s="42">
        <v>13486</v>
      </c>
      <c r="J444" s="2"/>
      <c r="K444" s="2"/>
      <c r="L444" s="54">
        <f t="shared" ref="L444" si="116">H444*39.8/1000</f>
        <v>263.19739999999996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17">H446*39.8/1000</f>
        <v>149.84700000000001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18">I446-I447</f>
        <v>536</v>
      </c>
      <c r="H447" s="16">
        <v>4302</v>
      </c>
      <c r="I447" s="16">
        <v>11049</v>
      </c>
      <c r="J447" s="15"/>
      <c r="K447" s="15"/>
      <c r="L447" s="14">
        <f t="shared" ref="L447" si="119">H447*39.8/1000</f>
        <v>171.21959999999999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18"/>
        <v>-5615</v>
      </c>
      <c r="H448" s="16">
        <v>7731</v>
      </c>
      <c r="I448" s="16">
        <v>16664</v>
      </c>
      <c r="J448" s="15"/>
      <c r="K448" s="15"/>
      <c r="L448" s="14">
        <f t="shared" ref="L448" si="120">H448*39.8/1000</f>
        <v>307.69380000000001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18"/>
        <v>-1758</v>
      </c>
      <c r="H449" s="16">
        <v>10782</v>
      </c>
      <c r="I449" s="16">
        <v>18422</v>
      </c>
      <c r="J449" s="15"/>
      <c r="K449" s="15"/>
      <c r="L449" s="14">
        <f t="shared" ref="L449" si="121">H449*39.8/1000</f>
        <v>429.12359999999995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18"/>
        <v>1257</v>
      </c>
      <c r="H450" s="16">
        <v>15563</v>
      </c>
      <c r="I450" s="16">
        <v>17165</v>
      </c>
      <c r="J450" s="15"/>
      <c r="K450" s="15"/>
      <c r="L450" s="14">
        <f t="shared" ref="L450" si="122">H450*39.8/1000</f>
        <v>619.40739999999994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18"/>
        <v>8147</v>
      </c>
      <c r="H451" s="16">
        <v>21531</v>
      </c>
      <c r="I451" s="16">
        <v>9018</v>
      </c>
      <c r="J451" s="15"/>
      <c r="K451" s="15"/>
      <c r="L451" s="14">
        <f t="shared" ref="L451" si="123">H451*39.8/1000</f>
        <v>856.93379999999991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18"/>
        <v>-4704</v>
      </c>
      <c r="H452" s="16">
        <v>7093</v>
      </c>
      <c r="I452" s="16">
        <v>13722</v>
      </c>
      <c r="J452" s="15"/>
      <c r="K452" s="15"/>
      <c r="L452" s="14">
        <f t="shared" ref="L452" si="124">H452*39.8/1000</f>
        <v>282.30139999999994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5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26">H453*39.8/1000</f>
        <v>677.83379999999988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27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28">H454*39.8/1000</f>
        <v>662.471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29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30">H455*39.8/1000</f>
        <v>569.10019999999997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31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2">H456*39.8/1000</f>
        <v>425.66099999999994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3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4">H457*39.8/1000</f>
        <v>139.14079999999998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5">H459*39.8/1000</f>
        <v>58.10799999999999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36">I459-I460</f>
        <v>93</v>
      </c>
      <c r="H460" s="77">
        <v>4820</v>
      </c>
      <c r="I460" s="16">
        <v>16876</v>
      </c>
      <c r="J460" s="15"/>
      <c r="K460" s="15"/>
      <c r="L460" s="14">
        <f t="shared" ref="L460" si="137">H460*39.8/1000</f>
        <v>191.83600000000001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36"/>
        <v>2405</v>
      </c>
      <c r="H461" s="77">
        <v>7037</v>
      </c>
      <c r="I461" s="16">
        <v>14471</v>
      </c>
      <c r="J461" s="15"/>
      <c r="K461" s="15"/>
      <c r="L461" s="14">
        <f t="shared" ref="L461" si="138">H461*39.8/1000</f>
        <v>280.07259999999997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36"/>
        <v>-7451</v>
      </c>
      <c r="H462" s="77">
        <v>14523</v>
      </c>
      <c r="I462" s="16">
        <v>21922</v>
      </c>
      <c r="J462" s="15"/>
      <c r="K462" s="15"/>
      <c r="L462" s="14">
        <f t="shared" ref="L462" si="139">H462*39.8/1000</f>
        <v>578.01539999999989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36"/>
        <v>3081</v>
      </c>
      <c r="H463" s="77">
        <v>18346</v>
      </c>
      <c r="I463" s="16">
        <v>18841</v>
      </c>
      <c r="J463" s="15"/>
      <c r="K463" s="15"/>
      <c r="L463" s="14">
        <f t="shared" ref="L463" si="140">H463*39.8/1000</f>
        <v>730.17079999999999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36"/>
        <v>2952</v>
      </c>
      <c r="H464" s="77">
        <v>18737</v>
      </c>
      <c r="I464" s="16">
        <v>15889</v>
      </c>
      <c r="J464" s="15"/>
      <c r="K464" s="15"/>
      <c r="L464" s="14">
        <f t="shared" ref="L464" si="141">H464*39.8/1000</f>
        <v>745.73259999999993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36"/>
        <v>5397</v>
      </c>
      <c r="H465" s="77">
        <v>11929</v>
      </c>
      <c r="I465" s="16">
        <v>10492</v>
      </c>
      <c r="J465" s="15"/>
      <c r="K465" s="15"/>
      <c r="L465" s="14">
        <f t="shared" ref="L465" si="142">H465*39.8/1000</f>
        <v>474.77419999999995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3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4">H466*39.8/1000</f>
        <v>749.39419999999996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5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46">H467*39.8/1000</f>
        <v>804.19879999999989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47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48">H468*39.8/1000</f>
        <v>739.24519999999995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49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50">H469*39.8/1000</f>
        <v>542.15559999999994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51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2">H470*39.8/1000</f>
        <v>434.69559999999996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3">H472*39.8/1000</f>
        <v>92.813599999999994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54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55">H473*39.8/1000</f>
        <v>137.78759999999997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54"/>
        <v>1519</v>
      </c>
      <c r="H474" s="77">
        <v>9271</v>
      </c>
      <c r="I474" s="16">
        <v>16178</v>
      </c>
      <c r="J474" s="15"/>
      <c r="K474" s="15"/>
      <c r="L474" s="14">
        <f t="shared" ref="L474" si="156">H474*39.8/1000</f>
        <v>368.98579999999998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54"/>
        <v>2244</v>
      </c>
      <c r="H475" s="77">
        <v>12531</v>
      </c>
      <c r="I475" s="16">
        <v>13934</v>
      </c>
      <c r="J475" s="15"/>
      <c r="K475" s="15"/>
      <c r="L475" s="14">
        <f t="shared" ref="L475" si="157">H475*39.8/1000</f>
        <v>498.73379999999997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54"/>
        <v>-354</v>
      </c>
      <c r="H476" s="77">
        <v>22134</v>
      </c>
      <c r="I476" s="16">
        <v>14288</v>
      </c>
      <c r="J476" s="15"/>
      <c r="K476" s="15"/>
      <c r="L476" s="14">
        <f t="shared" ref="L476" si="158">H476*39.8/1000</f>
        <v>880.93319999999994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54"/>
        <v>2533</v>
      </c>
      <c r="H477" s="77">
        <v>19721</v>
      </c>
      <c r="I477" s="16">
        <v>11755</v>
      </c>
      <c r="J477" s="15"/>
      <c r="K477" s="15"/>
      <c r="L477" s="14">
        <f t="shared" ref="L477" si="159">H477*39.8/1000</f>
        <v>784.89579999999989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54"/>
        <v>-6503</v>
      </c>
      <c r="H478" s="77">
        <v>9611</v>
      </c>
      <c r="I478" s="16">
        <v>18258</v>
      </c>
      <c r="J478" s="15"/>
      <c r="K478" s="15"/>
      <c r="L478" s="14">
        <f t="shared" ref="L478" si="160">H478*39.8/1000</f>
        <v>382.51779999999997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>
    <tabColor indexed="42"/>
  </sheetPr>
  <dimension ref="A1:Y478"/>
  <sheetViews>
    <sheetView zoomScale="80" zoomScaleNormal="80" workbookViewId="0">
      <pane xSplit="2" ySplit="5" topLeftCell="C441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P477" sqref="P477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4.42578125" style="3" customWidth="1"/>
    <col min="10" max="10" width="20.42578125" style="3" customWidth="1"/>
    <col min="11" max="11" width="8.5703125" style="3" customWidth="1"/>
    <col min="12" max="12" width="20.5703125" customWidth="1"/>
    <col min="13" max="13" width="5.140625" customWidth="1"/>
    <col min="14" max="14" width="17.85546875" bestFit="1" customWidth="1"/>
    <col min="15" max="15" width="6" customWidth="1"/>
    <col min="16" max="16" width="17.85546875" bestFit="1" customWidth="1"/>
    <col min="17" max="17" width="6.140625" customWidth="1"/>
    <col min="18" max="18" width="17.85546875" bestFit="1" customWidth="1"/>
  </cols>
  <sheetData>
    <row r="1" spans="1:20" x14ac:dyDescent="0.2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383.44271250000003</v>
      </c>
      <c r="Q26" s="3"/>
      <c r="R26" s="3">
        <f>SUM(R459:R470)</f>
        <v>1.5023900000000039</v>
      </c>
      <c r="T26" s="12"/>
    </row>
    <row r="27" spans="1:20" x14ac:dyDescent="0.2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">
      <c r="A28" s="23"/>
      <c r="M28" s="3"/>
      <c r="N28" s="3"/>
      <c r="P28" s="3"/>
      <c r="R28" s="3"/>
    </row>
    <row r="29" spans="1:20" ht="12.75" customHeight="1" x14ac:dyDescent="0.2">
      <c r="A29" s="22" t="str">
        <f>'Olieforbrug, TJ'!A29</f>
        <v>Januar - Juli</v>
      </c>
      <c r="L29" s="22" t="str">
        <f>'Olieforbrug, TJ'!M29</f>
        <v>January - July</v>
      </c>
      <c r="M29" s="3"/>
      <c r="N29" s="3"/>
      <c r="P29" s="3"/>
      <c r="R29" s="3"/>
    </row>
    <row r="30" spans="1:20" x14ac:dyDescent="0.2">
      <c r="A30" s="22">
        <f>'Olieforbrug, TJ'!A30</f>
        <v>2005</v>
      </c>
      <c r="C30" s="3">
        <f>SUM(C212:C218)</f>
        <v>0</v>
      </c>
      <c r="D30" s="3">
        <f>SUM(D212:D218)</f>
        <v>21348</v>
      </c>
      <c r="E30" s="3">
        <f t="shared" ref="E30:H30" si="17">SUM(E212:E218)</f>
        <v>1230</v>
      </c>
      <c r="F30" s="3">
        <f t="shared" si="17"/>
        <v>1645</v>
      </c>
      <c r="G30" s="3">
        <f t="shared" si="17"/>
        <v>1410</v>
      </c>
      <c r="H30" s="3">
        <f t="shared" si="17"/>
        <v>20843</v>
      </c>
      <c r="J30" s="3">
        <f>J218</f>
        <v>4273</v>
      </c>
      <c r="L30" s="22">
        <f>'Olieforbrug, TJ'!M30</f>
        <v>2005</v>
      </c>
      <c r="M30" s="3"/>
      <c r="N30" s="3">
        <f>SUM(N212:N218)</f>
        <v>1487.5809375000001</v>
      </c>
      <c r="O30" s="3"/>
      <c r="P30" s="3">
        <f>SUM(P212:P218)</f>
        <v>495.39612499999998</v>
      </c>
      <c r="R30" s="3">
        <f>SUM(R212:R218)</f>
        <v>177.33333333333334</v>
      </c>
    </row>
    <row r="31" spans="1:20" x14ac:dyDescent="0.2">
      <c r="A31" s="22">
        <f>'Olieforbrug, TJ'!A31</f>
        <v>2006</v>
      </c>
      <c r="C31" s="3">
        <f>SUM(C225:C231)</f>
        <v>0</v>
      </c>
      <c r="D31" s="3">
        <f>SUM(D225:D231)</f>
        <v>27692</v>
      </c>
      <c r="E31" s="3">
        <f t="shared" ref="E31:H31" si="18">SUM(E225:E231)</f>
        <v>0</v>
      </c>
      <c r="F31" s="3">
        <f t="shared" si="18"/>
        <v>2432</v>
      </c>
      <c r="G31" s="3">
        <f t="shared" si="18"/>
        <v>5520</v>
      </c>
      <c r="H31" s="3">
        <f t="shared" si="18"/>
        <v>25835</v>
      </c>
      <c r="J31" s="3">
        <f>J231</f>
        <v>4273</v>
      </c>
      <c r="L31" s="22">
        <f>'Olieforbrug, TJ'!M31</f>
        <v>2006</v>
      </c>
      <c r="M31" s="3"/>
      <c r="N31" s="3">
        <f>SUM(N225:N231)</f>
        <v>1483.8535833333333</v>
      </c>
      <c r="O31" s="3"/>
      <c r="P31" s="3">
        <f>SUM(P225:P231)</f>
        <v>287.58241137500005</v>
      </c>
      <c r="R31" s="3">
        <f>SUM(R225:R231)</f>
        <v>217.11572435000002</v>
      </c>
    </row>
    <row r="32" spans="1:20" x14ac:dyDescent="0.2">
      <c r="A32" s="22">
        <f>'Olieforbrug, TJ'!A32</f>
        <v>2007</v>
      </c>
      <c r="C32" s="3">
        <f>SUM(C238:C244)</f>
        <v>0</v>
      </c>
      <c r="D32" s="3">
        <f>SUM(D238:D244)</f>
        <v>24290</v>
      </c>
      <c r="E32" s="3">
        <f t="shared" ref="E32:H32" si="19">SUM(E238:E244)</f>
        <v>990</v>
      </c>
      <c r="F32" s="3">
        <f t="shared" si="19"/>
        <v>1642</v>
      </c>
      <c r="G32" s="3">
        <f t="shared" si="19"/>
        <v>-433</v>
      </c>
      <c r="H32" s="3">
        <f t="shared" si="19"/>
        <v>21400</v>
      </c>
      <c r="J32" s="3">
        <f>J244</f>
        <v>4543</v>
      </c>
      <c r="L32" s="22">
        <f>'Olieforbrug, TJ'!M32</f>
        <v>2007</v>
      </c>
      <c r="M32" s="3"/>
      <c r="N32" s="3">
        <f>SUM(N238:N244)</f>
        <v>1501.5933450000002</v>
      </c>
      <c r="O32" s="3"/>
      <c r="P32" s="3">
        <f>SUM(P238:P244)</f>
        <v>197.192982</v>
      </c>
      <c r="R32" s="3">
        <f>SUM(R238:R244)</f>
        <v>85.83318922167544</v>
      </c>
    </row>
    <row r="33" spans="1:18" x14ac:dyDescent="0.2">
      <c r="A33" s="22">
        <f>'Olieforbrug, TJ'!A33</f>
        <v>2008</v>
      </c>
      <c r="C33" s="3">
        <f>SUM(C251:C257)</f>
        <v>0</v>
      </c>
      <c r="D33" s="3">
        <f>SUM(D251:D257)</f>
        <v>2632</v>
      </c>
      <c r="E33" s="3">
        <f t="shared" ref="E33:H33" si="20">SUM(E251:E257)</f>
        <v>0</v>
      </c>
      <c r="F33" s="3">
        <f t="shared" si="20"/>
        <v>355</v>
      </c>
      <c r="G33" s="3">
        <f t="shared" si="20"/>
        <v>4032</v>
      </c>
      <c r="H33" s="3">
        <f t="shared" si="20"/>
        <v>2216</v>
      </c>
      <c r="J33" s="3">
        <f>J257</f>
        <v>0</v>
      </c>
      <c r="L33" s="22">
        <f>'Olieforbrug, TJ'!M33</f>
        <v>2008</v>
      </c>
      <c r="M33" s="3"/>
      <c r="N33" s="3">
        <f>SUM(N251:N257)</f>
        <v>1345.8510450000001</v>
      </c>
      <c r="O33" s="3"/>
      <c r="P33" s="3">
        <f>SUM(P251:P257)</f>
        <v>205.029594</v>
      </c>
      <c r="R33" s="3">
        <f>SUM(R251:R257)</f>
        <v>36.23520263611109</v>
      </c>
    </row>
    <row r="34" spans="1:18" x14ac:dyDescent="0.2">
      <c r="A34" s="22">
        <f>'Olieforbrug, TJ'!A34</f>
        <v>2009</v>
      </c>
      <c r="C34" s="3">
        <f>SUM(C264:C270)</f>
        <v>0</v>
      </c>
      <c r="D34" s="3">
        <f>SUM(D264:D270)</f>
        <v>0</v>
      </c>
      <c r="E34" s="3">
        <f t="shared" ref="E34:H34" si="21">SUM(E264:E270)</f>
        <v>0</v>
      </c>
      <c r="F34" s="3">
        <f t="shared" si="21"/>
        <v>0</v>
      </c>
      <c r="G34" s="3">
        <f t="shared" si="21"/>
        <v>0</v>
      </c>
      <c r="H34" s="3">
        <f t="shared" si="21"/>
        <v>0</v>
      </c>
      <c r="J34" s="3">
        <f>J270</f>
        <v>0</v>
      </c>
      <c r="L34" s="22">
        <f>'Olieforbrug, TJ'!M34</f>
        <v>2009</v>
      </c>
      <c r="M34" s="3"/>
      <c r="N34" s="3">
        <f>SUM(N264:N270)</f>
        <v>1234.3197111599779</v>
      </c>
      <c r="O34" s="3"/>
      <c r="P34" s="3">
        <f>SUM(P264:P270)</f>
        <v>237.33526774999996</v>
      </c>
      <c r="R34" s="3">
        <f>SUM(R264:R270)</f>
        <v>21.428721786111094</v>
      </c>
    </row>
    <row r="35" spans="1:18" x14ac:dyDescent="0.2">
      <c r="A35" s="22">
        <f>'Olieforbrug, TJ'!A35</f>
        <v>2010</v>
      </c>
      <c r="C35" s="3">
        <f>SUM(C277:C283)</f>
        <v>0</v>
      </c>
      <c r="D35" s="3">
        <f>SUM(D277:D283)</f>
        <v>0</v>
      </c>
      <c r="E35" s="3">
        <f t="shared" ref="E35:H35" si="22">SUM(E277:E283)</f>
        <v>0</v>
      </c>
      <c r="F35" s="3">
        <f t="shared" si="22"/>
        <v>0</v>
      </c>
      <c r="G35" s="3">
        <f t="shared" si="22"/>
        <v>0</v>
      </c>
      <c r="H35" s="3">
        <f t="shared" si="22"/>
        <v>0</v>
      </c>
      <c r="J35" s="3">
        <f>J283</f>
        <v>0</v>
      </c>
      <c r="L35" s="22">
        <f>'Olieforbrug, TJ'!M35</f>
        <v>2010</v>
      </c>
      <c r="M35" s="3"/>
      <c r="N35" s="3">
        <f>SUM(N277:N283)</f>
        <v>1254.3463333333334</v>
      </c>
      <c r="O35" s="3"/>
      <c r="P35" s="3">
        <f>SUM(P277:P283)</f>
        <v>223.034755125</v>
      </c>
      <c r="R35" s="3">
        <f>SUM(R277:R283)</f>
        <v>22.571613127777759</v>
      </c>
    </row>
    <row r="36" spans="1:18" x14ac:dyDescent="0.2">
      <c r="A36" s="22">
        <f>'Olieforbrug, TJ'!A36</f>
        <v>2011</v>
      </c>
      <c r="C36" s="3">
        <f>SUM(C290:C296)</f>
        <v>0</v>
      </c>
      <c r="D36" s="3">
        <f>SUM(D290:D296)</f>
        <v>0</v>
      </c>
      <c r="E36" s="3">
        <f t="shared" ref="E36:H36" si="23">SUM(E290:E296)</f>
        <v>0</v>
      </c>
      <c r="F36" s="3">
        <f t="shared" si="23"/>
        <v>0</v>
      </c>
      <c r="G36" s="3">
        <f t="shared" si="23"/>
        <v>0</v>
      </c>
      <c r="H36" s="3">
        <f t="shared" si="23"/>
        <v>0</v>
      </c>
      <c r="J36" s="3">
        <f>J296</f>
        <v>0</v>
      </c>
      <c r="L36" s="22">
        <f>'Olieforbrug, TJ'!M36</f>
        <v>2011</v>
      </c>
      <c r="M36" s="3"/>
      <c r="N36" s="3">
        <f>SUM(N290:N296)</f>
        <v>1254.3463333333334</v>
      </c>
      <c r="O36" s="3"/>
      <c r="P36" s="3">
        <f>SUM(P290:P296)</f>
        <v>223.39812512500004</v>
      </c>
      <c r="R36" s="3">
        <f>SUM(R290:R296)</f>
        <v>24.035283708333335</v>
      </c>
    </row>
    <row r="37" spans="1:18" x14ac:dyDescent="0.2">
      <c r="A37" s="22">
        <f>'Olieforbrug, TJ'!A37</f>
        <v>2012</v>
      </c>
      <c r="C37" s="3">
        <f>SUM(C303:C309)</f>
        <v>0</v>
      </c>
      <c r="D37" s="3">
        <f>SUM(D303:D309)</f>
        <v>0</v>
      </c>
      <c r="E37" s="3">
        <f t="shared" ref="E37:H37" si="24">SUM(E303:E309)</f>
        <v>0</v>
      </c>
      <c r="F37" s="3">
        <f t="shared" si="24"/>
        <v>0</v>
      </c>
      <c r="G37" s="3">
        <f t="shared" si="24"/>
        <v>0</v>
      </c>
      <c r="H37" s="3">
        <f t="shared" si="24"/>
        <v>0</v>
      </c>
      <c r="J37" s="3">
        <f>J309</f>
        <v>0</v>
      </c>
      <c r="L37" s="22">
        <f>'Olieforbrug, TJ'!M37</f>
        <v>2012</v>
      </c>
      <c r="M37" s="3"/>
      <c r="N37" s="3">
        <f>SUM(N303:N309)</f>
        <v>1254.3463333333334</v>
      </c>
      <c r="O37" s="3"/>
      <c r="P37" s="3">
        <f>SUM(P303:P309)</f>
        <v>239.96394012499997</v>
      </c>
      <c r="R37" s="3">
        <f>SUM(R303:R309)</f>
        <v>23.16289144166667</v>
      </c>
    </row>
    <row r="38" spans="1:18" x14ac:dyDescent="0.2">
      <c r="A38" s="22">
        <f>'Olieforbrug, TJ'!A38</f>
        <v>2013</v>
      </c>
      <c r="C38" s="3">
        <f>SUM(C316:C322)</f>
        <v>0</v>
      </c>
      <c r="D38" s="3">
        <f>SUM(D316:D322)</f>
        <v>0</v>
      </c>
      <c r="E38" s="3">
        <f t="shared" ref="E38:H38" si="25">SUM(E316:E322)</f>
        <v>0</v>
      </c>
      <c r="F38" s="3">
        <f t="shared" si="25"/>
        <v>0</v>
      </c>
      <c r="G38" s="3">
        <f t="shared" si="25"/>
        <v>0</v>
      </c>
      <c r="H38" s="3">
        <f t="shared" si="25"/>
        <v>0</v>
      </c>
      <c r="J38" s="3">
        <f>J322</f>
        <v>0</v>
      </c>
      <c r="L38" s="22">
        <f>'Olieforbrug, TJ'!M38</f>
        <v>2013</v>
      </c>
      <c r="M38" s="3"/>
      <c r="N38" s="3">
        <f>SUM(N316:N322)</f>
        <v>1254.3463333333334</v>
      </c>
      <c r="O38" s="3"/>
      <c r="P38" s="3">
        <f>SUM(P316:P322)</f>
        <v>263.62214374999996</v>
      </c>
      <c r="R38" s="3">
        <f>SUM(R316:R322)</f>
        <v>23.853028850000001</v>
      </c>
    </row>
    <row r="39" spans="1:18" x14ac:dyDescent="0.2">
      <c r="A39" s="22">
        <f>'Olieforbrug, TJ'!A39</f>
        <v>2014</v>
      </c>
      <c r="C39" s="3">
        <f>SUM(C329:C335)</f>
        <v>0</v>
      </c>
      <c r="D39" s="3">
        <f>SUM(D329:D335)</f>
        <v>0</v>
      </c>
      <c r="E39" s="3">
        <f t="shared" ref="E39:H39" si="26">SUM(E329:E335)</f>
        <v>0</v>
      </c>
      <c r="F39" s="3">
        <f t="shared" si="26"/>
        <v>0</v>
      </c>
      <c r="G39" s="3">
        <f t="shared" si="26"/>
        <v>0</v>
      </c>
      <c r="H39" s="3">
        <f t="shared" si="26"/>
        <v>0</v>
      </c>
      <c r="J39" s="3">
        <f>J335</f>
        <v>0</v>
      </c>
      <c r="L39" s="22">
        <f>'Olieforbrug, TJ'!M39</f>
        <v>2014</v>
      </c>
      <c r="M39" s="3"/>
      <c r="N39" s="3">
        <f>SUM(N329:N335)</f>
        <v>1254.3463333333334</v>
      </c>
      <c r="O39" s="3"/>
      <c r="P39" s="3">
        <f>SUM(P329:P335)</f>
        <v>208.873805</v>
      </c>
      <c r="R39" s="3">
        <f>SUM(R329:R335)</f>
        <v>8.5661863583333346</v>
      </c>
    </row>
    <row r="40" spans="1:18" x14ac:dyDescent="0.2">
      <c r="A40" s="22">
        <f>'Olieforbrug, TJ'!A40</f>
        <v>2015</v>
      </c>
      <c r="C40" s="3">
        <f>SUM(C342:C348)</f>
        <v>0</v>
      </c>
      <c r="D40" s="3">
        <f>SUM(D342:D348)</f>
        <v>0</v>
      </c>
      <c r="E40" s="3">
        <f t="shared" ref="E40:H40" si="27">SUM(E342:E348)</f>
        <v>0</v>
      </c>
      <c r="F40" s="3">
        <f t="shared" si="27"/>
        <v>0</v>
      </c>
      <c r="G40" s="3">
        <f t="shared" si="27"/>
        <v>0</v>
      </c>
      <c r="H40" s="3">
        <f t="shared" si="27"/>
        <v>0</v>
      </c>
      <c r="J40" s="3">
        <f>J348</f>
        <v>0</v>
      </c>
      <c r="L40" s="22">
        <f>'Olieforbrug, TJ'!M40</f>
        <v>2015</v>
      </c>
      <c r="M40" s="3"/>
      <c r="N40" s="3">
        <f>SUM(N342:N348)</f>
        <v>1254.3463333333334</v>
      </c>
      <c r="O40" s="3"/>
      <c r="P40" s="3">
        <f>SUM(P342:P348)</f>
        <v>186.08096500000002</v>
      </c>
      <c r="R40" s="3">
        <f>SUM(R342:R348)</f>
        <v>28.096253033333344</v>
      </c>
    </row>
    <row r="41" spans="1:18" x14ac:dyDescent="0.2">
      <c r="A41" s="22">
        <f>'Olieforbrug, TJ'!A41</f>
        <v>2016</v>
      </c>
      <c r="C41" s="3">
        <f>SUM(C355:C361)</f>
        <v>0</v>
      </c>
      <c r="D41" s="3">
        <f>SUM(D355:D361)</f>
        <v>0</v>
      </c>
      <c r="E41" s="3">
        <f t="shared" ref="E41:H41" si="28">SUM(E355:E361)</f>
        <v>0</v>
      </c>
      <c r="F41" s="3">
        <f t="shared" si="28"/>
        <v>0</v>
      </c>
      <c r="G41" s="3">
        <f t="shared" si="28"/>
        <v>0</v>
      </c>
      <c r="H41" s="3">
        <f t="shared" si="28"/>
        <v>0</v>
      </c>
      <c r="J41" s="3">
        <f>J361</f>
        <v>0</v>
      </c>
      <c r="L41" s="22">
        <f>'Olieforbrug, TJ'!M41</f>
        <v>2016</v>
      </c>
      <c r="M41" s="3"/>
      <c r="N41" s="3">
        <f>SUM(N355:N361)</f>
        <v>1254.3463333333334</v>
      </c>
      <c r="O41" s="3"/>
      <c r="P41" s="3">
        <f>SUM(P355:P361)</f>
        <v>208.03899287499999</v>
      </c>
      <c r="R41" s="3">
        <f>SUM(R355:R361)</f>
        <v>11.37389166666669</v>
      </c>
    </row>
    <row r="42" spans="1:18" x14ac:dyDescent="0.2">
      <c r="A42" s="22">
        <f>'Olieforbrug, TJ'!A42</f>
        <v>2017</v>
      </c>
      <c r="C42" s="3">
        <f>SUM(C368:C374)</f>
        <v>0</v>
      </c>
      <c r="D42" s="3">
        <f>SUM(D368:D374)</f>
        <v>0</v>
      </c>
      <c r="E42" s="3">
        <f t="shared" ref="E42:H42" si="29">SUM(E368:E374)</f>
        <v>0</v>
      </c>
      <c r="F42" s="3">
        <f t="shared" si="29"/>
        <v>0</v>
      </c>
      <c r="G42" s="3">
        <f t="shared" si="29"/>
        <v>0</v>
      </c>
      <c r="H42" s="3">
        <f t="shared" si="29"/>
        <v>0</v>
      </c>
      <c r="J42" s="3">
        <f>J374</f>
        <v>0</v>
      </c>
      <c r="L42" s="22">
        <f>'Olieforbrug, TJ'!M42</f>
        <v>2017</v>
      </c>
      <c r="M42" s="3"/>
      <c r="N42" s="3">
        <f>SUM(N368:N374)</f>
        <v>1254.3463333333334</v>
      </c>
      <c r="O42" s="3"/>
      <c r="P42" s="3">
        <f>SUM(P368:P374)</f>
        <v>157.14280749999998</v>
      </c>
      <c r="R42" s="3">
        <f>SUM(R368:R374)</f>
        <v>11.3068025</v>
      </c>
    </row>
    <row r="43" spans="1:18" x14ac:dyDescent="0.2">
      <c r="A43" s="22">
        <f>'Olieforbrug, TJ'!A43</f>
        <v>2018</v>
      </c>
      <c r="C43" s="3">
        <f>SUM(C381:C387)</f>
        <v>0</v>
      </c>
      <c r="D43" s="3">
        <f>SUM(D381:D387)</f>
        <v>0</v>
      </c>
      <c r="E43" s="3">
        <f t="shared" ref="E43:H43" si="30">SUM(E381:E387)</f>
        <v>0</v>
      </c>
      <c r="F43" s="3">
        <f t="shared" si="30"/>
        <v>0</v>
      </c>
      <c r="G43" s="3">
        <f t="shared" si="30"/>
        <v>0</v>
      </c>
      <c r="H43" s="3">
        <f t="shared" si="30"/>
        <v>0</v>
      </c>
      <c r="J43" s="3">
        <f>J387</f>
        <v>0</v>
      </c>
      <c r="L43" s="22">
        <f>'Olieforbrug, TJ'!M43</f>
        <v>2018</v>
      </c>
      <c r="M43" s="3"/>
      <c r="N43" s="3">
        <f>SUM(N381:N387)</f>
        <v>1254.3463333333334</v>
      </c>
      <c r="O43" s="3"/>
      <c r="P43" s="3">
        <f>SUM(P381:P387)</f>
        <v>152.42087524999999</v>
      </c>
      <c r="R43" s="3">
        <f>SUM(R381:R387)</f>
        <v>1.5124405333333311</v>
      </c>
    </row>
    <row r="44" spans="1:18" x14ac:dyDescent="0.2">
      <c r="A44" s="22">
        <f>'Olieforbrug, TJ'!A44</f>
        <v>2019</v>
      </c>
      <c r="C44" s="3">
        <f>SUM(C394:C400)</f>
        <v>0</v>
      </c>
      <c r="D44" s="3">
        <f>SUM(D394:D400)</f>
        <v>0</v>
      </c>
      <c r="E44" s="3">
        <f t="shared" ref="E44:H44" si="31">SUM(E394:E400)</f>
        <v>0</v>
      </c>
      <c r="F44" s="3">
        <f t="shared" si="31"/>
        <v>0</v>
      </c>
      <c r="G44" s="3">
        <f t="shared" si="31"/>
        <v>0</v>
      </c>
      <c r="H44" s="3">
        <f t="shared" si="31"/>
        <v>0</v>
      </c>
      <c r="J44" s="3">
        <f>J400</f>
        <v>0</v>
      </c>
      <c r="L44" s="22">
        <f>'Olieforbrug, TJ'!M44</f>
        <v>2019</v>
      </c>
      <c r="M44" s="3"/>
      <c r="N44" s="3">
        <f>SUM(N394:N400)</f>
        <v>1254.3463333333334</v>
      </c>
      <c r="O44" s="3"/>
      <c r="P44" s="3">
        <f>SUM(P394:P400)</f>
        <v>195.59737662500001</v>
      </c>
      <c r="R44" s="3">
        <f>SUM(R394:R400)</f>
        <v>1.5029408333333309</v>
      </c>
    </row>
    <row r="45" spans="1:18" x14ac:dyDescent="0.2">
      <c r="A45" s="22">
        <f>'Olieforbrug, TJ'!A45</f>
        <v>2020</v>
      </c>
      <c r="C45" s="3">
        <f>SUM(C407:C413)</f>
        <v>0</v>
      </c>
      <c r="D45" s="3">
        <f>SUM(D407:D413)</f>
        <v>0</v>
      </c>
      <c r="E45" s="3">
        <f t="shared" ref="E45:H45" si="32">SUM(E407:E413)</f>
        <v>0</v>
      </c>
      <c r="F45" s="3">
        <f t="shared" si="32"/>
        <v>0</v>
      </c>
      <c r="G45" s="3">
        <f t="shared" si="32"/>
        <v>0</v>
      </c>
      <c r="H45" s="3">
        <f t="shared" si="32"/>
        <v>0</v>
      </c>
      <c r="J45" s="3">
        <f>J413</f>
        <v>0</v>
      </c>
      <c r="L45" s="22">
        <f>'Olieforbrug, TJ'!M45</f>
        <v>2020</v>
      </c>
      <c r="M45" s="3"/>
      <c r="N45" s="3">
        <f>SUM(N407:N413)</f>
        <v>1254.3463333333334</v>
      </c>
      <c r="O45" s="3"/>
      <c r="P45" s="3">
        <f>SUM(P407:P413)</f>
        <v>204.45581450000003</v>
      </c>
      <c r="R45" s="3">
        <f>SUM(R407:R413)</f>
        <v>0.87639416666666714</v>
      </c>
    </row>
    <row r="46" spans="1:18" x14ac:dyDescent="0.2">
      <c r="A46" s="22">
        <f>'Olieforbrug, TJ'!A46</f>
        <v>2021</v>
      </c>
      <c r="C46" s="3">
        <f>SUM(C420:C426)</f>
        <v>0</v>
      </c>
      <c r="D46" s="3">
        <f>SUM(D420:D426)</f>
        <v>0</v>
      </c>
      <c r="E46" s="3">
        <f t="shared" ref="E46:H46" si="33">SUM(E420:E426)</f>
        <v>0</v>
      </c>
      <c r="F46" s="3">
        <f t="shared" si="33"/>
        <v>0</v>
      </c>
      <c r="G46" s="3">
        <f t="shared" si="33"/>
        <v>0</v>
      </c>
      <c r="H46" s="3">
        <f t="shared" si="33"/>
        <v>0</v>
      </c>
      <c r="J46" s="3">
        <f>J426</f>
        <v>0</v>
      </c>
      <c r="L46" s="22">
        <f>'Olieforbrug, TJ'!M46</f>
        <v>2021</v>
      </c>
      <c r="M46" s="3"/>
      <c r="N46" s="3">
        <f>SUM(N420:N426)</f>
        <v>1254.3463333333334</v>
      </c>
      <c r="O46" s="3"/>
      <c r="P46" s="3">
        <f>SUM(P420:P426)</f>
        <v>269.32415999999995</v>
      </c>
      <c r="R46" s="3">
        <f>SUM(R420:R426)</f>
        <v>0.87639416666666714</v>
      </c>
    </row>
    <row r="47" spans="1:18" x14ac:dyDescent="0.2">
      <c r="A47" s="22">
        <f>'Olieforbrug, TJ'!A47</f>
        <v>2022</v>
      </c>
      <c r="C47" s="3">
        <f>SUM(C433:C439)</f>
        <v>0</v>
      </c>
      <c r="D47" s="3">
        <f>SUM(D433:D439)</f>
        <v>0</v>
      </c>
      <c r="E47" s="3">
        <f t="shared" ref="E47:H47" si="34">SUM(E433:E439)</f>
        <v>0</v>
      </c>
      <c r="F47" s="3">
        <f t="shared" si="34"/>
        <v>0</v>
      </c>
      <c r="G47" s="3">
        <f t="shared" si="34"/>
        <v>0</v>
      </c>
      <c r="H47" s="3">
        <f t="shared" si="34"/>
        <v>0</v>
      </c>
      <c r="J47" s="3">
        <f>J439</f>
        <v>0</v>
      </c>
      <c r="L47" s="22">
        <f>'Olieforbrug, TJ'!M47</f>
        <v>2022</v>
      </c>
      <c r="M47" s="3"/>
      <c r="N47" s="3">
        <f>SUM(N433:N439)</f>
        <v>1254.3463333333309</v>
      </c>
      <c r="O47" s="3"/>
      <c r="P47" s="3">
        <f>SUM(P433:P439)</f>
        <v>146.03749999999999</v>
      </c>
      <c r="R47" s="3">
        <f>SUM(R433:R439)</f>
        <v>0.87639416666666892</v>
      </c>
    </row>
    <row r="48" spans="1:18" x14ac:dyDescent="0.2">
      <c r="A48" s="22">
        <f>'Olieforbrug, TJ'!A48</f>
        <v>2023</v>
      </c>
      <c r="C48" s="3">
        <f>SUM(C446:C452)</f>
        <v>0</v>
      </c>
      <c r="D48" s="3">
        <f>SUM(D446:D452)</f>
        <v>0</v>
      </c>
      <c r="E48" s="3">
        <f t="shared" ref="E48:H48" si="35">SUM(E446:E452)</f>
        <v>0</v>
      </c>
      <c r="F48" s="3">
        <f t="shared" si="35"/>
        <v>0</v>
      </c>
      <c r="G48" s="3">
        <f t="shared" si="35"/>
        <v>0</v>
      </c>
      <c r="H48" s="3">
        <f t="shared" si="35"/>
        <v>0</v>
      </c>
      <c r="J48" s="3">
        <f>J452</f>
        <v>0</v>
      </c>
      <c r="L48" s="22">
        <f>'Olieforbrug, TJ'!M48</f>
        <v>2023</v>
      </c>
      <c r="M48" s="3"/>
      <c r="N48" s="3">
        <f>SUM(N446:N452)</f>
        <v>1254.3463333333309</v>
      </c>
      <c r="O48" s="3"/>
      <c r="P48" s="3">
        <f>SUM(P446:P452)</f>
        <v>223.67491562500001</v>
      </c>
      <c r="Q48" s="3"/>
      <c r="R48" s="3">
        <f>SUM(R446:R452)</f>
        <v>0.87639416666666892</v>
      </c>
    </row>
    <row r="49" spans="1:19" x14ac:dyDescent="0.2">
      <c r="A49" s="22">
        <f>'Olieforbrug, TJ'!A49</f>
        <v>2024</v>
      </c>
      <c r="C49" s="3">
        <f>SUM(C459:C465)</f>
        <v>0</v>
      </c>
      <c r="D49" s="3">
        <f>SUM(D459:D465)</f>
        <v>0</v>
      </c>
      <c r="E49" s="3">
        <f t="shared" ref="E49:H49" si="36">SUM(E459:E465)</f>
        <v>0</v>
      </c>
      <c r="F49" s="3">
        <f t="shared" si="36"/>
        <v>0</v>
      </c>
      <c r="G49" s="3">
        <f t="shared" si="36"/>
        <v>0</v>
      </c>
      <c r="H49" s="3">
        <f t="shared" si="36"/>
        <v>0</v>
      </c>
      <c r="J49" s="3">
        <f>J465</f>
        <v>0</v>
      </c>
      <c r="L49" s="22">
        <f>'Olieforbrug, TJ'!M49</f>
        <v>2024</v>
      </c>
      <c r="M49" s="3"/>
      <c r="N49" s="3">
        <f>SUM(N459:N465)</f>
        <v>1254.3463333333309</v>
      </c>
      <c r="O49" s="3"/>
      <c r="P49" s="3">
        <f>SUM(P459:P465)</f>
        <v>223.67491562500001</v>
      </c>
      <c r="Q49" s="3"/>
      <c r="R49" s="3">
        <f>SUM(R459:R465)</f>
        <v>0.87639416666666892</v>
      </c>
    </row>
    <row r="50" spans="1:19" x14ac:dyDescent="0.2">
      <c r="A50" s="22">
        <f>'Olieforbrug, TJ'!A50</f>
        <v>2025</v>
      </c>
      <c r="C50" s="3">
        <f>SUM(C472:C478)</f>
        <v>0</v>
      </c>
      <c r="D50" s="3">
        <f>SUM(D472:D478)</f>
        <v>0</v>
      </c>
      <c r="E50" s="3">
        <f t="shared" ref="E50:H50" si="37">SUM(E472:E478)</f>
        <v>0</v>
      </c>
      <c r="F50" s="3">
        <f t="shared" si="37"/>
        <v>0</v>
      </c>
      <c r="G50" s="3">
        <f t="shared" si="37"/>
        <v>0</v>
      </c>
      <c r="H50" s="3">
        <f t="shared" si="37"/>
        <v>0</v>
      </c>
      <c r="J50" s="3">
        <f>J478</f>
        <v>0</v>
      </c>
      <c r="L50" s="22">
        <f>'Olieforbrug, TJ'!M50</f>
        <v>2025</v>
      </c>
      <c r="M50" s="3"/>
      <c r="N50" s="3">
        <f>SUM(N472:N478)</f>
        <v>1254.3463333333309</v>
      </c>
      <c r="O50" s="3"/>
      <c r="P50" s="3">
        <f>SUM(P472:P478)</f>
        <v>223.67491562500001</v>
      </c>
      <c r="Q50" s="3"/>
      <c r="R50" s="3">
        <f>SUM(R472:R478)</f>
        <v>0.87639416666666892</v>
      </c>
    </row>
    <row r="51" spans="1:19" x14ac:dyDescent="0.2">
      <c r="A51" s="22"/>
      <c r="L51" s="22"/>
      <c r="M51" s="3"/>
      <c r="N51" s="3"/>
      <c r="P51" s="3"/>
      <c r="R51" s="3"/>
      <c r="S51" s="3"/>
    </row>
    <row r="52" spans="1:19" ht="13.5" thickBot="1" x14ac:dyDescent="0.25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">
      <c r="A57" s="23"/>
      <c r="I57"/>
      <c r="M57" s="22"/>
      <c r="N57" s="3"/>
      <c r="P57" s="3"/>
      <c r="R57" s="3"/>
    </row>
    <row r="58" spans="1:19" x14ac:dyDescent="0.2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">
      <c r="A62" s="23"/>
      <c r="I62"/>
      <c r="M62" s="22"/>
      <c r="N62" s="3"/>
      <c r="P62" s="3"/>
      <c r="R62" s="3"/>
    </row>
    <row r="63" spans="1:19" x14ac:dyDescent="0.2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">
      <c r="A67" s="23"/>
      <c r="I67"/>
      <c r="M67" s="22"/>
      <c r="N67" s="3"/>
      <c r="P67" s="3"/>
      <c r="R67" s="3"/>
    </row>
    <row r="68" spans="1:18" x14ac:dyDescent="0.2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">
      <c r="A72" s="23"/>
      <c r="I72"/>
      <c r="M72" s="22"/>
      <c r="N72" s="3"/>
      <c r="P72" s="3"/>
      <c r="R72" s="3"/>
    </row>
    <row r="73" spans="1:18" x14ac:dyDescent="0.2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">
      <c r="A77" s="23"/>
      <c r="I77"/>
      <c r="L77" s="26"/>
      <c r="M77" s="22"/>
      <c r="N77" s="3"/>
      <c r="P77" s="3"/>
      <c r="R77" s="3"/>
    </row>
    <row r="78" spans="1:18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">
      <c r="A82" s="32"/>
      <c r="I82"/>
      <c r="L82" s="26"/>
      <c r="N82" s="3"/>
      <c r="O82" s="3"/>
      <c r="P82" s="3"/>
      <c r="Q82" s="3"/>
      <c r="R82" s="3"/>
    </row>
    <row r="83" spans="1:19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">
      <c r="A87" s="32"/>
      <c r="I87"/>
      <c r="L87" s="26"/>
      <c r="N87" s="3"/>
      <c r="O87" s="3"/>
      <c r="P87" s="3"/>
      <c r="Q87" s="3"/>
      <c r="R87" s="3"/>
    </row>
    <row r="88" spans="1:19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">
      <c r="A92" s="32"/>
      <c r="I92"/>
      <c r="L92" s="26"/>
      <c r="N92" s="3"/>
      <c r="O92" s="3"/>
      <c r="P92" s="3"/>
      <c r="Q92" s="3"/>
      <c r="R92" s="3"/>
    </row>
    <row r="93" spans="1:19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">
      <c r="A97" s="32"/>
      <c r="I97"/>
      <c r="M97" s="26"/>
    </row>
    <row r="98" spans="1:21" x14ac:dyDescent="0.2">
      <c r="A98" s="32" t="s">
        <v>173</v>
      </c>
      <c r="C98" s="3">
        <f t="shared" ref="C98:H98" si="38">SUM(C329:C331)</f>
        <v>0</v>
      </c>
      <c r="D98" s="3">
        <f t="shared" si="38"/>
        <v>0</v>
      </c>
      <c r="E98" s="3">
        <f t="shared" si="38"/>
        <v>0</v>
      </c>
      <c r="F98" s="3">
        <f t="shared" si="38"/>
        <v>0</v>
      </c>
      <c r="G98" s="3">
        <f t="shared" si="38"/>
        <v>0</v>
      </c>
      <c r="H98" s="3">
        <f t="shared" si="38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">
      <c r="A99" s="32" t="s">
        <v>175</v>
      </c>
      <c r="C99" s="3">
        <f t="shared" ref="C99:H99" si="39">SUM(C332:C334)</f>
        <v>0</v>
      </c>
      <c r="D99" s="3">
        <f t="shared" si="39"/>
        <v>0</v>
      </c>
      <c r="E99" s="3">
        <f t="shared" si="39"/>
        <v>0</v>
      </c>
      <c r="F99" s="3">
        <f t="shared" si="39"/>
        <v>0</v>
      </c>
      <c r="G99" s="3">
        <f t="shared" si="39"/>
        <v>0</v>
      </c>
      <c r="H99" s="3">
        <f t="shared" si="39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">
      <c r="A100" s="32" t="s">
        <v>177</v>
      </c>
      <c r="C100" s="3">
        <f t="shared" ref="C100:H100" si="40">SUM(C335:C337)</f>
        <v>0</v>
      </c>
      <c r="D100" s="3">
        <f t="shared" si="40"/>
        <v>0</v>
      </c>
      <c r="E100" s="3">
        <f t="shared" si="40"/>
        <v>0</v>
      </c>
      <c r="F100" s="3">
        <f t="shared" si="40"/>
        <v>0</v>
      </c>
      <c r="G100" s="3">
        <f t="shared" si="40"/>
        <v>0</v>
      </c>
      <c r="H100" s="3">
        <f t="shared" si="40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">
      <c r="A101" s="32" t="s">
        <v>179</v>
      </c>
      <c r="C101" s="3">
        <f t="shared" ref="C101:H101" si="41">SUM(C338:C340)</f>
        <v>0</v>
      </c>
      <c r="D101" s="3">
        <f t="shared" si="41"/>
        <v>0</v>
      </c>
      <c r="E101" s="3">
        <f t="shared" si="41"/>
        <v>0</v>
      </c>
      <c r="F101" s="3">
        <f t="shared" si="41"/>
        <v>0</v>
      </c>
      <c r="G101" s="3">
        <f t="shared" si="41"/>
        <v>0</v>
      </c>
      <c r="H101" s="3">
        <f t="shared" si="41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">
      <c r="A103" s="32" t="s">
        <v>181</v>
      </c>
      <c r="C103" s="3">
        <f t="shared" ref="C103:H103" si="42">SUM(C342:C344)</f>
        <v>0</v>
      </c>
      <c r="D103" s="3">
        <f t="shared" si="42"/>
        <v>0</v>
      </c>
      <c r="E103" s="3">
        <f t="shared" si="42"/>
        <v>0</v>
      </c>
      <c r="F103" s="3">
        <f t="shared" si="42"/>
        <v>0</v>
      </c>
      <c r="G103" s="3">
        <f t="shared" si="42"/>
        <v>0</v>
      </c>
      <c r="H103" s="3">
        <f t="shared" si="42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">
      <c r="A104" s="32" t="s">
        <v>182</v>
      </c>
      <c r="C104" s="3">
        <f t="shared" ref="C104:H104" si="43">SUM(C345:C347)</f>
        <v>0</v>
      </c>
      <c r="D104" s="3">
        <f t="shared" si="43"/>
        <v>0</v>
      </c>
      <c r="E104" s="3">
        <f t="shared" si="43"/>
        <v>0</v>
      </c>
      <c r="F104" s="3">
        <f t="shared" si="43"/>
        <v>0</v>
      </c>
      <c r="G104" s="3">
        <f t="shared" si="43"/>
        <v>0</v>
      </c>
      <c r="H104" s="3">
        <f t="shared" si="43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0</v>
      </c>
      <c r="E105" s="3">
        <f t="shared" si="44"/>
        <v>0</v>
      </c>
      <c r="F105" s="3">
        <f t="shared" si="44"/>
        <v>0</v>
      </c>
      <c r="G105" s="3">
        <f t="shared" si="44"/>
        <v>0</v>
      </c>
      <c r="H105" s="3">
        <f t="shared" si="44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">
      <c r="A106" s="32" t="s">
        <v>184</v>
      </c>
      <c r="C106" s="3">
        <f t="shared" ref="C106:H106" si="45">SUM(C351:C353)</f>
        <v>0</v>
      </c>
      <c r="D106" s="3">
        <f t="shared" si="45"/>
        <v>0</v>
      </c>
      <c r="E106" s="3">
        <f t="shared" si="45"/>
        <v>0</v>
      </c>
      <c r="F106" s="3">
        <f t="shared" si="45"/>
        <v>0</v>
      </c>
      <c r="G106" s="3">
        <f t="shared" si="45"/>
        <v>0</v>
      </c>
      <c r="H106" s="3">
        <f t="shared" si="45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">
      <c r="A108" s="32" t="s">
        <v>193</v>
      </c>
      <c r="C108" s="3">
        <f t="shared" ref="C108:H108" si="46">SUM(C355:C357)</f>
        <v>0</v>
      </c>
      <c r="D108" s="3">
        <f t="shared" si="46"/>
        <v>0</v>
      </c>
      <c r="E108" s="3">
        <f t="shared" si="46"/>
        <v>0</v>
      </c>
      <c r="F108" s="3">
        <f t="shared" si="46"/>
        <v>0</v>
      </c>
      <c r="G108" s="3">
        <f t="shared" si="46"/>
        <v>0</v>
      </c>
      <c r="H108" s="3">
        <f t="shared" si="46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">
      <c r="A109" s="32" t="s">
        <v>194</v>
      </c>
      <c r="C109" s="3">
        <f t="shared" ref="C109:H109" si="47">SUM(C358:C360)</f>
        <v>0</v>
      </c>
      <c r="D109" s="3">
        <f t="shared" si="47"/>
        <v>0</v>
      </c>
      <c r="E109" s="3">
        <f t="shared" si="47"/>
        <v>0</v>
      </c>
      <c r="F109" s="3">
        <f t="shared" si="47"/>
        <v>0</v>
      </c>
      <c r="G109" s="3">
        <f t="shared" si="47"/>
        <v>0</v>
      </c>
      <c r="H109" s="3">
        <f t="shared" si="47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">
      <c r="A110" s="32" t="s">
        <v>195</v>
      </c>
      <c r="C110" s="3">
        <f t="shared" ref="C110:H110" si="48">SUM(C361:C363)</f>
        <v>0</v>
      </c>
      <c r="D110" s="3">
        <f t="shared" si="48"/>
        <v>0</v>
      </c>
      <c r="E110" s="3">
        <f t="shared" si="48"/>
        <v>0</v>
      </c>
      <c r="F110" s="3">
        <f t="shared" si="48"/>
        <v>0</v>
      </c>
      <c r="G110" s="3">
        <f t="shared" si="48"/>
        <v>0</v>
      </c>
      <c r="H110" s="3">
        <f t="shared" si="48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">
      <c r="A111" s="32" t="s">
        <v>196</v>
      </c>
      <c r="C111" s="3">
        <f t="shared" ref="C111:H111" si="49">SUM(C364:C366)</f>
        <v>0</v>
      </c>
      <c r="D111" s="3">
        <f t="shared" si="49"/>
        <v>0</v>
      </c>
      <c r="E111" s="3">
        <f t="shared" si="49"/>
        <v>0</v>
      </c>
      <c r="F111" s="3">
        <f t="shared" si="49"/>
        <v>0</v>
      </c>
      <c r="G111" s="3">
        <f t="shared" si="49"/>
        <v>0</v>
      </c>
      <c r="H111" s="3">
        <f t="shared" si="49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">
      <c r="A113" s="32" t="s">
        <v>197</v>
      </c>
      <c r="C113" s="3">
        <f t="shared" ref="C113:H113" si="50">SUM(C368:C370)</f>
        <v>0</v>
      </c>
      <c r="D113" s="3">
        <f t="shared" si="50"/>
        <v>0</v>
      </c>
      <c r="E113" s="3">
        <f t="shared" si="50"/>
        <v>0</v>
      </c>
      <c r="F113" s="3">
        <f t="shared" si="50"/>
        <v>0</v>
      </c>
      <c r="G113" s="3">
        <f t="shared" si="50"/>
        <v>0</v>
      </c>
      <c r="H113" s="3">
        <f t="shared" si="50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">
      <c r="A114" s="32" t="s">
        <v>198</v>
      </c>
      <c r="C114" s="3">
        <f t="shared" ref="C114:H114" si="51">SUM(C371:C373)</f>
        <v>0</v>
      </c>
      <c r="D114" s="3">
        <f t="shared" si="51"/>
        <v>0</v>
      </c>
      <c r="E114" s="3">
        <f t="shared" si="51"/>
        <v>0</v>
      </c>
      <c r="F114" s="3">
        <f t="shared" si="51"/>
        <v>0</v>
      </c>
      <c r="G114" s="3">
        <f t="shared" si="51"/>
        <v>0</v>
      </c>
      <c r="H114" s="3">
        <f t="shared" si="51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">
      <c r="A115" s="32" t="s">
        <v>199</v>
      </c>
      <c r="C115" s="3">
        <f t="shared" ref="C115:H115" si="52">SUM(C374:C376)</f>
        <v>0</v>
      </c>
      <c r="D115" s="3">
        <f t="shared" si="52"/>
        <v>0</v>
      </c>
      <c r="E115" s="3">
        <f t="shared" si="52"/>
        <v>0</v>
      </c>
      <c r="F115" s="3">
        <f t="shared" si="52"/>
        <v>0</v>
      </c>
      <c r="G115" s="3">
        <f t="shared" si="52"/>
        <v>0</v>
      </c>
      <c r="H115" s="3">
        <f t="shared" si="52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">
      <c r="A116" s="32" t="s">
        <v>200</v>
      </c>
      <c r="C116" s="3">
        <f t="shared" ref="C116:H116" si="53">SUM(C377:C379)</f>
        <v>0</v>
      </c>
      <c r="D116" s="3">
        <f t="shared" si="53"/>
        <v>0</v>
      </c>
      <c r="E116" s="3">
        <f t="shared" si="53"/>
        <v>0</v>
      </c>
      <c r="F116" s="3">
        <f t="shared" si="53"/>
        <v>0</v>
      </c>
      <c r="G116" s="3">
        <f t="shared" si="53"/>
        <v>0</v>
      </c>
      <c r="H116" s="3">
        <f t="shared" si="53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">
      <c r="A118" s="32" t="s">
        <v>205</v>
      </c>
      <c r="C118" s="3">
        <f t="shared" ref="C118:H118" si="54">SUM(C381:C383)</f>
        <v>0</v>
      </c>
      <c r="D118" s="3">
        <f t="shared" si="54"/>
        <v>0</v>
      </c>
      <c r="E118" s="3">
        <f t="shared" si="54"/>
        <v>0</v>
      </c>
      <c r="F118" s="3">
        <f t="shared" si="54"/>
        <v>0</v>
      </c>
      <c r="G118" s="3">
        <f t="shared" si="54"/>
        <v>0</v>
      </c>
      <c r="H118" s="3">
        <f t="shared" si="54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">
      <c r="A119" s="32" t="s">
        <v>206</v>
      </c>
      <c r="C119" s="3">
        <f t="shared" ref="C119:H119" si="55">SUM(C384:C386)</f>
        <v>0</v>
      </c>
      <c r="D119" s="3">
        <f t="shared" si="55"/>
        <v>0</v>
      </c>
      <c r="E119" s="3">
        <f t="shared" si="55"/>
        <v>0</v>
      </c>
      <c r="F119" s="3">
        <f t="shared" si="55"/>
        <v>0</v>
      </c>
      <c r="G119" s="3">
        <f t="shared" si="55"/>
        <v>0</v>
      </c>
      <c r="H119" s="3">
        <f t="shared" si="55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">
      <c r="A120" s="32" t="s">
        <v>207</v>
      </c>
      <c r="C120" s="3">
        <f t="shared" ref="C120:H120" si="56">SUM(C387:C389)</f>
        <v>0</v>
      </c>
      <c r="D120" s="3">
        <f t="shared" si="56"/>
        <v>0</v>
      </c>
      <c r="E120" s="3">
        <f t="shared" si="56"/>
        <v>0</v>
      </c>
      <c r="F120" s="3">
        <f t="shared" si="56"/>
        <v>0</v>
      </c>
      <c r="G120" s="3">
        <f t="shared" si="56"/>
        <v>0</v>
      </c>
      <c r="H120" s="3">
        <f t="shared" si="56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">
      <c r="A121" s="32" t="s">
        <v>208</v>
      </c>
      <c r="C121" s="3">
        <f t="shared" ref="C121:H121" si="57">SUM(C390:C392)</f>
        <v>0</v>
      </c>
      <c r="D121" s="3">
        <f t="shared" si="57"/>
        <v>0</v>
      </c>
      <c r="E121" s="3">
        <f t="shared" si="57"/>
        <v>0</v>
      </c>
      <c r="F121" s="3">
        <f t="shared" si="57"/>
        <v>0</v>
      </c>
      <c r="G121" s="3">
        <f t="shared" si="57"/>
        <v>0</v>
      </c>
      <c r="H121" s="3">
        <f t="shared" si="57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">
      <c r="A123" s="32" t="s">
        <v>213</v>
      </c>
      <c r="C123" s="3">
        <f t="shared" ref="C123:H123" si="58">SUM(C394:C396)</f>
        <v>0</v>
      </c>
      <c r="D123" s="3">
        <f t="shared" si="58"/>
        <v>0</v>
      </c>
      <c r="E123" s="3">
        <f t="shared" si="58"/>
        <v>0</v>
      </c>
      <c r="F123" s="3">
        <f t="shared" si="58"/>
        <v>0</v>
      </c>
      <c r="G123" s="3">
        <f t="shared" si="58"/>
        <v>0</v>
      </c>
      <c r="H123" s="3">
        <f t="shared" si="58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">
      <c r="A124" s="32" t="s">
        <v>214</v>
      </c>
      <c r="C124" s="3">
        <f t="shared" ref="C124:H124" si="59">SUM(C397:C399)</f>
        <v>0</v>
      </c>
      <c r="D124" s="3">
        <f t="shared" si="59"/>
        <v>0</v>
      </c>
      <c r="E124" s="3">
        <f t="shared" si="59"/>
        <v>0</v>
      </c>
      <c r="F124" s="3">
        <f t="shared" si="59"/>
        <v>0</v>
      </c>
      <c r="G124" s="3">
        <f t="shared" si="59"/>
        <v>0</v>
      </c>
      <c r="H124" s="3">
        <f t="shared" si="59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">
      <c r="A125" s="32" t="s">
        <v>215</v>
      </c>
      <c r="C125" s="3">
        <f t="shared" ref="C125:H125" si="60">SUM(C400:C402)</f>
        <v>0</v>
      </c>
      <c r="D125" s="3">
        <f t="shared" si="60"/>
        <v>0</v>
      </c>
      <c r="E125" s="3">
        <f t="shared" si="60"/>
        <v>0</v>
      </c>
      <c r="F125" s="3">
        <f t="shared" si="60"/>
        <v>0</v>
      </c>
      <c r="G125" s="3">
        <f t="shared" si="60"/>
        <v>0</v>
      </c>
      <c r="H125" s="3">
        <f t="shared" si="60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">
      <c r="A126" s="32" t="s">
        <v>219</v>
      </c>
      <c r="C126" s="3">
        <f t="shared" ref="C126:H126" si="61">SUM(C403:C405)</f>
        <v>0</v>
      </c>
      <c r="D126" s="3">
        <f t="shared" si="61"/>
        <v>0</v>
      </c>
      <c r="E126" s="3">
        <f t="shared" si="61"/>
        <v>0</v>
      </c>
      <c r="F126" s="3">
        <f t="shared" si="61"/>
        <v>0</v>
      </c>
      <c r="G126" s="3">
        <f t="shared" si="61"/>
        <v>0</v>
      </c>
      <c r="H126" s="3">
        <f t="shared" si="61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">
      <c r="A128" s="32" t="str">
        <f>'Olieforbrug, TJ'!A128</f>
        <v>1. kvartal 2020</v>
      </c>
      <c r="C128" s="3">
        <f t="shared" ref="C128:H128" si="62">SUM(C407:C409)</f>
        <v>0</v>
      </c>
      <c r="D128" s="3">
        <f t="shared" si="62"/>
        <v>0</v>
      </c>
      <c r="E128" s="3">
        <f t="shared" si="62"/>
        <v>0</v>
      </c>
      <c r="F128" s="3">
        <f t="shared" si="62"/>
        <v>0</v>
      </c>
      <c r="G128" s="3">
        <f t="shared" si="62"/>
        <v>0</v>
      </c>
      <c r="H128" s="3">
        <f t="shared" si="62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">
      <c r="A129" s="32" t="str">
        <f>'Olieforbrug, TJ'!A129</f>
        <v>2. kvartal 2020</v>
      </c>
      <c r="C129" s="3">
        <f t="shared" ref="C129:H129" si="63">SUM(C410:C412)</f>
        <v>0</v>
      </c>
      <c r="D129" s="3">
        <f t="shared" si="63"/>
        <v>0</v>
      </c>
      <c r="E129" s="3">
        <f t="shared" si="63"/>
        <v>0</v>
      </c>
      <c r="F129" s="3">
        <f t="shared" si="63"/>
        <v>0</v>
      </c>
      <c r="G129" s="3">
        <f t="shared" si="63"/>
        <v>0</v>
      </c>
      <c r="H129" s="3">
        <f t="shared" si="63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">
      <c r="A130" s="32" t="str">
        <f>'Olieforbrug, TJ'!A130</f>
        <v>3. kvartal 2020</v>
      </c>
      <c r="C130" s="3">
        <f t="shared" ref="C130:H130" si="64">SUM(C413:C415)</f>
        <v>0</v>
      </c>
      <c r="D130" s="3">
        <f t="shared" si="64"/>
        <v>0</v>
      </c>
      <c r="E130" s="3">
        <f t="shared" si="64"/>
        <v>0</v>
      </c>
      <c r="F130" s="3">
        <f t="shared" si="64"/>
        <v>0</v>
      </c>
      <c r="G130" s="3">
        <f t="shared" si="64"/>
        <v>0</v>
      </c>
      <c r="H130" s="3">
        <f t="shared" si="64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">
      <c r="A131" s="32" t="str">
        <f>'Olieforbrug, TJ'!A131</f>
        <v>4. kvartal 2020</v>
      </c>
      <c r="C131" s="3">
        <f t="shared" ref="C131:H131" si="65">SUM(C416:C418)</f>
        <v>0</v>
      </c>
      <c r="D131" s="3">
        <f t="shared" si="65"/>
        <v>0</v>
      </c>
      <c r="E131" s="3">
        <f t="shared" si="65"/>
        <v>0</v>
      </c>
      <c r="F131" s="3">
        <f t="shared" si="65"/>
        <v>0</v>
      </c>
      <c r="G131" s="3">
        <f t="shared" si="65"/>
        <v>0</v>
      </c>
      <c r="H131" s="3">
        <f t="shared" si="65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">
      <c r="A133" s="32" t="str">
        <f>'Olieforbrug, TJ'!A133</f>
        <v>1. kvartal 2021</v>
      </c>
      <c r="C133" s="3">
        <f t="shared" ref="C133:H133" si="66">SUM(C420:C422)</f>
        <v>0</v>
      </c>
      <c r="D133" s="3">
        <f t="shared" si="66"/>
        <v>0</v>
      </c>
      <c r="E133" s="3">
        <f t="shared" si="66"/>
        <v>0</v>
      </c>
      <c r="F133" s="3">
        <f t="shared" si="66"/>
        <v>0</v>
      </c>
      <c r="G133" s="3">
        <f t="shared" si="66"/>
        <v>0</v>
      </c>
      <c r="H133" s="3">
        <f t="shared" si="66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">
      <c r="A134" s="32" t="str">
        <f>'Olieforbrug, TJ'!A134</f>
        <v>2. kvartal 2021</v>
      </c>
      <c r="C134" s="3">
        <f t="shared" ref="C134:H134" si="67">SUM(C423:C425)</f>
        <v>0</v>
      </c>
      <c r="D134" s="3">
        <f t="shared" si="67"/>
        <v>0</v>
      </c>
      <c r="E134" s="3">
        <f t="shared" si="67"/>
        <v>0</v>
      </c>
      <c r="F134" s="3">
        <f t="shared" si="67"/>
        <v>0</v>
      </c>
      <c r="G134" s="3">
        <f t="shared" si="67"/>
        <v>0</v>
      </c>
      <c r="H134" s="3">
        <f t="shared" si="67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">
      <c r="A135" s="32" t="str">
        <f>'Olieforbrug, TJ'!A135</f>
        <v>3. kvartal 2021</v>
      </c>
      <c r="C135" s="3">
        <f t="shared" ref="C135:H135" si="68">SUM(C426:C428)</f>
        <v>0</v>
      </c>
      <c r="D135" s="3">
        <f t="shared" si="68"/>
        <v>0</v>
      </c>
      <c r="E135" s="3">
        <f t="shared" si="68"/>
        <v>0</v>
      </c>
      <c r="F135" s="3">
        <f t="shared" si="68"/>
        <v>0</v>
      </c>
      <c r="G135" s="3">
        <f t="shared" si="68"/>
        <v>0</v>
      </c>
      <c r="H135" s="3">
        <f t="shared" si="68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">
      <c r="A136" s="32" t="str">
        <f>'Olieforbrug, TJ'!A136</f>
        <v>4. kvartal 2021</v>
      </c>
      <c r="C136" s="3">
        <f t="shared" ref="C136:H136" si="69">SUM(C429:C431)</f>
        <v>0</v>
      </c>
      <c r="D136" s="3">
        <f t="shared" si="69"/>
        <v>0</v>
      </c>
      <c r="E136" s="3">
        <f t="shared" si="69"/>
        <v>0</v>
      </c>
      <c r="F136" s="3">
        <f t="shared" si="69"/>
        <v>0</v>
      </c>
      <c r="G136" s="3">
        <f t="shared" si="69"/>
        <v>0</v>
      </c>
      <c r="H136" s="3">
        <f t="shared" si="69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0">SUM(D433:D435)</f>
        <v>0</v>
      </c>
      <c r="E138" s="3">
        <f t="shared" si="70"/>
        <v>0</v>
      </c>
      <c r="F138" s="3">
        <f t="shared" si="70"/>
        <v>0</v>
      </c>
      <c r="G138" s="3">
        <f t="shared" si="70"/>
        <v>0</v>
      </c>
      <c r="H138" s="3">
        <f t="shared" si="70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71">SUM(N433:N435)</f>
        <v>537.57699999999909</v>
      </c>
      <c r="O138" s="3"/>
      <c r="P138" s="3">
        <f t="shared" ref="P138" si="72">SUM(P433:P435)</f>
        <v>62.587500000000006</v>
      </c>
      <c r="Q138" s="3"/>
      <c r="R138" s="3">
        <f t="shared" ref="R138" si="73">SUM(R433:R435)</f>
        <v>0.37559750000000103</v>
      </c>
      <c r="S138" s="3"/>
      <c r="T138" s="3"/>
    </row>
    <row r="139" spans="1:23" x14ac:dyDescent="0.2">
      <c r="A139" s="32" t="str">
        <f>'Olieforbrug, TJ'!A139</f>
        <v>2. kvartal 2022</v>
      </c>
      <c r="C139" s="3">
        <f>SUM(C436:C438)</f>
        <v>0</v>
      </c>
      <c r="D139" s="3">
        <f t="shared" ref="D139:G139" si="74">SUM(D436:D438)</f>
        <v>0</v>
      </c>
      <c r="E139" s="3">
        <f t="shared" si="74"/>
        <v>0</v>
      </c>
      <c r="F139" s="3">
        <f t="shared" si="74"/>
        <v>0</v>
      </c>
      <c r="G139" s="3">
        <f t="shared" si="74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75">SUM(N436:N438)</f>
        <v>537.57699999999909</v>
      </c>
      <c r="O139" s="3"/>
      <c r="P139" s="3">
        <f t="shared" ref="P139" si="76">SUM(P436:P438)</f>
        <v>62.587500000000006</v>
      </c>
      <c r="Q139" s="3"/>
      <c r="R139" s="3">
        <f t="shared" ref="R139" si="77">SUM(R436:R438)</f>
        <v>0.37559750000000103</v>
      </c>
      <c r="S139" s="3"/>
      <c r="T139" s="3"/>
    </row>
    <row r="140" spans="1:23" x14ac:dyDescent="0.2">
      <c r="A140" s="32" t="str">
        <f>'Olieforbrug, TJ'!A140</f>
        <v>3. kvartal 2022</v>
      </c>
      <c r="C140" s="3">
        <f>SUM(C439:C441)</f>
        <v>0</v>
      </c>
      <c r="D140" s="3">
        <f t="shared" ref="D140:H140" si="78">SUM(D439:D441)</f>
        <v>0</v>
      </c>
      <c r="E140" s="3">
        <f t="shared" si="78"/>
        <v>0</v>
      </c>
      <c r="F140" s="3">
        <f t="shared" si="78"/>
        <v>0</v>
      </c>
      <c r="G140" s="3">
        <f t="shared" si="78"/>
        <v>0</v>
      </c>
      <c r="H140" s="3">
        <f t="shared" si="78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0</v>
      </c>
      <c r="E141" s="3">
        <f t="shared" si="79"/>
        <v>0</v>
      </c>
      <c r="F141" s="3">
        <f t="shared" si="79"/>
        <v>0</v>
      </c>
      <c r="G141" s="3">
        <f t="shared" si="79"/>
        <v>0</v>
      </c>
      <c r="H141" s="3">
        <f t="shared" si="79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H143" si="80">SUM(D446:D448)</f>
        <v>0</v>
      </c>
      <c r="E143" s="3">
        <f t="shared" si="80"/>
        <v>0</v>
      </c>
      <c r="F143" s="3">
        <f t="shared" si="80"/>
        <v>0</v>
      </c>
      <c r="G143" s="3">
        <f t="shared" si="80"/>
        <v>0</v>
      </c>
      <c r="H143" s="3">
        <f t="shared" si="80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81">SUM(N446:N448)</f>
        <v>537.57699999999909</v>
      </c>
      <c r="O143" s="3">
        <f t="shared" si="81"/>
        <v>0</v>
      </c>
      <c r="P143" s="3">
        <f>SUM(P446:P448)</f>
        <v>95.860678125000007</v>
      </c>
      <c r="Q143" s="3">
        <f t="shared" si="81"/>
        <v>0</v>
      </c>
      <c r="R143" s="3">
        <f t="shared" si="81"/>
        <v>0.37559750000000103</v>
      </c>
    </row>
    <row r="144" spans="1:23" s="57" customFormat="1" x14ac:dyDescent="0.2">
      <c r="A144" s="32" t="str">
        <f>'Olieforbrug, TJ'!A144</f>
        <v>2. kvartal 2023</v>
      </c>
      <c r="C144" s="3">
        <f t="shared" ref="C144:H144" si="82">SUM(C449:C451)</f>
        <v>0</v>
      </c>
      <c r="D144" s="3">
        <f t="shared" si="82"/>
        <v>0</v>
      </c>
      <c r="E144" s="3">
        <f t="shared" si="82"/>
        <v>0</v>
      </c>
      <c r="F144" s="3">
        <f t="shared" si="82"/>
        <v>0</v>
      </c>
      <c r="G144" s="3">
        <f t="shared" si="82"/>
        <v>0</v>
      </c>
      <c r="H144" s="3">
        <f t="shared" si="82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J145" si="83">SUM(D452:D454)</f>
        <v>0</v>
      </c>
      <c r="E145" s="3">
        <f t="shared" si="83"/>
        <v>0</v>
      </c>
      <c r="F145" s="3">
        <f t="shared" si="83"/>
        <v>0</v>
      </c>
      <c r="G145" s="3">
        <f t="shared" si="83"/>
        <v>0</v>
      </c>
      <c r="H145" s="3">
        <f t="shared" si="83"/>
        <v>0</v>
      </c>
      <c r="I145" s="3"/>
      <c r="J145" s="3">
        <f t="shared" si="83"/>
        <v>0</v>
      </c>
      <c r="K145" s="3"/>
      <c r="L145" s="26" t="str">
        <f>'Olieforbrug, TJ'!M145</f>
        <v>3. Quarter 2023</v>
      </c>
      <c r="M145" s="65"/>
      <c r="N145" s="3">
        <f t="shared" ref="N145" si="84">SUM(N452:N454)</f>
        <v>537.57699999999909</v>
      </c>
      <c r="P145" s="3">
        <f t="shared" ref="P145" si="85">SUM(P452:P454)</f>
        <v>95.860678125000007</v>
      </c>
      <c r="R145" s="3">
        <f t="shared" ref="R145" si="86">SUM(R452:R454)</f>
        <v>0.37559750000000103</v>
      </c>
    </row>
    <row r="146" spans="1:19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H146" si="87">SUM(D455:D457)</f>
        <v>0</v>
      </c>
      <c r="E146" s="3">
        <f t="shared" si="87"/>
        <v>0</v>
      </c>
      <c r="F146" s="3">
        <f t="shared" si="87"/>
        <v>0</v>
      </c>
      <c r="G146" s="3">
        <f t="shared" si="87"/>
        <v>0</v>
      </c>
      <c r="H146" s="3">
        <f t="shared" si="87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88">SUM(N455:N457)</f>
        <v>537.57699999999909</v>
      </c>
      <c r="P146" s="3">
        <f t="shared" ref="P146" si="89">SUM(P455:P457)</f>
        <v>95.860678125000007</v>
      </c>
      <c r="R146" s="3">
        <f t="shared" ref="R146" si="90">SUM(R455:R457)</f>
        <v>0.37559750000000103</v>
      </c>
    </row>
    <row r="147" spans="1:19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">
      <c r="A148" s="32" t="str">
        <f>'Olieforbrug, TJ'!A148</f>
        <v>1. kvartal 2024</v>
      </c>
      <c r="C148" s="3">
        <f t="shared" ref="C148:H148" si="91">SUM(C459:C461)</f>
        <v>0</v>
      </c>
      <c r="D148" s="3">
        <f t="shared" si="91"/>
        <v>0</v>
      </c>
      <c r="E148" s="3">
        <f t="shared" si="91"/>
        <v>0</v>
      </c>
      <c r="F148" s="3">
        <f t="shared" si="91"/>
        <v>0</v>
      </c>
      <c r="G148" s="3">
        <f t="shared" si="91"/>
        <v>0</v>
      </c>
      <c r="H148" s="3">
        <f t="shared" si="91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92">SUM(N459:N461)</f>
        <v>537.57699999999909</v>
      </c>
      <c r="O148" s="3"/>
      <c r="P148" s="3">
        <f t="shared" si="92"/>
        <v>95.860678125000007</v>
      </c>
      <c r="Q148" s="3"/>
      <c r="R148" s="3">
        <f t="shared" si="92"/>
        <v>0.37559750000000103</v>
      </c>
    </row>
    <row r="149" spans="1:19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93">SUM(D462:D464)</f>
        <v>0</v>
      </c>
      <c r="E149" s="3">
        <f t="shared" si="93"/>
        <v>0</v>
      </c>
      <c r="F149" s="3">
        <f t="shared" si="93"/>
        <v>0</v>
      </c>
      <c r="G149" s="3">
        <f t="shared" si="93"/>
        <v>0</v>
      </c>
      <c r="H149" s="3">
        <f t="shared" si="93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94">SUM(N462:N464)</f>
        <v>537.57699999999909</v>
      </c>
      <c r="P149" s="3">
        <f t="shared" ref="P149" si="95">SUM(P462:P464)</f>
        <v>95.860678125000007</v>
      </c>
      <c r="R149" s="3">
        <f t="shared" ref="R149" si="96">SUM(R462:R464)</f>
        <v>0.37559750000000103</v>
      </c>
    </row>
    <row r="150" spans="1:19" s="57" customFormat="1" x14ac:dyDescent="0.2">
      <c r="A150" s="32" t="str">
        <f>'Olieforbrug, TJ'!A150</f>
        <v>3. kvartal 2024</v>
      </c>
      <c r="C150" s="3">
        <f t="shared" ref="C150:H150" si="97">SUM(C465:C467)</f>
        <v>0</v>
      </c>
      <c r="D150" s="3">
        <f t="shared" si="97"/>
        <v>0</v>
      </c>
      <c r="E150" s="3">
        <f t="shared" si="97"/>
        <v>0</v>
      </c>
      <c r="F150" s="3">
        <f t="shared" si="97"/>
        <v>0</v>
      </c>
      <c r="G150" s="3">
        <f t="shared" si="97"/>
        <v>0</v>
      </c>
      <c r="H150" s="3">
        <f t="shared" si="97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98">SUM(N465:N467)</f>
        <v>537.57699999999909</v>
      </c>
      <c r="P150" s="3">
        <f t="shared" ref="P150:P151" si="99">SUM(P465:P467)</f>
        <v>95.860678125000007</v>
      </c>
      <c r="R150" s="3">
        <f t="shared" ref="R150:R151" si="100">SUM(R465:R467)</f>
        <v>0.37559750000000103</v>
      </c>
    </row>
    <row r="151" spans="1:19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101">SUM(D468:D470)</f>
        <v>0</v>
      </c>
      <c r="E151" s="3">
        <f t="shared" si="101"/>
        <v>0</v>
      </c>
      <c r="F151" s="3">
        <f t="shared" si="101"/>
        <v>0</v>
      </c>
      <c r="G151" s="3">
        <f t="shared" si="101"/>
        <v>0</v>
      </c>
      <c r="H151" s="3">
        <f t="shared" si="101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98"/>
        <v>537.57699999999909</v>
      </c>
      <c r="P151" s="3">
        <f t="shared" si="99"/>
        <v>95.860678125000007</v>
      </c>
      <c r="R151" s="3">
        <f t="shared" si="100"/>
        <v>0.37559750000000103</v>
      </c>
    </row>
    <row r="152" spans="1:19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H153" si="102">SUM(D472:D474)</f>
        <v>0</v>
      </c>
      <c r="E153" s="3">
        <f t="shared" si="102"/>
        <v>0</v>
      </c>
      <c r="F153" s="3">
        <f t="shared" si="102"/>
        <v>0</v>
      </c>
      <c r="G153" s="3">
        <f t="shared" si="102"/>
        <v>0</v>
      </c>
      <c r="H153" s="3">
        <f t="shared" si="102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95.860678125000007</v>
      </c>
      <c r="R153" s="3">
        <f>SUM(R472:R474)</f>
        <v>0.37559750000000103</v>
      </c>
    </row>
    <row r="154" spans="1:19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103">SUM(D475:D477)</f>
        <v>0</v>
      </c>
      <c r="E154" s="3">
        <f t="shared" si="103"/>
        <v>0</v>
      </c>
      <c r="F154" s="3">
        <f t="shared" si="103"/>
        <v>0</v>
      </c>
      <c r="G154" s="3">
        <f t="shared" si="103"/>
        <v>0</v>
      </c>
      <c r="H154" s="3">
        <f t="shared" si="103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04">SUM(N475:N477)</f>
        <v>537.57699999999909</v>
      </c>
      <c r="P154" s="3">
        <f t="shared" ref="P154" si="105">SUM(P475:P477)</f>
        <v>95.860678125000007</v>
      </c>
      <c r="R154" s="3">
        <f t="shared" ref="R154" si="106">SUM(R475:R477)</f>
        <v>0.37559750000000103</v>
      </c>
    </row>
    <row r="155" spans="1:19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26" t="str">
        <f>'Olieforbrug, TJ'!M155</f>
        <v>3. Quarter 2025</v>
      </c>
      <c r="M155" s="65"/>
      <c r="N155" s="3"/>
      <c r="P155" s="3"/>
      <c r="R155" s="3"/>
    </row>
    <row r="156" spans="1:19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5" thickBot="1" x14ac:dyDescent="0.25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5" thickBot="1" x14ac:dyDescent="0.25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5" thickBot="1" x14ac:dyDescent="0.25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5" thickBot="1" x14ac:dyDescent="0.25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5" thickBot="1" x14ac:dyDescent="0.25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5" thickBot="1" x14ac:dyDescent="0.25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5" thickBot="1" x14ac:dyDescent="0.25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5" thickBot="1" x14ac:dyDescent="0.25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5" customHeight="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5" customHeight="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5" customHeight="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5" customHeight="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7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7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07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7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07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07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08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09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10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1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2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18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18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18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18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18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13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4">
        <v>31.953559375000001</v>
      </c>
      <c r="R465" s="14">
        <v>0.125199166666667</v>
      </c>
    </row>
    <row r="466" spans="1:18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14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4">
        <v>31.953559375000001</v>
      </c>
      <c r="R466" s="14">
        <v>0.125199166666667</v>
      </c>
    </row>
    <row r="467" spans="1:18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15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4">
        <v>31.953559375000001</v>
      </c>
      <c r="R467" s="14">
        <v>0.125199166666667</v>
      </c>
    </row>
    <row r="468" spans="1:18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16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4">
        <v>31.953559375000001</v>
      </c>
      <c r="R468" s="14">
        <v>0.125199166666667</v>
      </c>
    </row>
    <row r="469" spans="1:18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17">I468-I469</f>
        <v>0</v>
      </c>
      <c r="H469" s="16">
        <v>0</v>
      </c>
      <c r="I469" s="16"/>
      <c r="J469" s="16">
        <v>0</v>
      </c>
      <c r="K469" s="16"/>
      <c r="L469" s="171" t="str">
        <f>'Olieforbrug, TJ'!M469</f>
        <v>November</v>
      </c>
      <c r="N469" s="14">
        <v>179.19233333333301</v>
      </c>
      <c r="O469" s="17"/>
      <c r="P469" s="14">
        <v>31.953559375000001</v>
      </c>
      <c r="R469" s="14">
        <v>0.125199166666667</v>
      </c>
    </row>
    <row r="470" spans="1:18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18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4">
        <v>31.953559375000001</v>
      </c>
      <c r="R470" s="14">
        <v>0.125199166666667</v>
      </c>
    </row>
    <row r="471" spans="1:18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4"/>
      <c r="R471" s="14"/>
    </row>
    <row r="472" spans="1:18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4"/>
      <c r="L472" s="180" t="str">
        <f>'Olieforbrug, TJ'!M472</f>
        <v>January</v>
      </c>
      <c r="M472" s="174"/>
      <c r="N472" s="14">
        <v>179.19233333333301</v>
      </c>
      <c r="O472" s="17"/>
      <c r="P472" s="14">
        <v>31.953559375000001</v>
      </c>
      <c r="R472" s="14">
        <v>0.125199166666667</v>
      </c>
    </row>
    <row r="473" spans="1:18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19">J472-J473</f>
        <v>0</v>
      </c>
      <c r="H473" s="16">
        <v>0</v>
      </c>
      <c r="I473" s="16"/>
      <c r="J473" s="16">
        <v>0</v>
      </c>
      <c r="K473" s="174"/>
      <c r="L473" s="180" t="str">
        <f>'Olieforbrug, TJ'!M473</f>
        <v>February</v>
      </c>
      <c r="M473" s="174"/>
      <c r="N473" s="14">
        <v>179.19233333333301</v>
      </c>
      <c r="O473" s="17"/>
      <c r="P473" s="14">
        <v>31.953559375000001</v>
      </c>
      <c r="R473" s="14">
        <v>0.125199166666667</v>
      </c>
    </row>
    <row r="474" spans="1:18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19"/>
        <v>0</v>
      </c>
      <c r="H474" s="16">
        <v>0</v>
      </c>
      <c r="I474" s="16"/>
      <c r="J474" s="16">
        <v>0</v>
      </c>
      <c r="K474" s="174"/>
      <c r="L474" s="180" t="str">
        <f>'Olieforbrug, TJ'!M474</f>
        <v>March</v>
      </c>
      <c r="N474" s="14">
        <v>179.19233333333301</v>
      </c>
      <c r="O474" s="17"/>
      <c r="P474" s="14">
        <v>31.953559375000001</v>
      </c>
      <c r="R474" s="14">
        <v>0.125199166666667</v>
      </c>
    </row>
    <row r="475" spans="1:18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19"/>
        <v>0</v>
      </c>
      <c r="H475" s="16">
        <v>0</v>
      </c>
      <c r="I475" s="16"/>
      <c r="J475" s="16">
        <v>0</v>
      </c>
      <c r="K475" s="174"/>
      <c r="L475" s="180" t="str">
        <f>'Olieforbrug, TJ'!M475</f>
        <v>April</v>
      </c>
      <c r="N475" s="14">
        <v>179.19233333333301</v>
      </c>
      <c r="O475" s="17"/>
      <c r="P475" s="14">
        <v>31.953559375000001</v>
      </c>
      <c r="R475" s="14">
        <v>0.125199166666667</v>
      </c>
    </row>
    <row r="476" spans="1:18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19"/>
        <v>0</v>
      </c>
      <c r="H476" s="16">
        <v>0</v>
      </c>
      <c r="I476" s="16"/>
      <c r="J476" s="16">
        <v>0</v>
      </c>
      <c r="K476" s="174"/>
      <c r="L476" s="180" t="str">
        <f>'Olieforbrug, TJ'!M476</f>
        <v>May</v>
      </c>
      <c r="N476" s="14">
        <v>179.19233333333301</v>
      </c>
      <c r="O476" s="17"/>
      <c r="P476" s="14">
        <v>31.953559375000001</v>
      </c>
      <c r="R476" s="14">
        <v>0.125199166666667</v>
      </c>
    </row>
    <row r="477" spans="1:18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19"/>
        <v>0</v>
      </c>
      <c r="H477" s="16">
        <v>0</v>
      </c>
      <c r="I477" s="16"/>
      <c r="J477" s="16">
        <v>0</v>
      </c>
      <c r="K477" s="174"/>
      <c r="L477" s="180" t="str">
        <f>'Olieforbrug, TJ'!M477</f>
        <v>June</v>
      </c>
      <c r="N477" s="14">
        <v>179.19233333333301</v>
      </c>
      <c r="O477" s="17"/>
      <c r="P477" s="14">
        <v>31.953559375000001</v>
      </c>
      <c r="R477" s="14">
        <v>0.125199166666667</v>
      </c>
    </row>
    <row r="478" spans="1:18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19"/>
        <v>0</v>
      </c>
      <c r="H478" s="16">
        <v>0</v>
      </c>
      <c r="I478" s="16"/>
      <c r="J478" s="16">
        <v>0</v>
      </c>
      <c r="K478" s="174"/>
      <c r="L478" s="180" t="str">
        <f>'Olieforbrug, TJ'!M478</f>
        <v>July</v>
      </c>
      <c r="N478" s="14">
        <v>179.19233333333301</v>
      </c>
      <c r="O478" s="17"/>
      <c r="P478" s="14">
        <v>31.953559375000001</v>
      </c>
      <c r="R478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106"/>
  <sheetViews>
    <sheetView topLeftCell="A52" zoomScale="69" zoomScaleNormal="69" workbookViewId="0">
      <selection activeCell="AH84" sqref="AH84"/>
    </sheetView>
  </sheetViews>
  <sheetFormatPr defaultRowHeight="12.75" x14ac:dyDescent="0.2"/>
  <cols>
    <col min="1" max="1" width="13" customWidth="1"/>
    <col min="2" max="2" width="11.42578125" customWidth="1"/>
    <col min="3" max="3" width="11.5703125" customWidth="1"/>
    <col min="4" max="4" width="9.85546875" customWidth="1"/>
    <col min="5" max="5" width="11.42578125" customWidth="1"/>
    <col min="6" max="6" width="10.140625" customWidth="1"/>
    <col min="7" max="16" width="11.42578125" customWidth="1"/>
  </cols>
  <sheetData>
    <row r="1" spans="1:19" ht="16.5" customHeight="1" x14ac:dyDescent="0.25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5" thickBot="1" x14ac:dyDescent="0.3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25">
      <c r="A3" s="184" t="s">
        <v>248</v>
      </c>
      <c r="B3" s="185"/>
      <c r="C3" s="182" t="s">
        <v>243</v>
      </c>
      <c r="D3" s="187"/>
      <c r="E3" s="184" t="s">
        <v>244</v>
      </c>
      <c r="F3" s="186"/>
      <c r="H3" s="182" t="s">
        <v>293</v>
      </c>
      <c r="I3" s="183"/>
      <c r="J3" s="182" t="s">
        <v>294</v>
      </c>
      <c r="K3" s="183"/>
      <c r="L3" s="182" t="s">
        <v>293</v>
      </c>
      <c r="M3" s="183"/>
      <c r="N3" s="182" t="s">
        <v>294</v>
      </c>
      <c r="O3" s="183"/>
    </row>
    <row r="4" spans="1:19" x14ac:dyDescent="0.2">
      <c r="A4" s="87">
        <v>45292</v>
      </c>
      <c r="B4" s="90">
        <f>'Gas-dieselolie'!L459</f>
        <v>11953.656623999999</v>
      </c>
      <c r="C4" s="132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3" t="s">
        <v>229</v>
      </c>
      <c r="I4" s="152">
        <f>($B4-D4)/D4</f>
        <v>-2.4502471907481338E-2</v>
      </c>
      <c r="J4" s="151"/>
      <c r="K4" s="152">
        <f t="shared" ref="K4:K24" si="0">($B4-F4)/F4</f>
        <v>-4.5731953496656007E-2</v>
      </c>
      <c r="L4" s="87"/>
      <c r="M4" s="152"/>
      <c r="N4" s="153"/>
      <c r="O4" s="154"/>
    </row>
    <row r="5" spans="1:19" x14ac:dyDescent="0.2">
      <c r="A5" s="91">
        <v>45323</v>
      </c>
      <c r="B5" s="93">
        <f>'Gas-dieselolie'!L460</f>
        <v>10765.42152</v>
      </c>
      <c r="C5" s="133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4" t="s">
        <v>230</v>
      </c>
      <c r="I5" s="156">
        <f t="shared" ref="I5:I24" si="1">($B5-D5)/D5</f>
        <v>-5.567948350884272E-2</v>
      </c>
      <c r="J5" s="155"/>
      <c r="K5" s="156">
        <f t="shared" si="0"/>
        <v>-9.3615993235489622E-2</v>
      </c>
      <c r="L5" s="91"/>
      <c r="M5" s="156"/>
      <c r="N5" s="157"/>
      <c r="O5" s="154"/>
    </row>
    <row r="6" spans="1:19" x14ac:dyDescent="0.2">
      <c r="A6" s="91">
        <v>45352</v>
      </c>
      <c r="B6" s="93">
        <f>'Gas-dieselolie'!L461</f>
        <v>11714.955084000001</v>
      </c>
      <c r="C6" s="133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4" t="s">
        <v>231</v>
      </c>
      <c r="I6" s="156">
        <f t="shared" si="1"/>
        <v>-0.1177628913319466</v>
      </c>
      <c r="J6" s="155"/>
      <c r="K6" s="156">
        <f t="shared" si="0"/>
        <v>-0.16804937504298412</v>
      </c>
      <c r="L6" s="91" t="s">
        <v>289</v>
      </c>
      <c r="M6" s="156">
        <f>(SUM($B4:$B6)-SUM(D4:D6))/SUM(D4:D6)</f>
        <v>-6.7656547724257693E-2</v>
      </c>
      <c r="N6" s="157"/>
      <c r="O6" s="156">
        <f>(SUM($B4:$B6)-SUM(F4:F6))/SUM(F4:F6)</f>
        <v>-0.10526461965630991</v>
      </c>
    </row>
    <row r="7" spans="1:19" x14ac:dyDescent="0.2">
      <c r="A7" s="91">
        <v>45383</v>
      </c>
      <c r="B7" s="93">
        <f>'Gas-dieselolie'!L462</f>
        <v>12065.385444</v>
      </c>
      <c r="C7" s="133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4" t="s">
        <v>232</v>
      </c>
      <c r="I7" s="156">
        <f t="shared" si="1"/>
        <v>-1.1155924251421241E-2</v>
      </c>
      <c r="J7" s="155"/>
      <c r="K7" s="156">
        <f t="shared" si="0"/>
        <v>-8.9807329207134565E-2</v>
      </c>
      <c r="L7" s="91"/>
      <c r="M7" s="156"/>
      <c r="N7" s="157"/>
      <c r="O7" s="154"/>
    </row>
    <row r="8" spans="1:19" x14ac:dyDescent="0.2">
      <c r="A8" s="91">
        <v>45413</v>
      </c>
      <c r="B8" s="93">
        <f>'Gas-dieselolie'!L463</f>
        <v>12804.409716000002</v>
      </c>
      <c r="C8" s="133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4" t="s">
        <v>233</v>
      </c>
      <c r="I8" s="156">
        <f t="shared" si="1"/>
        <v>-5.8426277900774206E-3</v>
      </c>
      <c r="J8" s="155"/>
      <c r="K8" s="156">
        <f t="shared" si="0"/>
        <v>-5.7875471409305886E-2</v>
      </c>
      <c r="L8" s="91"/>
      <c r="M8" s="156"/>
      <c r="N8" s="157"/>
      <c r="O8" s="154"/>
    </row>
    <row r="9" spans="1:19" x14ac:dyDescent="0.2">
      <c r="A9" s="91">
        <v>45444</v>
      </c>
      <c r="B9" s="93">
        <f>'Gas-dieselolie'!L464</f>
        <v>10369.689876</v>
      </c>
      <c r="C9" s="133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4" t="s">
        <v>234</v>
      </c>
      <c r="I9" s="156">
        <f t="shared" si="1"/>
        <v>-0.16432678049584204</v>
      </c>
      <c r="J9" s="155"/>
      <c r="K9" s="156">
        <f t="shared" si="0"/>
        <v>-0.21474419913452841</v>
      </c>
      <c r="L9" s="91" t="s">
        <v>290</v>
      </c>
      <c r="M9" s="156">
        <f>(SUM($B4:$B9)-SUM(D4:D9))/SUM(D4:D9)</f>
        <v>-6.3813975187309649E-2</v>
      </c>
      <c r="N9" s="157"/>
      <c r="O9" s="156">
        <f>(SUM(D4:D9)-SUM(F4:F9))/SUM(F4:F9)</f>
        <v>-5.2392509040356874E-2</v>
      </c>
    </row>
    <row r="10" spans="1:19" x14ac:dyDescent="0.2">
      <c r="A10" s="91">
        <v>45474</v>
      </c>
      <c r="B10" s="93">
        <f>'Gas-dieselolie'!L465</f>
        <v>10359.754439999999</v>
      </c>
      <c r="C10" s="133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4" t="s">
        <v>235</v>
      </c>
      <c r="I10" s="156">
        <f t="shared" si="1"/>
        <v>-0.22061906856382696</v>
      </c>
      <c r="J10" s="155"/>
      <c r="K10" s="156">
        <f t="shared" si="0"/>
        <v>-0.165849835064516</v>
      </c>
      <c r="L10" s="91"/>
      <c r="M10" s="156"/>
      <c r="N10" s="157"/>
      <c r="O10" s="154"/>
    </row>
    <row r="11" spans="1:19" x14ac:dyDescent="0.2">
      <c r="A11" s="91">
        <v>45505</v>
      </c>
      <c r="B11" s="93">
        <f>'Gas-dieselolie'!L466</f>
        <v>12863.556048</v>
      </c>
      <c r="C11" s="133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4" t="s">
        <v>236</v>
      </c>
      <c r="I11" s="156">
        <f t="shared" si="1"/>
        <v>-8.8845190368032956E-2</v>
      </c>
      <c r="J11" s="155"/>
      <c r="K11" s="156">
        <f t="shared" si="0"/>
        <v>-0.10069950831807067</v>
      </c>
      <c r="L11" s="91"/>
      <c r="M11" s="156"/>
      <c r="N11" s="157"/>
      <c r="O11" s="154"/>
    </row>
    <row r="12" spans="1:19" x14ac:dyDescent="0.2">
      <c r="A12" s="91">
        <v>45536</v>
      </c>
      <c r="B12" s="93">
        <f>'Gas-dieselolie'!L467</f>
        <v>11865.636552000002</v>
      </c>
      <c r="C12" s="133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4" t="s">
        <v>237</v>
      </c>
      <c r="I12" s="156">
        <f t="shared" si="1"/>
        <v>-6.7890642390021017E-2</v>
      </c>
      <c r="J12" s="155"/>
      <c r="K12" s="156">
        <f t="shared" si="0"/>
        <v>-0.12939422824380353</v>
      </c>
      <c r="L12" s="91" t="s">
        <v>291</v>
      </c>
      <c r="M12" s="156">
        <f>(SUM($B4:$B12)-SUM(D4:D12))/SUM(D4:D12)</f>
        <v>-8.5545129789825328E-2</v>
      </c>
      <c r="N12" s="157"/>
      <c r="O12" s="156">
        <f>(SUM($B4:$B12)-SUM(F4:F12))/SUM(F4:F12)</f>
        <v>-0.1188298619248368</v>
      </c>
    </row>
    <row r="13" spans="1:19" x14ac:dyDescent="0.2">
      <c r="A13" s="91">
        <v>45566</v>
      </c>
      <c r="B13" s="93">
        <f>'Gas-dieselolie'!L468</f>
        <v>12149.352432</v>
      </c>
      <c r="C13" s="133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4" t="s">
        <v>238</v>
      </c>
      <c r="I13" s="156">
        <f t="shared" si="1"/>
        <v>-2.750470853047909E-2</v>
      </c>
      <c r="J13" s="155"/>
      <c r="K13" s="156">
        <f t="shared" si="0"/>
        <v>-8.7299897877523153E-2</v>
      </c>
      <c r="L13" s="91"/>
      <c r="M13" s="156"/>
      <c r="N13" s="157"/>
      <c r="O13" s="154"/>
    </row>
    <row r="14" spans="1:19" x14ac:dyDescent="0.2">
      <c r="A14" s="91">
        <v>45597</v>
      </c>
      <c r="B14" s="93">
        <f>'Gas-dieselolie'!L469</f>
        <v>10843.183344000001</v>
      </c>
      <c r="C14" s="133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4" t="s">
        <v>239</v>
      </c>
      <c r="I14" s="156">
        <f t="shared" si="1"/>
        <v>-0.14207468832565676</v>
      </c>
      <c r="J14" s="155"/>
      <c r="K14" s="156">
        <f t="shared" si="0"/>
        <v>-0.17242096733572046</v>
      </c>
      <c r="L14" s="91"/>
      <c r="M14" s="156"/>
      <c r="N14" s="157"/>
      <c r="O14" s="154"/>
    </row>
    <row r="15" spans="1:19" ht="13.5" thickBot="1" x14ac:dyDescent="0.25">
      <c r="A15" s="95">
        <v>45627</v>
      </c>
      <c r="B15" s="96">
        <f>'Gas-dieselolie'!L470</f>
        <v>11090.708412</v>
      </c>
      <c r="C15" s="133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5" t="s">
        <v>240</v>
      </c>
      <c r="I15" s="159">
        <f t="shared" si="1"/>
        <v>-6.6110335912630255E-2</v>
      </c>
      <c r="J15" s="158"/>
      <c r="K15" s="159">
        <f t="shared" si="0"/>
        <v>-0.14321332203545756</v>
      </c>
      <c r="L15" s="91" t="s">
        <v>292</v>
      </c>
      <c r="M15" s="156">
        <f>(SUM($B4:$B15)-SUM(D4:D15))/SUM(D4:D15)</f>
        <v>-8.3952252162498534E-2</v>
      </c>
      <c r="N15" s="157"/>
      <c r="O15" s="156">
        <f>(SUM($B4:$B15)-SUM(F4:F15))/SUM(F4:F15)</f>
        <v>-0.12260929773004678</v>
      </c>
    </row>
    <row r="16" spans="1:19" x14ac:dyDescent="0.2">
      <c r="A16" s="87">
        <v>45658</v>
      </c>
      <c r="B16" s="90">
        <f>'Gas-dieselolie'!L472</f>
        <v>9284.6111400000009</v>
      </c>
      <c r="C16" s="132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3" t="s">
        <v>229</v>
      </c>
      <c r="I16" s="168">
        <f t="shared" si="1"/>
        <v>-0.22328276342163053</v>
      </c>
      <c r="J16" s="151"/>
      <c r="K16" s="152">
        <f t="shared" si="0"/>
        <v>-0.23478844385847175</v>
      </c>
      <c r="L16" s="87"/>
      <c r="M16" s="152"/>
      <c r="N16" s="153"/>
      <c r="O16" s="161"/>
      <c r="S16" s="10"/>
    </row>
    <row r="17" spans="1:20" x14ac:dyDescent="0.2">
      <c r="A17" s="91">
        <v>45689</v>
      </c>
      <c r="B17" s="93">
        <f>'Gas-dieselolie'!L473</f>
        <v>10747.128839999999</v>
      </c>
      <c r="C17" s="133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4" t="s">
        <v>230</v>
      </c>
      <c r="I17" s="160">
        <f t="shared" si="1"/>
        <v>-1.699207036716243E-3</v>
      </c>
      <c r="J17" s="155"/>
      <c r="K17" s="156">
        <f t="shared" si="0"/>
        <v>-7.2363280161583485E-2</v>
      </c>
      <c r="L17" s="91"/>
      <c r="M17" s="156"/>
      <c r="N17" s="157"/>
      <c r="O17" s="154"/>
      <c r="S17" s="10"/>
      <c r="T17" s="99"/>
    </row>
    <row r="18" spans="1:20" x14ac:dyDescent="0.2">
      <c r="A18" s="91">
        <v>45717</v>
      </c>
      <c r="B18" s="93">
        <f>'Gas-dieselolie'!L474</f>
        <v>11927.150172</v>
      </c>
      <c r="C18" s="133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4" t="s">
        <v>231</v>
      </c>
      <c r="I18" s="160">
        <f t="shared" si="1"/>
        <v>1.8113179818316966E-2</v>
      </c>
      <c r="J18" s="155"/>
      <c r="K18" s="156">
        <f t="shared" si="0"/>
        <v>-0.12915872284259705</v>
      </c>
      <c r="L18" s="91" t="s">
        <v>289</v>
      </c>
      <c r="M18" s="156">
        <f>(SUM($B16:$B18)-SUM(D16:D18))/SUM(D16:D18)</f>
        <v>-7.1880719275932509E-2</v>
      </c>
      <c r="N18" s="157"/>
      <c r="O18" s="156">
        <f>(SUM($B16:$B18)-SUM(F16:F18))/SUM(F16:F18)</f>
        <v>-0.14582699424213993</v>
      </c>
      <c r="R18" s="57"/>
      <c r="S18" s="10"/>
      <c r="T18" s="99"/>
    </row>
    <row r="19" spans="1:20" x14ac:dyDescent="0.2">
      <c r="A19" s="91">
        <v>45748</v>
      </c>
      <c r="B19" s="93">
        <f>'Gas-dieselolie'!L475</f>
        <v>10434.252276000001</v>
      </c>
      <c r="C19" s="133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4" t="s">
        <v>232</v>
      </c>
      <c r="I19" s="160">
        <f t="shared" si="1"/>
        <v>-0.13519113629404567</v>
      </c>
      <c r="J19" s="155"/>
      <c r="K19" s="156">
        <f t="shared" si="0"/>
        <v>-0.17352397035326511</v>
      </c>
      <c r="L19" s="91"/>
      <c r="M19" s="156"/>
      <c r="N19" s="157"/>
      <c r="O19" s="154"/>
      <c r="R19" s="10"/>
    </row>
    <row r="20" spans="1:20" x14ac:dyDescent="0.2">
      <c r="A20" s="91">
        <v>45778</v>
      </c>
      <c r="B20" s="93">
        <f>'Gas-dieselolie'!L476</f>
        <v>10217.071535999999</v>
      </c>
      <c r="C20" s="133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4" t="s">
        <v>233</v>
      </c>
      <c r="I20" s="160">
        <f t="shared" si="1"/>
        <v>-0.20206618168168605</v>
      </c>
      <c r="J20" s="155"/>
      <c r="K20" s="156">
        <f t="shared" si="0"/>
        <v>-0.19127003640323958</v>
      </c>
      <c r="L20" s="91"/>
      <c r="M20" s="156"/>
      <c r="N20" s="157"/>
      <c r="O20" s="154"/>
      <c r="R20" s="10"/>
      <c r="S20" s="52"/>
    </row>
    <row r="21" spans="1:20" x14ac:dyDescent="0.2">
      <c r="A21" s="91">
        <v>45809</v>
      </c>
      <c r="B21" s="93">
        <f>'Gas-dieselolie'!L477</f>
        <v>9846.8779080000004</v>
      </c>
      <c r="C21" s="133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4" t="s">
        <v>234</v>
      </c>
      <c r="I21" s="160">
        <f t="shared" si="1"/>
        <v>-5.0417319539132567E-2</v>
      </c>
      <c r="J21" s="155"/>
      <c r="K21" s="156">
        <f t="shared" si="0"/>
        <v>-0.18984376521638027</v>
      </c>
      <c r="L21" s="91" t="s">
        <v>290</v>
      </c>
      <c r="M21" s="156">
        <f>(SUM($B16:$B21)-SUM(D16:D21))/SUM(D16:D21)</f>
        <v>-0.10357488141557934</v>
      </c>
      <c r="N21" s="157"/>
      <c r="O21" s="156">
        <f>(SUM($B16:$B21)-SUM(F16:F21))/SUM(F16:F21)</f>
        <v>-0.16532203597490672</v>
      </c>
      <c r="R21" s="10"/>
      <c r="S21" s="52"/>
    </row>
    <row r="22" spans="1:20" x14ac:dyDescent="0.2">
      <c r="A22" s="91">
        <v>45839</v>
      </c>
      <c r="B22" s="93">
        <f>'Gas-dieselolie'!L478</f>
        <v>9869.0443320000013</v>
      </c>
      <c r="C22" s="133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4" t="s">
        <v>235</v>
      </c>
      <c r="I22" s="160">
        <f t="shared" si="1"/>
        <v>-4.7366963265588514E-2</v>
      </c>
      <c r="J22" s="155"/>
      <c r="K22" s="156">
        <f t="shared" si="0"/>
        <v>-0.17009107766998488</v>
      </c>
      <c r="L22" s="91"/>
      <c r="M22" s="156"/>
      <c r="N22" s="157"/>
      <c r="O22" s="154"/>
      <c r="R22" s="10"/>
      <c r="S22" s="10"/>
    </row>
    <row r="23" spans="1:20" x14ac:dyDescent="0.2">
      <c r="A23" s="91">
        <v>45870</v>
      </c>
      <c r="B23" s="93"/>
      <c r="C23" s="133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4" t="s">
        <v>236</v>
      </c>
      <c r="I23" s="160">
        <f t="shared" si="1"/>
        <v>-1</v>
      </c>
      <c r="J23" s="155"/>
      <c r="K23" s="156">
        <f t="shared" si="0"/>
        <v>-1</v>
      </c>
      <c r="L23" s="91"/>
      <c r="M23" s="156"/>
      <c r="N23" s="157"/>
      <c r="O23" s="154"/>
      <c r="S23" s="10"/>
      <c r="T23" s="99"/>
    </row>
    <row r="24" spans="1:20" x14ac:dyDescent="0.2">
      <c r="A24" s="91">
        <v>45901</v>
      </c>
      <c r="B24" s="93"/>
      <c r="C24" s="133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4" t="s">
        <v>237</v>
      </c>
      <c r="I24" s="160">
        <f t="shared" si="1"/>
        <v>-1</v>
      </c>
      <c r="J24" s="155"/>
      <c r="K24" s="156">
        <f t="shared" si="0"/>
        <v>-1</v>
      </c>
      <c r="L24" s="91" t="s">
        <v>291</v>
      </c>
      <c r="M24" s="156">
        <f>(SUM($B16:$B24)-SUM(D16:D24))/SUM(D16:D24)</f>
        <v>-0.30961784839518791</v>
      </c>
      <c r="N24" s="157"/>
      <c r="O24" s="156">
        <f>(SUM($B16:$B24)-SUM(F16:F24))/SUM(F16:F24)</f>
        <v>-0.36491141496688462</v>
      </c>
      <c r="S24" s="10"/>
      <c r="T24" s="99"/>
    </row>
    <row r="25" spans="1:20" x14ac:dyDescent="0.2">
      <c r="A25" s="91">
        <v>45931</v>
      </c>
      <c r="B25" s="93"/>
      <c r="C25" s="133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4" t="s">
        <v>238</v>
      </c>
      <c r="I25" s="160">
        <f t="shared" ref="I25" si="3">($B25-D25)/D25</f>
        <v>-1</v>
      </c>
      <c r="J25" s="155"/>
      <c r="K25" s="156">
        <f>($B25-F25)/F25</f>
        <v>-1</v>
      </c>
      <c r="L25" s="91"/>
      <c r="M25" s="156"/>
      <c r="N25" s="157"/>
      <c r="O25" s="154"/>
    </row>
    <row r="26" spans="1:20" x14ac:dyDescent="0.2">
      <c r="A26" s="91">
        <v>45962</v>
      </c>
      <c r="B26" s="93"/>
      <c r="C26" s="133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4" t="s">
        <v>239</v>
      </c>
      <c r="I26" s="160">
        <f t="shared" ref="I26" si="4">($B26-D26)/D26</f>
        <v>-1</v>
      </c>
      <c r="J26" s="155"/>
      <c r="K26" s="156">
        <f>($B26-F26)/F26</f>
        <v>-1</v>
      </c>
      <c r="L26" s="91"/>
      <c r="M26" s="156"/>
      <c r="N26" s="157"/>
      <c r="O26" s="154"/>
    </row>
    <row r="27" spans="1:20" ht="13.5" thickBot="1" x14ac:dyDescent="0.25">
      <c r="A27" s="95">
        <v>45992</v>
      </c>
      <c r="B27" s="96"/>
      <c r="C27" s="134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5" t="s">
        <v>240</v>
      </c>
      <c r="I27" s="169">
        <f t="shared" ref="I27" si="5">($B27-D27)/D27</f>
        <v>-1</v>
      </c>
      <c r="J27" s="158"/>
      <c r="K27" s="159">
        <f>($B27-F27)/F27</f>
        <v>-1</v>
      </c>
      <c r="L27" s="95" t="s">
        <v>292</v>
      </c>
      <c r="M27" s="159">
        <f>(SUM($B16:$B27)-SUM(D16:D27))/SUM(D16:D27)</f>
        <v>-0.47908987271826875</v>
      </c>
      <c r="N27" s="162"/>
      <c r="O27" s="159">
        <f>(SUM($B16:$B27)-SUM(F16:F27))/SUM(F16:F27)</f>
        <v>-0.52368719912049322</v>
      </c>
    </row>
    <row r="31" spans="1:20" ht="13.5" thickBot="1" x14ac:dyDescent="0.25"/>
    <row r="32" spans="1:20" ht="15.75" x14ac:dyDescent="0.25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5" thickBot="1" x14ac:dyDescent="0.3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25">
      <c r="A34" s="182" t="s">
        <v>245</v>
      </c>
      <c r="B34" s="183"/>
      <c r="C34" s="182" t="s">
        <v>243</v>
      </c>
      <c r="D34" s="187"/>
      <c r="E34" s="184" t="s">
        <v>244</v>
      </c>
      <c r="F34" s="186"/>
      <c r="H34" s="182" t="s">
        <v>293</v>
      </c>
      <c r="I34" s="183"/>
      <c r="J34" s="182" t="s">
        <v>294</v>
      </c>
      <c r="K34" s="183"/>
      <c r="L34" s="182" t="s">
        <v>293</v>
      </c>
      <c r="M34" s="183"/>
      <c r="N34" s="182" t="s">
        <v>294</v>
      </c>
      <c r="O34" s="183"/>
    </row>
    <row r="35" spans="1:15" x14ac:dyDescent="0.2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3" t="s">
        <v>229</v>
      </c>
      <c r="I35" s="152">
        <f>($B35-D35)/D35</f>
        <v>-1.5830935278967243E-2</v>
      </c>
      <c r="J35" s="151"/>
      <c r="K35" s="152">
        <f t="shared" ref="K35:K55" si="6">($B35-F35)/F35</f>
        <v>1.0099209148512965E-2</v>
      </c>
      <c r="L35" s="87"/>
      <c r="M35" s="152"/>
      <c r="N35" s="153"/>
      <c r="O35" s="154"/>
    </row>
    <row r="36" spans="1:15" x14ac:dyDescent="0.2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4" t="s">
        <v>230</v>
      </c>
      <c r="I36" s="156">
        <f t="shared" ref="I36:I55" si="7">($B36-D36)/D36</f>
        <v>-2.8420187866199723E-2</v>
      </c>
      <c r="J36" s="155"/>
      <c r="K36" s="156">
        <f t="shared" si="6"/>
        <v>9.3494514483919849E-3</v>
      </c>
      <c r="L36" s="91"/>
      <c r="M36" s="156"/>
      <c r="N36" s="157"/>
      <c r="O36" s="154"/>
    </row>
    <row r="37" spans="1:15" x14ac:dyDescent="0.2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4" t="s">
        <v>231</v>
      </c>
      <c r="I37" s="156">
        <f t="shared" si="7"/>
        <v>-7.452369488960732E-2</v>
      </c>
      <c r="J37" s="155"/>
      <c r="K37" s="156">
        <f t="shared" si="6"/>
        <v>-2.9926607356567114E-2</v>
      </c>
      <c r="L37" s="91" t="s">
        <v>289</v>
      </c>
      <c r="M37" s="156">
        <f>(SUM($B35:$B37)-SUM(D35:D37))/SUM(D35:D37)</f>
        <v>-4.0799671596811367E-2</v>
      </c>
      <c r="N37" s="157"/>
      <c r="O37" s="156">
        <f>(SUM($B35:$B37)-SUM(F35:F37))/SUM(F35:F37)</f>
        <v>-4.3046036549580077E-3</v>
      </c>
    </row>
    <row r="38" spans="1:15" x14ac:dyDescent="0.2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4" t="s">
        <v>232</v>
      </c>
      <c r="I38" s="156">
        <f t="shared" si="7"/>
        <v>3.5438235211148403E-2</v>
      </c>
      <c r="J38" s="155"/>
      <c r="K38" s="156">
        <f t="shared" si="6"/>
        <v>5.4848591964180585E-2</v>
      </c>
      <c r="L38" s="91"/>
      <c r="M38" s="156"/>
      <c r="N38" s="157"/>
      <c r="O38" s="154"/>
    </row>
    <row r="39" spans="1:15" x14ac:dyDescent="0.2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4" t="s">
        <v>233</v>
      </c>
      <c r="I39" s="156">
        <f t="shared" si="7"/>
        <v>-2.6654625047821571E-2</v>
      </c>
      <c r="J39" s="155"/>
      <c r="K39" s="156">
        <f t="shared" si="6"/>
        <v>2.1211606768026376E-2</v>
      </c>
      <c r="L39" s="91"/>
      <c r="M39" s="156"/>
      <c r="N39" s="157"/>
      <c r="O39" s="154"/>
    </row>
    <row r="40" spans="1:15" x14ac:dyDescent="0.2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4" t="s">
        <v>234</v>
      </c>
      <c r="I40" s="156">
        <f t="shared" si="7"/>
        <v>-0.10344939502518569</v>
      </c>
      <c r="J40" s="155"/>
      <c r="K40" s="156">
        <f t="shared" si="6"/>
        <v>-0.104354017466909</v>
      </c>
      <c r="L40" s="91" t="s">
        <v>290</v>
      </c>
      <c r="M40" s="156">
        <f>(SUM($B35:$B40)-SUM(D35:D40))/SUM(D35:D40)</f>
        <v>-3.6839590031967941E-2</v>
      </c>
      <c r="N40" s="157"/>
      <c r="O40" s="156">
        <f>(SUM(D35:D40)-SUM(F35:F40))/SUM(F35:F40)</f>
        <v>2.9665422873985364E-2</v>
      </c>
    </row>
    <row r="41" spans="1:15" x14ac:dyDescent="0.2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4" t="s">
        <v>235</v>
      </c>
      <c r="I41" s="156">
        <f t="shared" si="7"/>
        <v>1.582472405862732E-2</v>
      </c>
      <c r="J41" s="155"/>
      <c r="K41" s="156">
        <f t="shared" si="6"/>
        <v>-7.1785716638449515E-2</v>
      </c>
      <c r="L41" s="91"/>
      <c r="M41" s="156"/>
      <c r="N41" s="157"/>
      <c r="O41" s="154"/>
    </row>
    <row r="42" spans="1:15" x14ac:dyDescent="0.2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4" t="s">
        <v>236</v>
      </c>
      <c r="I42" s="156">
        <f t="shared" si="7"/>
        <v>-7.5066972828167003E-2</v>
      </c>
      <c r="J42" s="155"/>
      <c r="K42" s="156">
        <f t="shared" si="6"/>
        <v>-8.1648550128052888E-2</v>
      </c>
      <c r="L42" s="91"/>
      <c r="M42" s="156"/>
      <c r="N42" s="157"/>
      <c r="O42" s="154"/>
    </row>
    <row r="43" spans="1:15" x14ac:dyDescent="0.2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4" t="s">
        <v>237</v>
      </c>
      <c r="I43" s="156">
        <f t="shared" si="7"/>
        <v>-4.6694597696381311E-2</v>
      </c>
      <c r="J43" s="155"/>
      <c r="K43" s="156">
        <f t="shared" si="6"/>
        <v>-8.2839016590152303E-2</v>
      </c>
      <c r="L43" s="91" t="s">
        <v>291</v>
      </c>
      <c r="M43" s="156">
        <f>(SUM($B35:$B43)-SUM(D35:D43))/SUM(D35:D43)</f>
        <v>-3.6926999143786401E-2</v>
      </c>
      <c r="N43" s="157"/>
      <c r="O43" s="156">
        <f>(SUM($B35:$B43)-SUM(F35:F43))/SUM(F35:F43)</f>
        <v>-3.3272834374426366E-2</v>
      </c>
    </row>
    <row r="44" spans="1:15" x14ac:dyDescent="0.2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4" t="s">
        <v>238</v>
      </c>
      <c r="I44" s="156">
        <f t="shared" si="7"/>
        <v>-3.8391916911577409E-2</v>
      </c>
      <c r="J44" s="155"/>
      <c r="K44" s="156">
        <f t="shared" si="6"/>
        <v>-5.252985575651526E-2</v>
      </c>
      <c r="L44" s="91"/>
      <c r="M44" s="156"/>
      <c r="N44" s="157"/>
      <c r="O44" s="154"/>
    </row>
    <row r="45" spans="1:15" x14ac:dyDescent="0.2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4" t="s">
        <v>239</v>
      </c>
      <c r="I45" s="156">
        <f t="shared" si="7"/>
        <v>-0.11195134776111132</v>
      </c>
      <c r="J45" s="155"/>
      <c r="K45" s="156">
        <f t="shared" si="6"/>
        <v>-0.10021913559908978</v>
      </c>
      <c r="L45" s="91"/>
      <c r="M45" s="156"/>
      <c r="N45" s="157"/>
      <c r="O45" s="154"/>
    </row>
    <row r="46" spans="1:15" ht="13.5" thickBot="1" x14ac:dyDescent="0.25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5" t="s">
        <v>240</v>
      </c>
      <c r="I46" s="159">
        <f>($B46-D46)/D46</f>
        <v>-5.8783282558750614E-2</v>
      </c>
      <c r="J46" s="158"/>
      <c r="K46" s="159">
        <f>($B46-F46)/F46</f>
        <v>-6.7311548930691342E-2</v>
      </c>
      <c r="L46" s="91" t="s">
        <v>292</v>
      </c>
      <c r="M46" s="156">
        <f>(SUM($B35:$B46)-SUM(D35:D46))/SUM(D35:D46)</f>
        <v>-4.5067914711301144E-2</v>
      </c>
      <c r="N46" s="157"/>
      <c r="O46" s="156">
        <f>(SUM($B35:$B46)-SUM(F35:F46))/SUM(F35:F46)</f>
        <v>-4.3205424370536955E-2</v>
      </c>
    </row>
    <row r="47" spans="1:15" x14ac:dyDescent="0.2">
      <c r="A47" s="87">
        <v>45658</v>
      </c>
      <c r="B47" s="90">
        <f>Motorbenzin!L472</f>
        <v>4070.1478499999998</v>
      </c>
      <c r="C47" s="132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3" t="s">
        <v>229</v>
      </c>
      <c r="I47" s="168">
        <f t="shared" si="7"/>
        <v>-4.9131639332939459E-2</v>
      </c>
      <c r="J47" s="151"/>
      <c r="K47" s="152">
        <f t="shared" si="6"/>
        <v>-2.3395749322924788E-2</v>
      </c>
      <c r="L47" s="87"/>
      <c r="M47" s="152"/>
      <c r="N47" s="153"/>
      <c r="O47" s="161"/>
    </row>
    <row r="48" spans="1:15" x14ac:dyDescent="0.2">
      <c r="A48" s="91">
        <v>45689</v>
      </c>
      <c r="B48" s="93">
        <f>Motorbenzin!L473</f>
        <v>3927.5131499999998</v>
      </c>
      <c r="C48" s="133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4" t="s">
        <v>230</v>
      </c>
      <c r="I48" s="160">
        <f t="shared" si="7"/>
        <v>-4.6282336611864899E-2</v>
      </c>
      <c r="J48" s="155"/>
      <c r="K48" s="156">
        <f t="shared" si="6"/>
        <v>-4.0214051075553793E-2</v>
      </c>
      <c r="L48" s="91"/>
      <c r="M48" s="156"/>
      <c r="N48" s="157"/>
      <c r="O48" s="154"/>
    </row>
    <row r="49" spans="1:19" x14ac:dyDescent="0.2">
      <c r="A49" s="91">
        <v>45717</v>
      </c>
      <c r="B49" s="93">
        <f>Motorbenzin!L474</f>
        <v>4132.6614</v>
      </c>
      <c r="C49" s="133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4" t="s">
        <v>231</v>
      </c>
      <c r="I49" s="160">
        <f t="shared" si="7"/>
        <v>-6.50366021329567E-2</v>
      </c>
      <c r="J49" s="155"/>
      <c r="K49" s="156">
        <f t="shared" si="6"/>
        <v>-7.7890150743308156E-2</v>
      </c>
      <c r="L49" s="91" t="s">
        <v>289</v>
      </c>
      <c r="M49" s="156">
        <f>(SUM($B47:$B49)-SUM(D47:D49))/SUM(D47:D49)</f>
        <v>-5.3700614270448012E-2</v>
      </c>
      <c r="N49" s="157"/>
      <c r="O49" s="156">
        <f>(SUM($B47:$B49)-SUM(F47:F49))/SUM(F47:F49)</f>
        <v>-4.7965262426772667E-2</v>
      </c>
    </row>
    <row r="50" spans="1:19" x14ac:dyDescent="0.2">
      <c r="A50" s="91">
        <v>45748</v>
      </c>
      <c r="B50" s="93">
        <f>Motorbenzin!L475</f>
        <v>4613.8481999999995</v>
      </c>
      <c r="C50" s="133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4" t="s">
        <v>232</v>
      </c>
      <c r="I50" s="160">
        <f t="shared" si="7"/>
        <v>-4.3379353089816941E-2</v>
      </c>
      <c r="J50" s="155"/>
      <c r="K50" s="156">
        <f t="shared" si="6"/>
        <v>2.0272959991631628E-2</v>
      </c>
      <c r="L50" s="91"/>
      <c r="M50" s="156"/>
      <c r="N50" s="157"/>
      <c r="O50" s="154"/>
    </row>
    <row r="51" spans="1:19" x14ac:dyDescent="0.2">
      <c r="A51" s="91">
        <v>45778</v>
      </c>
      <c r="B51" s="93">
        <f>Motorbenzin!L476</f>
        <v>4578.5015999999996</v>
      </c>
      <c r="C51" s="133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4" t="s">
        <v>233</v>
      </c>
      <c r="I51" s="160">
        <f t="shared" si="7"/>
        <v>-0.101941403506511</v>
      </c>
      <c r="J51" s="155"/>
      <c r="K51" s="156">
        <f t="shared" si="6"/>
        <v>-7.1262554107938608E-2</v>
      </c>
      <c r="L51" s="91"/>
      <c r="M51" s="156"/>
      <c r="N51" s="157"/>
      <c r="O51" s="154"/>
    </row>
    <row r="52" spans="1:19" x14ac:dyDescent="0.2">
      <c r="A52" s="91">
        <v>45809</v>
      </c>
      <c r="B52" s="93">
        <f>Motorbenzin!L477</f>
        <v>4469.3081999999995</v>
      </c>
      <c r="C52" s="133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4" t="s">
        <v>234</v>
      </c>
      <c r="I52" s="160">
        <f t="shared" si="7"/>
        <v>-1.4965355961163967E-2</v>
      </c>
      <c r="J52" s="155"/>
      <c r="K52" s="156">
        <f t="shared" si="6"/>
        <v>-9.8181143281366179E-2</v>
      </c>
      <c r="L52" s="91" t="s">
        <v>290</v>
      </c>
      <c r="M52" s="156">
        <f>(SUM($B47:$B52)-SUM(D47:D52))/SUM(D47:D52)</f>
        <v>-5.4448935155523605E-2</v>
      </c>
      <c r="N52" s="157"/>
      <c r="O52" s="156">
        <f>(SUM($B47:$B52)-SUM(F47:F52))/SUM(F47:F52)</f>
        <v>-4.9995898186950091E-2</v>
      </c>
    </row>
    <row r="53" spans="1:19" x14ac:dyDescent="0.2">
      <c r="A53" s="91">
        <v>45839</v>
      </c>
      <c r="B53" s="93">
        <f>Motorbenzin!L478</f>
        <v>4379.2991999999995</v>
      </c>
      <c r="C53" s="133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4" t="s">
        <v>235</v>
      </c>
      <c r="I53" s="160">
        <f t="shared" si="7"/>
        <v>-5.3867226866900451E-2</v>
      </c>
      <c r="J53" s="155"/>
      <c r="K53" s="156">
        <f t="shared" si="6"/>
        <v>-0.10313853075964668</v>
      </c>
      <c r="L53" s="91"/>
      <c r="M53" s="156"/>
      <c r="N53" s="157"/>
      <c r="O53" s="154"/>
    </row>
    <row r="54" spans="1:19" x14ac:dyDescent="0.2">
      <c r="A54" s="91">
        <v>45870</v>
      </c>
      <c r="B54" s="93"/>
      <c r="C54" s="133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4" t="s">
        <v>236</v>
      </c>
      <c r="I54" s="160">
        <f t="shared" si="7"/>
        <v>-1</v>
      </c>
      <c r="J54" s="155"/>
      <c r="K54" s="156">
        <f t="shared" si="6"/>
        <v>-1</v>
      </c>
      <c r="L54" s="91"/>
      <c r="M54" s="156"/>
      <c r="N54" s="157"/>
      <c r="O54" s="154"/>
    </row>
    <row r="55" spans="1:19" x14ac:dyDescent="0.2">
      <c r="A55" s="91">
        <v>45901</v>
      </c>
      <c r="B55" s="93"/>
      <c r="C55" s="133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4" t="s">
        <v>237</v>
      </c>
      <c r="I55" s="160">
        <f t="shared" si="7"/>
        <v>-1</v>
      </c>
      <c r="J55" s="155"/>
      <c r="K55" s="156">
        <f t="shared" si="6"/>
        <v>-1</v>
      </c>
      <c r="L55" s="91" t="s">
        <v>291</v>
      </c>
      <c r="M55" s="156">
        <f>(SUM($B47:$B55)-SUM(D47:D55))/SUM(D47:D55)</f>
        <v>-0.267670634537781</v>
      </c>
      <c r="N55" s="157"/>
      <c r="O55" s="156">
        <f>(SUM($B47:$B55)-SUM(F47:F55))/SUM(F47:F55)</f>
        <v>-0.28124672300105003</v>
      </c>
    </row>
    <row r="56" spans="1:19" x14ac:dyDescent="0.2">
      <c r="A56" s="91">
        <v>45931</v>
      </c>
      <c r="B56" s="93"/>
      <c r="C56" s="133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4" t="s">
        <v>238</v>
      </c>
      <c r="I56" s="160">
        <f t="shared" ref="I56" si="9">($B56-D56)/D56</f>
        <v>-1</v>
      </c>
      <c r="J56" s="155"/>
      <c r="K56" s="156">
        <f t="shared" ref="K56" si="10">($B56-F56)/F56</f>
        <v>-1</v>
      </c>
      <c r="L56" s="91"/>
      <c r="M56" s="156"/>
      <c r="N56" s="157"/>
      <c r="O56" s="154"/>
    </row>
    <row r="57" spans="1:19" x14ac:dyDescent="0.2">
      <c r="A57" s="91">
        <v>45962</v>
      </c>
      <c r="B57" s="93"/>
      <c r="C57" s="133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4" t="s">
        <v>239</v>
      </c>
      <c r="I57" s="160">
        <f t="shared" ref="I57:I58" si="11">($B57-D57)/D57</f>
        <v>-1</v>
      </c>
      <c r="J57" s="155"/>
      <c r="K57" s="156">
        <f t="shared" ref="K57" si="12">($B57-F57)/F57</f>
        <v>-1</v>
      </c>
      <c r="L57" s="91"/>
      <c r="M57" s="156"/>
      <c r="N57" s="157"/>
      <c r="O57" s="154"/>
    </row>
    <row r="58" spans="1:19" ht="13.5" thickBot="1" x14ac:dyDescent="0.25">
      <c r="A58" s="95">
        <v>45992</v>
      </c>
      <c r="B58" s="96"/>
      <c r="C58" s="134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5" t="s">
        <v>240</v>
      </c>
      <c r="I58" s="169">
        <f t="shared" si="11"/>
        <v>-1</v>
      </c>
      <c r="J58" s="158"/>
      <c r="K58" s="159">
        <f>($B58-F58)/F58</f>
        <v>-1</v>
      </c>
      <c r="L58" s="95" t="s">
        <v>292</v>
      </c>
      <c r="M58" s="159">
        <f>(SUM($B47:$B58)-SUM(D47:D58))/SUM(D47:D58)</f>
        <v>-0.44434065455390237</v>
      </c>
      <c r="N58" s="162"/>
      <c r="O58" s="159">
        <f>(SUM($B47:$B58)-SUM(F47:F58))/SUM(F47:F58)</f>
        <v>-0.45952263175715863</v>
      </c>
    </row>
    <row r="59" spans="1:19" x14ac:dyDescent="0.2">
      <c r="R59" s="10"/>
    </row>
    <row r="60" spans="1:19" x14ac:dyDescent="0.2">
      <c r="R60" s="10"/>
      <c r="S60" s="99"/>
    </row>
    <row r="61" spans="1:19" ht="13.5" thickBot="1" x14ac:dyDescent="0.25">
      <c r="Q61" s="57"/>
      <c r="R61" s="10"/>
      <c r="S61" s="99"/>
    </row>
    <row r="62" spans="1:19" ht="15.75" x14ac:dyDescent="0.25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5" thickBot="1" x14ac:dyDescent="0.3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25">
      <c r="A64" s="184" t="s">
        <v>246</v>
      </c>
      <c r="B64" s="185"/>
      <c r="C64" s="184" t="s">
        <v>243</v>
      </c>
      <c r="D64" s="186"/>
      <c r="E64" s="184" t="s">
        <v>244</v>
      </c>
      <c r="F64" s="186"/>
      <c r="H64" s="182" t="s">
        <v>293</v>
      </c>
      <c r="I64" s="183"/>
      <c r="J64" s="182" t="s">
        <v>294</v>
      </c>
      <c r="K64" s="183"/>
      <c r="L64" s="182" t="s">
        <v>293</v>
      </c>
      <c r="M64" s="183"/>
      <c r="N64" s="182" t="s">
        <v>294</v>
      </c>
      <c r="O64" s="183"/>
      <c r="Q64" s="10"/>
      <c r="R64" s="52"/>
    </row>
    <row r="65" spans="1:19" x14ac:dyDescent="0.2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3" t="s">
        <v>229</v>
      </c>
      <c r="I65" s="152">
        <f>($B65-D65)/D65</f>
        <v>0.10174955308736033</v>
      </c>
      <c r="J65" s="151"/>
      <c r="K65" s="152">
        <f t="shared" ref="K65:K85" si="13">($B65-F65)/F65</f>
        <v>0.20730129063542682</v>
      </c>
      <c r="L65" s="87"/>
      <c r="M65" s="152"/>
      <c r="N65" s="153"/>
      <c r="O65" s="154"/>
      <c r="Q65" s="10"/>
      <c r="R65" s="10"/>
    </row>
    <row r="66" spans="1:19" x14ac:dyDescent="0.2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4" t="s">
        <v>230</v>
      </c>
      <c r="I66" s="156">
        <f t="shared" ref="I66:I85" si="14">($B66-D66)/D66</f>
        <v>0.20216976982847057</v>
      </c>
      <c r="J66" s="155"/>
      <c r="K66" s="156">
        <f t="shared" si="13"/>
        <v>0.20536633010051233</v>
      </c>
      <c r="L66" s="91"/>
      <c r="M66" s="156"/>
      <c r="N66" s="157"/>
      <c r="O66" s="154"/>
      <c r="R66" s="10"/>
      <c r="S66" s="99"/>
    </row>
    <row r="67" spans="1:19" x14ac:dyDescent="0.2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4" t="s">
        <v>231</v>
      </c>
      <c r="I67" s="156">
        <f t="shared" si="14"/>
        <v>0.12723472499737096</v>
      </c>
      <c r="J67" s="155"/>
      <c r="K67" s="156">
        <f t="shared" si="13"/>
        <v>0.36083753614310615</v>
      </c>
      <c r="L67" s="91" t="s">
        <v>289</v>
      </c>
      <c r="M67" s="156">
        <f>(SUM($B65:$B67)-SUM(D65:D67))/SUM(D65:D67)</f>
        <v>0.14114249879683241</v>
      </c>
      <c r="N67" s="157"/>
      <c r="O67" s="156">
        <f>(SUM($B65:$B67)-SUM(F65:F67))/SUM(F65:F67)</f>
        <v>0.25853666382513313</v>
      </c>
      <c r="R67" s="10"/>
      <c r="S67" s="99"/>
    </row>
    <row r="68" spans="1:19" x14ac:dyDescent="0.2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4" t="s">
        <v>232</v>
      </c>
      <c r="I68" s="156">
        <f t="shared" si="14"/>
        <v>3.8340393179102872E-2</v>
      </c>
      <c r="J68" s="155"/>
      <c r="K68" s="156">
        <f t="shared" si="13"/>
        <v>0.47392569934382539</v>
      </c>
      <c r="L68" s="91"/>
      <c r="M68" s="156"/>
      <c r="N68" s="157"/>
      <c r="O68" s="154"/>
    </row>
    <row r="69" spans="1:19" x14ac:dyDescent="0.2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4" t="s">
        <v>233</v>
      </c>
      <c r="I69" s="156">
        <f t="shared" si="14"/>
        <v>0.24876506408891558</v>
      </c>
      <c r="J69" s="155"/>
      <c r="K69" s="156">
        <f t="shared" si="13"/>
        <v>0.76349165303569744</v>
      </c>
      <c r="L69" s="91"/>
      <c r="M69" s="156"/>
      <c r="N69" s="157"/>
      <c r="O69" s="154"/>
    </row>
    <row r="70" spans="1:19" x14ac:dyDescent="0.2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4" t="s">
        <v>234</v>
      </c>
      <c r="I70" s="156">
        <f t="shared" si="14"/>
        <v>2.9454131918119856E-2</v>
      </c>
      <c r="J70" s="155"/>
      <c r="K70" s="156">
        <f t="shared" si="13"/>
        <v>0.4542484972622729</v>
      </c>
      <c r="L70" s="91" t="s">
        <v>290</v>
      </c>
      <c r="M70" s="156">
        <f>(SUM($B65:$B70)-SUM(D65:D70))/SUM(D65:D70)</f>
        <v>0.1187360351065605</v>
      </c>
      <c r="N70" s="157"/>
      <c r="O70" s="156">
        <f>(SUM(D65:D70)-SUM(F65:F70))/SUM(F65:F70)</f>
        <v>0.26652860985450555</v>
      </c>
    </row>
    <row r="71" spans="1:19" x14ac:dyDescent="0.2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4" t="s">
        <v>235</v>
      </c>
      <c r="I71" s="156">
        <f t="shared" si="14"/>
        <v>7.9412372554422711E-2</v>
      </c>
      <c r="J71" s="155"/>
      <c r="K71" s="156">
        <f t="shared" si="13"/>
        <v>0.42945766136849334</v>
      </c>
      <c r="L71" s="91"/>
      <c r="M71" s="156"/>
      <c r="N71" s="157"/>
      <c r="O71" s="154"/>
    </row>
    <row r="72" spans="1:19" x14ac:dyDescent="0.2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4" t="s">
        <v>236</v>
      </c>
      <c r="I72" s="156">
        <f t="shared" si="14"/>
        <v>0.10104666417688928</v>
      </c>
      <c r="J72" s="155"/>
      <c r="K72" s="156">
        <f t="shared" si="13"/>
        <v>0.32584650581403402</v>
      </c>
      <c r="L72" s="91"/>
      <c r="M72" s="156"/>
      <c r="N72" s="157"/>
      <c r="O72" s="154"/>
    </row>
    <row r="73" spans="1:19" x14ac:dyDescent="0.2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4" t="s">
        <v>237</v>
      </c>
      <c r="I73" s="156">
        <f t="shared" si="14"/>
        <v>1.244392863393122E-2</v>
      </c>
      <c r="J73" s="155"/>
      <c r="K73" s="156">
        <f t="shared" si="13"/>
        <v>0.31080720098455444</v>
      </c>
      <c r="L73" s="91" t="s">
        <v>291</v>
      </c>
      <c r="M73" s="156">
        <f>(SUM($B65:$B73)-SUM(D65:D73))/SUM(D65:D73)</f>
        <v>9.7009624239578596E-2</v>
      </c>
      <c r="N73" s="157"/>
      <c r="O73" s="156">
        <f>(SUM($B65:$B73)-SUM(F65:F73))/SUM(F65:F73)</f>
        <v>0.39279782564272764</v>
      </c>
    </row>
    <row r="74" spans="1:19" x14ac:dyDescent="0.2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4" t="s">
        <v>238</v>
      </c>
      <c r="I74" s="156">
        <f t="shared" si="14"/>
        <v>6.944760388231716E-2</v>
      </c>
      <c r="J74" s="155"/>
      <c r="K74" s="156">
        <f t="shared" si="13"/>
        <v>0.34767029370662778</v>
      </c>
      <c r="L74" s="91"/>
      <c r="M74" s="156"/>
      <c r="N74" s="157"/>
      <c r="O74" s="154"/>
    </row>
    <row r="75" spans="1:19" x14ac:dyDescent="0.2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4" t="s">
        <v>239</v>
      </c>
      <c r="I75" s="156">
        <f t="shared" si="14"/>
        <v>0.27499356499356509</v>
      </c>
      <c r="J75" s="155"/>
      <c r="K75" s="156">
        <f t="shared" si="13"/>
        <v>0.52645608628659524</v>
      </c>
      <c r="L75" s="91"/>
      <c r="M75" s="156"/>
      <c r="N75" s="157"/>
      <c r="O75" s="154"/>
    </row>
    <row r="76" spans="1:19" ht="13.5" thickBot="1" x14ac:dyDescent="0.25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5" t="s">
        <v>240</v>
      </c>
      <c r="I76" s="159">
        <f t="shared" si="14"/>
        <v>2.6021755201182745E-2</v>
      </c>
      <c r="J76" s="158"/>
      <c r="K76" s="159">
        <f t="shared" si="13"/>
        <v>0.31922775057505898</v>
      </c>
      <c r="L76" s="91" t="s">
        <v>292</v>
      </c>
      <c r="M76" s="156">
        <f>(SUM($B65:$B76)-SUM(D65:D76))/SUM(D65:D76)</f>
        <v>0.10081277252783587</v>
      </c>
      <c r="N76" s="157"/>
      <c r="O76" s="156">
        <f>(SUM($B65:$B76)-SUM(F65:F76))/SUM(F65:F76)</f>
        <v>0.3922001689102132</v>
      </c>
    </row>
    <row r="77" spans="1:19" x14ac:dyDescent="0.2">
      <c r="A77" s="87">
        <v>45658</v>
      </c>
      <c r="B77" s="90">
        <f>'JP1'!L472</f>
        <v>3640.6368000000002</v>
      </c>
      <c r="C77" s="132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3" t="s">
        <v>229</v>
      </c>
      <c r="I77" s="168">
        <f t="shared" si="14"/>
        <v>0.39135523340869799</v>
      </c>
      <c r="J77" s="151"/>
      <c r="K77" s="152">
        <f t="shared" si="13"/>
        <v>0.79740841663259088</v>
      </c>
      <c r="L77" s="87"/>
      <c r="M77" s="152"/>
      <c r="N77" s="153"/>
      <c r="O77" s="161"/>
    </row>
    <row r="78" spans="1:19" x14ac:dyDescent="0.2">
      <c r="A78" s="91">
        <v>45689</v>
      </c>
      <c r="B78" s="93">
        <f>'JP1'!L473</f>
        <v>2369.6712000000002</v>
      </c>
      <c r="C78" s="133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4" t="s">
        <v>230</v>
      </c>
      <c r="I78" s="160">
        <f t="shared" si="14"/>
        <v>-7.731707317073154E-2</v>
      </c>
      <c r="J78" s="155"/>
      <c r="K78" s="156">
        <f t="shared" si="13"/>
        <v>0.16832179206500641</v>
      </c>
      <c r="L78" s="91"/>
      <c r="M78" s="156"/>
      <c r="N78" s="157"/>
      <c r="O78" s="154"/>
    </row>
    <row r="79" spans="1:19" x14ac:dyDescent="0.2">
      <c r="A79" s="91">
        <v>45717</v>
      </c>
      <c r="B79" s="93">
        <f>'JP1'!L474</f>
        <v>3324.4788000000003</v>
      </c>
      <c r="C79" s="133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4" t="s">
        <v>231</v>
      </c>
      <c r="I79" s="160">
        <f t="shared" si="14"/>
        <v>0.11405114809156745</v>
      </c>
      <c r="J79" s="155"/>
      <c r="K79" s="156">
        <f t="shared" si="13"/>
        <v>0.58862481375053244</v>
      </c>
      <c r="L79" s="91" t="s">
        <v>289</v>
      </c>
      <c r="M79" s="156">
        <f>(SUM($B77:$B79)-SUM(D77:D79))/SUM(D77:D79)</f>
        <v>0.14271047665299214</v>
      </c>
      <c r="N79" s="157"/>
      <c r="O79" s="156">
        <f>(SUM($B77:$B79)-SUM(F77:F79))/SUM(F77:F79)</f>
        <v>0.51873098337804302</v>
      </c>
    </row>
    <row r="80" spans="1:19" x14ac:dyDescent="0.2">
      <c r="A80" s="91">
        <v>45748</v>
      </c>
      <c r="B80" s="93">
        <f>'JP1'!L475</f>
        <v>3560.2836000000002</v>
      </c>
      <c r="C80" s="133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4" t="s">
        <v>232</v>
      </c>
      <c r="I80" s="160">
        <f t="shared" si="14"/>
        <v>7.0156903765690407E-2</v>
      </c>
      <c r="J80" s="155"/>
      <c r="K80" s="156">
        <f t="shared" si="13"/>
        <v>0.60266873866224713</v>
      </c>
      <c r="L80" s="91"/>
      <c r="M80" s="156"/>
      <c r="N80" s="157"/>
      <c r="O80" s="154"/>
    </row>
    <row r="81" spans="1:15" x14ac:dyDescent="0.2">
      <c r="A81" s="91">
        <v>45778</v>
      </c>
      <c r="B81" s="93">
        <f>'JP1'!L476</f>
        <v>3800.0208000000002</v>
      </c>
      <c r="C81" s="133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4" t="s">
        <v>233</v>
      </c>
      <c r="I81" s="160">
        <f t="shared" si="14"/>
        <v>-6.9079872803689782E-2</v>
      </c>
      <c r="J81" s="155"/>
      <c r="K81" s="156">
        <f t="shared" si="13"/>
        <v>0.59088326393603596</v>
      </c>
      <c r="L81" s="91"/>
      <c r="M81" s="156"/>
      <c r="N81" s="157"/>
      <c r="O81" s="154"/>
    </row>
    <row r="82" spans="1:15" x14ac:dyDescent="0.2">
      <c r="A82" s="91">
        <v>45809</v>
      </c>
      <c r="B82" s="93">
        <f>'JP1'!L477</f>
        <v>4303.6116000000002</v>
      </c>
      <c r="C82" s="133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4" t="s">
        <v>234</v>
      </c>
      <c r="I82" s="160">
        <f t="shared" si="14"/>
        <v>0.13844496814817539</v>
      </c>
      <c r="J82" s="155"/>
      <c r="K82" s="156">
        <f t="shared" si="13"/>
        <v>0.70731067540291959</v>
      </c>
      <c r="L82" s="91" t="s">
        <v>290</v>
      </c>
      <c r="M82" s="156">
        <f>(SUM($B77:$B82)-SUM(D77:D82))/SUM(D77:D82)</f>
        <v>8.4748718243724333E-2</v>
      </c>
      <c r="N82" s="157"/>
      <c r="O82" s="156">
        <f>(SUM($B77:$B82)-SUM(F77:F82))/SUM(F77:F82)</f>
        <v>0.58155749907739795</v>
      </c>
    </row>
    <row r="83" spans="1:15" x14ac:dyDescent="0.2">
      <c r="A83" s="91">
        <v>45839</v>
      </c>
      <c r="B83" s="93">
        <f>'JP1'!L478</f>
        <v>4424.9592000000002</v>
      </c>
      <c r="C83" s="133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4" t="s">
        <v>235</v>
      </c>
      <c r="I83" s="160">
        <f t="shared" si="14"/>
        <v>1.4391703230953318E-2</v>
      </c>
      <c r="J83" s="155"/>
      <c r="K83" s="156">
        <f t="shared" si="13"/>
        <v>0.46314801091774405</v>
      </c>
      <c r="L83" s="91"/>
      <c r="M83" s="156"/>
      <c r="N83" s="157"/>
      <c r="O83" s="154"/>
    </row>
    <row r="84" spans="1:15" x14ac:dyDescent="0.2">
      <c r="A84" s="91">
        <v>45870</v>
      </c>
      <c r="B84" s="93"/>
      <c r="C84" s="133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4" t="s">
        <v>236</v>
      </c>
      <c r="I84" s="160">
        <f t="shared" si="14"/>
        <v>-1</v>
      </c>
      <c r="J84" s="155"/>
      <c r="K84" s="156">
        <f t="shared" si="13"/>
        <v>-1</v>
      </c>
      <c r="L84" s="91"/>
      <c r="M84" s="156"/>
      <c r="N84" s="157"/>
      <c r="O84" s="154"/>
    </row>
    <row r="85" spans="1:15" x14ac:dyDescent="0.2">
      <c r="A85" s="91">
        <v>45901</v>
      </c>
      <c r="B85" s="93"/>
      <c r="C85" s="133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4" t="s">
        <v>237</v>
      </c>
      <c r="I85" s="160">
        <f t="shared" si="14"/>
        <v>-1</v>
      </c>
      <c r="J85" s="155"/>
      <c r="K85" s="156">
        <f t="shared" si="13"/>
        <v>-1</v>
      </c>
      <c r="L85" s="91" t="s">
        <v>291</v>
      </c>
      <c r="M85" s="156">
        <f>(SUM($B77:$B85)-SUM(D77:D85))/SUM(D77:D85)</f>
        <v>-0.19409496809208895</v>
      </c>
      <c r="N85" s="157"/>
      <c r="O85" s="156">
        <f>(SUM($B77:$B85)-SUM(F77:F85))/SUM(F77:F85)</f>
        <v>0.14946317529476663</v>
      </c>
    </row>
    <row r="86" spans="1:15" x14ac:dyDescent="0.2">
      <c r="A86" s="91">
        <v>45931</v>
      </c>
      <c r="B86" s="93"/>
      <c r="C86" s="133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4" t="s">
        <v>238</v>
      </c>
      <c r="I86" s="160">
        <f t="shared" ref="I86" si="16">($B86-D86)/D86</f>
        <v>-1</v>
      </c>
      <c r="J86" s="155"/>
      <c r="K86" s="156">
        <f t="shared" ref="K86" si="17">($B86-F86)/F86</f>
        <v>-1</v>
      </c>
      <c r="L86" s="91"/>
      <c r="M86" s="156"/>
      <c r="N86" s="157"/>
      <c r="O86" s="154"/>
    </row>
    <row r="87" spans="1:15" x14ac:dyDescent="0.2">
      <c r="A87" s="91">
        <v>45962</v>
      </c>
      <c r="B87" s="93"/>
      <c r="C87" s="133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4" t="s">
        <v>239</v>
      </c>
      <c r="I87" s="160">
        <f t="shared" ref="I87" si="18">($B87-D87)/D87</f>
        <v>-1</v>
      </c>
      <c r="J87" s="155"/>
      <c r="K87" s="156">
        <f t="shared" ref="K87" si="19">($B87-F87)/F87</f>
        <v>-1</v>
      </c>
      <c r="L87" s="91"/>
      <c r="M87" s="156"/>
      <c r="N87" s="157"/>
      <c r="O87" s="154"/>
    </row>
    <row r="88" spans="1:15" ht="13.5" thickBot="1" x14ac:dyDescent="0.25">
      <c r="A88" s="95">
        <v>45992</v>
      </c>
      <c r="B88" s="96"/>
      <c r="C88" s="134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5" t="s">
        <v>240</v>
      </c>
      <c r="I88" s="169">
        <f t="shared" ref="I88" si="20">($B88-D88)/D88</f>
        <v>-1</v>
      </c>
      <c r="J88" s="158"/>
      <c r="K88" s="159">
        <f t="shared" ref="K88" si="21">($B88-F88)/F88</f>
        <v>-1</v>
      </c>
      <c r="L88" s="95" t="s">
        <v>292</v>
      </c>
      <c r="M88" s="159">
        <f>(SUM($B77:$B88)-SUM(D77:D88))/SUM(D77:D88)</f>
        <v>-0.39899240436767369</v>
      </c>
      <c r="N88" s="162"/>
      <c r="O88" s="159">
        <f>(SUM($B77:$B88)-SUM(F77:F88))/SUM(F77:F88)</f>
        <v>-0.14819981256233436</v>
      </c>
    </row>
    <row r="98" spans="8:10" x14ac:dyDescent="0.2">
      <c r="I98" s="10"/>
    </row>
    <row r="99" spans="8:10" x14ac:dyDescent="0.2">
      <c r="I99" s="10"/>
      <c r="J99" s="99"/>
    </row>
    <row r="100" spans="8:10" x14ac:dyDescent="0.2">
      <c r="H100" s="57"/>
      <c r="I100" s="10"/>
      <c r="J100" s="99"/>
    </row>
    <row r="101" spans="8:10" x14ac:dyDescent="0.2">
      <c r="H101" s="10"/>
    </row>
    <row r="102" spans="8:10" x14ac:dyDescent="0.2">
      <c r="H102" s="10"/>
      <c r="I102" s="52"/>
    </row>
    <row r="103" spans="8:10" x14ac:dyDescent="0.2">
      <c r="H103" s="10"/>
      <c r="I103" s="52"/>
    </row>
    <row r="104" spans="8:10" x14ac:dyDescent="0.2">
      <c r="H104" s="10"/>
      <c r="I104" s="10"/>
    </row>
    <row r="105" spans="8:10" x14ac:dyDescent="0.2">
      <c r="I105" s="10"/>
      <c r="J105" s="99"/>
    </row>
    <row r="106" spans="8:10" x14ac:dyDescent="0.2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AR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L481" sqref="L481"/>
    </sheetView>
  </sheetViews>
  <sheetFormatPr defaultColWidth="8.85546875" defaultRowHeight="12.75" x14ac:dyDescent="0.2"/>
  <cols>
    <col min="1" max="1" width="20.5703125" style="57" customWidth="1"/>
    <col min="2" max="2" width="9.5703125" style="57" customWidth="1"/>
    <col min="3" max="3" width="15.42578125" style="65" customWidth="1"/>
    <col min="4" max="5" width="12.42578125" style="65" customWidth="1"/>
    <col min="6" max="6" width="14.85546875" style="65" bestFit="1" customWidth="1"/>
    <col min="7" max="7" width="14" style="65" customWidth="1"/>
    <col min="8" max="8" width="20.5703125" style="65" customWidth="1"/>
    <col min="9" max="9" width="20.42578125" style="65" customWidth="1"/>
    <col min="10" max="10" width="5" style="57" customWidth="1"/>
    <col min="11" max="11" width="3.42578125" style="57" customWidth="1"/>
    <col min="12" max="12" width="17.85546875" style="57" bestFit="1" customWidth="1"/>
    <col min="13" max="13" width="8.85546875" style="57"/>
    <col min="14" max="14" width="25.5703125" style="57" bestFit="1" customWidth="1"/>
    <col min="15" max="15" width="13.42578125" style="57" bestFit="1" customWidth="1"/>
    <col min="16" max="16" width="10.42578125" style="57" customWidth="1"/>
    <col min="17" max="27" width="8.85546875" style="57"/>
    <col min="28" max="30" width="9.85546875" style="57" bestFit="1" customWidth="1"/>
    <col min="31" max="36" width="8.85546875" style="57"/>
    <col min="37" max="37" width="2" style="57" bestFit="1" customWidth="1"/>
    <col min="38" max="38" width="9.42578125" style="57" bestFit="1" customWidth="1"/>
    <col min="39" max="39" width="10.5703125" style="57" bestFit="1" customWidth="1"/>
    <col min="40" max="40" width="2" style="57" bestFit="1" customWidth="1"/>
    <col min="41" max="42" width="9.42578125" style="57" bestFit="1" customWidth="1"/>
    <col min="43" max="43" width="9.85546875" style="57" bestFit="1" customWidth="1"/>
    <col min="44" max="16384" width="8.85546875" style="57"/>
  </cols>
  <sheetData>
    <row r="1" spans="1:27" x14ac:dyDescent="0.2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5" thickBot="1" x14ac:dyDescent="0.25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5" thickBot="1" x14ac:dyDescent="0.25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">
      <c r="A6" s="21"/>
      <c r="C6" s="64"/>
      <c r="D6" s="64"/>
      <c r="E6" s="64"/>
      <c r="F6" s="64"/>
      <c r="G6" s="64"/>
      <c r="H6" s="64"/>
      <c r="I6" s="64"/>
    </row>
    <row r="7" spans="1:27" x14ac:dyDescent="0.2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">
      <c r="A29" s="22" t="str">
        <f>'Olieforbrug, TJ'!A29</f>
        <v>Januar - Juli</v>
      </c>
      <c r="J29" s="65"/>
      <c r="K29" s="65"/>
      <c r="L29" s="65"/>
      <c r="M29" s="65"/>
      <c r="N29" s="22" t="str">
        <f>'Olieforbrug, TJ'!M29</f>
        <v>January - July</v>
      </c>
      <c r="P29" s="65"/>
    </row>
    <row r="30" spans="1:44" x14ac:dyDescent="0.2">
      <c r="A30" s="22">
        <f>'Olieforbrug, TJ'!A30</f>
        <v>2005</v>
      </c>
      <c r="C30" s="3">
        <f>SUM(C212:C218)</f>
        <v>10975333</v>
      </c>
      <c r="D30" s="3">
        <f t="shared" ref="D30:L30" si="11">SUM(D212:D218)</f>
        <v>1792714</v>
      </c>
      <c r="E30" s="3">
        <f t="shared" si="11"/>
        <v>8382296</v>
      </c>
      <c r="F30" s="3">
        <f t="shared" si="11"/>
        <v>0</v>
      </c>
      <c r="G30" s="3">
        <f t="shared" si="11"/>
        <v>52361</v>
      </c>
      <c r="H30" s="3">
        <f t="shared" si="11"/>
        <v>4475981</v>
      </c>
      <c r="I30" s="3">
        <f>I218</f>
        <v>542051</v>
      </c>
      <c r="J30" s="3"/>
      <c r="K30" s="3"/>
      <c r="L30" s="3">
        <f t="shared" si="11"/>
        <v>471939.31900000008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">
      <c r="A31" s="22">
        <f>'Olieforbrug, TJ'!A31</f>
        <v>2006</v>
      </c>
      <c r="C31" s="3">
        <f>SUM(C225:C231)</f>
        <v>10053299</v>
      </c>
      <c r="D31" s="3">
        <f t="shared" ref="D31:L31" si="12">SUM(D225:D231)</f>
        <v>1612884</v>
      </c>
      <c r="E31" s="3">
        <f t="shared" si="12"/>
        <v>7189079</v>
      </c>
      <c r="F31" s="3">
        <f t="shared" si="12"/>
        <v>0</v>
      </c>
      <c r="G31" s="3">
        <f t="shared" si="12"/>
        <v>77807</v>
      </c>
      <c r="H31" s="3">
        <f t="shared" si="12"/>
        <v>4511110</v>
      </c>
      <c r="I31" s="3">
        <f>I231</f>
        <v>405985</v>
      </c>
      <c r="J31" s="3"/>
      <c r="K31" s="3"/>
      <c r="L31" s="3">
        <f t="shared" si="12"/>
        <v>432291.85700000002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">
      <c r="A32" s="22">
        <f>'Olieforbrug, TJ'!A32</f>
        <v>2007</v>
      </c>
      <c r="C32" s="3">
        <f>SUM(C238:C244)</f>
        <v>8793170</v>
      </c>
      <c r="D32" s="3">
        <f t="shared" ref="D32:L32" si="13">SUM(D238:D244)</f>
        <v>1247108</v>
      </c>
      <c r="E32" s="3">
        <f t="shared" si="13"/>
        <v>5730765</v>
      </c>
      <c r="F32" s="3">
        <f t="shared" si="13"/>
        <v>0</v>
      </c>
      <c r="G32" s="3">
        <f t="shared" si="13"/>
        <v>26187</v>
      </c>
      <c r="H32" s="3">
        <f t="shared" si="13"/>
        <v>4370350</v>
      </c>
      <c r="I32" s="3">
        <f>I244</f>
        <v>448411</v>
      </c>
      <c r="J32" s="3"/>
      <c r="K32" s="3"/>
      <c r="L32" s="3">
        <f t="shared" si="13"/>
        <v>378106.31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">
      <c r="A33" s="22">
        <f>'Olieforbrug, TJ'!A33</f>
        <v>2008</v>
      </c>
      <c r="C33" s="3">
        <f>SUM(C251:C257)</f>
        <v>8302669</v>
      </c>
      <c r="D33" s="3">
        <f t="shared" ref="D33:L33" si="14">SUM(D251:D257)</f>
        <v>1324644</v>
      </c>
      <c r="E33" s="3">
        <f t="shared" si="14"/>
        <v>5224249</v>
      </c>
      <c r="F33" s="3">
        <f t="shared" si="14"/>
        <v>0</v>
      </c>
      <c r="G33" s="3">
        <f t="shared" si="14"/>
        <v>-5246</v>
      </c>
      <c r="H33" s="3">
        <f t="shared" si="14"/>
        <v>4380750</v>
      </c>
      <c r="I33" s="3">
        <f>I257</f>
        <v>520358</v>
      </c>
      <c r="J33" s="3"/>
      <c r="K33" s="3"/>
      <c r="L33" s="3">
        <f t="shared" si="14"/>
        <v>357014.76699999999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">
      <c r="A34" s="22">
        <f>'Olieforbrug, TJ'!A34</f>
        <v>2009</v>
      </c>
      <c r="C34" s="3">
        <f>SUM(C264:C270)</f>
        <v>7777598</v>
      </c>
      <c r="D34" s="3">
        <f t="shared" ref="D34:L34" si="15">SUM(D264:D270)</f>
        <v>2076080</v>
      </c>
      <c r="E34" s="3">
        <f t="shared" si="15"/>
        <v>5053330</v>
      </c>
      <c r="F34" s="3">
        <f t="shared" si="15"/>
        <v>0</v>
      </c>
      <c r="G34" s="3">
        <f t="shared" si="15"/>
        <v>5333</v>
      </c>
      <c r="H34" s="3">
        <f t="shared" si="15"/>
        <v>4742335</v>
      </c>
      <c r="I34" s="3">
        <f>I270</f>
        <v>501235</v>
      </c>
      <c r="J34" s="3"/>
      <c r="K34" s="3"/>
      <c r="L34" s="3">
        <f t="shared" si="15"/>
        <v>334436.71400000004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">
      <c r="A35" s="22">
        <f>'Olieforbrug, TJ'!A35</f>
        <v>2010</v>
      </c>
      <c r="C35" s="3">
        <f>SUM(C277:C283)</f>
        <v>7238191</v>
      </c>
      <c r="D35" s="3">
        <f t="shared" ref="D35:L35" si="16">SUM(D277:D283)</f>
        <v>1601495</v>
      </c>
      <c r="E35" s="3">
        <f t="shared" si="16"/>
        <v>4381499</v>
      </c>
      <c r="F35" s="3">
        <f t="shared" si="16"/>
        <v>0</v>
      </c>
      <c r="G35" s="3">
        <f t="shared" si="16"/>
        <v>94728</v>
      </c>
      <c r="H35" s="3">
        <f t="shared" si="16"/>
        <v>4556341</v>
      </c>
      <c r="I35" s="3">
        <f>I283</f>
        <v>500353</v>
      </c>
      <c r="J35" s="3"/>
      <c r="K35" s="3"/>
      <c r="L35" s="3">
        <f t="shared" si="16"/>
        <v>311242.21299999999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">
      <c r="A36" s="22">
        <f>'Olieforbrug, TJ'!A36</f>
        <v>2011</v>
      </c>
      <c r="C36" s="3">
        <f>SUM(C290:C296)</f>
        <v>6566085</v>
      </c>
      <c r="D36" s="3">
        <f t="shared" ref="D36:L36" si="17">SUM(D290:D296)</f>
        <v>1749925</v>
      </c>
      <c r="E36" s="3">
        <f t="shared" si="17"/>
        <v>4409335</v>
      </c>
      <c r="F36" s="3">
        <f t="shared" si="17"/>
        <v>0</v>
      </c>
      <c r="G36" s="3">
        <f t="shared" si="17"/>
        <v>34989</v>
      </c>
      <c r="H36" s="3">
        <f t="shared" si="17"/>
        <v>4057705</v>
      </c>
      <c r="I36" s="3">
        <f>I296</f>
        <v>479280</v>
      </c>
      <c r="J36" s="3"/>
      <c r="K36" s="3"/>
      <c r="L36" s="3">
        <f t="shared" si="17"/>
        <v>282341.65499999997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">
      <c r="A37" s="22">
        <f>'Olieforbrug, TJ'!A37</f>
        <v>2012</v>
      </c>
      <c r="C37" s="3">
        <f>SUM(C303:C309)</f>
        <v>5955492</v>
      </c>
      <c r="D37" s="3">
        <f t="shared" ref="D37:L37" si="18">SUM(D303:D309)</f>
        <v>1926424</v>
      </c>
      <c r="E37" s="3">
        <f t="shared" si="18"/>
        <v>3687073</v>
      </c>
      <c r="F37" s="3">
        <f t="shared" si="18"/>
        <v>0</v>
      </c>
      <c r="G37" s="3">
        <f t="shared" si="18"/>
        <v>-51908</v>
      </c>
      <c r="H37" s="3">
        <f t="shared" si="18"/>
        <v>4279542</v>
      </c>
      <c r="I37" s="3">
        <f>I309</f>
        <v>531974</v>
      </c>
      <c r="J37" s="3"/>
      <c r="K37" s="3"/>
      <c r="L37" s="3">
        <f t="shared" si="18"/>
        <v>256086.15600000002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">
      <c r="A38" s="22">
        <f>'Olieforbrug, TJ'!A38</f>
        <v>2013</v>
      </c>
      <c r="C38" s="3">
        <f>SUM(C316:C322)</f>
        <v>5291205</v>
      </c>
      <c r="D38" s="3">
        <f t="shared" ref="D38:L38" si="19">SUM(D316:D322)</f>
        <v>2638449</v>
      </c>
      <c r="E38" s="3">
        <f t="shared" si="19"/>
        <v>3805510</v>
      </c>
      <c r="F38" s="3">
        <f t="shared" si="19"/>
        <v>0</v>
      </c>
      <c r="G38" s="3">
        <f t="shared" si="19"/>
        <v>251984</v>
      </c>
      <c r="H38" s="3">
        <f t="shared" si="19"/>
        <v>4242959</v>
      </c>
      <c r="I38" s="3">
        <f>I322</f>
        <v>434809</v>
      </c>
      <c r="J38" s="3"/>
      <c r="K38" s="3"/>
      <c r="L38" s="3">
        <f t="shared" si="19"/>
        <v>227521.81499999997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">
      <c r="A39" s="22">
        <f>'Olieforbrug, TJ'!A39</f>
        <v>2014</v>
      </c>
      <c r="C39" s="3">
        <f>SUM(C329:C335)</f>
        <v>4490545</v>
      </c>
      <c r="D39" s="3">
        <f t="shared" ref="D39:L39" si="20">SUM(D329:D335)</f>
        <v>2086669</v>
      </c>
      <c r="E39" s="3">
        <f t="shared" si="20"/>
        <v>2620502</v>
      </c>
      <c r="F39" s="3">
        <f t="shared" si="20"/>
        <v>0</v>
      </c>
      <c r="G39" s="3">
        <f t="shared" si="20"/>
        <v>108597</v>
      </c>
      <c r="H39" s="3">
        <f t="shared" si="20"/>
        <v>4071915</v>
      </c>
      <c r="I39" s="3">
        <f>I335</f>
        <v>467256</v>
      </c>
      <c r="J39" s="3"/>
      <c r="K39" s="3"/>
      <c r="L39" s="3">
        <f t="shared" si="20"/>
        <v>193093.435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">
      <c r="A40" s="22">
        <f>'Olieforbrug, TJ'!A40</f>
        <v>2015</v>
      </c>
      <c r="C40" s="3">
        <f>SUM(C342:C348)</f>
        <v>4515089</v>
      </c>
      <c r="D40" s="3">
        <f t="shared" ref="D40:L40" si="21">SUM(D342:D348)</f>
        <v>2288925</v>
      </c>
      <c r="E40" s="3">
        <f t="shared" si="21"/>
        <v>2516972</v>
      </c>
      <c r="F40" s="3">
        <f t="shared" si="21"/>
        <v>0</v>
      </c>
      <c r="G40" s="3">
        <f t="shared" si="21"/>
        <v>25216</v>
      </c>
      <c r="H40" s="3">
        <f t="shared" si="21"/>
        <v>4314874</v>
      </c>
      <c r="I40" s="3">
        <f>I348</f>
        <v>429529</v>
      </c>
      <c r="J40" s="3"/>
      <c r="K40" s="3"/>
      <c r="L40" s="3">
        <f t="shared" si="21"/>
        <v>194148.82699999999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">
      <c r="A41" s="22">
        <f>'Olieforbrug, TJ'!A41</f>
        <v>2016</v>
      </c>
      <c r="C41" s="3">
        <f>SUM(C355:C361)</f>
        <v>4038266</v>
      </c>
      <c r="D41" s="3">
        <f t="shared" ref="D41:L41" si="22">SUM(D355:D361)</f>
        <v>2034988</v>
      </c>
      <c r="E41" s="3">
        <f t="shared" si="22"/>
        <v>2456009</v>
      </c>
      <c r="F41" s="3">
        <f t="shared" si="22"/>
        <v>0</v>
      </c>
      <c r="G41" s="3">
        <f t="shared" si="22"/>
        <v>83528</v>
      </c>
      <c r="H41" s="3">
        <f t="shared" si="22"/>
        <v>3785596</v>
      </c>
      <c r="I41" s="3">
        <f>I361</f>
        <v>445947</v>
      </c>
      <c r="J41" s="3"/>
      <c r="K41" s="3"/>
      <c r="L41" s="3">
        <f t="shared" si="22"/>
        <v>173645.43799999999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">
      <c r="A42" s="22">
        <f>'Olieforbrug, TJ'!A42</f>
        <v>2017</v>
      </c>
      <c r="C42" s="3">
        <f>SUM(C368:C374)</f>
        <v>3950187</v>
      </c>
      <c r="D42" s="3">
        <f t="shared" ref="D42:L42" si="23">SUM(D368:D374)</f>
        <v>2768021</v>
      </c>
      <c r="E42" s="3">
        <f t="shared" si="23"/>
        <v>2305487</v>
      </c>
      <c r="F42" s="3">
        <f t="shared" si="23"/>
        <v>0</v>
      </c>
      <c r="G42" s="3">
        <f t="shared" si="23"/>
        <v>105861</v>
      </c>
      <c r="H42" s="3">
        <f t="shared" si="23"/>
        <v>4568561</v>
      </c>
      <c r="I42" s="3">
        <f>I374</f>
        <v>397057</v>
      </c>
      <c r="J42" s="3"/>
      <c r="K42" s="3"/>
      <c r="L42" s="3">
        <f t="shared" si="23"/>
        <v>169858.041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">
      <c r="A43" s="22">
        <f>'Olieforbrug, TJ'!A43</f>
        <v>2018</v>
      </c>
      <c r="C43" s="3">
        <f>SUM(C381:C387)</f>
        <v>3316670</v>
      </c>
      <c r="D43" s="3">
        <f t="shared" ref="D43:L43" si="24">SUM(D381:D387)</f>
        <v>2958337</v>
      </c>
      <c r="E43" s="3">
        <f t="shared" si="24"/>
        <v>1586521</v>
      </c>
      <c r="F43" s="3">
        <f t="shared" si="24"/>
        <v>0</v>
      </c>
      <c r="G43" s="3">
        <f t="shared" si="24"/>
        <v>-124680</v>
      </c>
      <c r="H43" s="3">
        <f t="shared" si="24"/>
        <v>4451226</v>
      </c>
      <c r="I43" s="3">
        <f>I387</f>
        <v>595528</v>
      </c>
      <c r="J43" s="3"/>
      <c r="K43" s="3"/>
      <c r="L43" s="3">
        <f t="shared" si="24"/>
        <v>142616.81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">
      <c r="A44" s="22">
        <f>'Olieforbrug, TJ'!A44</f>
        <v>2019</v>
      </c>
      <c r="C44" s="3">
        <f>SUM(C394:C400)</f>
        <v>3252645</v>
      </c>
      <c r="D44" s="3">
        <f t="shared" ref="D44:L44" si="25">SUM(D394:D400)</f>
        <v>2701992</v>
      </c>
      <c r="E44" s="3">
        <f t="shared" si="25"/>
        <v>1485994</v>
      </c>
      <c r="F44" s="3">
        <f t="shared" si="25"/>
        <v>0</v>
      </c>
      <c r="G44" s="3">
        <f t="shared" si="25"/>
        <v>50203</v>
      </c>
      <c r="H44" s="3">
        <f t="shared" si="25"/>
        <v>4545686</v>
      </c>
      <c r="I44" s="3">
        <f>I400</f>
        <v>445997</v>
      </c>
      <c r="J44" s="3"/>
      <c r="K44" s="3"/>
      <c r="L44" s="3">
        <f t="shared" si="25"/>
        <v>139863.73499999999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">
      <c r="A45" s="22">
        <f>'Olieforbrug, TJ'!A45</f>
        <v>2020</v>
      </c>
      <c r="C45" s="3">
        <f>SUM(C407:C413)</f>
        <v>2137020</v>
      </c>
      <c r="D45" s="3">
        <f t="shared" ref="D45:L45" si="26">SUM(D407:D413)</f>
        <v>2923982</v>
      </c>
      <c r="E45" s="3">
        <f t="shared" si="26"/>
        <v>757738</v>
      </c>
      <c r="F45" s="3">
        <f t="shared" si="26"/>
        <v>0</v>
      </c>
      <c r="G45" s="3">
        <f t="shared" si="26"/>
        <v>53712</v>
      </c>
      <c r="H45" s="3">
        <f t="shared" si="26"/>
        <v>4379163</v>
      </c>
      <c r="I45" s="3">
        <f>I413</f>
        <v>593541</v>
      </c>
      <c r="J45" s="3"/>
      <c r="K45" s="3"/>
      <c r="L45" s="3">
        <f t="shared" si="26"/>
        <v>91891.86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">
      <c r="A46" s="22">
        <f>'Olieforbrug, TJ'!A46</f>
        <v>2021</v>
      </c>
      <c r="C46" s="3">
        <f>SUM(C420:C426)</f>
        <v>1858937</v>
      </c>
      <c r="D46" s="3">
        <f t="shared" ref="D46:L46" si="27">SUM(D420:D426)</f>
        <v>3057485</v>
      </c>
      <c r="E46" s="3">
        <f t="shared" si="27"/>
        <v>576246</v>
      </c>
      <c r="F46" s="3">
        <f t="shared" si="27"/>
        <v>0</v>
      </c>
      <c r="G46" s="3">
        <f t="shared" si="27"/>
        <v>132773</v>
      </c>
      <c r="H46" s="3">
        <f t="shared" si="27"/>
        <v>4374082</v>
      </c>
      <c r="I46" s="3">
        <f>I426</f>
        <v>548670</v>
      </c>
      <c r="J46" s="3"/>
      <c r="K46" s="3"/>
      <c r="L46" s="3">
        <f t="shared" si="27"/>
        <v>79934.290999999997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">
      <c r="A47" s="22">
        <f>'Olieforbrug, TJ'!A47</f>
        <v>2022</v>
      </c>
      <c r="C47" s="3">
        <f>SUM(C433:C439)</f>
        <v>1905397</v>
      </c>
      <c r="D47" s="3">
        <f t="shared" ref="D47:L47" si="28">SUM(D433:D439)</f>
        <v>2688805</v>
      </c>
      <c r="E47" s="3">
        <f t="shared" si="28"/>
        <v>450122</v>
      </c>
      <c r="F47" s="3">
        <f t="shared" si="28"/>
        <v>0</v>
      </c>
      <c r="G47" s="3">
        <f t="shared" si="28"/>
        <v>184530</v>
      </c>
      <c r="H47" s="3">
        <f t="shared" si="28"/>
        <v>4359933</v>
      </c>
      <c r="I47" s="3">
        <f>I439</f>
        <v>428701</v>
      </c>
      <c r="J47" s="3"/>
      <c r="K47" s="3"/>
      <c r="L47" s="3">
        <f t="shared" si="28"/>
        <v>81932.070999999996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">
      <c r="A48" s="22">
        <f>'Olieforbrug, TJ'!A48</f>
        <v>2023</v>
      </c>
      <c r="C48" s="3">
        <f>SUM(C446:C452)</f>
        <v>1675713</v>
      </c>
      <c r="D48" s="3">
        <f t="shared" ref="D48:L48" si="29">SUM(D446:D452)</f>
        <v>2653264</v>
      </c>
      <c r="E48" s="3">
        <f t="shared" si="29"/>
        <v>61350</v>
      </c>
      <c r="F48" s="3">
        <f t="shared" si="29"/>
        <v>0</v>
      </c>
      <c r="G48" s="3">
        <f t="shared" si="29"/>
        <v>95110</v>
      </c>
      <c r="H48" s="3">
        <f t="shared" si="29"/>
        <v>4315324</v>
      </c>
      <c r="I48" s="3">
        <f>I452</f>
        <v>433169</v>
      </c>
      <c r="J48" s="3"/>
      <c r="K48" s="3"/>
      <c r="L48" s="3">
        <f t="shared" si="29"/>
        <v>72055.658999999985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">
      <c r="A49" s="22">
        <f>'Olieforbrug, TJ'!A49</f>
        <v>2024</v>
      </c>
      <c r="C49" s="3">
        <f>SUM(C459:C465)</f>
        <v>1676040</v>
      </c>
      <c r="D49" s="3">
        <f t="shared" ref="D49:L49" si="30">SUM(D459:D465)</f>
        <v>2640438</v>
      </c>
      <c r="E49" s="3">
        <f t="shared" si="30"/>
        <v>268258</v>
      </c>
      <c r="F49" s="3">
        <f t="shared" si="30"/>
        <v>0</v>
      </c>
      <c r="G49" s="3">
        <f t="shared" si="30"/>
        <v>9345</v>
      </c>
      <c r="H49" s="3">
        <f t="shared" si="30"/>
        <v>4016115</v>
      </c>
      <c r="I49" s="3">
        <f>I465</f>
        <v>464401</v>
      </c>
      <c r="J49" s="3"/>
      <c r="K49" s="3"/>
      <c r="L49" s="3">
        <f t="shared" si="30"/>
        <v>72069.72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">
      <c r="A50" s="22">
        <f>'Olieforbrug, TJ'!A50</f>
        <v>2025</v>
      </c>
      <c r="C50" s="3">
        <f>SUM(C472:C478)</f>
        <v>1991810</v>
      </c>
      <c r="D50" s="3">
        <f t="shared" ref="D50:L50" si="31">SUM(D472:D478)</f>
        <v>2807819</v>
      </c>
      <c r="E50" s="3">
        <f t="shared" si="31"/>
        <v>459543</v>
      </c>
      <c r="F50" s="3">
        <f t="shared" si="31"/>
        <v>0</v>
      </c>
      <c r="G50" s="3">
        <f t="shared" si="31"/>
        <v>-100365</v>
      </c>
      <c r="H50" s="3">
        <f t="shared" si="31"/>
        <v>4062840</v>
      </c>
      <c r="I50" s="3">
        <f>I478</f>
        <v>430841</v>
      </c>
      <c r="J50" s="3"/>
      <c r="K50" s="3"/>
      <c r="L50" s="3">
        <f t="shared" si="31"/>
        <v>85647.83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5" thickBot="1" x14ac:dyDescent="0.25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">
      <c r="A57" s="32"/>
      <c r="L57" s="65"/>
    </row>
    <row r="58" spans="1:44" x14ac:dyDescent="0.2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">
      <c r="A62" s="32"/>
      <c r="L62" s="65"/>
    </row>
    <row r="63" spans="1:44" x14ac:dyDescent="0.2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">
      <c r="A67" s="32"/>
      <c r="L67" s="65"/>
    </row>
    <row r="68" spans="1:14" x14ac:dyDescent="0.2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">
      <c r="A72" s="32"/>
      <c r="L72" s="65"/>
    </row>
    <row r="73" spans="1:14" x14ac:dyDescent="0.2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">
      <c r="A77" s="32"/>
      <c r="L77" s="65"/>
      <c r="N77" s="26"/>
    </row>
    <row r="78" spans="1:14" x14ac:dyDescent="0.2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">
      <c r="A82" s="32"/>
      <c r="J82" s="65"/>
      <c r="K82" s="65"/>
      <c r="L82" s="65"/>
      <c r="N82" s="26"/>
    </row>
    <row r="83" spans="1:14" x14ac:dyDescent="0.2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">
      <c r="A87" s="32"/>
      <c r="J87" s="65"/>
      <c r="K87" s="65"/>
      <c r="L87" s="65"/>
      <c r="N87" s="26"/>
    </row>
    <row r="88" spans="1:14" x14ac:dyDescent="0.2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">
      <c r="A92" s="32"/>
      <c r="J92" s="65"/>
      <c r="K92" s="65"/>
      <c r="L92" s="65"/>
      <c r="N92" s="26"/>
    </row>
    <row r="93" spans="1:14" x14ac:dyDescent="0.2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">
      <c r="A97" s="32"/>
      <c r="J97" s="65"/>
      <c r="K97" s="65"/>
      <c r="L97" s="65"/>
      <c r="M97" s="26"/>
    </row>
    <row r="98" spans="1:14" x14ac:dyDescent="0.2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">
      <c r="A102" s="32"/>
      <c r="J102" s="65"/>
      <c r="L102" s="65"/>
      <c r="M102" s="65"/>
      <c r="N102" s="26"/>
    </row>
    <row r="103" spans="1:14" x14ac:dyDescent="0.2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">
      <c r="A153" s="170" t="str">
        <f>'Olieforbrug, TJ'!A153</f>
        <v>1. kvartal 2025</v>
      </c>
      <c r="B153"/>
      <c r="C153" s="3">
        <f>SUM(C472:C474)</f>
        <v>772796</v>
      </c>
      <c r="D153" s="3">
        <f t="shared" ref="D153:L153" si="76">SUM(D472:D474)</f>
        <v>1052565</v>
      </c>
      <c r="E153" s="3">
        <f t="shared" si="76"/>
        <v>153843</v>
      </c>
      <c r="F153" s="3">
        <f t="shared" si="76"/>
        <v>0</v>
      </c>
      <c r="G153" s="3">
        <f t="shared" si="76"/>
        <v>14747</v>
      </c>
      <c r="H153" s="3">
        <f t="shared" si="76"/>
        <v>1568308</v>
      </c>
      <c r="I153" s="3">
        <f>I474</f>
        <v>315729</v>
      </c>
      <c r="J153" s="3"/>
      <c r="K153" s="3"/>
      <c r="L153" s="3">
        <f t="shared" si="76"/>
        <v>33230.228000000003</v>
      </c>
      <c r="N153" s="26" t="str">
        <f>'Olieforbrug, TJ'!M153</f>
        <v>1. Quarter 2025</v>
      </c>
    </row>
    <row r="154" spans="1:14" x14ac:dyDescent="0.2">
      <c r="A154" s="170" t="str">
        <f>'Olieforbrug, TJ'!A154</f>
        <v>2. kvartal 2025</v>
      </c>
      <c r="B154"/>
      <c r="C154" s="3">
        <f>SUM(C475:C477)</f>
        <v>915272</v>
      </c>
      <c r="D154" s="3">
        <f t="shared" ref="D154:H154" si="77">SUM(D475:D477)</f>
        <v>1372847</v>
      </c>
      <c r="E154" s="3">
        <f t="shared" si="77"/>
        <v>286016</v>
      </c>
      <c r="F154" s="3">
        <f t="shared" si="77"/>
        <v>0</v>
      </c>
      <c r="G154" s="3">
        <f t="shared" si="77"/>
        <v>-92369</v>
      </c>
      <c r="H154" s="3">
        <f t="shared" si="77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">
      <c r="A155" s="170" t="str">
        <f>'Olieforbrug, TJ'!A155</f>
        <v>3. kvartal 2025</v>
      </c>
      <c r="B155"/>
      <c r="C155" s="3"/>
      <c r="D155" s="3"/>
      <c r="E155" s="3"/>
      <c r="F155" s="3"/>
      <c r="G155" s="3"/>
      <c r="H155" s="3"/>
      <c r="I155" s="3"/>
      <c r="J155" s="3"/>
      <c r="K155" s="3"/>
      <c r="L155" s="3"/>
      <c r="N155" s="26" t="str">
        <f>'Olieforbrug, TJ'!M155</f>
        <v>3. Quarter 2025</v>
      </c>
    </row>
    <row r="156" spans="1:14" x14ac:dyDescent="0.2">
      <c r="A156" s="170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">
      <c r="A157" s="170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5" thickBot="1" x14ac:dyDescent="0.25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8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8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8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8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8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8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8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8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8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8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5" thickBot="1" x14ac:dyDescent="0.25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8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8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8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8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8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8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8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8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8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8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8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5" thickBot="1" x14ac:dyDescent="0.25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8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8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8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8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8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8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8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8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8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8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8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5" thickBot="1" x14ac:dyDescent="0.25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8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8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8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8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8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8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8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8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8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8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8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5" thickBot="1" x14ac:dyDescent="0.25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8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8"/>
        <v>73855</v>
      </c>
      <c r="H213" s="69">
        <v>633068</v>
      </c>
      <c r="I213" s="69">
        <v>477010</v>
      </c>
      <c r="J213" s="70"/>
      <c r="K213" s="70"/>
      <c r="L213" s="69">
        <f t="shared" ref="L213:L245" si="79">C213*43/1000</f>
        <v>66032.218999999997</v>
      </c>
      <c r="N213" s="32" t="s">
        <v>116</v>
      </c>
    </row>
    <row r="214" spans="1:14" x14ac:dyDescent="0.2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8"/>
        <v>-151175</v>
      </c>
      <c r="H214" s="69">
        <v>700229</v>
      </c>
      <c r="I214" s="69">
        <v>628185</v>
      </c>
      <c r="J214" s="70"/>
      <c r="K214" s="70"/>
      <c r="L214" s="69">
        <f t="shared" si="79"/>
        <v>70155.747000000003</v>
      </c>
      <c r="N214" s="32" t="s">
        <v>117</v>
      </c>
    </row>
    <row r="215" spans="1:14" x14ac:dyDescent="0.2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8"/>
        <v>130933</v>
      </c>
      <c r="H215" s="69">
        <v>455148</v>
      </c>
      <c r="I215" s="69">
        <v>497252</v>
      </c>
      <c r="J215" s="70"/>
      <c r="K215" s="70"/>
      <c r="L215" s="69">
        <f t="shared" si="79"/>
        <v>69035.941000000006</v>
      </c>
      <c r="N215" s="32" t="s">
        <v>118</v>
      </c>
    </row>
    <row r="216" spans="1:14" x14ac:dyDescent="0.2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8"/>
        <v>8888</v>
      </c>
      <c r="H216" s="69">
        <v>606673</v>
      </c>
      <c r="I216" s="69">
        <v>488364</v>
      </c>
      <c r="J216" s="70"/>
      <c r="K216" s="70"/>
      <c r="L216" s="69">
        <f t="shared" si="79"/>
        <v>67409.38</v>
      </c>
      <c r="N216" s="32" t="s">
        <v>119</v>
      </c>
    </row>
    <row r="217" spans="1:14" x14ac:dyDescent="0.2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8"/>
        <v>10188</v>
      </c>
      <c r="H217" s="69">
        <v>686962</v>
      </c>
      <c r="I217" s="69">
        <v>478176</v>
      </c>
      <c r="J217" s="70"/>
      <c r="K217" s="70"/>
      <c r="L217" s="69">
        <f t="shared" si="79"/>
        <v>66245.585000000006</v>
      </c>
      <c r="N217" s="32" t="s">
        <v>120</v>
      </c>
    </row>
    <row r="218" spans="1:14" x14ac:dyDescent="0.2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8"/>
        <v>-63875</v>
      </c>
      <c r="H218" s="69">
        <v>703712</v>
      </c>
      <c r="I218" s="69">
        <v>542051</v>
      </c>
      <c r="J218" s="70"/>
      <c r="K218" s="70"/>
      <c r="L218" s="69">
        <f t="shared" si="79"/>
        <v>65266.389000000003</v>
      </c>
      <c r="N218" s="32" t="s">
        <v>121</v>
      </c>
    </row>
    <row r="219" spans="1:14" x14ac:dyDescent="0.2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8"/>
        <v>35616</v>
      </c>
      <c r="H219" s="69">
        <v>726418</v>
      </c>
      <c r="I219" s="69">
        <v>506435</v>
      </c>
      <c r="J219" s="70"/>
      <c r="K219" s="70"/>
      <c r="L219" s="69">
        <f t="shared" si="79"/>
        <v>68416.956000000006</v>
      </c>
      <c r="N219" s="32" t="s">
        <v>122</v>
      </c>
    </row>
    <row r="220" spans="1:14" x14ac:dyDescent="0.2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8"/>
        <v>-6158</v>
      </c>
      <c r="H220" s="69">
        <v>570770</v>
      </c>
      <c r="I220" s="69">
        <v>512593</v>
      </c>
      <c r="J220" s="70"/>
      <c r="K220" s="70"/>
      <c r="L220" s="69">
        <f t="shared" si="79"/>
        <v>62753.856</v>
      </c>
      <c r="N220" s="32" t="s">
        <v>123</v>
      </c>
    </row>
    <row r="221" spans="1:14" x14ac:dyDescent="0.2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8"/>
        <v>-62</v>
      </c>
      <c r="H221" s="69">
        <v>668019</v>
      </c>
      <c r="I221" s="69">
        <v>512655</v>
      </c>
      <c r="J221" s="70"/>
      <c r="K221" s="70"/>
      <c r="L221" s="69">
        <f t="shared" si="79"/>
        <v>66064.597999999998</v>
      </c>
      <c r="N221" s="32" t="s">
        <v>124</v>
      </c>
    </row>
    <row r="222" spans="1:14" x14ac:dyDescent="0.2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8"/>
        <v>53229</v>
      </c>
      <c r="H222" s="69">
        <v>583991</v>
      </c>
      <c r="I222" s="69">
        <v>459426</v>
      </c>
      <c r="J222" s="70"/>
      <c r="K222" s="70"/>
      <c r="L222" s="69">
        <f t="shared" si="79"/>
        <v>63852.118999999999</v>
      </c>
      <c r="N222" s="32" t="s">
        <v>125</v>
      </c>
    </row>
    <row r="223" spans="1:14" ht="13.5" thickBot="1" x14ac:dyDescent="0.25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8"/>
        <v>-24366</v>
      </c>
      <c r="H223" s="72">
        <v>699957</v>
      </c>
      <c r="I223" s="72">
        <v>483792</v>
      </c>
      <c r="J223" s="66"/>
      <c r="K223" s="66"/>
      <c r="L223" s="72">
        <f t="shared" si="79"/>
        <v>63196.841999999997</v>
      </c>
      <c r="N223" s="73" t="s">
        <v>113</v>
      </c>
    </row>
    <row r="224" spans="1:14" x14ac:dyDescent="0.2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79"/>
        <v>62739.536999999997</v>
      </c>
      <c r="N225" s="32" t="s">
        <v>115</v>
      </c>
    </row>
    <row r="226" spans="1:14" x14ac:dyDescent="0.2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8"/>
        <v>-1501</v>
      </c>
      <c r="H226" s="69">
        <v>634806</v>
      </c>
      <c r="I226" s="69">
        <v>472766</v>
      </c>
      <c r="J226" s="70"/>
      <c r="K226" s="70"/>
      <c r="L226" s="69">
        <f t="shared" si="79"/>
        <v>58107.017999999996</v>
      </c>
      <c r="N226" s="32" t="s">
        <v>116</v>
      </c>
    </row>
    <row r="227" spans="1:14" x14ac:dyDescent="0.2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8"/>
        <v>8032</v>
      </c>
      <c r="H227" s="69">
        <v>609801</v>
      </c>
      <c r="I227" s="69">
        <v>464734</v>
      </c>
      <c r="J227" s="70"/>
      <c r="K227" s="70"/>
      <c r="L227" s="69">
        <f t="shared" si="79"/>
        <v>63256.182000000001</v>
      </c>
      <c r="N227" s="32" t="s">
        <v>117</v>
      </c>
    </row>
    <row r="228" spans="1:14" x14ac:dyDescent="0.2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8"/>
        <v>-121709</v>
      </c>
      <c r="H228" s="69">
        <v>683064</v>
      </c>
      <c r="I228" s="69">
        <v>586443</v>
      </c>
      <c r="J228" s="70"/>
      <c r="K228" s="70"/>
      <c r="L228" s="69">
        <f t="shared" si="79"/>
        <v>57181.012999999999</v>
      </c>
      <c r="N228" s="32" t="s">
        <v>118</v>
      </c>
    </row>
    <row r="229" spans="1:14" x14ac:dyDescent="0.2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8"/>
        <v>63840</v>
      </c>
      <c r="H229" s="69">
        <v>722590</v>
      </c>
      <c r="I229" s="69">
        <v>522603</v>
      </c>
      <c r="J229" s="70"/>
      <c r="K229" s="70"/>
      <c r="L229" s="69">
        <f t="shared" si="79"/>
        <v>65279.031000000003</v>
      </c>
      <c r="N229" s="32" t="s">
        <v>119</v>
      </c>
    </row>
    <row r="230" spans="1:14" x14ac:dyDescent="0.2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0">I229-I230</f>
        <v>-3236</v>
      </c>
      <c r="H230" s="69">
        <v>494182</v>
      </c>
      <c r="I230" s="69">
        <v>525839</v>
      </c>
      <c r="J230" s="70"/>
      <c r="K230" s="70"/>
      <c r="L230" s="69">
        <f t="shared" si="79"/>
        <v>59189.843999999997</v>
      </c>
      <c r="N230" s="32" t="s">
        <v>120</v>
      </c>
    </row>
    <row r="231" spans="1:14" x14ac:dyDescent="0.2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0"/>
        <v>119854</v>
      </c>
      <c r="H231" s="69">
        <v>651141</v>
      </c>
      <c r="I231" s="69">
        <v>405985</v>
      </c>
      <c r="J231" s="70"/>
      <c r="K231" s="70"/>
      <c r="L231" s="69">
        <f t="shared" si="79"/>
        <v>66539.232000000004</v>
      </c>
      <c r="N231" s="32" t="s">
        <v>121</v>
      </c>
    </row>
    <row r="232" spans="1:14" x14ac:dyDescent="0.2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0"/>
        <v>-130404</v>
      </c>
      <c r="H232" s="69">
        <v>690213</v>
      </c>
      <c r="I232" s="69">
        <v>536389</v>
      </c>
      <c r="J232" s="70"/>
      <c r="K232" s="70"/>
      <c r="L232" s="69">
        <f t="shared" si="79"/>
        <v>58653.762999999999</v>
      </c>
      <c r="N232" s="32" t="s">
        <v>122</v>
      </c>
    </row>
    <row r="233" spans="1:14" x14ac:dyDescent="0.2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0"/>
        <v>103305</v>
      </c>
      <c r="H233" s="69">
        <v>611993</v>
      </c>
      <c r="I233" s="69">
        <v>433084</v>
      </c>
      <c r="J233" s="70"/>
      <c r="K233" s="70"/>
      <c r="L233" s="69">
        <f t="shared" si="79"/>
        <v>46702.171000000002</v>
      </c>
      <c r="N233" s="32" t="s">
        <v>123</v>
      </c>
    </row>
    <row r="234" spans="1:14" x14ac:dyDescent="0.2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0"/>
        <v>-146660</v>
      </c>
      <c r="H234" s="69">
        <v>717685</v>
      </c>
      <c r="I234" s="69">
        <v>579744</v>
      </c>
      <c r="J234" s="70"/>
      <c r="K234" s="70"/>
      <c r="L234" s="69">
        <f t="shared" si="79"/>
        <v>62610.192999999999</v>
      </c>
      <c r="N234" s="32" t="s">
        <v>124</v>
      </c>
    </row>
    <row r="235" spans="1:14" x14ac:dyDescent="0.2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0"/>
        <v>36013</v>
      </c>
      <c r="H235" s="69">
        <v>686127</v>
      </c>
      <c r="I235" s="69">
        <v>543731</v>
      </c>
      <c r="J235" s="70"/>
      <c r="K235" s="70"/>
      <c r="L235" s="69">
        <f t="shared" si="79"/>
        <v>61447.343999999997</v>
      </c>
      <c r="N235" s="32" t="s">
        <v>125</v>
      </c>
    </row>
    <row r="236" spans="1:14" ht="13.5" thickBot="1" x14ac:dyDescent="0.25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0"/>
        <v>69133</v>
      </c>
      <c r="H236" s="72">
        <v>713977</v>
      </c>
      <c r="I236" s="72">
        <v>474598</v>
      </c>
      <c r="J236" s="66"/>
      <c r="K236" s="66"/>
      <c r="L236" s="72">
        <f t="shared" si="79"/>
        <v>62357.052000000003</v>
      </c>
      <c r="N236" s="73" t="s">
        <v>113</v>
      </c>
    </row>
    <row r="237" spans="1:14" x14ac:dyDescent="0.2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79"/>
        <v>54423.508999999998</v>
      </c>
      <c r="N238" s="32" t="s">
        <v>115</v>
      </c>
    </row>
    <row r="239" spans="1:14" x14ac:dyDescent="0.2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0"/>
        <v>-97536</v>
      </c>
      <c r="H239" s="69">
        <v>635235</v>
      </c>
      <c r="I239" s="69">
        <v>561269</v>
      </c>
      <c r="J239" s="70"/>
      <c r="K239" s="70"/>
      <c r="L239" s="69">
        <f t="shared" si="79"/>
        <v>51344.838000000003</v>
      </c>
      <c r="N239" s="32" t="s">
        <v>116</v>
      </c>
    </row>
    <row r="240" spans="1:14" x14ac:dyDescent="0.2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0"/>
        <v>88888</v>
      </c>
      <c r="H240" s="69">
        <v>635859</v>
      </c>
      <c r="I240" s="69">
        <v>472381</v>
      </c>
      <c r="J240" s="70"/>
      <c r="K240" s="70"/>
      <c r="L240" s="69">
        <f t="shared" si="79"/>
        <v>55467.720999999998</v>
      </c>
      <c r="N240" s="32" t="s">
        <v>117</v>
      </c>
    </row>
    <row r="241" spans="1:14" x14ac:dyDescent="0.2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0"/>
        <v>-24460</v>
      </c>
      <c r="H241" s="69">
        <v>559087</v>
      </c>
      <c r="I241" s="69">
        <v>496841</v>
      </c>
      <c r="J241" s="70"/>
      <c r="K241" s="70"/>
      <c r="L241" s="69">
        <f t="shared" si="79"/>
        <v>53987.747000000003</v>
      </c>
      <c r="N241" s="32" t="s">
        <v>118</v>
      </c>
    </row>
    <row r="242" spans="1:14" x14ac:dyDescent="0.2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0"/>
        <v>46083</v>
      </c>
      <c r="H242" s="69">
        <v>509493</v>
      </c>
      <c r="I242" s="69">
        <v>450758</v>
      </c>
      <c r="J242" s="70"/>
      <c r="K242" s="70"/>
      <c r="L242" s="69">
        <f t="shared" si="79"/>
        <v>55471.849000000002</v>
      </c>
      <c r="N242" s="32" t="s">
        <v>119</v>
      </c>
    </row>
    <row r="243" spans="1:14" x14ac:dyDescent="0.2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0"/>
        <v>55907</v>
      </c>
      <c r="H243" s="69">
        <v>674216</v>
      </c>
      <c r="I243" s="69">
        <v>394851</v>
      </c>
      <c r="J243" s="70"/>
      <c r="K243" s="70"/>
      <c r="L243" s="69">
        <f t="shared" si="79"/>
        <v>54105.953999999998</v>
      </c>
      <c r="N243" s="32" t="s">
        <v>120</v>
      </c>
    </row>
    <row r="244" spans="1:14" x14ac:dyDescent="0.2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0"/>
        <v>-53560</v>
      </c>
      <c r="H244" s="69">
        <v>629035</v>
      </c>
      <c r="I244" s="69">
        <v>448411</v>
      </c>
      <c r="J244" s="70"/>
      <c r="K244" s="70"/>
      <c r="L244" s="69">
        <f t="shared" si="79"/>
        <v>53304.692000000003</v>
      </c>
      <c r="N244" s="32" t="s">
        <v>121</v>
      </c>
    </row>
    <row r="245" spans="1:14" x14ac:dyDescent="0.2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0"/>
        <v>58734</v>
      </c>
      <c r="H245" s="69">
        <v>638158</v>
      </c>
      <c r="I245" s="69">
        <v>389677</v>
      </c>
      <c r="J245" s="70"/>
      <c r="K245" s="70"/>
      <c r="L245" s="69">
        <f t="shared" si="79"/>
        <v>57631.050999999999</v>
      </c>
      <c r="N245" s="32" t="s">
        <v>122</v>
      </c>
    </row>
    <row r="246" spans="1:14" x14ac:dyDescent="0.2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0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0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0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5" thickBot="1" x14ac:dyDescent="0.25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0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5" thickBot="1" x14ac:dyDescent="0.25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5" thickBot="1" x14ac:dyDescent="0.25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5" thickBot="1" x14ac:dyDescent="0.25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5" thickBot="1" x14ac:dyDescent="0.25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5" thickBot="1" x14ac:dyDescent="0.25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5" thickBot="1" x14ac:dyDescent="0.25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5" thickBot="1" x14ac:dyDescent="0.25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1">C342*43/1000</f>
        <v>28511.794999999998</v>
      </c>
      <c r="M342" s="65"/>
      <c r="N342" s="32" t="str">
        <f>'Olieforbrug, TJ'!M342</f>
        <v>January</v>
      </c>
    </row>
    <row r="343" spans="1:14" x14ac:dyDescent="0.2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2">I342-I343</f>
        <v>855</v>
      </c>
      <c r="H343" s="65">
        <v>563976</v>
      </c>
      <c r="I343" s="65">
        <v>464670</v>
      </c>
      <c r="J343" s="70"/>
      <c r="K343" s="70"/>
      <c r="L343" s="69">
        <f t="shared" si="81"/>
        <v>26020.805</v>
      </c>
      <c r="M343" s="65"/>
      <c r="N343" s="32" t="str">
        <f>'Olieforbrug, TJ'!M343</f>
        <v>February</v>
      </c>
    </row>
    <row r="344" spans="1:14" x14ac:dyDescent="0.2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2"/>
        <v>-26896</v>
      </c>
      <c r="H344" s="65">
        <v>601908</v>
      </c>
      <c r="I344" s="65">
        <v>491566</v>
      </c>
      <c r="J344" s="70"/>
      <c r="K344" s="70"/>
      <c r="L344" s="69">
        <f t="shared" si="81"/>
        <v>27557.754000000001</v>
      </c>
      <c r="M344" s="65"/>
      <c r="N344" s="32" t="str">
        <f>'Olieforbrug, TJ'!M344</f>
        <v>March</v>
      </c>
    </row>
    <row r="345" spans="1:14" x14ac:dyDescent="0.2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2"/>
        <v>65596</v>
      </c>
      <c r="H345" s="65">
        <v>608305</v>
      </c>
      <c r="I345" s="65">
        <v>425970</v>
      </c>
      <c r="J345" s="70"/>
      <c r="K345" s="70"/>
      <c r="L345" s="69">
        <f t="shared" si="81"/>
        <v>28010.544000000002</v>
      </c>
      <c r="M345" s="65"/>
      <c r="N345" s="32" t="str">
        <f>'Olieforbrug, TJ'!M345</f>
        <v>April</v>
      </c>
    </row>
    <row r="346" spans="1:14" x14ac:dyDescent="0.2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2"/>
        <v>-81275</v>
      </c>
      <c r="H346" s="65">
        <v>622315</v>
      </c>
      <c r="I346" s="65">
        <v>507245</v>
      </c>
      <c r="J346" s="70"/>
      <c r="K346" s="70"/>
      <c r="L346" s="69">
        <f t="shared" si="81"/>
        <v>28946.052</v>
      </c>
      <c r="M346" s="65"/>
      <c r="N346" s="32" t="str">
        <f>'Olieforbrug, TJ'!M346</f>
        <v>May</v>
      </c>
    </row>
    <row r="347" spans="1:14" x14ac:dyDescent="0.2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2"/>
        <v>68208</v>
      </c>
      <c r="H347" s="65">
        <v>624127</v>
      </c>
      <c r="I347" s="65">
        <v>439037</v>
      </c>
      <c r="J347" s="70"/>
      <c r="K347" s="70"/>
      <c r="L347" s="69">
        <f t="shared" si="81"/>
        <v>27332.175999999999</v>
      </c>
      <c r="M347" s="65"/>
      <c r="N347" s="32" t="str">
        <f>'Olieforbrug, TJ'!M347</f>
        <v>June</v>
      </c>
    </row>
    <row r="348" spans="1:14" x14ac:dyDescent="0.2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2"/>
        <v>9508</v>
      </c>
      <c r="H348" s="65">
        <v>657761</v>
      </c>
      <c r="I348" s="65">
        <v>429529</v>
      </c>
      <c r="J348" s="70"/>
      <c r="K348" s="70"/>
      <c r="L348" s="69">
        <f t="shared" si="81"/>
        <v>27769.701000000001</v>
      </c>
      <c r="M348" s="65"/>
      <c r="N348" s="32" t="str">
        <f>'Olieforbrug, TJ'!M348</f>
        <v>July</v>
      </c>
    </row>
    <row r="349" spans="1:14" x14ac:dyDescent="0.2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1"/>
        <v>28270.092000000001</v>
      </c>
      <c r="M349" s="65"/>
      <c r="N349" s="32" t="str">
        <f>'Olieforbrug, TJ'!M349</f>
        <v>August</v>
      </c>
    </row>
    <row r="350" spans="1:14" x14ac:dyDescent="0.2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1"/>
        <v>27024.038</v>
      </c>
      <c r="M350" s="65"/>
      <c r="N350" s="32" t="str">
        <f>'Olieforbrug, TJ'!M350</f>
        <v>September</v>
      </c>
    </row>
    <row r="351" spans="1:14" x14ac:dyDescent="0.2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1"/>
        <v>28145.951000000001</v>
      </c>
      <c r="M351" s="65"/>
      <c r="N351" s="32" t="str">
        <f>'Olieforbrug, TJ'!M351</f>
        <v>October</v>
      </c>
    </row>
    <row r="352" spans="1:14" x14ac:dyDescent="0.2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1"/>
        <v>26298.799999999999</v>
      </c>
      <c r="M352" s="65"/>
      <c r="N352" s="32" t="str">
        <f>'Olieforbrug, TJ'!M352</f>
        <v>November</v>
      </c>
    </row>
    <row r="353" spans="1:14" ht="13.5" thickBot="1" x14ac:dyDescent="0.25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1"/>
        <v>26774.207999999999</v>
      </c>
      <c r="M353" s="65"/>
      <c r="N353" s="73" t="str">
        <f>'Olieforbrug, TJ'!M353</f>
        <v>December</v>
      </c>
    </row>
    <row r="354" spans="1:14" x14ac:dyDescent="0.2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5" thickBot="1" x14ac:dyDescent="0.25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3">C368*43/1000</f>
        <v>23706.846000000001</v>
      </c>
      <c r="M368" s="65"/>
      <c r="N368" s="32" t="str">
        <f>'Olieforbrug, TJ'!M368</f>
        <v>January</v>
      </c>
    </row>
    <row r="369" spans="1:14" x14ac:dyDescent="0.2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4">I368-I369</f>
        <v>30455</v>
      </c>
      <c r="H369" s="65">
        <v>602660</v>
      </c>
      <c r="I369" s="65">
        <v>453543</v>
      </c>
      <c r="J369" s="70"/>
      <c r="K369" s="70"/>
      <c r="L369" s="69">
        <f t="shared" si="83"/>
        <v>23227.223999999998</v>
      </c>
      <c r="M369" s="65"/>
      <c r="N369" s="32" t="str">
        <f>'Olieforbrug, TJ'!M369</f>
        <v>February</v>
      </c>
    </row>
    <row r="370" spans="1:14" x14ac:dyDescent="0.2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4"/>
        <v>75461</v>
      </c>
      <c r="H370" s="65">
        <v>653528</v>
      </c>
      <c r="I370" s="65">
        <v>378082</v>
      </c>
      <c r="J370" s="70"/>
      <c r="K370" s="70"/>
      <c r="L370" s="69">
        <f t="shared" si="83"/>
        <v>24256.901999999998</v>
      </c>
      <c r="M370" s="65"/>
      <c r="N370" s="32" t="str">
        <f>'Olieforbrug, TJ'!M370</f>
        <v>March</v>
      </c>
    </row>
    <row r="371" spans="1:14" x14ac:dyDescent="0.2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4"/>
        <v>-131008</v>
      </c>
      <c r="H371" s="65">
        <v>638221</v>
      </c>
      <c r="I371" s="65">
        <v>509090</v>
      </c>
      <c r="J371" s="70"/>
      <c r="K371" s="70"/>
      <c r="L371" s="69">
        <f t="shared" si="83"/>
        <v>25040.276000000002</v>
      </c>
      <c r="M371" s="65"/>
      <c r="N371" s="32" t="str">
        <f>'Olieforbrug, TJ'!M371</f>
        <v>April</v>
      </c>
    </row>
    <row r="372" spans="1:14" x14ac:dyDescent="0.2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4"/>
        <v>80800</v>
      </c>
      <c r="H372" s="65">
        <v>676013</v>
      </c>
      <c r="I372" s="65">
        <v>428290</v>
      </c>
      <c r="J372" s="70"/>
      <c r="K372" s="70"/>
      <c r="L372" s="69">
        <f t="shared" si="83"/>
        <v>23968.716</v>
      </c>
      <c r="M372" s="65"/>
      <c r="N372" s="32" t="str">
        <f>'Olieforbrug, TJ'!M372</f>
        <v>May</v>
      </c>
    </row>
    <row r="373" spans="1:14" x14ac:dyDescent="0.2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4"/>
        <v>-59741</v>
      </c>
      <c r="H373" s="65">
        <v>640945</v>
      </c>
      <c r="I373" s="65">
        <v>488031</v>
      </c>
      <c r="J373" s="70"/>
      <c r="K373" s="70"/>
      <c r="L373" s="69">
        <f t="shared" si="83"/>
        <v>24760.904999999999</v>
      </c>
      <c r="M373" s="65"/>
      <c r="N373" s="32" t="str">
        <f>'Olieforbrug, TJ'!M373</f>
        <v>June</v>
      </c>
    </row>
    <row r="374" spans="1:14" x14ac:dyDescent="0.2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4"/>
        <v>90974</v>
      </c>
      <c r="H374" s="65">
        <v>699079</v>
      </c>
      <c r="I374" s="65">
        <v>397057</v>
      </c>
      <c r="J374" s="70"/>
      <c r="K374" s="70"/>
      <c r="L374" s="69">
        <f t="shared" si="83"/>
        <v>24897.171999999999</v>
      </c>
      <c r="M374" s="65"/>
      <c r="N374" s="32" t="str">
        <f>'Olieforbrug, TJ'!M374</f>
        <v>July</v>
      </c>
    </row>
    <row r="375" spans="1:14" x14ac:dyDescent="0.2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3"/>
        <v>25090.328000000001</v>
      </c>
      <c r="M375" s="65"/>
      <c r="N375" s="32" t="str">
        <f>'Olieforbrug, TJ'!M375</f>
        <v>August</v>
      </c>
    </row>
    <row r="376" spans="1:14" x14ac:dyDescent="0.2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3"/>
        <v>24141.833999999999</v>
      </c>
      <c r="M376" s="65"/>
      <c r="N376" s="32" t="str">
        <f>'Olieforbrug, TJ'!M376</f>
        <v>September</v>
      </c>
    </row>
    <row r="377" spans="1:14" x14ac:dyDescent="0.2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3"/>
        <v>23555.787</v>
      </c>
      <c r="M377" s="65"/>
      <c r="N377" s="32" t="str">
        <f>'Olieforbrug, TJ'!M377</f>
        <v>October</v>
      </c>
    </row>
    <row r="378" spans="1:14" x14ac:dyDescent="0.2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3"/>
        <v>23422.1</v>
      </c>
      <c r="M378" s="65"/>
      <c r="N378" s="32" t="str">
        <f>'Olieforbrug, TJ'!M378</f>
        <v>November</v>
      </c>
    </row>
    <row r="379" spans="1:14" ht="13.5" thickBot="1" x14ac:dyDescent="0.25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3"/>
        <v>23621.491000000002</v>
      </c>
      <c r="M379" s="65"/>
      <c r="N379" s="73" t="str">
        <f>'Olieforbrug, TJ'!M379</f>
        <v>December</v>
      </c>
    </row>
    <row r="380" spans="1:14" x14ac:dyDescent="0.2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5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6">C382*43/1000</f>
        <v>19258.883000000002</v>
      </c>
      <c r="M382" s="65"/>
      <c r="N382" s="32" t="str">
        <f>'Olieforbrug, TJ'!M382</f>
        <v>February</v>
      </c>
    </row>
    <row r="383" spans="1:14" x14ac:dyDescent="0.2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5"/>
        <v>63074</v>
      </c>
      <c r="H383" s="65">
        <v>620816</v>
      </c>
      <c r="I383" s="65">
        <v>433419</v>
      </c>
      <c r="J383" s="70"/>
      <c r="K383" s="70"/>
      <c r="L383" s="69">
        <f t="shared" si="86"/>
        <v>20045.396000000001</v>
      </c>
      <c r="M383" s="65"/>
      <c r="N383" s="32" t="str">
        <f>'Olieforbrug, TJ'!M383</f>
        <v>March</v>
      </c>
    </row>
    <row r="384" spans="1:14" x14ac:dyDescent="0.2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5"/>
        <v>-77169</v>
      </c>
      <c r="H384" s="65">
        <v>629821</v>
      </c>
      <c r="I384" s="65">
        <v>510588</v>
      </c>
      <c r="J384" s="70"/>
      <c r="K384" s="70"/>
      <c r="L384" s="69">
        <f t="shared" si="86"/>
        <v>19881.135999999999</v>
      </c>
      <c r="M384" s="65"/>
      <c r="N384" s="32" t="str">
        <f>'Olieforbrug, TJ'!M384</f>
        <v>April</v>
      </c>
    </row>
    <row r="385" spans="1:16" x14ac:dyDescent="0.2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5"/>
        <v>0</v>
      </c>
      <c r="H385" s="65">
        <v>629821</v>
      </c>
      <c r="I385" s="65">
        <v>510588</v>
      </c>
      <c r="J385" s="70"/>
      <c r="K385" s="70"/>
      <c r="L385" s="69">
        <f t="shared" si="86"/>
        <v>19881.135999999999</v>
      </c>
      <c r="M385" s="65"/>
      <c r="N385" s="32" t="str">
        <f>'Olieforbrug, TJ'!M385</f>
        <v>May</v>
      </c>
    </row>
    <row r="386" spans="1:16" x14ac:dyDescent="0.2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5"/>
        <v>32602</v>
      </c>
      <c r="H386" s="65">
        <v>647132</v>
      </c>
      <c r="I386" s="65">
        <v>477986</v>
      </c>
      <c r="J386" s="70"/>
      <c r="K386" s="70"/>
      <c r="L386" s="69">
        <f t="shared" si="86"/>
        <v>18487.893</v>
      </c>
      <c r="M386" s="65"/>
      <c r="N386" s="32" t="str">
        <f>'Olieforbrug, TJ'!M386</f>
        <v>June</v>
      </c>
    </row>
    <row r="387" spans="1:16" x14ac:dyDescent="0.2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5"/>
        <v>-117542</v>
      </c>
      <c r="H387" s="65">
        <v>668374</v>
      </c>
      <c r="I387" s="65">
        <v>595528</v>
      </c>
      <c r="J387" s="70"/>
      <c r="K387" s="70"/>
      <c r="L387" s="69">
        <f t="shared" si="86"/>
        <v>22134.035</v>
      </c>
      <c r="M387" s="65"/>
      <c r="N387" s="32" t="str">
        <f>'Olieforbrug, TJ'!M387</f>
        <v>July</v>
      </c>
    </row>
    <row r="388" spans="1:16" x14ac:dyDescent="0.2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5" thickBot="1" x14ac:dyDescent="0.25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7">C394*43/1000</f>
        <v>19467.132000000001</v>
      </c>
      <c r="M394" s="65"/>
      <c r="N394" s="32" t="str">
        <f>'Olieforbrug, TJ'!M394</f>
        <v>January</v>
      </c>
    </row>
    <row r="395" spans="1:16" x14ac:dyDescent="0.2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8">I394-I395</f>
        <v>29361</v>
      </c>
      <c r="H395" s="65">
        <v>622314</v>
      </c>
      <c r="I395" s="65">
        <v>478303</v>
      </c>
      <c r="J395" s="70"/>
      <c r="K395" s="70"/>
      <c r="L395" s="69">
        <f t="shared" si="87"/>
        <v>18945.455999999998</v>
      </c>
      <c r="M395" s="65"/>
      <c r="N395" s="32" t="str">
        <f>'Olieforbrug, TJ'!M395</f>
        <v>February</v>
      </c>
    </row>
    <row r="396" spans="1:16" x14ac:dyDescent="0.2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8"/>
        <v>-23692</v>
      </c>
      <c r="H396" s="65">
        <v>669035</v>
      </c>
      <c r="I396" s="65">
        <v>501995</v>
      </c>
      <c r="J396" s="70"/>
      <c r="K396" s="70"/>
      <c r="L396" s="69">
        <f t="shared" si="87"/>
        <v>21318.669000000002</v>
      </c>
      <c r="M396" s="65"/>
      <c r="N396" s="32" t="str">
        <f>'Olieforbrug, TJ'!M396</f>
        <v>March</v>
      </c>
    </row>
    <row r="397" spans="1:16" x14ac:dyDescent="0.2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8"/>
        <v>21654</v>
      </c>
      <c r="H397" s="65">
        <v>650527</v>
      </c>
      <c r="I397" s="65">
        <v>480341</v>
      </c>
      <c r="J397" s="70"/>
      <c r="K397" s="70"/>
      <c r="L397" s="69">
        <f t="shared" si="87"/>
        <v>20580.273000000001</v>
      </c>
      <c r="M397" s="65"/>
      <c r="N397" s="32" t="str">
        <f>'Olieforbrug, TJ'!M397</f>
        <v>April</v>
      </c>
    </row>
    <row r="398" spans="1:16" x14ac:dyDescent="0.2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8"/>
        <v>66149</v>
      </c>
      <c r="H398" s="65">
        <v>663722</v>
      </c>
      <c r="I398" s="65">
        <v>414192</v>
      </c>
      <c r="J398" s="70"/>
      <c r="K398" s="70"/>
      <c r="L398" s="69">
        <f t="shared" si="87"/>
        <v>21128.394</v>
      </c>
      <c r="M398" s="65"/>
      <c r="N398" s="32" t="str">
        <f>'Olieforbrug, TJ'!M398</f>
        <v>May</v>
      </c>
    </row>
    <row r="399" spans="1:16" x14ac:dyDescent="0.2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8"/>
        <v>-72740</v>
      </c>
      <c r="H399" s="65">
        <v>601097</v>
      </c>
      <c r="I399" s="65">
        <v>486932</v>
      </c>
      <c r="J399" s="70"/>
      <c r="K399" s="70"/>
      <c r="L399" s="69">
        <f t="shared" si="87"/>
        <v>19349.741999999998</v>
      </c>
      <c r="M399" s="65"/>
      <c r="N399" s="32" t="str">
        <f>'Olieforbrug, TJ'!M399</f>
        <v>June</v>
      </c>
    </row>
    <row r="400" spans="1:16" x14ac:dyDescent="0.2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8"/>
        <v>40935</v>
      </c>
      <c r="H400" s="65">
        <v>655856</v>
      </c>
      <c r="I400" s="65">
        <v>445997</v>
      </c>
      <c r="J400" s="70"/>
      <c r="K400" s="70"/>
      <c r="L400" s="69">
        <f t="shared" si="87"/>
        <v>19074.069</v>
      </c>
      <c r="M400" s="65"/>
      <c r="N400" s="32" t="str">
        <f>'Olieforbrug, TJ'!M400</f>
        <v>July</v>
      </c>
    </row>
    <row r="401" spans="1:16" x14ac:dyDescent="0.2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7"/>
        <v>17505.988000000001</v>
      </c>
      <c r="M401" s="65"/>
      <c r="N401" s="32" t="str">
        <f>'Olieforbrug, TJ'!M401</f>
        <v>August</v>
      </c>
    </row>
    <row r="402" spans="1:16" x14ac:dyDescent="0.2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7"/>
        <v>15331.091</v>
      </c>
      <c r="M402" s="65"/>
      <c r="N402" s="32" t="str">
        <f>'Olieforbrug, TJ'!M402</f>
        <v>September</v>
      </c>
    </row>
    <row r="403" spans="1:16" x14ac:dyDescent="0.2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7"/>
        <v>15073.865</v>
      </c>
      <c r="M403" s="65"/>
      <c r="N403" s="32" t="str">
        <f>'Olieforbrug, TJ'!M403</f>
        <v>October</v>
      </c>
    </row>
    <row r="404" spans="1:16" x14ac:dyDescent="0.2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7"/>
        <v>12970.648999999999</v>
      </c>
      <c r="M404" s="65"/>
      <c r="N404" s="32" t="str">
        <f>'Olieforbrug, TJ'!M404</f>
        <v>November</v>
      </c>
    </row>
    <row r="405" spans="1:16" ht="13.5" thickBot="1" x14ac:dyDescent="0.25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7"/>
        <v>14995.734</v>
      </c>
      <c r="M405" s="65"/>
      <c r="N405" s="73" t="str">
        <f>'Olieforbrug, TJ'!M405</f>
        <v>December</v>
      </c>
    </row>
    <row r="406" spans="1:16" x14ac:dyDescent="0.2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89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89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89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89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89"/>
        <v>59885</v>
      </c>
      <c r="H412" s="65">
        <v>611653</v>
      </c>
      <c r="I412" s="65">
        <v>611082</v>
      </c>
      <c r="J412" s="70"/>
      <c r="K412" s="70"/>
      <c r="L412" s="69">
        <f t="shared" ref="L412:L418" si="90">C412*43/1000</f>
        <v>11273.782999999999</v>
      </c>
      <c r="N412" s="32" t="str">
        <f>'Olieforbrug, TJ'!M412</f>
        <v>June</v>
      </c>
    </row>
    <row r="413" spans="1:16" x14ac:dyDescent="0.2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89"/>
        <v>17541</v>
      </c>
      <c r="H413" s="65">
        <v>641209</v>
      </c>
      <c r="I413" s="65">
        <v>593541</v>
      </c>
      <c r="J413" s="70"/>
      <c r="K413" s="70"/>
      <c r="L413" s="69">
        <f t="shared" si="90"/>
        <v>12871.706</v>
      </c>
      <c r="N413" s="32" t="str">
        <f>'Olieforbrug, TJ'!M413</f>
        <v>July</v>
      </c>
    </row>
    <row r="414" spans="1:16" x14ac:dyDescent="0.2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0"/>
        <v>12629.701999999999</v>
      </c>
      <c r="N414" s="32" t="str">
        <f>'Olieforbrug, TJ'!M414</f>
        <v>August</v>
      </c>
    </row>
    <row r="415" spans="1:16" x14ac:dyDescent="0.2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0"/>
        <v>11813.647999999999</v>
      </c>
      <c r="N415" s="32" t="str">
        <f>'Olieforbrug, TJ'!M415</f>
        <v>September</v>
      </c>
    </row>
    <row r="416" spans="1:16" x14ac:dyDescent="0.2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0"/>
        <v>12824.147999999999</v>
      </c>
      <c r="N416" s="32" t="str">
        <f>'Olieforbrug, TJ'!M416</f>
        <v>October</v>
      </c>
    </row>
    <row r="417" spans="1:16" x14ac:dyDescent="0.2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0"/>
        <v>11328.049000000001</v>
      </c>
      <c r="N417" s="32" t="str">
        <f>'Olieforbrug, TJ'!M417</f>
        <v>November</v>
      </c>
    </row>
    <row r="418" spans="1:16" ht="13.5" thickBot="1" x14ac:dyDescent="0.25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0"/>
        <v>10881.494000000001</v>
      </c>
      <c r="M418" s="65"/>
      <c r="N418" s="73" t="str">
        <f>'Olieforbrug, TJ'!M418</f>
        <v>December</v>
      </c>
    </row>
    <row r="419" spans="1:16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1">C420*43/1000</f>
        <v>11763.252</v>
      </c>
      <c r="M420" s="65"/>
      <c r="N420" s="32" t="str">
        <f>'Olieforbrug, TJ'!M420</f>
        <v>January</v>
      </c>
      <c r="P420" s="65"/>
    </row>
    <row r="421" spans="1:16" x14ac:dyDescent="0.2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2">I420-I421</f>
        <v>-176967</v>
      </c>
      <c r="H421" s="65">
        <v>572743</v>
      </c>
      <c r="I421" s="65">
        <v>749201</v>
      </c>
      <c r="J421" s="70"/>
      <c r="K421" s="70"/>
      <c r="L421" s="69">
        <f t="shared" si="91"/>
        <v>9593.5580000000009</v>
      </c>
      <c r="M421" s="65"/>
      <c r="N421" s="32" t="str">
        <f>'Olieforbrug, TJ'!M421</f>
        <v>February</v>
      </c>
      <c r="P421" s="65"/>
    </row>
    <row r="422" spans="1:16" x14ac:dyDescent="0.2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2"/>
        <v>-10865</v>
      </c>
      <c r="H422" s="65">
        <v>650984</v>
      </c>
      <c r="I422" s="65">
        <v>760066</v>
      </c>
      <c r="J422" s="70"/>
      <c r="K422" s="70"/>
      <c r="L422" s="69">
        <f t="shared" si="91"/>
        <v>11256.626</v>
      </c>
      <c r="M422" s="65"/>
      <c r="N422" s="32" t="str">
        <f>'Olieforbrug, TJ'!M422</f>
        <v>March</v>
      </c>
      <c r="P422" s="65"/>
    </row>
    <row r="423" spans="1:16" x14ac:dyDescent="0.2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2"/>
        <v>204571</v>
      </c>
      <c r="H423" s="65">
        <v>640086</v>
      </c>
      <c r="I423" s="65">
        <v>555495</v>
      </c>
      <c r="J423" s="70"/>
      <c r="K423" s="70"/>
      <c r="L423" s="69">
        <f t="shared" si="91"/>
        <v>11545.585999999999</v>
      </c>
      <c r="M423" s="65"/>
      <c r="N423" s="32" t="str">
        <f>'Olieforbrug, TJ'!M423</f>
        <v>April</v>
      </c>
    </row>
    <row r="424" spans="1:16" x14ac:dyDescent="0.2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2"/>
        <v>-75060</v>
      </c>
      <c r="H424" s="65">
        <v>642688</v>
      </c>
      <c r="I424" s="65">
        <v>630555</v>
      </c>
      <c r="J424" s="70"/>
      <c r="K424" s="70"/>
      <c r="L424" s="69">
        <f t="shared" si="91"/>
        <v>12367.402</v>
      </c>
      <c r="M424" s="65"/>
      <c r="N424" s="32" t="str">
        <f>'Olieforbrug, TJ'!M424</f>
        <v>May</v>
      </c>
    </row>
    <row r="425" spans="1:16" ht="14.1" customHeight="1" x14ac:dyDescent="0.2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2"/>
        <v>59010</v>
      </c>
      <c r="H425" s="65">
        <v>602690</v>
      </c>
      <c r="I425" s="65">
        <v>571545</v>
      </c>
      <c r="J425" s="70"/>
      <c r="K425" s="70"/>
      <c r="L425" s="69">
        <f t="shared" si="91"/>
        <v>11289.434999999999</v>
      </c>
      <c r="N425" s="32" t="str">
        <f>'Olieforbrug, TJ'!M425</f>
        <v>June</v>
      </c>
    </row>
    <row r="426" spans="1:16" x14ac:dyDescent="0.2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2"/>
        <v>22875</v>
      </c>
      <c r="H426" s="65">
        <v>626789</v>
      </c>
      <c r="I426" s="65">
        <v>548670</v>
      </c>
      <c r="J426" s="70"/>
      <c r="K426" s="70"/>
      <c r="L426" s="69">
        <f t="shared" si="91"/>
        <v>12118.432000000001</v>
      </c>
      <c r="N426" s="32" t="str">
        <f>'Olieforbrug, TJ'!M426</f>
        <v>July</v>
      </c>
    </row>
    <row r="427" spans="1:16" x14ac:dyDescent="0.2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1"/>
        <v>12481.352000000001</v>
      </c>
      <c r="N427" s="32" t="str">
        <f>'Olieforbrug, TJ'!M427</f>
        <v>August</v>
      </c>
    </row>
    <row r="428" spans="1:16" x14ac:dyDescent="0.2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1"/>
        <v>11136.656000000001</v>
      </c>
      <c r="N428" s="32" t="str">
        <f>'Olieforbrug, TJ'!M428</f>
        <v>September</v>
      </c>
    </row>
    <row r="429" spans="1:16" x14ac:dyDescent="0.2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1"/>
        <v>10734.563</v>
      </c>
      <c r="N429" s="32" t="str">
        <f>'Olieforbrug, TJ'!M429</f>
        <v>October</v>
      </c>
    </row>
    <row r="430" spans="1:16" x14ac:dyDescent="0.2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1"/>
        <v>11899.992</v>
      </c>
      <c r="N430" s="32" t="s">
        <v>125</v>
      </c>
    </row>
    <row r="431" spans="1:16" ht="13.5" thickBot="1" x14ac:dyDescent="0.25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1"/>
        <v>12993.482</v>
      </c>
      <c r="N431" s="73" t="s">
        <v>113</v>
      </c>
    </row>
    <row r="432" spans="1:16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3">C433*43/1000</f>
        <v>11817.561</v>
      </c>
      <c r="M433" s="65"/>
      <c r="N433" s="32" t="str">
        <f>'Olieforbrug, TJ'!M433</f>
        <v>January</v>
      </c>
    </row>
    <row r="434" spans="1:14" x14ac:dyDescent="0.2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4">I433-I434</f>
        <v>-187504</v>
      </c>
      <c r="H434" s="65">
        <v>583228</v>
      </c>
      <c r="I434" s="65">
        <v>514294</v>
      </c>
      <c r="J434" s="70"/>
      <c r="K434" s="70"/>
      <c r="L434" s="69">
        <f t="shared" si="93"/>
        <v>11217.453</v>
      </c>
      <c r="M434" s="65"/>
      <c r="N434" s="32" t="str">
        <f>'Olieforbrug, TJ'!M434</f>
        <v>February</v>
      </c>
    </row>
    <row r="435" spans="1:14" x14ac:dyDescent="0.2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4"/>
        <v>46325</v>
      </c>
      <c r="H435" s="65">
        <v>473578</v>
      </c>
      <c r="I435" s="65">
        <v>467969</v>
      </c>
      <c r="J435" s="70"/>
      <c r="K435" s="70"/>
      <c r="L435" s="69">
        <f t="shared" si="93"/>
        <v>12580.424000000001</v>
      </c>
      <c r="M435" s="65"/>
      <c r="N435" s="32" t="str">
        <f>'Olieforbrug, TJ'!M435</f>
        <v>March</v>
      </c>
    </row>
    <row r="436" spans="1:14" x14ac:dyDescent="0.2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4"/>
        <v>-64094</v>
      </c>
      <c r="H436" s="65">
        <v>637241</v>
      </c>
      <c r="I436" s="65">
        <v>532063</v>
      </c>
      <c r="J436" s="70"/>
      <c r="K436" s="70"/>
      <c r="L436" s="69">
        <f t="shared" si="93"/>
        <v>12287.293</v>
      </c>
      <c r="M436" s="65"/>
      <c r="N436" s="32" t="str">
        <f>'Olieforbrug, TJ'!M436</f>
        <v>April</v>
      </c>
    </row>
    <row r="437" spans="1:14" x14ac:dyDescent="0.2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4"/>
        <v>-20300</v>
      </c>
      <c r="H437" s="65">
        <v>681834</v>
      </c>
      <c r="I437" s="65">
        <v>552363</v>
      </c>
      <c r="J437" s="70"/>
      <c r="K437" s="70"/>
      <c r="L437" s="69">
        <f t="shared" si="93"/>
        <v>11270.084999999999</v>
      </c>
      <c r="M437" s="65"/>
      <c r="N437" s="32" t="str">
        <f>'Olieforbrug, TJ'!M437</f>
        <v>May</v>
      </c>
    </row>
    <row r="438" spans="1:14" x14ac:dyDescent="0.2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4"/>
        <v>47372</v>
      </c>
      <c r="H438" s="65">
        <v>661024</v>
      </c>
      <c r="I438" s="65">
        <v>504991</v>
      </c>
      <c r="J438" s="70"/>
      <c r="K438" s="70"/>
      <c r="L438" s="69">
        <f t="shared" si="93"/>
        <v>11338.325999999999</v>
      </c>
      <c r="M438" s="65"/>
      <c r="N438" s="32" t="str">
        <f>'Olieforbrug, TJ'!M438</f>
        <v>June</v>
      </c>
    </row>
    <row r="439" spans="1:14" x14ac:dyDescent="0.2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4"/>
        <v>76290</v>
      </c>
      <c r="H439" s="65">
        <v>679329</v>
      </c>
      <c r="I439" s="65">
        <v>428701</v>
      </c>
      <c r="J439" s="70"/>
      <c r="K439" s="70"/>
      <c r="L439" s="69">
        <f t="shared" ref="L439" si="95">C439*43/1000</f>
        <v>11420.929</v>
      </c>
      <c r="M439" s="65"/>
      <c r="N439" s="32" t="str">
        <f>'Olieforbrug, TJ'!M439</f>
        <v>July</v>
      </c>
    </row>
    <row r="440" spans="1:14" x14ac:dyDescent="0.2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6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7">C440*43/1000</f>
        <v>11538.706</v>
      </c>
      <c r="M440" s="65"/>
      <c r="N440" s="32" t="str">
        <f>'Olieforbrug, TJ'!M440</f>
        <v>August</v>
      </c>
    </row>
    <row r="441" spans="1:14" x14ac:dyDescent="0.2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8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99">C441*43/1000</f>
        <v>9975.6129999999994</v>
      </c>
      <c r="M441" s="65"/>
      <c r="N441" s="32" t="str">
        <f>'Olieforbrug, TJ'!M441</f>
        <v>September</v>
      </c>
    </row>
    <row r="442" spans="1:14" x14ac:dyDescent="0.2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0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1">C442*43/1000</f>
        <v>11553.067999999999</v>
      </c>
      <c r="M442" s="65"/>
      <c r="N442" s="32" t="str">
        <f>'Olieforbrug, TJ'!M442</f>
        <v>October</v>
      </c>
    </row>
    <row r="443" spans="1:14" x14ac:dyDescent="0.2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2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3">C443*43/1000</f>
        <v>11268.880999999999</v>
      </c>
      <c r="M443" s="65"/>
      <c r="N443" s="32" t="str">
        <f>'Olieforbrug, TJ'!M443</f>
        <v>November</v>
      </c>
    </row>
    <row r="444" spans="1:14" ht="13.5" thickBot="1" x14ac:dyDescent="0.25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4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5">C444*43/1000</f>
        <v>10680.641</v>
      </c>
      <c r="M444" s="69"/>
      <c r="N444" s="73" t="str">
        <f>'Olieforbrug, TJ'!M444</f>
        <v>December</v>
      </c>
    </row>
    <row r="445" spans="1:14" x14ac:dyDescent="0.2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6">C446*43/1000</f>
        <v>11607.162</v>
      </c>
      <c r="N446" s="32" t="str">
        <f>'Olieforbrug, TJ'!M446</f>
        <v>January</v>
      </c>
    </row>
    <row r="447" spans="1:14" x14ac:dyDescent="0.2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7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8">C447*43/1000</f>
        <v>9508.2890000000007</v>
      </c>
      <c r="N447" s="32" t="str">
        <f>'Olieforbrug, TJ'!M447</f>
        <v>February</v>
      </c>
    </row>
    <row r="448" spans="1:14" x14ac:dyDescent="0.2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7"/>
        <v>-34047</v>
      </c>
      <c r="H448" s="69">
        <v>624433</v>
      </c>
      <c r="I448" s="69">
        <v>493286</v>
      </c>
      <c r="J448" s="70"/>
      <c r="K448" s="70"/>
      <c r="L448" s="69">
        <f t="shared" ref="L448" si="109">C448*43/1000</f>
        <v>10766.468999999999</v>
      </c>
      <c r="N448" s="32" t="str">
        <f>'Olieforbrug, TJ'!M448</f>
        <v>March</v>
      </c>
    </row>
    <row r="449" spans="1:14" x14ac:dyDescent="0.2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7"/>
        <v>-112804</v>
      </c>
      <c r="H449" s="69">
        <v>576877</v>
      </c>
      <c r="I449" s="69">
        <v>606090</v>
      </c>
      <c r="J449" s="70"/>
      <c r="K449" s="70"/>
      <c r="L449" s="69">
        <f t="shared" ref="L449" si="110">C449*43/1000</f>
        <v>9830.3160000000007</v>
      </c>
      <c r="N449" s="32" t="str">
        <f>'Olieforbrug, TJ'!M449</f>
        <v>April</v>
      </c>
    </row>
    <row r="450" spans="1:14" x14ac:dyDescent="0.2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7"/>
        <v>146903</v>
      </c>
      <c r="H450" s="69">
        <v>666818</v>
      </c>
      <c r="I450" s="69">
        <v>459187</v>
      </c>
      <c r="J450" s="70"/>
      <c r="K450" s="70"/>
      <c r="L450" s="69">
        <f t="shared" ref="L450" si="111">C450*43/1000</f>
        <v>9706.1319999999996</v>
      </c>
      <c r="N450" s="32" t="str">
        <f>'Olieforbrug, TJ'!M450</f>
        <v>May</v>
      </c>
    </row>
    <row r="451" spans="1:14" x14ac:dyDescent="0.2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7"/>
        <v>10504</v>
      </c>
      <c r="H451" s="69">
        <v>611767</v>
      </c>
      <c r="I451" s="69">
        <v>448683</v>
      </c>
      <c r="J451" s="70"/>
      <c r="K451" s="70"/>
      <c r="L451" s="69">
        <f t="shared" ref="L451" si="112">C451*43/1000</f>
        <v>11005.463</v>
      </c>
      <c r="N451" s="32" t="str">
        <f>'Olieforbrug, TJ'!M451</f>
        <v>June</v>
      </c>
    </row>
    <row r="452" spans="1:14" x14ac:dyDescent="0.2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7"/>
        <v>15514</v>
      </c>
      <c r="H452" s="69">
        <v>634440</v>
      </c>
      <c r="I452" s="69">
        <v>433169</v>
      </c>
      <c r="J452" s="70"/>
      <c r="K452" s="70"/>
      <c r="L452" s="69">
        <f t="shared" ref="L452" si="113">C452*43/1000</f>
        <v>9631.8279999999995</v>
      </c>
      <c r="N452" s="32" t="str">
        <f>'Olieforbrug, TJ'!M452</f>
        <v>July</v>
      </c>
    </row>
    <row r="453" spans="1:14" x14ac:dyDescent="0.2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4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5">C453*43/1000</f>
        <v>11513.035</v>
      </c>
      <c r="N453" s="32" t="str">
        <f>'Olieforbrug, TJ'!M453</f>
        <v>August</v>
      </c>
    </row>
    <row r="454" spans="1:14" x14ac:dyDescent="0.2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6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7">C454*43/1000</f>
        <v>10640.478999999999</v>
      </c>
      <c r="N454" s="32" t="str">
        <f>'Olieforbrug, TJ'!M454</f>
        <v>September</v>
      </c>
    </row>
    <row r="455" spans="1:14" x14ac:dyDescent="0.2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8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19">C455*43/1000</f>
        <v>10937.995999999999</v>
      </c>
      <c r="N455" s="32" t="str">
        <f>'Olieforbrug, TJ'!M455</f>
        <v>October</v>
      </c>
    </row>
    <row r="456" spans="1:14" x14ac:dyDescent="0.2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0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1">C456*43/1000</f>
        <v>10032.588</v>
      </c>
      <c r="N456" s="32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2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3">C457*43/1000</f>
        <v>10466.844999999999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4">C459*43/1000</f>
        <v>10296.522000000001</v>
      </c>
      <c r="N459" s="32" t="str">
        <f>'Olieforbrug, TJ'!M459</f>
        <v>January</v>
      </c>
    </row>
    <row r="460" spans="1:14" x14ac:dyDescent="0.2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5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6">C460*43/1000</f>
        <v>9223.8009999999995</v>
      </c>
      <c r="N460" s="130" t="str">
        <f>'Olieforbrug, TJ'!M460</f>
        <v>February</v>
      </c>
    </row>
    <row r="461" spans="1:14" x14ac:dyDescent="0.2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5"/>
        <v>32625</v>
      </c>
      <c r="H461" s="69">
        <v>530327</v>
      </c>
      <c r="I461" s="69">
        <v>422275</v>
      </c>
      <c r="J461" s="70"/>
      <c r="K461" s="70"/>
      <c r="L461" s="69">
        <f t="shared" ref="L461" si="127">C461*43/1000</f>
        <v>10618.978999999999</v>
      </c>
      <c r="N461" s="131" t="str">
        <f>'Olieforbrug, TJ'!M461</f>
        <v>March</v>
      </c>
    </row>
    <row r="462" spans="1:14" x14ac:dyDescent="0.2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5"/>
        <v>-210251</v>
      </c>
      <c r="H462" s="69">
        <v>494975</v>
      </c>
      <c r="I462" s="69">
        <v>632526</v>
      </c>
      <c r="J462" s="70"/>
      <c r="K462" s="70"/>
      <c r="L462" s="69">
        <f t="shared" ref="L462" si="128">C462*43/1000</f>
        <v>10624.01</v>
      </c>
      <c r="N462" s="135" t="str">
        <f>'Olieforbrug, TJ'!M462</f>
        <v>April</v>
      </c>
    </row>
    <row r="463" spans="1:14" x14ac:dyDescent="0.2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5"/>
        <v>89337</v>
      </c>
      <c r="H463" s="69">
        <v>551642</v>
      </c>
      <c r="I463" s="69">
        <v>543189</v>
      </c>
      <c r="J463" s="70"/>
      <c r="K463" s="70"/>
      <c r="L463" s="69">
        <f t="shared" ref="L463" si="129">C463*43/1000</f>
        <v>11641.476000000001</v>
      </c>
      <c r="N463" s="137" t="str">
        <f>'Olieforbrug, TJ'!M463</f>
        <v>Maj</v>
      </c>
    </row>
    <row r="464" spans="1:14" x14ac:dyDescent="0.2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5"/>
        <v>53443</v>
      </c>
      <c r="H464" s="69">
        <v>593724</v>
      </c>
      <c r="I464" s="69">
        <v>489746</v>
      </c>
      <c r="J464" s="70"/>
      <c r="K464" s="70"/>
      <c r="L464" s="69">
        <f t="shared" ref="L464" si="130">C464*43/1000</f>
        <v>9596.4390000000003</v>
      </c>
      <c r="N464" s="140" t="str">
        <f>'Olieforbrug, TJ'!M464</f>
        <v>June</v>
      </c>
    </row>
    <row r="465" spans="1:14" x14ac:dyDescent="0.2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5"/>
        <v>25345</v>
      </c>
      <c r="H465" s="69">
        <v>635681</v>
      </c>
      <c r="I465" s="69">
        <v>464401</v>
      </c>
      <c r="J465" s="70"/>
      <c r="K465" s="70"/>
      <c r="L465" s="69">
        <f t="shared" ref="L465" si="131">C465*43/1000</f>
        <v>10068.493</v>
      </c>
      <c r="N465" s="141" t="str">
        <f>'Olieforbrug, TJ'!M465</f>
        <v>July</v>
      </c>
    </row>
    <row r="466" spans="1:14" x14ac:dyDescent="0.2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2">C466*43/1000</f>
        <v>10443.582</v>
      </c>
      <c r="N466" s="142" t="str">
        <f>'Olieforbrug, TJ'!M466</f>
        <v>August</v>
      </c>
    </row>
    <row r="467" spans="1:14" x14ac:dyDescent="0.2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3">C467*43/1000</f>
        <v>10748.839</v>
      </c>
      <c r="N467" s="143" t="str">
        <f>'Olieforbrug, TJ'!M467</f>
        <v>September</v>
      </c>
    </row>
    <row r="468" spans="1:14" x14ac:dyDescent="0.2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4">C468*43/1000</f>
        <v>11118.897000000001</v>
      </c>
      <c r="N468" s="166" t="str">
        <f>'Olieforbrug, TJ'!M468</f>
        <v>October</v>
      </c>
    </row>
    <row r="469" spans="1:14" x14ac:dyDescent="0.2">
      <c r="A469" s="175" t="str">
        <f>'Olieforbrug, TJ'!A469</f>
        <v>November</v>
      </c>
      <c r="B469" s="108"/>
      <c r="C469" s="173">
        <v>260360</v>
      </c>
      <c r="D469" s="173">
        <v>566379</v>
      </c>
      <c r="E469" s="173">
        <v>138767</v>
      </c>
      <c r="F469" s="173">
        <v>0</v>
      </c>
      <c r="G469" s="173">
        <f>I468-I469</f>
        <v>-75912</v>
      </c>
      <c r="H469" s="173">
        <v>618048</v>
      </c>
      <c r="I469" s="173">
        <v>465178</v>
      </c>
      <c r="J469" s="174"/>
      <c r="K469" s="174"/>
      <c r="L469" s="173">
        <f t="shared" ref="L469" si="135">C469*43/1000</f>
        <v>11195.48</v>
      </c>
      <c r="M469" s="108"/>
      <c r="N469" s="109" t="str">
        <f>'Olieforbrug, TJ'!M469</f>
        <v>November</v>
      </c>
    </row>
    <row r="470" spans="1:14" ht="13.5" thickBot="1" x14ac:dyDescent="0.25">
      <c r="A470" s="176" t="str">
        <f>'Olieforbrug, TJ'!A470</f>
        <v>December</v>
      </c>
      <c r="B470" s="108"/>
      <c r="C470" s="126">
        <v>267839</v>
      </c>
      <c r="D470" s="126">
        <v>343915</v>
      </c>
      <c r="E470" s="126">
        <v>77256</v>
      </c>
      <c r="F470" s="126">
        <v>0</v>
      </c>
      <c r="G470" s="126">
        <f>I469-I470</f>
        <v>134702</v>
      </c>
      <c r="H470" s="126">
        <v>673281</v>
      </c>
      <c r="I470" s="126">
        <v>330476</v>
      </c>
      <c r="J470" s="177"/>
      <c r="K470" s="177"/>
      <c r="L470" s="126">
        <f t="shared" ref="L470" si="136">C470*43/1000</f>
        <v>11517.076999999999</v>
      </c>
      <c r="M470" s="108"/>
      <c r="N470" s="178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73">
        <v>278522</v>
      </c>
      <c r="D472" s="173">
        <v>384696</v>
      </c>
      <c r="E472" s="173">
        <v>25677</v>
      </c>
      <c r="F472" s="173">
        <v>0</v>
      </c>
      <c r="G472" s="173">
        <f>I470-I472</f>
        <v>-95090</v>
      </c>
      <c r="H472" s="173">
        <v>545267</v>
      </c>
      <c r="I472" s="173">
        <v>425566</v>
      </c>
      <c r="J472" s="174"/>
      <c r="K472" s="174"/>
      <c r="L472" s="173">
        <f t="shared" ref="L472" si="137">C472*43/1000</f>
        <v>11976.446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73">
        <v>264982</v>
      </c>
      <c r="D473" s="173">
        <v>327189</v>
      </c>
      <c r="E473" s="173">
        <v>60820</v>
      </c>
      <c r="F473" s="173">
        <v>0</v>
      </c>
      <c r="G473" s="173">
        <f t="shared" ref="G473:G478" si="138">I472-I473</f>
        <v>78528</v>
      </c>
      <c r="H473" s="173">
        <v>563416</v>
      </c>
      <c r="I473" s="173">
        <v>347038</v>
      </c>
      <c r="J473" s="174"/>
      <c r="K473" s="174"/>
      <c r="L473" s="173">
        <f t="shared" ref="L473" si="139">C473*43/1000</f>
        <v>11394.226000000001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73">
        <v>229292</v>
      </c>
      <c r="D474" s="173">
        <v>340680</v>
      </c>
      <c r="E474" s="173">
        <v>67346</v>
      </c>
      <c r="F474" s="173">
        <v>0</v>
      </c>
      <c r="G474" s="173">
        <f t="shared" si="138"/>
        <v>31309</v>
      </c>
      <c r="H474" s="173">
        <v>459625</v>
      </c>
      <c r="I474" s="173">
        <v>315729</v>
      </c>
      <c r="J474" s="174"/>
      <c r="K474" s="174"/>
      <c r="L474" s="173">
        <f t="shared" ref="L474" si="140">C474*43/1000</f>
        <v>9859.5560000000005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73">
        <v>273613</v>
      </c>
      <c r="D475" s="173">
        <v>539141</v>
      </c>
      <c r="E475" s="173">
        <v>44610</v>
      </c>
      <c r="F475" s="173">
        <v>0</v>
      </c>
      <c r="G475" s="173">
        <f t="shared" si="138"/>
        <v>-107263</v>
      </c>
      <c r="H475" s="173">
        <v>577088</v>
      </c>
      <c r="I475" s="173">
        <v>422992</v>
      </c>
      <c r="J475" s="174"/>
      <c r="K475" s="174"/>
      <c r="L475" s="173">
        <f t="shared" ref="L475" si="141">C475*43/1000</f>
        <v>11765.359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73">
        <v>323296</v>
      </c>
      <c r="D476" s="173">
        <v>469743</v>
      </c>
      <c r="E476" s="173">
        <v>106752</v>
      </c>
      <c r="F476" s="173">
        <v>0</v>
      </c>
      <c r="G476" s="173">
        <f t="shared" si="138"/>
        <v>-62668</v>
      </c>
      <c r="H476" s="173">
        <v>635694</v>
      </c>
      <c r="I476" s="173">
        <v>485660</v>
      </c>
      <c r="J476" s="174"/>
      <c r="K476" s="174"/>
      <c r="L476" s="173">
        <f t="shared" ref="L476" si="142">C476*43/1000</f>
        <v>13901.727999999999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73">
        <v>318363</v>
      </c>
      <c r="D477" s="173">
        <v>363963</v>
      </c>
      <c r="E477" s="173">
        <v>134654</v>
      </c>
      <c r="F477" s="173">
        <v>0</v>
      </c>
      <c r="G477" s="173">
        <f t="shared" si="138"/>
        <v>77562</v>
      </c>
      <c r="H477" s="173">
        <v>624519</v>
      </c>
      <c r="I477" s="173">
        <v>408098</v>
      </c>
      <c r="J477" s="174"/>
      <c r="K477" s="174"/>
      <c r="L477" s="173">
        <f t="shared" ref="L477" si="143">C477*43/1000</f>
        <v>13689.609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73">
        <v>303742</v>
      </c>
      <c r="D478" s="173">
        <v>382407</v>
      </c>
      <c r="E478" s="173">
        <v>19684</v>
      </c>
      <c r="F478" s="173">
        <v>0</v>
      </c>
      <c r="G478" s="173">
        <f t="shared" si="138"/>
        <v>-22743</v>
      </c>
      <c r="H478" s="173">
        <v>657231</v>
      </c>
      <c r="I478" s="173">
        <v>430841</v>
      </c>
      <c r="J478" s="174"/>
      <c r="K478" s="174"/>
      <c r="L478" s="173">
        <f t="shared" ref="L478" si="144">C478*43/1000</f>
        <v>13060.906000000001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K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C482" sqref="C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6" x14ac:dyDescent="0.2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5" thickBot="1" x14ac:dyDescent="0.25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">
      <c r="A27" s="22">
        <v>2025</v>
      </c>
      <c r="J27" s="3"/>
      <c r="K27" s="22">
        <v>2025</v>
      </c>
    </row>
    <row r="28" spans="1:37" x14ac:dyDescent="0.2">
      <c r="A28" s="22"/>
      <c r="J28" s="3"/>
      <c r="K28" s="22"/>
    </row>
    <row r="29" spans="1:37" x14ac:dyDescent="0.2">
      <c r="A29" s="22" t="str">
        <f>'Olieforbrug, TJ'!A29</f>
        <v>Januar - Juli</v>
      </c>
      <c r="J29" s="3"/>
      <c r="K29" s="22" t="str">
        <f>'Olieforbrug, TJ'!M29</f>
        <v>January - July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">
      <c r="A30" s="22">
        <f>'Olieforbrug, TJ'!A30</f>
        <v>2005</v>
      </c>
      <c r="B30" s="3"/>
      <c r="C30" s="3">
        <f>SUM(C212:C218)</f>
        <v>93674</v>
      </c>
      <c r="D30" s="3">
        <f t="shared" ref="D30:H30" si="11">SUM(D212:D218)</f>
        <v>59002</v>
      </c>
      <c r="E30" s="3">
        <f t="shared" si="11"/>
        <v>80418</v>
      </c>
      <c r="F30" s="3">
        <f t="shared" si="11"/>
        <v>0</v>
      </c>
      <c r="G30" s="3">
        <f t="shared" si="11"/>
        <v>12061</v>
      </c>
      <c r="H30" s="3">
        <f t="shared" si="11"/>
        <v>86002</v>
      </c>
      <c r="I30" s="3">
        <f>I218</f>
        <v>172071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">
      <c r="A31" s="22">
        <f>'Olieforbrug, TJ'!A31</f>
        <v>2006</v>
      </c>
      <c r="B31" s="3"/>
      <c r="C31" s="3">
        <f>SUM(C225:C231)</f>
        <v>59836</v>
      </c>
      <c r="D31" s="3">
        <f t="shared" ref="D31:H31" si="12">SUM(D225:D231)</f>
        <v>1888</v>
      </c>
      <c r="E31" s="3">
        <f t="shared" si="12"/>
        <v>54096</v>
      </c>
      <c r="F31" s="3">
        <f t="shared" si="12"/>
        <v>0</v>
      </c>
      <c r="G31" s="3">
        <f t="shared" si="12"/>
        <v>1167</v>
      </c>
      <c r="H31" s="3">
        <f t="shared" si="12"/>
        <v>10238</v>
      </c>
      <c r="I31" s="3">
        <f>I231</f>
        <v>183837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">
      <c r="A32" s="22">
        <f>'Olieforbrug, TJ'!A32</f>
        <v>2007</v>
      </c>
      <c r="B32" s="3"/>
      <c r="C32" s="3">
        <f>SUM(C238:C244)</f>
        <v>54607</v>
      </c>
      <c r="D32" s="3">
        <f t="shared" ref="D32:H32" si="13">SUM(D238:D244)</f>
        <v>16533</v>
      </c>
      <c r="E32" s="3">
        <f t="shared" si="13"/>
        <v>61717</v>
      </c>
      <c r="F32" s="3">
        <f t="shared" si="13"/>
        <v>0</v>
      </c>
      <c r="G32" s="3">
        <f t="shared" si="13"/>
        <v>6555</v>
      </c>
      <c r="H32" s="3">
        <f t="shared" si="13"/>
        <v>10101</v>
      </c>
      <c r="I32" s="3">
        <f>I244</f>
        <v>170722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">
      <c r="A33" s="22">
        <f>'Olieforbrug, TJ'!A33</f>
        <v>2008</v>
      </c>
      <c r="B33" s="3"/>
      <c r="C33" s="3">
        <f>SUM(C251:C257)</f>
        <v>288122</v>
      </c>
      <c r="D33" s="3">
        <f t="shared" ref="D33:H33" si="14">SUM(D251:D257)</f>
        <v>8388</v>
      </c>
      <c r="E33" s="3">
        <f t="shared" si="14"/>
        <v>333578</v>
      </c>
      <c r="F33" s="3">
        <f t="shared" si="14"/>
        <v>0</v>
      </c>
      <c r="G33" s="3">
        <f t="shared" si="14"/>
        <v>33897</v>
      </c>
      <c r="H33" s="3">
        <f t="shared" si="14"/>
        <v>48746</v>
      </c>
      <c r="I33" s="3">
        <f>I257</f>
        <v>155209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">
      <c r="A34" s="22">
        <f>'Olieforbrug, TJ'!A34</f>
        <v>2009</v>
      </c>
      <c r="B34" s="3"/>
      <c r="C34" s="3">
        <f>SUM(C264:C270)</f>
        <v>61092</v>
      </c>
      <c r="D34" s="3">
        <f t="shared" ref="D34:H34" si="15">SUM(D264:D270)</f>
        <v>5383</v>
      </c>
      <c r="E34" s="3">
        <f t="shared" si="15"/>
        <v>86205</v>
      </c>
      <c r="F34" s="3">
        <f t="shared" si="15"/>
        <v>0</v>
      </c>
      <c r="G34" s="3">
        <f t="shared" si="15"/>
        <v>48746</v>
      </c>
      <c r="H34" s="3">
        <f t="shared" si="15"/>
        <v>15604</v>
      </c>
      <c r="I34" s="3">
        <f>I270</f>
        <v>184834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">
      <c r="A35" s="22">
        <f>'Olieforbrug, TJ'!A35</f>
        <v>2010</v>
      </c>
      <c r="B35" s="3"/>
      <c r="C35" s="3">
        <f>SUM(C277:C283)</f>
        <v>95152</v>
      </c>
      <c r="D35" s="3">
        <f t="shared" ref="D35:H35" si="16">SUM(D277:D283)</f>
        <v>754</v>
      </c>
      <c r="E35" s="3">
        <f t="shared" si="16"/>
        <v>34857</v>
      </c>
      <c r="F35" s="3">
        <f t="shared" si="16"/>
        <v>0</v>
      </c>
      <c r="G35" s="3">
        <f t="shared" si="16"/>
        <v>-2217</v>
      </c>
      <c r="H35" s="3">
        <f t="shared" si="16"/>
        <v>40008</v>
      </c>
      <c r="I35" s="3">
        <f>I283</f>
        <v>178180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">
      <c r="A36" s="22">
        <f>'Olieforbrug, TJ'!A36</f>
        <v>2011</v>
      </c>
      <c r="B36" s="3"/>
      <c r="C36" s="3">
        <f>SUM(C290:C296)</f>
        <v>83790</v>
      </c>
      <c r="D36" s="3">
        <f t="shared" ref="D36:H36" si="17">SUM(D290:D296)</f>
        <v>0</v>
      </c>
      <c r="E36" s="3">
        <f t="shared" si="17"/>
        <v>57624</v>
      </c>
      <c r="F36" s="3">
        <f t="shared" si="17"/>
        <v>0</v>
      </c>
      <c r="G36" s="3">
        <f t="shared" si="17"/>
        <v>19495</v>
      </c>
      <c r="H36" s="3">
        <f t="shared" si="17"/>
        <v>32338</v>
      </c>
      <c r="I36" s="3">
        <f>I296</f>
        <v>172380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">
      <c r="A37" s="22">
        <f>'Olieforbrug, TJ'!A37</f>
        <v>2012</v>
      </c>
      <c r="B37" s="3"/>
      <c r="C37" s="3">
        <f>SUM(C303:C309)</f>
        <v>81843</v>
      </c>
      <c r="D37" s="3">
        <f t="shared" ref="D37:H37" si="18">SUM(D303:D309)</f>
        <v>319212</v>
      </c>
      <c r="E37" s="3">
        <f t="shared" si="18"/>
        <v>349350</v>
      </c>
      <c r="F37" s="3">
        <f t="shared" si="18"/>
        <v>0</v>
      </c>
      <c r="G37" s="3">
        <f t="shared" si="18"/>
        <v>-13926</v>
      </c>
      <c r="H37" s="3">
        <f t="shared" si="18"/>
        <v>32558</v>
      </c>
      <c r="I37" s="3">
        <f>I309</f>
        <v>206509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">
      <c r="A38" s="22">
        <f>'Olieforbrug, TJ'!A38</f>
        <v>2013</v>
      </c>
      <c r="B38" s="3"/>
      <c r="C38" s="3">
        <f>SUM(C316:C322)</f>
        <v>195310</v>
      </c>
      <c r="D38" s="3">
        <f t="shared" ref="D38:H38" si="19">SUM(D316:D322)</f>
        <v>338247</v>
      </c>
      <c r="E38" s="3">
        <f t="shared" si="19"/>
        <v>504103</v>
      </c>
      <c r="F38" s="3">
        <f t="shared" si="19"/>
        <v>0</v>
      </c>
      <c r="G38" s="3">
        <f t="shared" si="19"/>
        <v>-27245</v>
      </c>
      <c r="H38" s="3">
        <f t="shared" si="19"/>
        <v>34575</v>
      </c>
      <c r="I38" s="3">
        <f>I322</f>
        <v>197167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">
      <c r="A39" s="22">
        <f>'Olieforbrug, TJ'!A39</f>
        <v>2014</v>
      </c>
      <c r="B39" s="3"/>
      <c r="C39" s="3">
        <f>SUM(C329:C335)</f>
        <v>177528</v>
      </c>
      <c r="D39" s="3">
        <f t="shared" ref="D39:H39" si="20">SUM(D329:D335)</f>
        <v>341440</v>
      </c>
      <c r="E39" s="3">
        <f t="shared" si="20"/>
        <v>516301</v>
      </c>
      <c r="F39" s="3">
        <f t="shared" si="20"/>
        <v>4580</v>
      </c>
      <c r="G39" s="3">
        <f t="shared" si="20"/>
        <v>-72353</v>
      </c>
      <c r="H39" s="3">
        <f t="shared" si="20"/>
        <v>66669</v>
      </c>
      <c r="I39" s="3">
        <f>I335</f>
        <v>230894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">
      <c r="A40" s="22">
        <f>'Olieforbrug, TJ'!A40</f>
        <v>2015</v>
      </c>
      <c r="B40" s="3"/>
      <c r="C40" s="3">
        <f>SUM(C342:C348)</f>
        <v>120642</v>
      </c>
      <c r="D40" s="3">
        <f t="shared" ref="D40:H40" si="21">SUM(D342:D348)</f>
        <v>112847</v>
      </c>
      <c r="E40" s="3">
        <f t="shared" si="21"/>
        <v>226927</v>
      </c>
      <c r="F40" s="3">
        <f t="shared" si="21"/>
        <v>0</v>
      </c>
      <c r="G40" s="3">
        <f t="shared" si="21"/>
        <v>42977</v>
      </c>
      <c r="H40" s="3">
        <f t="shared" si="21"/>
        <v>24241</v>
      </c>
      <c r="I40" s="3">
        <f>I348</f>
        <v>109198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">
      <c r="A41" s="22">
        <f>'Olieforbrug, TJ'!A41</f>
        <v>2016</v>
      </c>
      <c r="B41" s="3"/>
      <c r="C41" s="3">
        <f>SUM(C355:C361)</f>
        <v>261073</v>
      </c>
      <c r="D41" s="3">
        <f t="shared" ref="D41:H41" si="22">SUM(D355:D361)</f>
        <v>0</v>
      </c>
      <c r="E41" s="3">
        <f t="shared" si="22"/>
        <v>179423</v>
      </c>
      <c r="F41" s="3">
        <f t="shared" si="22"/>
        <v>0</v>
      </c>
      <c r="G41" s="3">
        <f t="shared" si="22"/>
        <v>19719</v>
      </c>
      <c r="H41" s="3">
        <f t="shared" si="22"/>
        <v>46239</v>
      </c>
      <c r="I41" s="3">
        <f>I361</f>
        <v>92654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">
      <c r="A42" s="22">
        <f>'Olieforbrug, TJ'!A42</f>
        <v>2017</v>
      </c>
      <c r="B42" s="3"/>
      <c r="C42" s="3">
        <f>SUM(C368:C374)</f>
        <v>198444</v>
      </c>
      <c r="D42" s="3">
        <f t="shared" ref="D42:H42" si="23">SUM(D368:D374)</f>
        <v>83838</v>
      </c>
      <c r="E42" s="3">
        <f t="shared" si="23"/>
        <v>238478</v>
      </c>
      <c r="F42" s="3">
        <f t="shared" si="23"/>
        <v>0</v>
      </c>
      <c r="G42" s="3">
        <f t="shared" si="23"/>
        <v>-12452</v>
      </c>
      <c r="H42" s="3">
        <f t="shared" si="23"/>
        <v>4386</v>
      </c>
      <c r="I42" s="3">
        <f>I374</f>
        <v>71322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">
      <c r="A43" s="22">
        <f>'Olieforbrug, TJ'!A43</f>
        <v>2018</v>
      </c>
      <c r="B43" s="3"/>
      <c r="C43" s="3">
        <f>SUM(C381:C387)</f>
        <v>353839</v>
      </c>
      <c r="D43" s="3">
        <f t="shared" ref="D43:H43" si="24">SUM(D381:D387)</f>
        <v>0</v>
      </c>
      <c r="E43" s="3">
        <f t="shared" si="24"/>
        <v>350424</v>
      </c>
      <c r="F43" s="3">
        <f t="shared" si="24"/>
        <v>0</v>
      </c>
      <c r="G43" s="3">
        <f t="shared" si="24"/>
        <v>9510</v>
      </c>
      <c r="H43" s="3">
        <f t="shared" si="24"/>
        <v>10622</v>
      </c>
      <c r="I43" s="3">
        <f>I387</f>
        <v>51625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">
      <c r="A44" s="22">
        <f>'Olieforbrug, TJ'!A44</f>
        <v>2019</v>
      </c>
      <c r="B44" s="3"/>
      <c r="C44" s="3">
        <f>SUM(C394:C400)</f>
        <v>96128</v>
      </c>
      <c r="D44" s="3">
        <f t="shared" ref="D44:H44" si="25">SUM(D394:D400)</f>
        <v>30233</v>
      </c>
      <c r="E44" s="3">
        <f t="shared" si="25"/>
        <v>144946</v>
      </c>
      <c r="F44" s="3">
        <f t="shared" si="25"/>
        <v>0</v>
      </c>
      <c r="G44" s="3">
        <f t="shared" si="25"/>
        <v>23534</v>
      </c>
      <c r="H44" s="3">
        <f t="shared" si="25"/>
        <v>4716</v>
      </c>
      <c r="I44" s="3">
        <f>I400</f>
        <v>50059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">
      <c r="A45" s="22">
        <f>'Olieforbrug, TJ'!A45</f>
        <v>2020</v>
      </c>
      <c r="B45" s="3"/>
      <c r="C45" s="3">
        <f>SUM(C407:C413)</f>
        <v>49894</v>
      </c>
      <c r="D45" s="3">
        <f t="shared" ref="D45:H45" si="26">SUM(D407:D413)</f>
        <v>0</v>
      </c>
      <c r="E45" s="3">
        <f t="shared" si="26"/>
        <v>34992</v>
      </c>
      <c r="F45" s="3">
        <f t="shared" si="26"/>
        <v>0</v>
      </c>
      <c r="G45" s="3">
        <f t="shared" si="26"/>
        <v>63533</v>
      </c>
      <c r="H45" s="3">
        <f t="shared" si="26"/>
        <v>22677</v>
      </c>
      <c r="I45" s="3">
        <f>I413</f>
        <v>25526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">
      <c r="A46" s="22">
        <f>'Olieforbrug, TJ'!A46</f>
        <v>2021</v>
      </c>
      <c r="B46" s="3"/>
      <c r="C46" s="3">
        <f>SUM(C420:C426)</f>
        <v>53630</v>
      </c>
      <c r="D46" s="3">
        <f t="shared" ref="D46:H46" si="27">SUM(D420:D426)</f>
        <v>0</v>
      </c>
      <c r="E46" s="3">
        <f t="shared" si="27"/>
        <v>50167</v>
      </c>
      <c r="F46" s="3">
        <f t="shared" si="27"/>
        <v>0</v>
      </c>
      <c r="G46" s="3">
        <f t="shared" si="27"/>
        <v>1197</v>
      </c>
      <c r="H46" s="3">
        <f t="shared" si="27"/>
        <v>3809</v>
      </c>
      <c r="I46" s="3">
        <f>I426</f>
        <v>24948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">
      <c r="A47" s="22">
        <f>'Olieforbrug, TJ'!A47</f>
        <v>2022</v>
      </c>
      <c r="B47" s="3"/>
      <c r="C47" s="3">
        <f>SUM(C433:C439)</f>
        <v>57183</v>
      </c>
      <c r="D47" s="3">
        <f t="shared" ref="D47:H47" si="28">SUM(D433:D439)</f>
        <v>15530</v>
      </c>
      <c r="E47" s="3">
        <f t="shared" si="28"/>
        <v>29743</v>
      </c>
      <c r="F47" s="3">
        <f t="shared" si="28"/>
        <v>0</v>
      </c>
      <c r="G47" s="3">
        <f t="shared" si="28"/>
        <v>-2322</v>
      </c>
      <c r="H47" s="3">
        <f t="shared" si="28"/>
        <v>13164</v>
      </c>
      <c r="I47" s="3">
        <f>I439</f>
        <v>34699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">
      <c r="A48" s="22">
        <f>'Olieforbrug, TJ'!A48</f>
        <v>2023</v>
      </c>
      <c r="B48" s="3"/>
      <c r="C48" s="3">
        <f>SUM(C446:C452)</f>
        <v>48592</v>
      </c>
      <c r="D48" s="3">
        <f t="shared" ref="D48:H48" si="29">SUM(D446:D452)</f>
        <v>41877</v>
      </c>
      <c r="E48" s="3">
        <f t="shared" si="29"/>
        <v>36544</v>
      </c>
      <c r="F48" s="3">
        <f t="shared" si="29"/>
        <v>0</v>
      </c>
      <c r="G48" s="3">
        <f t="shared" si="29"/>
        <v>3761</v>
      </c>
      <c r="H48" s="3">
        <f t="shared" si="29"/>
        <v>26447</v>
      </c>
      <c r="I48" s="3">
        <f>I452</f>
        <v>32568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">
      <c r="A49" s="22">
        <f>'Olieforbrug, TJ'!A49</f>
        <v>2024</v>
      </c>
      <c r="B49" s="3"/>
      <c r="C49" s="3">
        <f>SUM(C459:C465)</f>
        <v>67372</v>
      </c>
      <c r="D49" s="3">
        <f t="shared" ref="D49:H49" si="30">SUM(D459:D465)</f>
        <v>24511</v>
      </c>
      <c r="E49" s="3">
        <f t="shared" si="30"/>
        <v>52447</v>
      </c>
      <c r="F49" s="3">
        <f t="shared" si="30"/>
        <v>0</v>
      </c>
      <c r="G49" s="3">
        <f t="shared" si="30"/>
        <v>9754</v>
      </c>
      <c r="H49" s="3">
        <f t="shared" si="30"/>
        <v>18346</v>
      </c>
      <c r="I49" s="3">
        <f>I465</f>
        <v>31693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">
      <c r="A50" s="22">
        <f>'Olieforbrug, TJ'!A50</f>
        <v>2025</v>
      </c>
      <c r="B50" s="3"/>
      <c r="C50" s="3">
        <f>SUM(C472:C478)</f>
        <v>49410</v>
      </c>
      <c r="D50" s="3">
        <f t="shared" ref="D50:H50" si="31">SUM(D472:D478)</f>
        <v>12312</v>
      </c>
      <c r="E50" s="3">
        <f t="shared" si="31"/>
        <v>64814</v>
      </c>
      <c r="F50" s="3">
        <f t="shared" si="31"/>
        <v>0</v>
      </c>
      <c r="G50" s="3">
        <f t="shared" si="31"/>
        <v>22913</v>
      </c>
      <c r="H50" s="3">
        <f t="shared" si="31"/>
        <v>14291</v>
      </c>
      <c r="I50" s="3">
        <f>I478</f>
        <v>17602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">
      <c r="A51" s="22"/>
      <c r="J51" s="51"/>
      <c r="K51" s="22"/>
    </row>
    <row r="52" spans="1:37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">
      <c r="A57" s="23"/>
      <c r="J57" s="3"/>
    </row>
    <row r="58" spans="1:37" x14ac:dyDescent="0.2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">
      <c r="A62" s="23"/>
      <c r="J62" s="3"/>
    </row>
    <row r="63" spans="1:37" x14ac:dyDescent="0.2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">
      <c r="A82" s="32"/>
      <c r="J82" s="3"/>
      <c r="K82" s="26"/>
    </row>
    <row r="83" spans="1:11" x14ac:dyDescent="0.2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">
      <c r="A87" s="32"/>
      <c r="J87" s="3"/>
      <c r="K87" s="26"/>
    </row>
    <row r="88" spans="1:11" x14ac:dyDescent="0.2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">
      <c r="A92" s="32"/>
      <c r="J92" s="3"/>
      <c r="K92" s="26"/>
    </row>
    <row r="93" spans="1:11" x14ac:dyDescent="0.2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">
      <c r="A97" s="32"/>
      <c r="J97" s="3"/>
      <c r="M97" s="26"/>
    </row>
    <row r="98" spans="1:14" x14ac:dyDescent="0.2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">
      <c r="A102" s="32"/>
      <c r="J102" s="3"/>
      <c r="K102" s="26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">
      <c r="A117" s="32"/>
      <c r="J117" s="3"/>
      <c r="K117" s="26"/>
    </row>
    <row r="118" spans="1:21" s="57" customFormat="1" x14ac:dyDescent="0.2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">
      <c r="A153" s="170" t="str">
        <f>'Olieforbrug, TJ'!A153</f>
        <v>1. kvartal 2025</v>
      </c>
      <c r="C153" s="3">
        <f>SUM(C472:C474)</f>
        <v>33064</v>
      </c>
      <c r="D153" s="3">
        <f t="shared" ref="D153:H153" si="76">SUM(D472:D474)</f>
        <v>6527</v>
      </c>
      <c r="E153" s="3">
        <f t="shared" si="76"/>
        <v>37333</v>
      </c>
      <c r="F153" s="3">
        <f t="shared" si="76"/>
        <v>0</v>
      </c>
      <c r="G153" s="3">
        <f t="shared" si="76"/>
        <v>1260</v>
      </c>
      <c r="H153" s="3">
        <f t="shared" si="76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">
      <c r="A154" s="170" t="str">
        <f>'Olieforbrug, TJ'!A154</f>
        <v>2. kvartal 2025</v>
      </c>
      <c r="C154" s="3">
        <f>SUM(C475:C477)</f>
        <v>9375</v>
      </c>
      <c r="D154" s="3">
        <f t="shared" ref="D154:H154" si="77">SUM(D475:D477)</f>
        <v>5785</v>
      </c>
      <c r="E154" s="3">
        <f t="shared" si="77"/>
        <v>18451</v>
      </c>
      <c r="F154" s="3">
        <f t="shared" si="77"/>
        <v>0</v>
      </c>
      <c r="G154" s="3">
        <f t="shared" si="77"/>
        <v>17120</v>
      </c>
      <c r="H154" s="3">
        <f t="shared" si="77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M155" s="65"/>
    </row>
    <row r="156" spans="1:13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1" customFormat="1" x14ac:dyDescent="0.2"/>
    <row r="158" spans="1:13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5" thickBot="1" x14ac:dyDescent="0.25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5" thickBot="1" x14ac:dyDescent="0.25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5" thickBot="1" x14ac:dyDescent="0.25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5" thickBot="1" x14ac:dyDescent="0.25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5" thickBot="1" x14ac:dyDescent="0.25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5" thickBot="1" x14ac:dyDescent="0.25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5" thickBot="1" x14ac:dyDescent="0.25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5" thickBot="1" x14ac:dyDescent="0.25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5" thickBot="1" x14ac:dyDescent="0.25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5" thickBot="1" x14ac:dyDescent="0.25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8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8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8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8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8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8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8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8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8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8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5" thickBot="1" x14ac:dyDescent="0.25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8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5" thickBot="1" x14ac:dyDescent="0.25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79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79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79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79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79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79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0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0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0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0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0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0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1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1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1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1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1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1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2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2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2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2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2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2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5" thickBot="1" x14ac:dyDescent="0.25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3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3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3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3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3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3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5" thickBot="1" x14ac:dyDescent="0.25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4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4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4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4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4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4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5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6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7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8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89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0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0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0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0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0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0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1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2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3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3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3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3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3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3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4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5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6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3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5" thickBot="1" x14ac:dyDescent="0.25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6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3">
        <f>I470-I472</f>
        <v>7727</v>
      </c>
      <c r="H472" s="77">
        <v>1595</v>
      </c>
      <c r="I472" s="77">
        <v>32788</v>
      </c>
      <c r="J472" s="174"/>
      <c r="K472" s="74" t="str">
        <f>'Olieforbrug, TJ'!M472</f>
        <v>January</v>
      </c>
      <c r="L472" s="69"/>
      <c r="M472" s="57"/>
    </row>
    <row r="473" spans="1:13" x14ac:dyDescent="0.2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3">
        <f t="shared" ref="G473:G478" si="97">I472-I473</f>
        <v>3431</v>
      </c>
      <c r="H473" s="77">
        <v>1850</v>
      </c>
      <c r="I473" s="77">
        <v>29357</v>
      </c>
      <c r="J473" s="174"/>
      <c r="K473" s="74" t="str">
        <f>'Olieforbrug, TJ'!M473</f>
        <v>February</v>
      </c>
    </row>
    <row r="474" spans="1:13" x14ac:dyDescent="0.2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3">
        <f t="shared" si="97"/>
        <v>-9898</v>
      </c>
      <c r="H474" s="77">
        <v>73</v>
      </c>
      <c r="I474" s="77">
        <v>39255</v>
      </c>
      <c r="J474" s="174"/>
      <c r="K474" s="74" t="str">
        <f>'Olieforbrug, TJ'!M474</f>
        <v>March</v>
      </c>
    </row>
    <row r="475" spans="1:13" x14ac:dyDescent="0.2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3">
        <f t="shared" si="97"/>
        <v>12217</v>
      </c>
      <c r="H475" s="77">
        <v>5200</v>
      </c>
      <c r="I475" s="77">
        <v>27038</v>
      </c>
      <c r="J475" s="174"/>
      <c r="K475" s="74" t="str">
        <f>'Olieforbrug, TJ'!M475</f>
        <v>April</v>
      </c>
    </row>
    <row r="476" spans="1:13" x14ac:dyDescent="0.2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3">
        <f t="shared" si="97"/>
        <v>4983</v>
      </c>
      <c r="H476" s="77">
        <v>137</v>
      </c>
      <c r="I476" s="77">
        <v>22055</v>
      </c>
      <c r="J476" s="174"/>
      <c r="K476" s="74" t="str">
        <f>'Olieforbrug, TJ'!M476</f>
        <v>May</v>
      </c>
    </row>
    <row r="477" spans="1:13" x14ac:dyDescent="0.2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3">
        <f t="shared" si="97"/>
        <v>-80</v>
      </c>
      <c r="H477" s="77">
        <v>2962</v>
      </c>
      <c r="I477" s="77">
        <v>22135</v>
      </c>
      <c r="J477" s="174"/>
      <c r="K477" s="74" t="str">
        <f>'Olieforbrug, TJ'!M477</f>
        <v>June</v>
      </c>
    </row>
    <row r="478" spans="1:13" x14ac:dyDescent="0.2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3">
        <f t="shared" si="97"/>
        <v>4533</v>
      </c>
      <c r="H478" s="77">
        <v>2474</v>
      </c>
      <c r="I478" s="77">
        <v>17602</v>
      </c>
      <c r="J478" s="174"/>
      <c r="K478" s="74" t="str">
        <f>'Olieforbrug, TJ'!M478</f>
        <v>July</v>
      </c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indexed="42"/>
    <pageSetUpPr fitToPage="1"/>
  </sheetPr>
  <dimension ref="A1:AS478"/>
  <sheetViews>
    <sheetView zoomScale="80" zoomScaleNormal="80" workbookViewId="0">
      <pane xSplit="2" ySplit="5" topLeftCell="C441" activePane="bottomRight" state="frozen"/>
      <selection pane="topRight" activeCell="C1" sqref="C1"/>
      <selection pane="bottomLeft" activeCell="A6" sqref="A6"/>
      <selection pane="bottomRight" activeCell="E485" sqref="E48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" bestFit="1" customWidth="1"/>
  </cols>
  <sheetData>
    <row r="1" spans="1:16" x14ac:dyDescent="0.2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">
      <c r="A27" s="22">
        <v>2025</v>
      </c>
      <c r="J27" s="3"/>
      <c r="K27" s="3"/>
      <c r="L27" s="3"/>
      <c r="M27" s="57"/>
      <c r="N27" s="22">
        <v>2025</v>
      </c>
    </row>
    <row r="28" spans="1:45" x14ac:dyDescent="0.2">
      <c r="A28" s="22"/>
      <c r="J28" s="3"/>
      <c r="L28" s="3"/>
      <c r="M28" s="57"/>
      <c r="N28" s="22"/>
    </row>
    <row r="29" spans="1:45" x14ac:dyDescent="0.2">
      <c r="A29" s="22" t="str">
        <f>'Olieforbrug, TJ'!A29</f>
        <v>Januar - Juli</v>
      </c>
      <c r="J29" s="3"/>
      <c r="L29" s="3"/>
      <c r="M29" s="3"/>
      <c r="N29" s="22" t="str">
        <f>'Olieforbrug, TJ'!M29</f>
        <v>January - July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">
      <c r="A30" s="22">
        <f>'Olieforbrug, TJ'!A30</f>
        <v>2005</v>
      </c>
      <c r="C30" s="3">
        <f>SUM(C212:C218)</f>
        <v>1495977</v>
      </c>
      <c r="D30" s="3">
        <f t="shared" ref="D30:L30" si="11">SUM(D212:D218)</f>
        <v>806327</v>
      </c>
      <c r="E30" s="3">
        <f t="shared" si="11"/>
        <v>800112</v>
      </c>
      <c r="F30" s="3">
        <f t="shared" si="11"/>
        <v>2</v>
      </c>
      <c r="G30" s="3">
        <f t="shared" si="11"/>
        <v>-72057</v>
      </c>
      <c r="H30" s="3">
        <f t="shared" si="11"/>
        <v>1440087</v>
      </c>
      <c r="I30" s="3">
        <f>I218</f>
        <v>570255</v>
      </c>
      <c r="J30" s="3"/>
      <c r="K30" s="3"/>
      <c r="L30" s="3">
        <f t="shared" si="11"/>
        <v>47306.857950000005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">
      <c r="A31" s="22">
        <f>'Olieforbrug, TJ'!A31</f>
        <v>2006</v>
      </c>
      <c r="C31" s="3">
        <f>SUM(C225:C231)</f>
        <v>1523926</v>
      </c>
      <c r="D31" s="3">
        <f t="shared" ref="D31:L31" si="12">SUM(D225:D231)</f>
        <v>750425</v>
      </c>
      <c r="E31" s="3">
        <f t="shared" si="12"/>
        <v>844207</v>
      </c>
      <c r="F31" s="3">
        <f t="shared" si="12"/>
        <v>1</v>
      </c>
      <c r="G31" s="3">
        <f t="shared" si="12"/>
        <v>-30952</v>
      </c>
      <c r="H31" s="3">
        <f t="shared" si="12"/>
        <v>1400928</v>
      </c>
      <c r="I31" s="3">
        <f>I231</f>
        <v>571772</v>
      </c>
      <c r="J31" s="3"/>
      <c r="K31" s="3"/>
      <c r="L31" s="3">
        <f t="shared" si="12"/>
        <v>46020.484799999998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">
      <c r="A32" s="22">
        <f>'Olieforbrug, TJ'!A32</f>
        <v>2007</v>
      </c>
      <c r="C32" s="3">
        <f>SUM(C238:C244)</f>
        <v>1411459</v>
      </c>
      <c r="D32" s="3">
        <f t="shared" ref="D32:L32" si="13">SUM(D238:D244)</f>
        <v>816299</v>
      </c>
      <c r="E32" s="3">
        <f t="shared" si="13"/>
        <v>851167</v>
      </c>
      <c r="F32" s="3">
        <f t="shared" si="13"/>
        <v>0</v>
      </c>
      <c r="G32" s="3">
        <f t="shared" si="13"/>
        <v>36825</v>
      </c>
      <c r="H32" s="3">
        <f t="shared" si="13"/>
        <v>1401937</v>
      </c>
      <c r="I32" s="3">
        <f>I244</f>
        <v>504016</v>
      </c>
      <c r="J32" s="3"/>
      <c r="K32" s="3"/>
      <c r="L32" s="3">
        <f t="shared" si="13"/>
        <v>46053.630449999997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">
      <c r="A33" s="22">
        <f>'Olieforbrug, TJ'!A33</f>
        <v>2008</v>
      </c>
      <c r="C33" s="3">
        <f>SUM(C251:C257)</f>
        <v>1457614</v>
      </c>
      <c r="D33" s="3">
        <f t="shared" ref="D33:L33" si="14">SUM(D251:D257)</f>
        <v>658389</v>
      </c>
      <c r="E33" s="3">
        <f t="shared" si="14"/>
        <v>787832</v>
      </c>
      <c r="F33" s="3">
        <f t="shared" si="14"/>
        <v>0</v>
      </c>
      <c r="G33" s="3">
        <f t="shared" si="14"/>
        <v>-6623</v>
      </c>
      <c r="H33" s="3">
        <f t="shared" si="14"/>
        <v>1331281</v>
      </c>
      <c r="I33" s="3">
        <f>I257</f>
        <v>520328</v>
      </c>
      <c r="J33" s="3"/>
      <c r="K33" s="3"/>
      <c r="L33" s="3">
        <f t="shared" si="14"/>
        <v>43732.580849999998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">
      <c r="A34" s="22">
        <f>'Olieforbrug, TJ'!A34</f>
        <v>2009</v>
      </c>
      <c r="C34" s="3">
        <f>SUM(C264:C270)</f>
        <v>1670927</v>
      </c>
      <c r="D34" s="3">
        <f t="shared" ref="D34:L34" si="15">SUM(D264:D270)</f>
        <v>591239</v>
      </c>
      <c r="E34" s="3">
        <f t="shared" si="15"/>
        <v>942127</v>
      </c>
      <c r="F34" s="3">
        <f t="shared" si="15"/>
        <v>0</v>
      </c>
      <c r="G34" s="3">
        <f t="shared" si="15"/>
        <v>-29171</v>
      </c>
      <c r="H34" s="3">
        <f t="shared" si="15"/>
        <v>1296009</v>
      </c>
      <c r="I34" s="3">
        <f>I270</f>
        <v>489362</v>
      </c>
      <c r="J34" s="3"/>
      <c r="K34" s="3"/>
      <c r="L34" s="3">
        <f t="shared" si="15"/>
        <v>42573.895649999991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">
      <c r="A35" s="22">
        <f>'Olieforbrug, TJ'!A35</f>
        <v>2010</v>
      </c>
      <c r="C35" s="3">
        <f>SUM(C277:C283)</f>
        <v>1546495</v>
      </c>
      <c r="D35" s="3">
        <f t="shared" ref="D35:L35" si="16">SUM(D277:D283)</f>
        <v>509067</v>
      </c>
      <c r="E35" s="3">
        <f t="shared" si="16"/>
        <v>823097</v>
      </c>
      <c r="F35" s="3">
        <f t="shared" si="16"/>
        <v>0</v>
      </c>
      <c r="G35" s="3">
        <f t="shared" si="16"/>
        <v>-69289</v>
      </c>
      <c r="H35" s="3">
        <f t="shared" si="16"/>
        <v>1221479</v>
      </c>
      <c r="I35" s="3">
        <f>I283</f>
        <v>565632</v>
      </c>
      <c r="J35" s="3"/>
      <c r="K35" s="3"/>
      <c r="L35" s="3">
        <f t="shared" si="16"/>
        <v>40125.585149999992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">
      <c r="A36" s="22">
        <f>'Olieforbrug, TJ'!A36</f>
        <v>2011</v>
      </c>
      <c r="C36" s="3">
        <f>SUM(C290:C296)</f>
        <v>1447643</v>
      </c>
      <c r="D36" s="3">
        <f t="shared" ref="D36:L36" si="17">SUM(D290:D296)</f>
        <v>547365</v>
      </c>
      <c r="E36" s="3">
        <f t="shared" si="17"/>
        <v>819968</v>
      </c>
      <c r="F36" s="3">
        <f t="shared" si="17"/>
        <v>0</v>
      </c>
      <c r="G36" s="3">
        <f t="shared" si="17"/>
        <v>-47476</v>
      </c>
      <c r="H36" s="3">
        <f t="shared" si="17"/>
        <v>1155623</v>
      </c>
      <c r="I36" s="3">
        <f>I296</f>
        <v>553827</v>
      </c>
      <c r="J36" s="3"/>
      <c r="K36" s="3"/>
      <c r="L36" s="3">
        <f t="shared" si="17"/>
        <v>37962.215549999994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">
      <c r="A37" s="22">
        <f>'Olieforbrug, TJ'!A37</f>
        <v>2012</v>
      </c>
      <c r="C37" s="3">
        <f>SUM(C303:C309)</f>
        <v>1523103</v>
      </c>
      <c r="D37" s="3">
        <f t="shared" ref="D37:L37" si="18">SUM(D303:D309)</f>
        <v>594486</v>
      </c>
      <c r="E37" s="3">
        <f t="shared" si="18"/>
        <v>1032431</v>
      </c>
      <c r="F37" s="3">
        <f t="shared" si="18"/>
        <v>0</v>
      </c>
      <c r="G37" s="3">
        <f t="shared" si="18"/>
        <v>26147</v>
      </c>
      <c r="H37" s="3">
        <f t="shared" si="18"/>
        <v>1106109</v>
      </c>
      <c r="I37" s="3">
        <f>I309</f>
        <v>531007</v>
      </c>
      <c r="J37" s="3"/>
      <c r="K37" s="3"/>
      <c r="L37" s="3">
        <f t="shared" si="18"/>
        <v>36335.680650000002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">
      <c r="A38" s="22">
        <f>'Olieforbrug, TJ'!A38</f>
        <v>2013</v>
      </c>
      <c r="C38" s="3">
        <f>SUM(C316:C322)</f>
        <v>1565878</v>
      </c>
      <c r="D38" s="3">
        <f t="shared" ref="D38:L38" si="19">SUM(D316:D322)</f>
        <v>520725</v>
      </c>
      <c r="E38" s="3">
        <f t="shared" si="19"/>
        <v>1022007</v>
      </c>
      <c r="F38" s="3">
        <f t="shared" si="19"/>
        <v>0</v>
      </c>
      <c r="G38" s="3">
        <f t="shared" si="19"/>
        <v>40213</v>
      </c>
      <c r="H38" s="3">
        <f t="shared" si="19"/>
        <v>1064371.5</v>
      </c>
      <c r="I38" s="3">
        <f>I322</f>
        <v>533717</v>
      </c>
      <c r="J38" s="3"/>
      <c r="K38" s="3"/>
      <c r="L38" s="3">
        <f t="shared" si="19"/>
        <v>34964.603774999996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">
      <c r="A39" s="22">
        <f>'Olieforbrug, TJ'!A39</f>
        <v>2014</v>
      </c>
      <c r="C39" s="3">
        <f>SUM(C329:C335)</f>
        <v>1480302</v>
      </c>
      <c r="D39" s="3">
        <f t="shared" ref="D39:L39" si="20">SUM(D329:D335)</f>
        <v>544247</v>
      </c>
      <c r="E39" s="3">
        <f t="shared" si="20"/>
        <v>1025784</v>
      </c>
      <c r="F39" s="3">
        <f t="shared" si="20"/>
        <v>0</v>
      </c>
      <c r="G39" s="3">
        <f t="shared" si="20"/>
        <v>55881</v>
      </c>
      <c r="H39" s="3">
        <f t="shared" si="20"/>
        <v>1047864.25</v>
      </c>
      <c r="I39" s="3">
        <f>I335</f>
        <v>486221</v>
      </c>
      <c r="J39" s="3"/>
      <c r="K39" s="3"/>
      <c r="L39" s="3">
        <f t="shared" si="20"/>
        <v>34422.340612499996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">
      <c r="A40" s="22">
        <f>'Olieforbrug, TJ'!A40</f>
        <v>2015</v>
      </c>
      <c r="C40" s="3">
        <f>SUM(C342:C348)</f>
        <v>1503416</v>
      </c>
      <c r="D40" s="3">
        <f t="shared" ref="D40:L40" si="21">SUM(D342:D348)</f>
        <v>605271</v>
      </c>
      <c r="E40" s="3">
        <f t="shared" si="21"/>
        <v>1090786</v>
      </c>
      <c r="F40" s="3">
        <f t="shared" si="21"/>
        <v>0</v>
      </c>
      <c r="G40" s="3">
        <f t="shared" si="21"/>
        <v>33937</v>
      </c>
      <c r="H40" s="3">
        <f t="shared" si="21"/>
        <v>1043527</v>
      </c>
      <c r="I40" s="3">
        <f>I348</f>
        <v>500998</v>
      </c>
      <c r="J40" s="3"/>
      <c r="K40" s="3"/>
      <c r="L40" s="3">
        <f t="shared" si="21"/>
        <v>34279.861949999999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">
      <c r="A41" s="22">
        <f>'Olieforbrug, TJ'!A41</f>
        <v>2016</v>
      </c>
      <c r="C41" s="3">
        <f>SUM(C355:C361)</f>
        <v>1307599</v>
      </c>
      <c r="D41" s="3">
        <f t="shared" ref="D41:L41" si="22">SUM(D355:D361)</f>
        <v>459765</v>
      </c>
      <c r="E41" s="3">
        <f t="shared" si="22"/>
        <v>825649</v>
      </c>
      <c r="F41" s="3">
        <f t="shared" si="22"/>
        <v>0</v>
      </c>
      <c r="G41" s="3">
        <f t="shared" si="22"/>
        <v>104175</v>
      </c>
      <c r="H41" s="3">
        <f t="shared" si="22"/>
        <v>1041386</v>
      </c>
      <c r="I41" s="3">
        <f>I361</f>
        <v>463519</v>
      </c>
      <c r="J41" s="3"/>
      <c r="K41" s="3"/>
      <c r="L41" s="3">
        <f t="shared" si="22"/>
        <v>34209.530099999996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">
      <c r="A42" s="22">
        <f>'Olieforbrug, TJ'!A42</f>
        <v>2017</v>
      </c>
      <c r="C42" s="3">
        <f>SUM(C368:C374)</f>
        <v>1646046</v>
      </c>
      <c r="D42" s="3">
        <f t="shared" ref="D42:L42" si="23">SUM(D368:D374)</f>
        <v>361890</v>
      </c>
      <c r="E42" s="3">
        <f t="shared" si="23"/>
        <v>1013649</v>
      </c>
      <c r="F42" s="3">
        <f t="shared" si="23"/>
        <v>0</v>
      </c>
      <c r="G42" s="3">
        <f t="shared" si="23"/>
        <v>52099</v>
      </c>
      <c r="H42" s="3">
        <f t="shared" si="23"/>
        <v>1042779</v>
      </c>
      <c r="I42" s="3">
        <f>I374</f>
        <v>487545</v>
      </c>
      <c r="J42" s="3"/>
      <c r="K42" s="3"/>
      <c r="L42" s="3">
        <f t="shared" si="23"/>
        <v>34255.290150000001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">
      <c r="A43" s="22">
        <f>'Olieforbrug, TJ'!A43</f>
        <v>2018</v>
      </c>
      <c r="C43" s="3">
        <f>SUM(C381:C387)</f>
        <v>1588298</v>
      </c>
      <c r="D43" s="3">
        <f t="shared" ref="D43:L43" si="24">SUM(D381:D387)</f>
        <v>401224</v>
      </c>
      <c r="E43" s="3">
        <f t="shared" si="24"/>
        <v>953211</v>
      </c>
      <c r="F43" s="3">
        <f t="shared" si="24"/>
        <v>0</v>
      </c>
      <c r="G43" s="3">
        <f t="shared" si="24"/>
        <v>13315</v>
      </c>
      <c r="H43" s="3">
        <f t="shared" si="24"/>
        <v>1009041</v>
      </c>
      <c r="I43" s="3">
        <f>I387</f>
        <v>492376</v>
      </c>
      <c r="J43" s="3"/>
      <c r="K43" s="3"/>
      <c r="L43" s="3">
        <f t="shared" si="24"/>
        <v>33146.996849999996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">
      <c r="A44" s="22">
        <f>'Olieforbrug, TJ'!A44</f>
        <v>2019</v>
      </c>
      <c r="C44" s="3">
        <f>SUM(C394:C400)</f>
        <v>1635624</v>
      </c>
      <c r="D44" s="3">
        <f t="shared" ref="D44:L44" si="25">SUM(D394:D400)</f>
        <v>386094</v>
      </c>
      <c r="E44" s="3">
        <f t="shared" si="25"/>
        <v>1010027</v>
      </c>
      <c r="F44" s="3">
        <f t="shared" si="25"/>
        <v>0</v>
      </c>
      <c r="G44" s="3">
        <f t="shared" si="25"/>
        <v>29284</v>
      </c>
      <c r="H44" s="3">
        <f t="shared" si="25"/>
        <v>1041109</v>
      </c>
      <c r="I44" s="3">
        <f>I400</f>
        <v>434010</v>
      </c>
      <c r="J44" s="3"/>
      <c r="K44" s="3"/>
      <c r="L44" s="3">
        <f t="shared" si="25"/>
        <v>34200.430649999995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">
      <c r="A45" s="22">
        <f>'Olieforbrug, TJ'!A45</f>
        <v>2020</v>
      </c>
      <c r="C45" s="3">
        <f>SUM(C407:C413)</f>
        <v>1506496</v>
      </c>
      <c r="D45" s="3">
        <f t="shared" ref="D45:L45" si="26">SUM(D407:D413)</f>
        <v>464643</v>
      </c>
      <c r="E45" s="3">
        <f t="shared" si="26"/>
        <v>945030</v>
      </c>
      <c r="F45" s="3">
        <f t="shared" si="26"/>
        <v>0</v>
      </c>
      <c r="G45" s="3">
        <f t="shared" si="26"/>
        <v>-69434</v>
      </c>
      <c r="H45" s="3">
        <f t="shared" si="26"/>
        <v>951992</v>
      </c>
      <c r="I45" s="3">
        <f>I413</f>
        <v>522233</v>
      </c>
      <c r="J45" s="3"/>
      <c r="K45" s="3"/>
      <c r="L45" s="3">
        <f t="shared" si="26"/>
        <v>31272.9372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">
      <c r="A46" s="22">
        <f>'Olieforbrug, TJ'!A46</f>
        <v>2021</v>
      </c>
      <c r="C46" s="3">
        <f>SUM(C420:C426)</f>
        <v>1520695</v>
      </c>
      <c r="D46" s="3">
        <f t="shared" ref="D46:L46" si="27">SUM(D420:D426)</f>
        <v>355953</v>
      </c>
      <c r="E46" s="3">
        <f t="shared" si="27"/>
        <v>1025547</v>
      </c>
      <c r="F46" s="3">
        <f t="shared" si="27"/>
        <v>0</v>
      </c>
      <c r="G46" s="3">
        <f t="shared" si="27"/>
        <v>117398</v>
      </c>
      <c r="H46" s="3">
        <f t="shared" si="27"/>
        <v>964243</v>
      </c>
      <c r="I46" s="3">
        <f>I426</f>
        <v>420699</v>
      </c>
      <c r="J46" s="3"/>
      <c r="K46" s="3"/>
      <c r="L46" s="3">
        <f t="shared" si="27"/>
        <v>31675.382549999998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">
      <c r="A47" s="22">
        <f>'Olieforbrug, TJ'!A47</f>
        <v>2022</v>
      </c>
      <c r="C47" s="3">
        <f>SUM(C433:C439)</f>
        <v>1548220</v>
      </c>
      <c r="D47" s="3">
        <f t="shared" ref="D47:L47" si="28">SUM(D433:D439)</f>
        <v>373818</v>
      </c>
      <c r="E47" s="3">
        <f t="shared" si="28"/>
        <v>923033</v>
      </c>
      <c r="F47" s="3">
        <f t="shared" si="28"/>
        <v>0</v>
      </c>
      <c r="G47" s="3">
        <f t="shared" si="28"/>
        <v>15600</v>
      </c>
      <c r="H47" s="3">
        <f t="shared" si="28"/>
        <v>987217</v>
      </c>
      <c r="I47" s="3">
        <f>I439</f>
        <v>490301</v>
      </c>
      <c r="J47" s="3"/>
      <c r="K47" s="3"/>
      <c r="L47" s="3">
        <f t="shared" si="28"/>
        <v>32430.078449999997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">
      <c r="A48" s="22">
        <f>'Olieforbrug, TJ'!A48</f>
        <v>2023</v>
      </c>
      <c r="C48" s="3">
        <f>SUM(C446:C452)</f>
        <v>1498819</v>
      </c>
      <c r="D48" s="3">
        <f t="shared" ref="D48:L48" si="29">SUM(D446:D452)</f>
        <v>436479</v>
      </c>
      <c r="E48" s="3">
        <f t="shared" si="29"/>
        <v>926174</v>
      </c>
      <c r="F48" s="3">
        <f t="shared" si="29"/>
        <v>0</v>
      </c>
      <c r="G48" s="3">
        <f t="shared" si="29"/>
        <v>10060</v>
      </c>
      <c r="H48" s="3">
        <f t="shared" si="29"/>
        <v>1000823</v>
      </c>
      <c r="I48" s="3">
        <f>I452</f>
        <v>514588</v>
      </c>
      <c r="J48" s="3"/>
      <c r="K48" s="3"/>
      <c r="L48" s="3">
        <f t="shared" si="29"/>
        <v>32877.035550000001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">
      <c r="A49" s="22">
        <f>'Olieforbrug, TJ'!A49</f>
        <v>2024</v>
      </c>
      <c r="C49" s="3">
        <f>SUM(C459:C465)</f>
        <v>1382572</v>
      </c>
      <c r="D49" s="3">
        <f t="shared" ref="D49:L49" si="30">SUM(D459:D465)</f>
        <v>470097</v>
      </c>
      <c r="E49" s="3">
        <f t="shared" si="30"/>
        <v>885639</v>
      </c>
      <c r="F49" s="3">
        <f t="shared" si="30"/>
        <v>0</v>
      </c>
      <c r="G49" s="3">
        <f t="shared" si="30"/>
        <v>6993</v>
      </c>
      <c r="H49" s="3">
        <f t="shared" si="30"/>
        <v>971258</v>
      </c>
      <c r="I49" s="3">
        <f>I465</f>
        <v>505989</v>
      </c>
      <c r="J49" s="3"/>
      <c r="K49" s="3"/>
      <c r="L49" s="3">
        <f t="shared" si="30"/>
        <v>31905.825299999997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">
      <c r="A50" s="22">
        <f>'Olieforbrug, TJ'!A50</f>
        <v>2025</v>
      </c>
      <c r="C50" s="3">
        <f>SUM(C472:C478)</f>
        <v>1480312</v>
      </c>
      <c r="D50" s="3">
        <f t="shared" ref="D50:L50" si="31">SUM(D472:D478)</f>
        <v>514513</v>
      </c>
      <c r="E50" s="3">
        <f t="shared" si="31"/>
        <v>1085066</v>
      </c>
      <c r="F50" s="3">
        <f t="shared" si="31"/>
        <v>0</v>
      </c>
      <c r="G50" s="3">
        <f t="shared" si="31"/>
        <v>28877</v>
      </c>
      <c r="H50" s="3">
        <f t="shared" si="31"/>
        <v>918456</v>
      </c>
      <c r="I50" s="3">
        <f>I478</f>
        <v>549963</v>
      </c>
      <c r="J50" s="3"/>
      <c r="K50" s="3"/>
      <c r="L50" s="3">
        <f t="shared" si="31"/>
        <v>30171.279600000002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">
      <c r="A51" s="22"/>
      <c r="J51" s="3"/>
      <c r="K51" s="3"/>
      <c r="L51" s="83"/>
      <c r="M51" s="3"/>
      <c r="N51" s="22"/>
    </row>
    <row r="52" spans="1:45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">
      <c r="A57" s="23"/>
      <c r="L57" s="3"/>
    </row>
    <row r="58" spans="1:45" x14ac:dyDescent="0.2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">
      <c r="A62" s="23"/>
      <c r="L62" s="3"/>
    </row>
    <row r="63" spans="1:45" x14ac:dyDescent="0.2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590650</v>
      </c>
      <c r="D153" s="3">
        <f t="shared" ref="D153:L153" si="76">SUM(D472:D474)</f>
        <v>179833</v>
      </c>
      <c r="E153" s="3">
        <f t="shared" si="76"/>
        <v>395789</v>
      </c>
      <c r="F153" s="3">
        <f t="shared" si="76"/>
        <v>0</v>
      </c>
      <c r="G153" s="3">
        <f t="shared" si="76"/>
        <v>21177</v>
      </c>
      <c r="H153" s="3">
        <f t="shared" si="76"/>
        <v>369264</v>
      </c>
      <c r="I153" s="3">
        <f>I474</f>
        <v>557663</v>
      </c>
      <c r="J153" s="3"/>
      <c r="K153" s="3"/>
      <c r="L153" s="3">
        <f t="shared" si="76"/>
        <v>12130.322400000001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654065</v>
      </c>
      <c r="D154" s="3">
        <f t="shared" ref="D154:H154" si="77">SUM(D475:D477)</f>
        <v>248347</v>
      </c>
      <c r="E154" s="3">
        <f t="shared" si="77"/>
        <v>519659</v>
      </c>
      <c r="F154" s="3">
        <f t="shared" si="77"/>
        <v>0</v>
      </c>
      <c r="G154" s="3">
        <f t="shared" si="77"/>
        <v>23430</v>
      </c>
      <c r="H154" s="3">
        <f t="shared" si="77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5" thickBot="1" x14ac:dyDescent="0.25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5" thickBot="1" x14ac:dyDescent="0.25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5" thickBot="1" x14ac:dyDescent="0.25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5" thickBot="1" x14ac:dyDescent="0.25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5" thickBot="1" x14ac:dyDescent="0.25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5" thickBot="1" x14ac:dyDescent="0.25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5" thickBot="1" x14ac:dyDescent="0.25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5" thickBot="1" x14ac:dyDescent="0.25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5" thickBot="1" x14ac:dyDescent="0.25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8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8"/>
        <v>4081.7110499999999</v>
      </c>
      <c r="N343" s="23" t="str">
        <f>'Olieforbrug, TJ'!M343</f>
        <v>February</v>
      </c>
      <c r="P343" s="16"/>
      <c r="R343" s="3"/>
    </row>
    <row r="344" spans="1:18" x14ac:dyDescent="0.2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8"/>
        <v>4870.5052500000002</v>
      </c>
      <c r="N344" s="23" t="str">
        <f>'Olieforbrug, TJ'!M344</f>
        <v>March</v>
      </c>
      <c r="P344" s="16"/>
      <c r="R344" s="3"/>
    </row>
    <row r="345" spans="1:18" x14ac:dyDescent="0.2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8"/>
        <v>5011.9573499999997</v>
      </c>
      <c r="N345" s="23" t="str">
        <f>'Olieforbrug, TJ'!M345</f>
        <v>April</v>
      </c>
    </row>
    <row r="346" spans="1:18" x14ac:dyDescent="0.2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8"/>
        <v>5153.1466499999997</v>
      </c>
      <c r="N346" s="23" t="str">
        <f>'Olieforbrug, TJ'!M346</f>
        <v>May</v>
      </c>
    </row>
    <row r="347" spans="1:18" x14ac:dyDescent="0.2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8"/>
        <v>5176.0759499999995</v>
      </c>
      <c r="N347" s="23" t="str">
        <f>'Olieforbrug, TJ'!M347</f>
        <v>June</v>
      </c>
    </row>
    <row r="348" spans="1:18" x14ac:dyDescent="0.2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8"/>
        <v>5265.7235999999994</v>
      </c>
      <c r="N348" s="23" t="str">
        <f>'Olieforbrug, TJ'!M348</f>
        <v>July</v>
      </c>
    </row>
    <row r="349" spans="1:18" x14ac:dyDescent="0.2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8"/>
        <v>5159.4538499999999</v>
      </c>
      <c r="N349" s="23" t="str">
        <f>'Olieforbrug, TJ'!M349</f>
        <v>August</v>
      </c>
    </row>
    <row r="350" spans="1:18" x14ac:dyDescent="0.2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8"/>
        <v>5036.9561999999996</v>
      </c>
      <c r="N350" s="23" t="str">
        <f>'Olieforbrug, TJ'!M350</f>
        <v>September</v>
      </c>
    </row>
    <row r="351" spans="1:18" x14ac:dyDescent="0.2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8"/>
        <v>4996.5178499999993</v>
      </c>
      <c r="N351" s="23" t="str">
        <f>'Olieforbrug, TJ'!M351</f>
        <v>October</v>
      </c>
    </row>
    <row r="352" spans="1:18" x14ac:dyDescent="0.2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8"/>
        <v>4596.0763499999994</v>
      </c>
      <c r="N352" s="23" t="str">
        <f>'Olieforbrug, TJ'!M352</f>
        <v>November</v>
      </c>
    </row>
    <row r="353" spans="1:18" ht="13.5" thickBot="1" x14ac:dyDescent="0.25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8"/>
        <v>4905.9503999999997</v>
      </c>
      <c r="N353" s="43" t="str">
        <f>'Olieforbrug, TJ'!M353</f>
        <v>December</v>
      </c>
    </row>
    <row r="354" spans="1:18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5" thickBot="1" x14ac:dyDescent="0.25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79">H368*0.75*43.8/1000</f>
        <v>4493.5843499999992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79"/>
        <v>4095.0481500000001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79"/>
        <v>4942.085399999999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79"/>
        <v>4635.3320999999996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79"/>
        <v>5665.2124499999991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79"/>
        <v>5308.9870499999997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0">H374*0.75*43.8/1000</f>
        <v>5115.040649999999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0"/>
        <v>4942.7752499999997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0"/>
        <v>4884.1051499999994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0"/>
        <v>5094.1151999999993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0"/>
        <v>4910.4836999999989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0"/>
        <v>4683.3916499999996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1">H383*0.75*43.8/1000</f>
        <v>4540.1327999999994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1"/>
        <v>4830.5596499999992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1"/>
        <v>4830.5596499999992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1"/>
        <v>5086.1655000000001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1"/>
        <v>5011.1689499999993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1"/>
        <v>5329.9781999999996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2">H399*0.75*43.8/1000</f>
        <v>5087.0524499999992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2"/>
        <v>5147.0365499999998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2"/>
        <v>5214.9375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2"/>
        <v>4982.7208499999997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2"/>
        <v>5036.857649999999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2"/>
        <v>4695.6775499999994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3">H410*0.75*43.8/1000</f>
        <v>3758.1385499999997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3"/>
        <v>4308.44175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3"/>
        <v>4940.0815499999999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3"/>
        <v>5397.9120000000003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3"/>
        <v>5226.0736499999994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3"/>
        <v>5088.8920499999995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4">H420*0.75*43.8/1000</f>
        <v>3364.5298499999994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4"/>
        <v>3519.6146999999996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4"/>
        <v>4525.6459499999992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4"/>
        <v>4613.6839499999996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4"/>
        <v>4964.7847499999998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4"/>
        <v>5369.5624499999994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4"/>
        <v>5317.5608999999995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4"/>
        <v>5234.9431499999992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4"/>
        <v>5187.4748999999993</v>
      </c>
      <c r="N428" s="23" t="str">
        <f>'Olieforbrug, TJ'!M428</f>
        <v>September</v>
      </c>
    </row>
    <row r="429" spans="1:14" s="57" customFormat="1" x14ac:dyDescent="0.2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4"/>
        <v>4883.31675</v>
      </c>
      <c r="N429" s="32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4"/>
        <v>4958.0505000000003</v>
      </c>
      <c r="N430" s="32" t="s">
        <v>125</v>
      </c>
    </row>
    <row r="431" spans="1:14" ht="13.5" thickBot="1" x14ac:dyDescent="0.25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4"/>
        <v>4704.6455999999998</v>
      </c>
      <c r="N431" s="73" t="s">
        <v>113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5">H433*0.75*43.8/1000</f>
        <v>4137.0304499999993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5"/>
        <v>4271.3540999999996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5"/>
        <v>4838.1808499999997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5"/>
        <v>4757.9611499999992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5"/>
        <v>5039.7812999999996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5"/>
        <v>4871.8192499999996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6">H439*0.75*43.8/1000</f>
        <v>4513.9513499999994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7">H440*0.75*43.8/1000</f>
        <v>5109.4889999999996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8">H441*0.75*43.8/1000</f>
        <v>4683.1288500000001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89">H442*0.75*43.8/1000</f>
        <v>4597.7516999999989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0">H443*0.75*43.8/1000</f>
        <v>4717.9170000000004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1">H444*0.75*43.8/1000</f>
        <v>4566.5441999999994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2">H446*0.75*43.8/1000</f>
        <v>4349.3071499999996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3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4">H447*0.75*43.8/1000</f>
        <v>4238.5698000000002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3"/>
        <v>6389</v>
      </c>
      <c r="H448" s="16">
        <v>145390</v>
      </c>
      <c r="I448" s="16">
        <v>511724</v>
      </c>
      <c r="J448" s="15"/>
      <c r="K448" s="15"/>
      <c r="L448" s="14">
        <f t="shared" ref="L448" si="95">H448*0.75*43.8/1000</f>
        <v>4776.0614999999998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3"/>
        <v>-12703</v>
      </c>
      <c r="H449" s="16">
        <v>141796</v>
      </c>
      <c r="I449" s="16">
        <v>524427</v>
      </c>
      <c r="J449" s="15"/>
      <c r="K449" s="15"/>
      <c r="L449" s="14">
        <f t="shared" ref="L449" si="96">H449*0.75*43.8/1000</f>
        <v>4657.9985999999999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3"/>
        <v>23876</v>
      </c>
      <c r="H450" s="16">
        <v>159447</v>
      </c>
      <c r="I450" s="16">
        <v>500551</v>
      </c>
      <c r="J450" s="15"/>
      <c r="K450" s="15"/>
      <c r="L450" s="14">
        <f t="shared" ref="L450" si="97">H450*0.75*43.8/1000</f>
        <v>5237.8339499999993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3"/>
        <v>25223</v>
      </c>
      <c r="H451" s="16">
        <v>154056</v>
      </c>
      <c r="I451" s="16">
        <v>475328</v>
      </c>
      <c r="J451" s="15"/>
      <c r="K451" s="15"/>
      <c r="L451" s="14">
        <f t="shared" ref="L451" si="98">H451*0.75*43.8/1000</f>
        <v>5060.7395999999999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3"/>
        <v>-39260</v>
      </c>
      <c r="H452" s="16">
        <v>138707</v>
      </c>
      <c r="I452" s="16">
        <v>514588</v>
      </c>
      <c r="J452" s="15"/>
      <c r="K452" s="15"/>
      <c r="L452" s="14">
        <f t="shared" ref="L452" si="99">H452*0.75*43.8/1000</f>
        <v>4556.5249499999991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0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1">H453*0.75*43.8/1000</f>
        <v>5150.223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2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3">H454*0.75*43.8/1000</f>
        <v>4751.4896999999992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4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5">H455*0.75*43.8/1000</f>
        <v>4772.8093499999995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6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7">H456*0.75*43.8/1000</f>
        <v>4748.0075999999999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8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09">H457*0.75*43.8/1000</f>
        <v>4561.1896499999993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0">H459*0.75*43.8/1000</f>
        <v>4280.4535500000002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1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2">H460*0.75*43.8/1000</f>
        <v>4118.1088499999996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1"/>
        <v>27551</v>
      </c>
      <c r="H461" s="16">
        <v>134555</v>
      </c>
      <c r="I461" s="16">
        <v>537802</v>
      </c>
      <c r="J461" s="15"/>
      <c r="K461" s="15"/>
      <c r="L461" s="14">
        <f t="shared" ref="L461" si="113">H461*0.75*43.8/1000</f>
        <v>4420.1317499999996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1"/>
        <v>-10282</v>
      </c>
      <c r="H462" s="16">
        <v>146821</v>
      </c>
      <c r="I462" s="16">
        <v>548084</v>
      </c>
      <c r="J462" s="15"/>
      <c r="K462" s="15"/>
      <c r="L462" s="14">
        <f t="shared" ref="L462" si="114">H462*0.75*43.8/1000</f>
        <v>4823.0698499999999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1"/>
        <v>55157</v>
      </c>
      <c r="H463" s="16">
        <v>155197</v>
      </c>
      <c r="I463" s="16">
        <v>492927</v>
      </c>
      <c r="J463" s="15"/>
      <c r="K463" s="15"/>
      <c r="L463" s="14">
        <f t="shared" ref="L463" si="115">H463*0.75*43.8/1000</f>
        <v>5098.2214499999991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1"/>
        <v>-15537</v>
      </c>
      <c r="H464" s="16">
        <v>138119</v>
      </c>
      <c r="I464" s="16">
        <v>508464</v>
      </c>
      <c r="J464" s="15"/>
      <c r="K464" s="15"/>
      <c r="L464" s="14">
        <f t="shared" ref="L464" si="116">H464*0.75*43.8/1000</f>
        <v>4537.2091499999997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1"/>
        <v>2475</v>
      </c>
      <c r="H465" s="16">
        <v>140902</v>
      </c>
      <c r="I465" s="16">
        <v>505989</v>
      </c>
      <c r="J465" s="15"/>
      <c r="K465" s="15"/>
      <c r="L465" s="14">
        <f t="shared" ref="L465" si="117">H465*0.75*43.8/1000</f>
        <v>4628.6306999999997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8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19">H466*0.75*43.8/1000</f>
        <v>4763.6113499999992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0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1">H467*0.75*43.8/1000</f>
        <v>4529.6207999999997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2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3">H468*0.75*43.8/1000</f>
        <v>4589.5720499999998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4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5">H469*0.75*43.8/1000</f>
        <v>4216.4617500000004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6">H470*0.75*43.8/1000</f>
        <v>4293.0679500000006</v>
      </c>
      <c r="N470" s="43" t="str">
        <f>'Olieforbrug, TJ'!M470</f>
        <v>December</v>
      </c>
    </row>
    <row r="471" spans="1:14" x14ac:dyDescent="0.2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">
      <c r="A472" s="172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7">H472*0.75*43.8/1000</f>
        <v>4070.1478499999998</v>
      </c>
      <c r="M472" s="70"/>
      <c r="N472" s="129" t="str">
        <f>'Olieforbrug, TJ'!M472</f>
        <v>January</v>
      </c>
    </row>
    <row r="473" spans="1:14" x14ac:dyDescent="0.2">
      <c r="A473" s="172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28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29">H473*0.75*43.8/1000</f>
        <v>3927.5131499999998</v>
      </c>
      <c r="M473" s="70"/>
      <c r="N473" s="129" t="str">
        <f>'Olieforbrug, TJ'!M473</f>
        <v>February</v>
      </c>
    </row>
    <row r="474" spans="1:14" x14ac:dyDescent="0.2">
      <c r="A474" s="172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28"/>
        <v>-2178</v>
      </c>
      <c r="H474" s="16">
        <v>125804</v>
      </c>
      <c r="I474" s="16">
        <v>557663</v>
      </c>
      <c r="J474" s="15"/>
      <c r="K474" s="15"/>
      <c r="L474" s="14">
        <f t="shared" ref="L474" si="130">H474*0.75*43.8/1000</f>
        <v>4132.6614</v>
      </c>
      <c r="M474" s="70"/>
      <c r="N474" s="129" t="str">
        <f>'Olieforbrug, TJ'!M474</f>
        <v>March</v>
      </c>
    </row>
    <row r="475" spans="1:14" x14ac:dyDescent="0.2">
      <c r="A475" s="172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28"/>
        <v>10870</v>
      </c>
      <c r="H475" s="16">
        <v>140452</v>
      </c>
      <c r="I475" s="16">
        <v>546793</v>
      </c>
      <c r="J475" s="15"/>
      <c r="K475" s="15"/>
      <c r="L475" s="14">
        <f t="shared" ref="L475" si="131">H475*0.75*43.8/1000</f>
        <v>4613.8481999999995</v>
      </c>
      <c r="M475" s="70"/>
      <c r="N475" s="129" t="str">
        <f>'Olieforbrug, TJ'!M475</f>
        <v>April</v>
      </c>
    </row>
    <row r="476" spans="1:14" x14ac:dyDescent="0.2">
      <c r="A476" s="172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28"/>
        <v>42099</v>
      </c>
      <c r="H476" s="16">
        <v>139376</v>
      </c>
      <c r="I476" s="16">
        <v>504694</v>
      </c>
      <c r="J476" s="15"/>
      <c r="K476" s="15"/>
      <c r="L476" s="14">
        <f t="shared" ref="L476" si="132">H476*0.75*43.8/1000</f>
        <v>4578.5015999999996</v>
      </c>
      <c r="M476" s="70"/>
      <c r="N476" s="129" t="str">
        <f>'Olieforbrug, TJ'!M476</f>
        <v>May</v>
      </c>
    </row>
    <row r="477" spans="1:14" x14ac:dyDescent="0.2">
      <c r="A477" s="172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28"/>
        <v>-29539</v>
      </c>
      <c r="H477" s="16">
        <v>136052</v>
      </c>
      <c r="I477" s="16">
        <v>534233</v>
      </c>
      <c r="J477" s="15"/>
      <c r="K477" s="15"/>
      <c r="L477" s="14">
        <f t="shared" ref="L477" si="133">H477*0.75*43.8/1000</f>
        <v>4469.3081999999995</v>
      </c>
      <c r="M477" s="70"/>
      <c r="N477" s="129" t="str">
        <f>'Olieforbrug, TJ'!M477</f>
        <v>June</v>
      </c>
    </row>
    <row r="478" spans="1:14" x14ac:dyDescent="0.2">
      <c r="A478" s="172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28"/>
        <v>-15730</v>
      </c>
      <c r="H478" s="16">
        <v>133312</v>
      </c>
      <c r="I478" s="16">
        <v>549963</v>
      </c>
      <c r="J478" s="15"/>
      <c r="K478" s="15"/>
      <c r="L478" s="14">
        <f t="shared" ref="L478" si="134">H478*0.75*43.8/1000</f>
        <v>4379.2991999999995</v>
      </c>
      <c r="M478" s="70"/>
      <c r="N478" s="129" t="str">
        <f>'Olieforbrug, TJ'!M478</f>
        <v>July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indexed="42"/>
  </sheetPr>
  <dimension ref="A1:P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O470" sqref="O470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L28" s="3"/>
      <c r="M28" s="3"/>
    </row>
    <row r="29" spans="1:16" x14ac:dyDescent="0.2">
      <c r="A29" s="22" t="str">
        <f>'Olieforbrug, TJ'!A29</f>
        <v>Januar - Juli</v>
      </c>
      <c r="J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0</v>
      </c>
      <c r="D30" s="3">
        <f t="shared" ref="D30:L30" si="11">SUM(D212:D218)</f>
        <v>2113</v>
      </c>
      <c r="E30" s="3">
        <f t="shared" si="11"/>
        <v>17</v>
      </c>
      <c r="F30" s="3">
        <f t="shared" si="11"/>
        <v>9</v>
      </c>
      <c r="G30" s="3">
        <f t="shared" si="11"/>
        <v>124</v>
      </c>
      <c r="H30" s="3">
        <f t="shared" si="11"/>
        <v>2051</v>
      </c>
      <c r="I30" s="3">
        <f>I218</f>
        <v>1910</v>
      </c>
      <c r="J30" s="3"/>
      <c r="K30" s="3"/>
      <c r="L30" s="3">
        <f t="shared" si="11"/>
        <v>63.781997999999987</v>
      </c>
      <c r="M30" s="3"/>
      <c r="N30" s="22">
        <f>'Olieforbrug, TJ'!M30</f>
        <v>2005</v>
      </c>
    </row>
    <row r="31" spans="1:16" x14ac:dyDescent="0.2">
      <c r="A31" s="22">
        <f>'Olieforbrug, TJ'!A31</f>
        <v>2006</v>
      </c>
      <c r="C31" s="3">
        <f>SUM(C225:C231)</f>
        <v>0</v>
      </c>
      <c r="D31" s="3">
        <f t="shared" ref="D31:L31" si="12">SUM(D225:D231)</f>
        <v>1610</v>
      </c>
      <c r="E31" s="3">
        <f t="shared" si="12"/>
        <v>0</v>
      </c>
      <c r="F31" s="3">
        <f t="shared" si="12"/>
        <v>0</v>
      </c>
      <c r="G31" s="3">
        <f t="shared" si="12"/>
        <v>278</v>
      </c>
      <c r="H31" s="3">
        <f t="shared" si="12"/>
        <v>1931</v>
      </c>
      <c r="I31" s="3">
        <f>I231</f>
        <v>1144</v>
      </c>
      <c r="J31" s="3"/>
      <c r="K31" s="3"/>
      <c r="L31" s="3">
        <f t="shared" si="12"/>
        <v>60.050237999999993</v>
      </c>
      <c r="M31" s="3"/>
      <c r="N31" s="22">
        <f>'Olieforbrug, TJ'!M31</f>
        <v>2006</v>
      </c>
    </row>
    <row r="32" spans="1:16" x14ac:dyDescent="0.2">
      <c r="A32" s="22">
        <f>'Olieforbrug, TJ'!A32</f>
        <v>2007</v>
      </c>
      <c r="C32" s="3">
        <f>SUM(C238:C244)</f>
        <v>0</v>
      </c>
      <c r="D32" s="3">
        <f t="shared" ref="D32:L32" si="13">SUM(D238:D244)</f>
        <v>1692</v>
      </c>
      <c r="E32" s="3">
        <f t="shared" si="13"/>
        <v>0</v>
      </c>
      <c r="F32" s="3">
        <f t="shared" si="13"/>
        <v>0</v>
      </c>
      <c r="G32" s="3">
        <f t="shared" si="13"/>
        <v>407</v>
      </c>
      <c r="H32" s="3">
        <f t="shared" si="13"/>
        <v>2073</v>
      </c>
      <c r="I32" s="3">
        <f>I244</f>
        <v>2381</v>
      </c>
      <c r="J32" s="3"/>
      <c r="K32" s="3"/>
      <c r="L32" s="3">
        <f t="shared" si="13"/>
        <v>64.466153999999989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SUM(C251:C257)</f>
        <v>0</v>
      </c>
      <c r="D33" s="3">
        <f t="shared" ref="D33:L33" si="14">SUM(D251:D257)</f>
        <v>1155</v>
      </c>
      <c r="E33" s="3">
        <f t="shared" si="14"/>
        <v>0</v>
      </c>
      <c r="F33" s="3">
        <f t="shared" si="14"/>
        <v>0</v>
      </c>
      <c r="G33" s="3">
        <f t="shared" si="14"/>
        <v>996</v>
      </c>
      <c r="H33" s="3">
        <f t="shared" si="14"/>
        <v>2164</v>
      </c>
      <c r="I33" s="3">
        <f>I257</f>
        <v>902</v>
      </c>
      <c r="J33" s="3"/>
      <c r="K33" s="3"/>
      <c r="L33" s="3">
        <f t="shared" si="14"/>
        <v>67.296071999999995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SUM(C264:C270)</f>
        <v>0</v>
      </c>
      <c r="D34" s="3">
        <f t="shared" ref="D34:L34" si="15">SUM(D264:D270)</f>
        <v>2346</v>
      </c>
      <c r="E34" s="3">
        <f t="shared" si="15"/>
        <v>37</v>
      </c>
      <c r="F34" s="3">
        <f t="shared" si="15"/>
        <v>0</v>
      </c>
      <c r="G34" s="3">
        <f t="shared" si="15"/>
        <v>-367</v>
      </c>
      <c r="H34" s="3">
        <f t="shared" si="15"/>
        <v>1697</v>
      </c>
      <c r="I34" s="3">
        <f>I270</f>
        <v>1702</v>
      </c>
      <c r="J34" s="3"/>
      <c r="K34" s="3"/>
      <c r="L34" s="3">
        <f t="shared" si="15"/>
        <v>52.773305999999998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SUM(C277:C283)</f>
        <v>0</v>
      </c>
      <c r="D35" s="3">
        <f t="shared" ref="D35:L35" si="16">SUM(D277:D283)</f>
        <v>2101</v>
      </c>
      <c r="E35" s="3">
        <f t="shared" si="16"/>
        <v>69</v>
      </c>
      <c r="F35" s="3">
        <f t="shared" si="16"/>
        <v>0</v>
      </c>
      <c r="G35" s="3">
        <f t="shared" si="16"/>
        <v>358</v>
      </c>
      <c r="H35" s="3">
        <f t="shared" si="16"/>
        <v>1454</v>
      </c>
      <c r="I35" s="3">
        <f>I283</f>
        <v>1282</v>
      </c>
      <c r="J35" s="3"/>
      <c r="K35" s="3"/>
      <c r="L35" s="3">
        <f t="shared" si="16"/>
        <v>45.216491999999995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SUM(C290:C296)</f>
        <v>0</v>
      </c>
      <c r="D36" s="3">
        <f t="shared" ref="D36:L36" si="17">SUM(D290:D296)</f>
        <v>615</v>
      </c>
      <c r="E36" s="3">
        <f t="shared" si="17"/>
        <v>0</v>
      </c>
      <c r="F36" s="3">
        <f t="shared" si="17"/>
        <v>0</v>
      </c>
      <c r="G36" s="3">
        <f t="shared" si="17"/>
        <v>773</v>
      </c>
      <c r="H36" s="3">
        <f t="shared" si="17"/>
        <v>1351</v>
      </c>
      <c r="I36" s="3">
        <f>I296</f>
        <v>772</v>
      </c>
      <c r="J36" s="3"/>
      <c r="K36" s="3"/>
      <c r="L36" s="3">
        <f t="shared" si="17"/>
        <v>42.013397999999995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SUM(C303:C309)</f>
        <v>0</v>
      </c>
      <c r="D37" s="3">
        <f t="shared" ref="D37:L37" si="18">SUM(D303:D309)</f>
        <v>1119</v>
      </c>
      <c r="E37" s="3">
        <f t="shared" si="18"/>
        <v>0</v>
      </c>
      <c r="F37" s="3">
        <f t="shared" si="18"/>
        <v>0</v>
      </c>
      <c r="G37" s="3">
        <f t="shared" si="18"/>
        <v>211</v>
      </c>
      <c r="H37" s="3">
        <f t="shared" si="18"/>
        <v>1358</v>
      </c>
      <c r="I37" s="3">
        <f>I309</f>
        <v>873</v>
      </c>
      <c r="J37" s="3"/>
      <c r="K37" s="3"/>
      <c r="L37" s="3">
        <f t="shared" si="18"/>
        <v>42.231083999999996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SUM(C316:C322)</f>
        <v>0</v>
      </c>
      <c r="D38" s="3">
        <f t="shared" ref="D38:L38" si="19">SUM(D316:D322)</f>
        <v>1122</v>
      </c>
      <c r="E38" s="3">
        <f t="shared" si="19"/>
        <v>0</v>
      </c>
      <c r="F38" s="3">
        <f t="shared" si="19"/>
        <v>0</v>
      </c>
      <c r="G38" s="3">
        <f t="shared" si="19"/>
        <v>462</v>
      </c>
      <c r="H38" s="3">
        <f t="shared" si="19"/>
        <v>1043</v>
      </c>
      <c r="I38" s="3">
        <f>I322</f>
        <v>116</v>
      </c>
      <c r="J38" s="3"/>
      <c r="K38" s="3"/>
      <c r="L38" s="3">
        <f t="shared" si="19"/>
        <v>32.435213999999995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SUM(C329:C335)</f>
        <v>0</v>
      </c>
      <c r="D39" s="3">
        <f t="shared" ref="D39:L39" si="20">SUM(D329:D335)</f>
        <v>2214</v>
      </c>
      <c r="E39" s="3">
        <f t="shared" si="20"/>
        <v>0</v>
      </c>
      <c r="F39" s="3">
        <f t="shared" si="20"/>
        <v>0</v>
      </c>
      <c r="G39" s="3">
        <f t="shared" si="20"/>
        <v>-1032</v>
      </c>
      <c r="H39" s="3">
        <f t="shared" si="20"/>
        <v>1036</v>
      </c>
      <c r="I39" s="3">
        <f>I335</f>
        <v>1047</v>
      </c>
      <c r="J39" s="3"/>
      <c r="K39" s="3"/>
      <c r="L39" s="3">
        <f t="shared" si="20"/>
        <v>32.217528000000001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SUM(C342:C348)</f>
        <v>0</v>
      </c>
      <c r="D40" s="3">
        <f t="shared" ref="D40:L40" si="21">SUM(D342:D348)</f>
        <v>2623</v>
      </c>
      <c r="E40" s="3">
        <f t="shared" si="21"/>
        <v>1438</v>
      </c>
      <c r="F40" s="3">
        <f t="shared" si="21"/>
        <v>0</v>
      </c>
      <c r="G40" s="3">
        <f t="shared" si="21"/>
        <v>-320</v>
      </c>
      <c r="H40" s="3">
        <f t="shared" si="21"/>
        <v>967</v>
      </c>
      <c r="I40" s="3">
        <f>I348</f>
        <v>855</v>
      </c>
      <c r="J40" s="3"/>
      <c r="K40" s="3"/>
      <c r="L40" s="3">
        <f t="shared" si="21"/>
        <v>30.071765999999997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SUM(C355:C361)</f>
        <v>0</v>
      </c>
      <c r="D41" s="3">
        <f t="shared" ref="D41:L41" si="22">SUM(D355:D361)</f>
        <v>2367</v>
      </c>
      <c r="E41" s="3">
        <f t="shared" si="22"/>
        <v>951</v>
      </c>
      <c r="F41" s="3">
        <f t="shared" si="22"/>
        <v>0</v>
      </c>
      <c r="G41" s="3">
        <f t="shared" si="22"/>
        <v>-376</v>
      </c>
      <c r="H41" s="3">
        <f t="shared" si="22"/>
        <v>912</v>
      </c>
      <c r="I41" s="3">
        <f>I361</f>
        <v>462</v>
      </c>
      <c r="J41" s="3"/>
      <c r="K41" s="3"/>
      <c r="L41" s="3">
        <f t="shared" si="22"/>
        <v>28.361375999999993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SUM(C368:C374)</f>
        <v>0</v>
      </c>
      <c r="D42" s="3">
        <f t="shared" ref="D42:L42" si="23">SUM(D368:D374)</f>
        <v>237</v>
      </c>
      <c r="E42" s="3">
        <f t="shared" si="23"/>
        <v>83</v>
      </c>
      <c r="F42" s="3">
        <f t="shared" si="23"/>
        <v>0</v>
      </c>
      <c r="G42" s="3">
        <f t="shared" si="23"/>
        <v>408</v>
      </c>
      <c r="H42" s="3">
        <f t="shared" si="23"/>
        <v>623</v>
      </c>
      <c r="I42" s="3">
        <f>I374</f>
        <v>63</v>
      </c>
      <c r="J42" s="3"/>
      <c r="K42" s="3"/>
      <c r="L42" s="3">
        <f t="shared" si="23"/>
        <v>19.374053999999997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SUM(C381:C387)</f>
        <v>0</v>
      </c>
      <c r="D43" s="3">
        <f t="shared" ref="D43:L43" si="24">SUM(D381:D387)</f>
        <v>1771</v>
      </c>
      <c r="E43" s="3">
        <f t="shared" si="24"/>
        <v>0</v>
      </c>
      <c r="F43" s="3">
        <f t="shared" si="24"/>
        <v>0</v>
      </c>
      <c r="G43" s="3">
        <f t="shared" si="24"/>
        <v>-795</v>
      </c>
      <c r="H43" s="3">
        <f t="shared" si="24"/>
        <v>955</v>
      </c>
      <c r="I43" s="3">
        <f>I387</f>
        <v>795</v>
      </c>
      <c r="J43" s="3"/>
      <c r="K43" s="3"/>
      <c r="L43" s="3">
        <f t="shared" si="24"/>
        <v>29.698589999999996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SUM(C394:C400)</f>
        <v>0</v>
      </c>
      <c r="D44" s="3">
        <f t="shared" ref="D44:L44" si="25">SUM(D394:D400)</f>
        <v>1392</v>
      </c>
      <c r="E44" s="3">
        <f t="shared" si="25"/>
        <v>0</v>
      </c>
      <c r="F44" s="3">
        <f t="shared" si="25"/>
        <v>0</v>
      </c>
      <c r="G44" s="3">
        <f t="shared" si="25"/>
        <v>72</v>
      </c>
      <c r="H44" s="3">
        <f t="shared" si="25"/>
        <v>1452</v>
      </c>
      <c r="I44" s="3">
        <f>I400</f>
        <v>1149</v>
      </c>
      <c r="J44" s="3"/>
      <c r="K44" s="3"/>
      <c r="L44" s="3">
        <f t="shared" si="25"/>
        <v>45.154295999999995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SUM(C407:C413)</f>
        <v>0</v>
      </c>
      <c r="D45" s="3">
        <f t="shared" ref="D45:L45" si="26">SUM(D407:D413)</f>
        <v>1472</v>
      </c>
      <c r="E45" s="3">
        <f t="shared" si="26"/>
        <v>0</v>
      </c>
      <c r="F45" s="3">
        <f t="shared" si="26"/>
        <v>0</v>
      </c>
      <c r="G45" s="3">
        <f t="shared" si="26"/>
        <v>-189</v>
      </c>
      <c r="H45" s="3">
        <f t="shared" si="26"/>
        <v>1276</v>
      </c>
      <c r="I45" s="3">
        <f>I413</f>
        <v>672</v>
      </c>
      <c r="J45" s="3"/>
      <c r="K45" s="3"/>
      <c r="L45" s="3">
        <f t="shared" si="26"/>
        <v>39.681047999999997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SUM(C420:C426)</f>
        <v>0</v>
      </c>
      <c r="D46" s="3">
        <f t="shared" ref="D46:L46" si="27">SUM(D420:D426)</f>
        <v>285</v>
      </c>
      <c r="E46" s="3">
        <f t="shared" si="27"/>
        <v>0</v>
      </c>
      <c r="F46" s="3">
        <f t="shared" si="27"/>
        <v>0</v>
      </c>
      <c r="G46" s="3">
        <f t="shared" si="27"/>
        <v>494</v>
      </c>
      <c r="H46" s="3">
        <f t="shared" si="27"/>
        <v>771</v>
      </c>
      <c r="I46" s="3">
        <f>I426</f>
        <v>0</v>
      </c>
      <c r="J46" s="3"/>
      <c r="K46" s="3"/>
      <c r="L46" s="3">
        <f t="shared" si="27"/>
        <v>23.976558000000001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SUM(C433:C439)</f>
        <v>0</v>
      </c>
      <c r="D47" s="3">
        <f t="shared" ref="D47:L47" si="28">SUM(D433:D439)</f>
        <v>120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120</v>
      </c>
      <c r="I47" s="3">
        <f>I439</f>
        <v>0</v>
      </c>
      <c r="J47" s="3"/>
      <c r="K47" s="3"/>
      <c r="L47" s="3">
        <f t="shared" si="28"/>
        <v>3.73176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SUM(C446:C452)</f>
        <v>0</v>
      </c>
      <c r="D48" s="3">
        <f t="shared" ref="D48:L48" si="29">SUM(D446:D452)</f>
        <v>88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88</v>
      </c>
      <c r="I48" s="3">
        <f>I452</f>
        <v>0</v>
      </c>
      <c r="J48" s="3"/>
      <c r="K48" s="3"/>
      <c r="L48" s="3">
        <f t="shared" si="29"/>
        <v>2.7366239999999999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SUM(C459:C465)</f>
        <v>0</v>
      </c>
      <c r="D49" s="3">
        <f t="shared" ref="D49:L49" si="30">SUM(D459:D465)</f>
        <v>54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54</v>
      </c>
      <c r="I49" s="3">
        <f>I465</f>
        <v>0</v>
      </c>
      <c r="J49" s="3"/>
      <c r="K49" s="3"/>
      <c r="L49" s="3">
        <f t="shared" si="30"/>
        <v>1.6792919999999998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SUM(C472:C478)</f>
        <v>0</v>
      </c>
      <c r="D50" s="3">
        <f t="shared" ref="D50:L50" si="31">SUM(D472:D478)</f>
        <v>65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65</v>
      </c>
      <c r="I50" s="3">
        <f>I478</f>
        <v>0</v>
      </c>
      <c r="J50" s="3"/>
      <c r="K50" s="3"/>
      <c r="L50" s="3">
        <f t="shared" si="31"/>
        <v>2.0213700000000001</v>
      </c>
      <c r="M50" s="3"/>
      <c r="N50" s="22">
        <f>'Olieforbrug, TJ'!M50</f>
        <v>2025</v>
      </c>
    </row>
    <row r="51" spans="1:14" x14ac:dyDescent="0.2">
      <c r="A51" s="22"/>
      <c r="J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43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8">H342*0.71*43.8/1000</f>
        <v>1.3372139999999997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79">I342-I343</f>
        <v>151</v>
      </c>
      <c r="H343" s="65">
        <v>56</v>
      </c>
      <c r="I343" s="65">
        <v>265</v>
      </c>
      <c r="J343" s="70"/>
      <c r="K343" s="70"/>
      <c r="L343" s="69">
        <f t="shared" si="78"/>
        <v>1.7414879999999999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79"/>
        <v>201</v>
      </c>
      <c r="H344" s="65">
        <v>148</v>
      </c>
      <c r="I344" s="65">
        <v>64</v>
      </c>
      <c r="J344" s="70"/>
      <c r="K344" s="70"/>
      <c r="L344" s="69">
        <f t="shared" si="78"/>
        <v>4.6025039999999997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79"/>
        <v>-872</v>
      </c>
      <c r="H345" s="65">
        <v>167</v>
      </c>
      <c r="I345" s="65">
        <v>936</v>
      </c>
      <c r="J345" s="70"/>
      <c r="K345" s="70"/>
      <c r="L345" s="69">
        <f t="shared" si="78"/>
        <v>5.1933659999999993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79"/>
        <v>382</v>
      </c>
      <c r="H346" s="65">
        <v>112</v>
      </c>
      <c r="I346" s="65">
        <v>554</v>
      </c>
      <c r="J346" s="70"/>
      <c r="K346" s="70"/>
      <c r="L346" s="69">
        <f t="shared" si="78"/>
        <v>3.4829759999999998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79"/>
        <v>449</v>
      </c>
      <c r="H347" s="65">
        <v>143</v>
      </c>
      <c r="I347" s="65">
        <v>105</v>
      </c>
      <c r="J347" s="70"/>
      <c r="K347" s="70"/>
      <c r="L347" s="69">
        <f t="shared" si="78"/>
        <v>4.4470140000000002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79"/>
        <v>-750</v>
      </c>
      <c r="H348" s="65">
        <v>298</v>
      </c>
      <c r="I348" s="65">
        <v>855</v>
      </c>
      <c r="J348" s="70"/>
      <c r="K348" s="70"/>
      <c r="L348" s="69">
        <f t="shared" si="78"/>
        <v>9.2672039999999978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8"/>
        <v>6.1263059999999996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8"/>
        <v>7.3702259999999988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8"/>
        <v>4.8823859999999994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8"/>
        <v>2.8921139999999999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8"/>
        <v>1.9280759999999999</v>
      </c>
      <c r="N353" s="43" t="str">
        <f>'Olieforbrug, TJ'!M353</f>
        <v>December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0">H368*0.71*43.8/1000</f>
        <v>1.0884299999999998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1">I368-I369</f>
        <v>186</v>
      </c>
      <c r="H369" s="16">
        <v>213</v>
      </c>
      <c r="I369" s="16">
        <v>271</v>
      </c>
      <c r="J369" s="15"/>
      <c r="K369" s="15"/>
      <c r="L369" s="14">
        <f t="shared" si="80"/>
        <v>6.6238739999999989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1"/>
        <v>17</v>
      </c>
      <c r="H370" s="16">
        <v>31</v>
      </c>
      <c r="I370" s="16">
        <v>254</v>
      </c>
      <c r="J370" s="15"/>
      <c r="K370" s="15"/>
      <c r="L370" s="14">
        <f t="shared" si="80"/>
        <v>0.96403799999999995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1"/>
        <v>53</v>
      </c>
      <c r="H371" s="16">
        <v>83</v>
      </c>
      <c r="I371" s="16">
        <v>201</v>
      </c>
      <c r="J371" s="15"/>
      <c r="K371" s="15"/>
      <c r="L371" s="14">
        <f t="shared" si="80"/>
        <v>2.581134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1"/>
        <v>35</v>
      </c>
      <c r="H372" s="16">
        <v>96</v>
      </c>
      <c r="I372" s="16">
        <v>166</v>
      </c>
      <c r="J372" s="15"/>
      <c r="K372" s="15"/>
      <c r="L372" s="14">
        <f t="shared" si="80"/>
        <v>2.9854079999999996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1"/>
        <v>88</v>
      </c>
      <c r="H373" s="16">
        <v>110</v>
      </c>
      <c r="I373" s="16">
        <v>78</v>
      </c>
      <c r="J373" s="15"/>
      <c r="K373" s="15"/>
      <c r="L373" s="14">
        <f t="shared" si="80"/>
        <v>3.4207799999999997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1"/>
        <v>15</v>
      </c>
      <c r="H374" s="16">
        <v>55</v>
      </c>
      <c r="I374" s="16">
        <v>63</v>
      </c>
      <c r="J374" s="15"/>
      <c r="K374" s="15"/>
      <c r="L374" s="14">
        <f t="shared" si="80"/>
        <v>1.7103899999999999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0"/>
        <v>3.2652899999999994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0"/>
        <v>2.1768599999999996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0"/>
        <v>3.3585839999999996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0"/>
        <v>0.93293999999999988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0"/>
        <v>1.8658799999999998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2">H383*0.71*43.8/1000</f>
        <v>3.1408979999999995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2"/>
        <v>4.6025039999999997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2"/>
        <v>4.6025039999999997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2"/>
        <v>9.6403799999999986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3">I386-I387</f>
        <v>155</v>
      </c>
      <c r="H387" s="16">
        <v>218</v>
      </c>
      <c r="I387" s="16">
        <v>795</v>
      </c>
      <c r="J387" s="15"/>
      <c r="K387" s="15"/>
      <c r="L387" s="16">
        <f t="shared" si="82"/>
        <v>6.7793639999999993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3"/>
        <v>82</v>
      </c>
      <c r="H388" s="16">
        <v>206</v>
      </c>
      <c r="I388" s="16">
        <v>713</v>
      </c>
      <c r="J388" s="15"/>
      <c r="K388" s="15"/>
      <c r="L388" s="16">
        <f t="shared" si="82"/>
        <v>6.4061879999999993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3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3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3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3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4">H394*0.71*43.8/1000</f>
        <v>3.2963879999999994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5">I394-I395</f>
        <v>4</v>
      </c>
      <c r="H395" s="16">
        <v>10</v>
      </c>
      <c r="I395" s="16">
        <v>1142</v>
      </c>
      <c r="J395" s="15"/>
      <c r="K395" s="15"/>
      <c r="L395" s="16">
        <f t="shared" si="84"/>
        <v>0.31097999999999998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5"/>
        <v>24</v>
      </c>
      <c r="H396" s="16">
        <v>52</v>
      </c>
      <c r="I396" s="16">
        <v>1118</v>
      </c>
      <c r="J396" s="15"/>
      <c r="K396" s="15"/>
      <c r="L396" s="16">
        <f t="shared" si="84"/>
        <v>1.6170960000000001</v>
      </c>
      <c r="N396" s="23" t="str">
        <f>'Olieforbrug, TJ'!M396</f>
        <v>March</v>
      </c>
    </row>
    <row r="397" spans="1:14" ht="12.6" customHeight="1" x14ac:dyDescent="0.2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5"/>
        <v>274</v>
      </c>
      <c r="H397" s="16">
        <v>338</v>
      </c>
      <c r="I397" s="16">
        <v>844</v>
      </c>
      <c r="J397" s="15"/>
      <c r="K397" s="15"/>
      <c r="L397" s="16">
        <f t="shared" si="84"/>
        <v>10.511123999999999</v>
      </c>
      <c r="N397" s="23" t="str">
        <f>'Olieforbrug, TJ'!M397</f>
        <v>April</v>
      </c>
    </row>
    <row r="398" spans="1:14" ht="12.6" customHeight="1" x14ac:dyDescent="0.2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5"/>
        <v>303</v>
      </c>
      <c r="H398" s="16">
        <v>360</v>
      </c>
      <c r="I398" s="16">
        <v>541</v>
      </c>
      <c r="J398" s="15"/>
      <c r="K398" s="15"/>
      <c r="L398" s="16">
        <f t="shared" si="84"/>
        <v>11.195279999999999</v>
      </c>
      <c r="N398" s="23" t="str">
        <f>'Olieforbrug, TJ'!M398</f>
        <v>May</v>
      </c>
    </row>
    <row r="399" spans="1:14" ht="12.6" customHeight="1" x14ac:dyDescent="0.2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5"/>
        <v>-828</v>
      </c>
      <c r="H399" s="16">
        <v>333</v>
      </c>
      <c r="I399" s="16">
        <v>1369</v>
      </c>
      <c r="J399" s="15"/>
      <c r="K399" s="15"/>
      <c r="L399" s="16">
        <f t="shared" si="84"/>
        <v>10.355633999999998</v>
      </c>
      <c r="N399" s="23" t="str">
        <f>'Olieforbrug, TJ'!M399</f>
        <v>June</v>
      </c>
    </row>
    <row r="400" spans="1:14" ht="12.6" customHeight="1" x14ac:dyDescent="0.2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5"/>
        <v>220</v>
      </c>
      <c r="H400" s="16">
        <v>253</v>
      </c>
      <c r="I400" s="16">
        <v>1149</v>
      </c>
      <c r="J400" s="15"/>
      <c r="K400" s="15"/>
      <c r="L400" s="16">
        <f t="shared" si="84"/>
        <v>7.8677939999999991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4"/>
        <v>8.5519499999999997</v>
      </c>
      <c r="N401" s="23" t="str">
        <f>'Olieforbrug, TJ'!M401</f>
        <v>August</v>
      </c>
    </row>
    <row r="402" spans="1:14" ht="13.5" customHeight="1" x14ac:dyDescent="0.2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4"/>
        <v>5.1933659999999993</v>
      </c>
      <c r="N402" s="23" t="str">
        <f>'Olieforbrug, TJ'!M402</f>
        <v>September</v>
      </c>
    </row>
    <row r="403" spans="1:14" ht="14.2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4"/>
        <v>4.2604259999999998</v>
      </c>
      <c r="N403" s="23" t="str">
        <f>'Olieforbrug, TJ'!M403</f>
        <v>October</v>
      </c>
    </row>
    <row r="404" spans="1:14" ht="14.25" customHeight="1" x14ac:dyDescent="0.2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4"/>
        <v>3.5451719999999995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4"/>
        <v>2.7677219999999996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6">H407*0.71*43.8/1000</f>
        <v>3.2652899999999994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7">I407-I408</f>
        <v>187</v>
      </c>
      <c r="H408" s="16">
        <v>218</v>
      </c>
      <c r="I408" s="16">
        <v>249</v>
      </c>
      <c r="J408" s="15"/>
      <c r="K408" s="15"/>
      <c r="L408" s="16">
        <f t="shared" si="86"/>
        <v>6.7793639999999993</v>
      </c>
      <c r="N408" s="23" t="str">
        <f>'Olieforbrug, TJ'!M408</f>
        <v>February</v>
      </c>
    </row>
    <row r="409" spans="1:14" ht="12" customHeight="1" x14ac:dyDescent="0.2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7"/>
        <v>-1183</v>
      </c>
      <c r="H409" s="16">
        <v>46</v>
      </c>
      <c r="I409" s="16">
        <v>1432</v>
      </c>
      <c r="J409" s="15"/>
      <c r="K409" s="15"/>
      <c r="L409" s="16">
        <f t="shared" si="86"/>
        <v>1.4305079999999999</v>
      </c>
      <c r="N409" s="23" t="str">
        <f>'Olieforbrug, TJ'!M409</f>
        <v>March</v>
      </c>
    </row>
    <row r="410" spans="1:14" ht="12" customHeight="1" x14ac:dyDescent="0.2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7"/>
        <v>50</v>
      </c>
      <c r="H410" s="16">
        <v>76</v>
      </c>
      <c r="I410" s="16">
        <v>1382</v>
      </c>
      <c r="J410" s="15"/>
      <c r="K410" s="15"/>
      <c r="L410" s="16">
        <f t="shared" si="86"/>
        <v>2.3634479999999995</v>
      </c>
      <c r="N410" s="23" t="str">
        <f>'Olieforbrug, TJ'!M410</f>
        <v>April</v>
      </c>
    </row>
    <row r="411" spans="1:14" ht="12" customHeight="1" x14ac:dyDescent="0.2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7"/>
        <v>122</v>
      </c>
      <c r="H411" s="16">
        <v>150</v>
      </c>
      <c r="I411" s="16">
        <v>1260</v>
      </c>
      <c r="J411" s="15"/>
      <c r="K411" s="15"/>
      <c r="L411" s="16">
        <f t="shared" si="86"/>
        <v>4.6646999999999998</v>
      </c>
      <c r="N411" s="23" t="str">
        <f>'Olieforbrug, TJ'!M411</f>
        <v>May</v>
      </c>
    </row>
    <row r="412" spans="1:14" ht="14.25" customHeight="1" x14ac:dyDescent="0.2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7"/>
        <v>360</v>
      </c>
      <c r="H412" s="16">
        <v>388</v>
      </c>
      <c r="I412" s="16">
        <v>900</v>
      </c>
      <c r="J412" s="15"/>
      <c r="K412" s="15"/>
      <c r="L412" s="16">
        <f t="shared" si="86"/>
        <v>12.066023999999997</v>
      </c>
      <c r="N412" s="23" t="str">
        <f>'Olieforbrug, TJ'!M412</f>
        <v>June</v>
      </c>
    </row>
    <row r="413" spans="1:14" ht="14.25" customHeight="1" x14ac:dyDescent="0.2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7"/>
        <v>228</v>
      </c>
      <c r="H413" s="16">
        <v>293</v>
      </c>
      <c r="I413" s="16">
        <v>672</v>
      </c>
      <c r="J413" s="15"/>
      <c r="K413" s="15"/>
      <c r="L413" s="16">
        <f t="shared" si="86"/>
        <v>9.1117139999999992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6"/>
        <v>6.6549719999999999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6"/>
        <v>6.3128939999999991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6"/>
        <v>3.0165059999999992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6"/>
        <v>4.9445819999999996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6"/>
        <v>1.3061160000000001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8">H420*0.71*43.8/1000</f>
        <v>4.291523999999999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89">I420-I421</f>
        <v>355</v>
      </c>
      <c r="H421" s="16">
        <v>378</v>
      </c>
      <c r="I421" s="16">
        <v>0</v>
      </c>
      <c r="J421" s="15"/>
      <c r="K421" s="15"/>
      <c r="L421" s="16">
        <f t="shared" si="88"/>
        <v>11.755044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89"/>
        <v>0</v>
      </c>
      <c r="H422" s="16">
        <v>16</v>
      </c>
      <c r="I422" s="16">
        <v>0</v>
      </c>
      <c r="J422" s="15"/>
      <c r="K422" s="15"/>
      <c r="L422" s="16">
        <f t="shared" si="88"/>
        <v>0.4975679999999999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89"/>
        <v>0</v>
      </c>
      <c r="H423" s="16">
        <v>61</v>
      </c>
      <c r="I423" s="16">
        <v>0</v>
      </c>
      <c r="J423" s="15"/>
      <c r="K423" s="15"/>
      <c r="L423" s="16">
        <f t="shared" si="88"/>
        <v>1.8969779999999996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89"/>
        <v>0</v>
      </c>
      <c r="H424" s="16">
        <v>61</v>
      </c>
      <c r="I424" s="16">
        <v>0</v>
      </c>
      <c r="J424" s="15"/>
      <c r="K424" s="15"/>
      <c r="L424" s="16">
        <f t="shared" si="88"/>
        <v>1.8969779999999996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89"/>
        <v>0</v>
      </c>
      <c r="H425" s="16">
        <v>69</v>
      </c>
      <c r="I425" s="16">
        <v>0</v>
      </c>
      <c r="J425" s="15"/>
      <c r="K425" s="15"/>
      <c r="L425" s="16">
        <f t="shared" si="88"/>
        <v>2.1457619999999995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89"/>
        <v>0</v>
      </c>
      <c r="H426" s="16">
        <v>48</v>
      </c>
      <c r="I426" s="16">
        <v>0</v>
      </c>
      <c r="J426" s="15"/>
      <c r="K426" s="15"/>
      <c r="L426" s="16">
        <f t="shared" si="88"/>
        <v>1.4927039999999998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8"/>
        <v>0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8"/>
        <v>2.1768599999999996</v>
      </c>
      <c r="N428" s="23" t="str">
        <f>'Olieforbrug, TJ'!M428</f>
        <v>September</v>
      </c>
    </row>
    <row r="429" spans="1:14" x14ac:dyDescent="0.2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8"/>
        <v>0.62195999999999996</v>
      </c>
      <c r="N429" s="23" t="str">
        <f>'Olieforbrug, TJ'!M429</f>
        <v>October</v>
      </c>
    </row>
    <row r="430" spans="1:14" x14ac:dyDescent="0.2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8"/>
        <v>0.77744999999999997</v>
      </c>
      <c r="N430" s="23" t="str">
        <f>'Olieforbrug, TJ'!M430</f>
        <v>November</v>
      </c>
    </row>
    <row r="431" spans="1:14" ht="13.5" thickBot="1" x14ac:dyDescent="0.25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8"/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0">H433*0.71*43.8/1000</f>
        <v>0.93293999999999988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1">I433-I434</f>
        <v>0</v>
      </c>
      <c r="H434" s="16">
        <v>0</v>
      </c>
      <c r="I434" s="16">
        <v>0</v>
      </c>
      <c r="J434" s="15"/>
      <c r="K434" s="15"/>
      <c r="L434" s="16">
        <f t="shared" si="90"/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1"/>
        <v>0</v>
      </c>
      <c r="H435" s="16">
        <v>31</v>
      </c>
      <c r="I435" s="16">
        <v>0</v>
      </c>
      <c r="J435" s="15"/>
      <c r="K435" s="15"/>
      <c r="L435" s="16">
        <f t="shared" si="90"/>
        <v>0.96403799999999995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1"/>
        <v>0</v>
      </c>
      <c r="H436" s="16">
        <v>0</v>
      </c>
      <c r="I436" s="16">
        <v>0</v>
      </c>
      <c r="J436" s="15"/>
      <c r="K436" s="15"/>
      <c r="L436" s="16">
        <f t="shared" si="90"/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1"/>
        <v>0</v>
      </c>
      <c r="H437" s="16">
        <v>28</v>
      </c>
      <c r="I437" s="16">
        <v>0</v>
      </c>
      <c r="J437" s="15"/>
      <c r="K437" s="15"/>
      <c r="L437" s="16">
        <f t="shared" si="90"/>
        <v>0.87074399999999996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1"/>
        <v>0</v>
      </c>
      <c r="H438" s="16">
        <v>10</v>
      </c>
      <c r="I438" s="16">
        <v>0</v>
      </c>
      <c r="J438" s="15"/>
      <c r="K438" s="15"/>
      <c r="L438" s="16">
        <f t="shared" si="90"/>
        <v>0.31097999999999998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1"/>
        <v>0</v>
      </c>
      <c r="H439" s="16">
        <v>21</v>
      </c>
      <c r="I439" s="16">
        <v>0</v>
      </c>
      <c r="J439" s="15"/>
      <c r="K439" s="15"/>
      <c r="L439" s="16">
        <f t="shared" ref="L439" si="92">H439*0.71*43.8/1000</f>
        <v>0.65305800000000003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3">I439-I440</f>
        <v>0</v>
      </c>
      <c r="H440" s="16">
        <v>54</v>
      </c>
      <c r="I440" s="16">
        <v>0</v>
      </c>
      <c r="J440" s="15"/>
      <c r="K440" s="15"/>
      <c r="L440" s="16">
        <f t="shared" ref="L440" si="94">H440*0.71*43.8/1000</f>
        <v>1.6792919999999998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5">I440-I441</f>
        <v>0</v>
      </c>
      <c r="H441" s="77">
        <v>0</v>
      </c>
      <c r="I441" s="16">
        <v>0</v>
      </c>
      <c r="J441" s="15"/>
      <c r="K441" s="15"/>
      <c r="L441" s="16">
        <f t="shared" ref="L441" si="96">H441*0.71*43.8/1000</f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7">I441-I442</f>
        <v>0</v>
      </c>
      <c r="H442" s="77">
        <v>0</v>
      </c>
      <c r="I442" s="16">
        <v>0</v>
      </c>
      <c r="J442" s="15"/>
      <c r="K442" s="15"/>
      <c r="L442" s="16">
        <f t="shared" ref="L442" si="98">H442*0.71*43.8/1000</f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99">I442-I443</f>
        <v>0</v>
      </c>
      <c r="H443" s="77">
        <v>0</v>
      </c>
      <c r="I443" s="16">
        <v>0</v>
      </c>
      <c r="J443" s="15"/>
      <c r="K443" s="15"/>
      <c r="L443" s="16">
        <f t="shared" ref="L443" si="100">H443*0.71*43.8/1000</f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1">I443-I444</f>
        <v>0</v>
      </c>
      <c r="H444" s="119">
        <v>0</v>
      </c>
      <c r="I444" s="42">
        <v>0</v>
      </c>
      <c r="J444" s="2"/>
      <c r="K444" s="2"/>
      <c r="L444" s="42">
        <f t="shared" ref="L444" si="102">H444*0.71*43.8/1000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3">H446*0.71*43.8/1000</f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4">I446-I447</f>
        <v>0</v>
      </c>
      <c r="H447" s="77">
        <v>0</v>
      </c>
      <c r="I447" s="16">
        <v>0</v>
      </c>
      <c r="J447" s="15"/>
      <c r="K447" s="15"/>
      <c r="L447" s="16">
        <f t="shared" ref="L447" si="105">H447*0.71*43.8/1000</f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4"/>
        <v>0</v>
      </c>
      <c r="H448" s="77">
        <v>0</v>
      </c>
      <c r="I448" s="16">
        <v>0</v>
      </c>
      <c r="J448" s="15"/>
      <c r="K448" s="15"/>
      <c r="L448" s="16">
        <f t="shared" ref="L448" si="106">H448*0.71*43.8/1000</f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4"/>
        <v>0</v>
      </c>
      <c r="H449" s="77">
        <v>32</v>
      </c>
      <c r="I449" s="16">
        <v>0</v>
      </c>
      <c r="J449" s="15"/>
      <c r="K449" s="15"/>
      <c r="L449" s="16">
        <f t="shared" ref="L449" si="107">H449*0.71*43.8/1000</f>
        <v>0.9951359999999998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4"/>
        <v>0</v>
      </c>
      <c r="H450" s="77">
        <v>0</v>
      </c>
      <c r="I450" s="16">
        <v>0</v>
      </c>
      <c r="J450" s="15"/>
      <c r="K450" s="15"/>
      <c r="L450" s="16">
        <f t="shared" ref="L450" si="108">H450*0.71*43.8/1000</f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4"/>
        <v>0</v>
      </c>
      <c r="H451" s="77">
        <v>27</v>
      </c>
      <c r="I451" s="16">
        <v>0</v>
      </c>
      <c r="J451" s="15"/>
      <c r="K451" s="15"/>
      <c r="L451" s="16">
        <f t="shared" ref="L451" si="109">H451*0.71*43.8/1000</f>
        <v>0.83964599999999989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4"/>
        <v>0</v>
      </c>
      <c r="H452" s="77">
        <v>29</v>
      </c>
      <c r="I452" s="16">
        <v>0</v>
      </c>
      <c r="J452" s="15"/>
      <c r="K452" s="15"/>
      <c r="L452" s="16">
        <f t="shared" ref="L452" si="110">H452*0.71*43.8/1000</f>
        <v>0.90184200000000003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1">I452-I453</f>
        <v>0</v>
      </c>
      <c r="H453" s="77">
        <v>0</v>
      </c>
      <c r="I453" s="16">
        <v>0</v>
      </c>
      <c r="J453" s="15"/>
      <c r="K453" s="15"/>
      <c r="L453" s="16">
        <f t="shared" ref="L453" si="112">H453*0.71*43.8/1000</f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3">I453-I454</f>
        <v>0</v>
      </c>
      <c r="H454" s="77">
        <v>0</v>
      </c>
      <c r="I454" s="16">
        <v>0</v>
      </c>
      <c r="J454" s="15"/>
      <c r="K454" s="15"/>
      <c r="L454" s="16">
        <f t="shared" ref="L454" si="114">H454*0.71*43.8/1000</f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5">I454-I455</f>
        <v>0</v>
      </c>
      <c r="H455" s="77">
        <v>27</v>
      </c>
      <c r="I455" s="16">
        <v>0</v>
      </c>
      <c r="J455" s="15"/>
      <c r="K455" s="15"/>
      <c r="L455" s="16">
        <f t="shared" ref="L455" si="116">H455*0.71*43.8/1000</f>
        <v>0.83964599999999989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7">I455-I456</f>
        <v>0</v>
      </c>
      <c r="H456" s="77">
        <v>0</v>
      </c>
      <c r="I456" s="16">
        <v>0</v>
      </c>
      <c r="J456" s="15"/>
      <c r="K456" s="15"/>
      <c r="L456" s="16">
        <f t="shared" ref="L456" si="118">H456*0.71*43.8/1000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9">I456-I457</f>
        <v>0</v>
      </c>
      <c r="H457" s="72">
        <v>0</v>
      </c>
      <c r="I457" s="72">
        <v>0</v>
      </c>
      <c r="J457" s="66"/>
      <c r="K457" s="66"/>
      <c r="L457" s="72">
        <f t="shared" ref="L457" si="120">H457*0.71*43.8/1000</f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1">H459*0.71*43.8/1000</f>
        <v>0.21768599999999999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2">I459-I460</f>
        <v>0</v>
      </c>
      <c r="H460" s="77">
        <v>0</v>
      </c>
      <c r="I460" s="16">
        <v>0</v>
      </c>
      <c r="J460" s="15"/>
      <c r="K460" s="15"/>
      <c r="L460" s="16">
        <f t="shared" ref="L460" si="123">H460*0.71*43.8/1000</f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2"/>
        <v>0</v>
      </c>
      <c r="H461" s="77">
        <v>0</v>
      </c>
      <c r="I461" s="16">
        <v>0</v>
      </c>
      <c r="J461" s="15"/>
      <c r="K461" s="15"/>
      <c r="L461" s="16">
        <f t="shared" ref="L461" si="124">H461*0.71*43.8/1000</f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2"/>
        <v>0</v>
      </c>
      <c r="H462" s="77">
        <v>0</v>
      </c>
      <c r="I462" s="16">
        <v>0</v>
      </c>
      <c r="J462" s="15"/>
      <c r="K462" s="15"/>
      <c r="L462" s="16">
        <f t="shared" ref="L462" si="125">H462*0.71*43.8/1000</f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2"/>
        <v>0</v>
      </c>
      <c r="H463" s="77">
        <v>27</v>
      </c>
      <c r="I463" s="16">
        <v>0</v>
      </c>
      <c r="J463" s="15"/>
      <c r="K463" s="15"/>
      <c r="L463" s="16">
        <f t="shared" ref="L463" si="126">H463*0.71*43.8/1000</f>
        <v>0.83964599999999989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2"/>
        <v>0</v>
      </c>
      <c r="H464" s="77">
        <v>20</v>
      </c>
      <c r="I464" s="16">
        <v>0</v>
      </c>
      <c r="J464" s="15"/>
      <c r="K464" s="15"/>
      <c r="L464" s="16">
        <f t="shared" ref="L464" si="127">H464*0.71*43.8/1000</f>
        <v>0.62195999999999996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2"/>
        <v>0</v>
      </c>
      <c r="H465" s="77">
        <v>0</v>
      </c>
      <c r="I465" s="16">
        <v>0</v>
      </c>
      <c r="J465" s="15"/>
      <c r="K465" s="15"/>
      <c r="L465" s="16">
        <f t="shared" ref="L465" si="128">H465*0.71*43.8/1000</f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29">I465-I466</f>
        <v>0</v>
      </c>
      <c r="H466" s="77">
        <v>22</v>
      </c>
      <c r="I466" s="16">
        <v>0</v>
      </c>
      <c r="J466" s="15"/>
      <c r="K466" s="15"/>
      <c r="L466" s="16">
        <f t="shared" ref="L466" si="130">H466*0.71*43.8/1000</f>
        <v>0.68415599999999999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1">I466-I467</f>
        <v>0</v>
      </c>
      <c r="H467" s="77">
        <v>0</v>
      </c>
      <c r="I467" s="16">
        <v>0</v>
      </c>
      <c r="J467" s="15"/>
      <c r="K467" s="15"/>
      <c r="L467" s="16">
        <f t="shared" ref="L467" si="132">H467*0.71*43.8/1000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3">I467-I468</f>
        <v>0</v>
      </c>
      <c r="H468" s="77">
        <v>18</v>
      </c>
      <c r="I468" s="16">
        <v>0</v>
      </c>
      <c r="J468" s="15"/>
      <c r="K468" s="15"/>
      <c r="L468" s="16">
        <f t="shared" ref="L468" si="134">H468*0.71*43.8/1000</f>
        <v>0.55976399999999993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5">I468-I469</f>
        <v>0</v>
      </c>
      <c r="H469" s="77">
        <v>0</v>
      </c>
      <c r="I469" s="16">
        <v>0</v>
      </c>
      <c r="J469" s="15"/>
      <c r="K469" s="15"/>
      <c r="L469" s="16">
        <f t="shared" ref="L469" si="136">H469*0.71*43.8/1000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7">I469-I470</f>
        <v>0</v>
      </c>
      <c r="H470" s="119">
        <v>0</v>
      </c>
      <c r="I470" s="42">
        <v>0</v>
      </c>
      <c r="J470" s="2"/>
      <c r="K470" s="2"/>
      <c r="L470" s="42">
        <f t="shared" ref="L470" si="138">H470*0.71*43.8/1000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39">H472*0.71*43.8/1000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0">I472-I473</f>
        <v>0</v>
      </c>
      <c r="H473" s="77">
        <v>0</v>
      </c>
      <c r="I473" s="16">
        <v>0</v>
      </c>
      <c r="J473" s="15"/>
      <c r="K473" s="15"/>
      <c r="L473" s="16">
        <f t="shared" ref="L473" si="141">H473*0.71*43.8/1000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0"/>
        <v>0</v>
      </c>
      <c r="H474" s="77">
        <v>0</v>
      </c>
      <c r="I474" s="16">
        <v>0</v>
      </c>
      <c r="J474" s="15"/>
      <c r="K474" s="15"/>
      <c r="L474" s="16">
        <f t="shared" ref="L474" si="142">H474*0.71*43.8/1000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0"/>
        <v>0</v>
      </c>
      <c r="H475" s="77">
        <v>27</v>
      </c>
      <c r="I475" s="16">
        <v>0</v>
      </c>
      <c r="J475" s="15"/>
      <c r="K475" s="15"/>
      <c r="L475" s="16">
        <f t="shared" ref="L475" si="143">H475*0.71*43.8/1000</f>
        <v>0.83964599999999989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0"/>
        <v>0</v>
      </c>
      <c r="H476" s="77">
        <v>16</v>
      </c>
      <c r="I476" s="16">
        <v>0</v>
      </c>
      <c r="J476" s="15"/>
      <c r="K476" s="15"/>
      <c r="L476" s="16">
        <f t="shared" ref="L476" si="144">H476*0.71*43.8/1000</f>
        <v>0.4975679999999999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0"/>
        <v>0</v>
      </c>
      <c r="H477" s="77">
        <v>0</v>
      </c>
      <c r="I477" s="16">
        <v>0</v>
      </c>
      <c r="J477" s="15"/>
      <c r="K477" s="15"/>
      <c r="L477" s="16">
        <f t="shared" ref="L477" si="145">H477*0.71*43.8/1000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0"/>
        <v>0</v>
      </c>
      <c r="H478" s="77">
        <v>22</v>
      </c>
      <c r="I478" s="16">
        <v>0</v>
      </c>
      <c r="J478" s="15"/>
      <c r="K478" s="15"/>
      <c r="L478" s="16">
        <f t="shared" ref="L478" si="146">H478*0.71*43.8/1000</f>
        <v>0.68415599999999999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theme="6" tint="0.59999389629810485"/>
  </sheetPr>
  <dimension ref="A1:P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F484" sqref="F484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11.42578125" bestFit="1" customWidth="1"/>
    <col min="16" max="16" width="9.5703125" bestFit="1" customWidth="1"/>
  </cols>
  <sheetData>
    <row r="1" spans="1:15" x14ac:dyDescent="0.2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5" x14ac:dyDescent="0.2">
      <c r="A30" s="22">
        <f>'Olieforbrug, TJ'!A30</f>
        <v>2005</v>
      </c>
      <c r="C30" s="3">
        <f>SUM(C212:C218)</f>
        <v>2251186</v>
      </c>
      <c r="D30" s="3">
        <f t="shared" ref="D30:L30" si="11">SUM(D212:D218)</f>
        <v>1353520</v>
      </c>
      <c r="E30" s="3">
        <f t="shared" si="11"/>
        <v>514959</v>
      </c>
      <c r="F30" s="3">
        <f t="shared" si="11"/>
        <v>173456</v>
      </c>
      <c r="G30" s="3">
        <f t="shared" si="11"/>
        <v>-361417</v>
      </c>
      <c r="H30" s="3">
        <f t="shared" si="11"/>
        <v>2598587</v>
      </c>
      <c r="I30" s="3">
        <f>I218</f>
        <v>1056843</v>
      </c>
      <c r="J30" s="3"/>
      <c r="K30" s="3"/>
      <c r="L30" s="3">
        <f t="shared" si="11"/>
        <v>93206.118515999988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SUM(C225:C231)</f>
        <v>2315925</v>
      </c>
      <c r="D31" s="3">
        <f t="shared" ref="D31:L31" si="12">SUM(D225:D231)</f>
        <v>1693776</v>
      </c>
      <c r="E31" s="3">
        <f t="shared" si="12"/>
        <v>947501</v>
      </c>
      <c r="F31" s="3">
        <f t="shared" si="12"/>
        <v>182058</v>
      </c>
      <c r="G31" s="3">
        <f t="shared" si="12"/>
        <v>-192044</v>
      </c>
      <c r="H31" s="3">
        <f t="shared" si="12"/>
        <v>2707933</v>
      </c>
      <c r="I31" s="3">
        <f>I231</f>
        <v>1239983</v>
      </c>
      <c r="J31" s="3"/>
      <c r="K31" s="3"/>
      <c r="L31" s="3">
        <f t="shared" si="12"/>
        <v>97128.140843999994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SUM(C238:C244)</f>
        <v>2069444</v>
      </c>
      <c r="D32" s="3">
        <f t="shared" ref="D32:L32" si="13">SUM(D238:D244)</f>
        <v>1558744</v>
      </c>
      <c r="E32" s="3">
        <f t="shared" si="13"/>
        <v>706462</v>
      </c>
      <c r="F32" s="3">
        <f t="shared" si="13"/>
        <v>154357</v>
      </c>
      <c r="G32" s="3">
        <f t="shared" si="13"/>
        <v>-90413</v>
      </c>
      <c r="H32" s="3">
        <f t="shared" si="13"/>
        <v>2670495</v>
      </c>
      <c r="I32" s="3">
        <f>I244</f>
        <v>1003634</v>
      </c>
      <c r="J32" s="3"/>
      <c r="K32" s="3"/>
      <c r="L32" s="3">
        <f t="shared" si="13"/>
        <v>95785.314660000004</v>
      </c>
      <c r="M32" s="3"/>
      <c r="N32" s="22">
        <f>'Olieforbrug, TJ'!M32</f>
        <v>2007</v>
      </c>
    </row>
    <row r="33" spans="1:15" x14ac:dyDescent="0.2">
      <c r="A33" s="22">
        <f>'Olieforbrug, TJ'!A33</f>
        <v>2008</v>
      </c>
      <c r="C33" s="3">
        <f>SUM(C251:C257)</f>
        <v>1964251</v>
      </c>
      <c r="D33" s="3">
        <f t="shared" ref="D33:L33" si="14">SUM(D251:D257)</f>
        <v>1622663</v>
      </c>
      <c r="E33" s="3">
        <f t="shared" si="14"/>
        <v>578891</v>
      </c>
      <c r="F33" s="3">
        <f t="shared" si="14"/>
        <v>191197</v>
      </c>
      <c r="G33" s="3">
        <f t="shared" si="14"/>
        <v>-68495</v>
      </c>
      <c r="H33" s="3">
        <f t="shared" si="14"/>
        <v>2745724</v>
      </c>
      <c r="I33" s="3">
        <f>I257</f>
        <v>947403</v>
      </c>
      <c r="J33" s="3"/>
      <c r="K33" s="3"/>
      <c r="L33" s="3">
        <f t="shared" si="14"/>
        <v>98483.628431999998</v>
      </c>
      <c r="M33" s="3"/>
      <c r="N33" s="22">
        <f>'Olieforbrug, TJ'!M33</f>
        <v>2008</v>
      </c>
    </row>
    <row r="34" spans="1:15" x14ac:dyDescent="0.2">
      <c r="A34" s="22">
        <f>'Olieforbrug, TJ'!A34</f>
        <v>2009</v>
      </c>
      <c r="C34" s="3">
        <f>SUM(C264:C270)</f>
        <v>2472270</v>
      </c>
      <c r="D34" s="3">
        <f t="shared" ref="D34:L34" si="15">SUM(D264:D270)</f>
        <v>1551092</v>
      </c>
      <c r="E34" s="3">
        <f t="shared" si="15"/>
        <v>885480</v>
      </c>
      <c r="F34" s="3">
        <f t="shared" si="15"/>
        <v>169197</v>
      </c>
      <c r="G34" s="3">
        <f t="shared" si="15"/>
        <v>-380931</v>
      </c>
      <c r="H34" s="3">
        <f t="shared" si="15"/>
        <v>2657840</v>
      </c>
      <c r="I34" s="3">
        <f>I270</f>
        <v>1695528</v>
      </c>
      <c r="J34" s="3"/>
      <c r="K34" s="3"/>
      <c r="L34" s="3">
        <f t="shared" si="15"/>
        <v>95331.40512000001</v>
      </c>
      <c r="M34" s="3"/>
      <c r="N34" s="22">
        <f>'Olieforbrug, TJ'!M34</f>
        <v>2009</v>
      </c>
    </row>
    <row r="35" spans="1:15" x14ac:dyDescent="0.2">
      <c r="A35" s="22">
        <f>'Olieforbrug, TJ'!A35</f>
        <v>2010</v>
      </c>
      <c r="C35" s="3">
        <f>SUM(C277:C283)</f>
        <v>2321051</v>
      </c>
      <c r="D35" s="3">
        <f t="shared" ref="D35:L35" si="16">SUM(D277:D283)</f>
        <v>1448727</v>
      </c>
      <c r="E35" s="3">
        <f t="shared" si="16"/>
        <v>664006</v>
      </c>
      <c r="F35" s="3">
        <f t="shared" si="16"/>
        <v>199587</v>
      </c>
      <c r="G35" s="3">
        <f t="shared" si="16"/>
        <v>-202378</v>
      </c>
      <c r="H35" s="3">
        <f t="shared" si="16"/>
        <v>2647907</v>
      </c>
      <c r="I35" s="3">
        <f>I283</f>
        <v>1663087</v>
      </c>
      <c r="J35" s="3"/>
      <c r="K35" s="3"/>
      <c r="L35" s="3">
        <f t="shared" si="16"/>
        <v>94975.128275999989</v>
      </c>
      <c r="M35" s="3"/>
      <c r="N35" s="22">
        <f>'Olieforbrug, TJ'!M35</f>
        <v>2010</v>
      </c>
    </row>
    <row r="36" spans="1:15" x14ac:dyDescent="0.2">
      <c r="A36" s="22">
        <f>'Olieforbrug, TJ'!A36</f>
        <v>2011</v>
      </c>
      <c r="C36" s="3">
        <f>SUM(C290:C296)</f>
        <v>2060027</v>
      </c>
      <c r="D36" s="3">
        <f t="shared" ref="D36:L36" si="17">SUM(D290:D296)</f>
        <v>1564959</v>
      </c>
      <c r="E36" s="3">
        <f t="shared" si="17"/>
        <v>1057059</v>
      </c>
      <c r="F36" s="3">
        <f t="shared" si="17"/>
        <v>157989</v>
      </c>
      <c r="G36" s="3">
        <f t="shared" si="17"/>
        <v>224095</v>
      </c>
      <c r="H36" s="3">
        <f t="shared" si="17"/>
        <v>2600290</v>
      </c>
      <c r="I36" s="3">
        <f>I296</f>
        <v>1243719</v>
      </c>
      <c r="J36" s="3"/>
      <c r="K36" s="3"/>
      <c r="L36" s="3">
        <f t="shared" si="17"/>
        <v>93267.201720000012</v>
      </c>
      <c r="M36" s="3"/>
      <c r="N36" s="22">
        <f>'Olieforbrug, TJ'!M36</f>
        <v>2011</v>
      </c>
    </row>
    <row r="37" spans="1:15" x14ac:dyDescent="0.2">
      <c r="A37" s="22">
        <f>'Olieforbrug, TJ'!A37</f>
        <v>2012</v>
      </c>
      <c r="C37" s="3">
        <f>SUM(C303:C309)</f>
        <v>2261707</v>
      </c>
      <c r="D37" s="3">
        <f t="shared" ref="D37:L37" si="18">SUM(D303:D309)</f>
        <v>1289672</v>
      </c>
      <c r="E37" s="3">
        <f t="shared" si="18"/>
        <v>956514</v>
      </c>
      <c r="F37" s="3">
        <f t="shared" si="18"/>
        <v>176258</v>
      </c>
      <c r="G37" s="3">
        <f t="shared" si="18"/>
        <v>90100</v>
      </c>
      <c r="H37" s="3">
        <f t="shared" si="18"/>
        <v>2515903</v>
      </c>
      <c r="I37" s="3">
        <f>I309</f>
        <v>1128126</v>
      </c>
      <c r="J37" s="3"/>
      <c r="K37" s="3"/>
      <c r="L37" s="3">
        <f t="shared" si="18"/>
        <v>90240.408804000006</v>
      </c>
      <c r="M37" s="3"/>
      <c r="N37" s="22">
        <f>'Olieforbrug, TJ'!M37</f>
        <v>2012</v>
      </c>
    </row>
    <row r="38" spans="1:15" x14ac:dyDescent="0.2">
      <c r="A38" s="22">
        <f>'Olieforbrug, TJ'!A38</f>
        <v>2013</v>
      </c>
      <c r="C38" s="3">
        <f>SUM(C316:C322)</f>
        <v>2219466</v>
      </c>
      <c r="D38" s="3">
        <f t="shared" ref="D38:L38" si="19">SUM(D316:D322)</f>
        <v>1775561</v>
      </c>
      <c r="E38" s="3">
        <f t="shared" si="19"/>
        <v>1077752</v>
      </c>
      <c r="F38" s="3">
        <f t="shared" si="19"/>
        <v>174201</v>
      </c>
      <c r="G38" s="3">
        <f t="shared" si="19"/>
        <v>-231448</v>
      </c>
      <c r="H38" s="3">
        <f t="shared" si="19"/>
        <v>2539427</v>
      </c>
      <c r="I38" s="3">
        <f>I322</f>
        <v>1406306</v>
      </c>
      <c r="J38" s="3"/>
      <c r="K38" s="3"/>
      <c r="L38" s="3">
        <f t="shared" si="19"/>
        <v>91084.167636000013</v>
      </c>
      <c r="M38" s="3"/>
      <c r="N38" s="22">
        <f>'Olieforbrug, TJ'!M38</f>
        <v>2013</v>
      </c>
    </row>
    <row r="39" spans="1:15" x14ac:dyDescent="0.2">
      <c r="A39" s="22">
        <f>'Olieforbrug, TJ'!A39</f>
        <v>2014</v>
      </c>
      <c r="C39" s="3">
        <f>SUM(C329:C335)</f>
        <v>2132345</v>
      </c>
      <c r="D39" s="3">
        <f t="shared" ref="D39:L39" si="20">SUM(D329:D335)</f>
        <v>1553539</v>
      </c>
      <c r="E39" s="3">
        <f t="shared" si="20"/>
        <v>1091799</v>
      </c>
      <c r="F39" s="3">
        <f t="shared" si="20"/>
        <v>193326</v>
      </c>
      <c r="G39" s="3">
        <f t="shared" si="20"/>
        <v>36864</v>
      </c>
      <c r="H39" s="3">
        <f t="shared" si="20"/>
        <v>2457418</v>
      </c>
      <c r="I39" s="3">
        <f>I335</f>
        <v>1332464</v>
      </c>
      <c r="J39" s="3"/>
      <c r="K39" s="3"/>
      <c r="L39" s="3">
        <f t="shared" si="20"/>
        <v>88142.668824000008</v>
      </c>
      <c r="M39" s="3"/>
      <c r="N39" s="22">
        <f>'Olieforbrug, TJ'!M39</f>
        <v>2014</v>
      </c>
    </row>
    <row r="40" spans="1:15" x14ac:dyDescent="0.2">
      <c r="A40" s="22">
        <f>'Olieforbrug, TJ'!A40</f>
        <v>2015</v>
      </c>
      <c r="C40" s="3">
        <f>SUM(C342:C348)</f>
        <v>2339691</v>
      </c>
      <c r="D40" s="3">
        <f t="shared" ref="D40:L40" si="21">SUM(D342:D348)</f>
        <v>2535425</v>
      </c>
      <c r="E40" s="3">
        <f t="shared" si="21"/>
        <v>1832434</v>
      </c>
      <c r="F40" s="3">
        <f t="shared" si="21"/>
        <v>277719</v>
      </c>
      <c r="G40" s="3">
        <f t="shared" si="21"/>
        <v>-230858</v>
      </c>
      <c r="H40" s="3">
        <f t="shared" si="21"/>
        <v>2582326</v>
      </c>
      <c r="I40" s="3">
        <f>I348</f>
        <v>1924545</v>
      </c>
      <c r="J40" s="3"/>
      <c r="K40" s="3"/>
      <c r="L40" s="3">
        <f t="shared" si="21"/>
        <v>92622.86896800001</v>
      </c>
      <c r="M40" s="3"/>
      <c r="N40" s="22">
        <f>'Olieforbrug, TJ'!M40</f>
        <v>2015</v>
      </c>
    </row>
    <row r="41" spans="1:15" x14ac:dyDescent="0.2">
      <c r="A41" s="22">
        <f>'Olieforbrug, TJ'!A41</f>
        <v>2016</v>
      </c>
      <c r="C41" s="3">
        <f>SUM(C355:C361)</f>
        <v>1979682</v>
      </c>
      <c r="D41" s="3">
        <f t="shared" ref="D41:L41" si="22">SUM(D355:D361)</f>
        <v>2664373</v>
      </c>
      <c r="E41" s="3">
        <f t="shared" si="22"/>
        <v>1763746</v>
      </c>
      <c r="F41" s="3">
        <f t="shared" si="22"/>
        <v>291852</v>
      </c>
      <c r="G41" s="3">
        <f t="shared" si="22"/>
        <v>-105255</v>
      </c>
      <c r="H41" s="3">
        <f t="shared" si="22"/>
        <v>2544879</v>
      </c>
      <c r="I41" s="3">
        <f>I361</f>
        <v>2303704</v>
      </c>
      <c r="J41" s="3"/>
      <c r="K41" s="3"/>
      <c r="L41" s="3">
        <f t="shared" si="22"/>
        <v>91279.719971999992</v>
      </c>
      <c r="M41" s="3"/>
      <c r="N41" s="22">
        <f>'Olieforbrug, TJ'!M41</f>
        <v>2016</v>
      </c>
    </row>
    <row r="42" spans="1:15" x14ac:dyDescent="0.2">
      <c r="A42" s="22">
        <f>'Olieforbrug, TJ'!A42</f>
        <v>2017</v>
      </c>
      <c r="C42" s="3">
        <f>SUM(C368:C374)</f>
        <v>2591830</v>
      </c>
      <c r="D42" s="3">
        <f t="shared" ref="D42:L42" si="23">SUM(D368:D374)</f>
        <v>1754084</v>
      </c>
      <c r="E42" s="3">
        <f t="shared" si="23"/>
        <v>1617895</v>
      </c>
      <c r="F42" s="3">
        <f t="shared" si="23"/>
        <v>241573</v>
      </c>
      <c r="G42" s="3">
        <f t="shared" si="23"/>
        <v>121103</v>
      </c>
      <c r="H42" s="3">
        <f t="shared" si="23"/>
        <v>2632409</v>
      </c>
      <c r="I42" s="3">
        <f>I374</f>
        <v>2053784</v>
      </c>
      <c r="J42" s="3"/>
      <c r="K42" s="3"/>
      <c r="L42" s="3">
        <f t="shared" si="23"/>
        <v>94419.246012000003</v>
      </c>
      <c r="M42" s="3"/>
      <c r="N42" s="22">
        <f>'Olieforbrug, TJ'!M42</f>
        <v>2017</v>
      </c>
    </row>
    <row r="43" spans="1:15" x14ac:dyDescent="0.2">
      <c r="A43" s="22">
        <f>'Olieforbrug, TJ'!A43</f>
        <v>2018</v>
      </c>
      <c r="C43" s="3">
        <f>SUM(C381:C387)</f>
        <v>2293948</v>
      </c>
      <c r="D43" s="3">
        <f t="shared" ref="D43:L43" si="24">SUM(D381:D387)</f>
        <v>1641813</v>
      </c>
      <c r="E43" s="3">
        <f t="shared" si="24"/>
        <v>1249882</v>
      </c>
      <c r="F43" s="3">
        <f t="shared" si="24"/>
        <v>244919</v>
      </c>
      <c r="G43" s="3">
        <f t="shared" si="24"/>
        <v>84722</v>
      </c>
      <c r="H43" s="3">
        <f t="shared" si="24"/>
        <v>2700421</v>
      </c>
      <c r="I43" s="3">
        <f>I387</f>
        <v>1713387</v>
      </c>
      <c r="J43" s="3"/>
      <c r="K43" s="3"/>
      <c r="L43" s="3">
        <f t="shared" si="24"/>
        <v>96858.700427999996</v>
      </c>
      <c r="M43" s="3"/>
      <c r="N43" s="22">
        <f>'Olieforbrug, TJ'!M43</f>
        <v>2018</v>
      </c>
    </row>
    <row r="44" spans="1:15" x14ac:dyDescent="0.2">
      <c r="A44" s="22">
        <f>'Olieforbrug, TJ'!A44</f>
        <v>2019</v>
      </c>
      <c r="C44" s="3">
        <f>SUM(C394:C400)</f>
        <v>2530374</v>
      </c>
      <c r="D44" s="3">
        <f t="shared" ref="D44:L44" si="25">SUM(D394:D400)</f>
        <v>1857065</v>
      </c>
      <c r="E44" s="3">
        <f t="shared" si="25"/>
        <v>1234587</v>
      </c>
      <c r="F44" s="3">
        <f t="shared" si="25"/>
        <v>247503</v>
      </c>
      <c r="G44" s="3">
        <f t="shared" si="25"/>
        <v>-342995</v>
      </c>
      <c r="H44" s="3">
        <f t="shared" si="25"/>
        <v>2822042</v>
      </c>
      <c r="I44" s="3">
        <f>I400</f>
        <v>1921284</v>
      </c>
      <c r="J44" s="3"/>
      <c r="K44" s="3"/>
      <c r="L44" s="3">
        <f t="shared" si="25"/>
        <v>101221.00245600002</v>
      </c>
      <c r="M44" s="3"/>
      <c r="N44" s="22">
        <f>'Olieforbrug, TJ'!M44</f>
        <v>2019</v>
      </c>
    </row>
    <row r="45" spans="1:15" x14ac:dyDescent="0.2">
      <c r="A45" s="22">
        <f>'Olieforbrug, TJ'!A45</f>
        <v>2020</v>
      </c>
      <c r="C45" s="3">
        <f>SUM(C407:C413)</f>
        <v>2537214</v>
      </c>
      <c r="D45" s="3">
        <f t="shared" ref="D45:L45" si="26">SUM(D407:D413)</f>
        <v>1574029</v>
      </c>
      <c r="E45" s="3">
        <f t="shared" si="26"/>
        <v>1139332</v>
      </c>
      <c r="F45" s="3">
        <f t="shared" si="26"/>
        <v>258058</v>
      </c>
      <c r="G45" s="3">
        <f t="shared" si="26"/>
        <v>-309605</v>
      </c>
      <c r="H45" s="3">
        <f t="shared" si="26"/>
        <v>2429129</v>
      </c>
      <c r="I45" s="3">
        <f>I413</f>
        <v>2213377</v>
      </c>
      <c r="J45" s="3"/>
      <c r="K45" s="3"/>
      <c r="L45" s="3">
        <f t="shared" si="26"/>
        <v>87127.998972000001</v>
      </c>
      <c r="M45" s="3"/>
      <c r="N45" s="22">
        <f>'Olieforbrug, TJ'!M45</f>
        <v>2020</v>
      </c>
    </row>
    <row r="46" spans="1:15" x14ac:dyDescent="0.2">
      <c r="A46" s="22">
        <f>'Olieforbrug, TJ'!A46</f>
        <v>2021</v>
      </c>
      <c r="C46" s="3">
        <f>SUM(C420:C426)</f>
        <v>2522197</v>
      </c>
      <c r="D46" s="3">
        <f t="shared" ref="D46:L46" si="27">SUM(D420:D426)</f>
        <v>1172343</v>
      </c>
      <c r="E46" s="3">
        <f t="shared" si="27"/>
        <v>1188108</v>
      </c>
      <c r="F46" s="3">
        <f t="shared" si="27"/>
        <v>257047</v>
      </c>
      <c r="G46" s="3">
        <f t="shared" si="27"/>
        <v>154768</v>
      </c>
      <c r="H46" s="3">
        <f t="shared" si="27"/>
        <v>2462777</v>
      </c>
      <c r="I46" s="3">
        <f>I426</f>
        <v>2027702</v>
      </c>
      <c r="J46" s="3"/>
      <c r="K46" s="3"/>
      <c r="L46" s="3">
        <f t="shared" si="27"/>
        <v>88334.885436000011</v>
      </c>
      <c r="M46" s="3"/>
      <c r="N46" s="22">
        <f>'Olieforbrug, TJ'!M46</f>
        <v>2021</v>
      </c>
    </row>
    <row r="47" spans="1:15" x14ac:dyDescent="0.2">
      <c r="A47" s="22">
        <f>'Olieforbrug, TJ'!A47</f>
        <v>2022</v>
      </c>
      <c r="C47" s="3">
        <f>SUM(C433:C439)</f>
        <v>2427735</v>
      </c>
      <c r="D47" s="3">
        <f t="shared" ref="D47:L47" si="28">SUM(D433:D439)</f>
        <v>1322389</v>
      </c>
      <c r="E47" s="3">
        <f t="shared" si="28"/>
        <v>1192466</v>
      </c>
      <c r="F47" s="3">
        <f t="shared" si="28"/>
        <v>229730</v>
      </c>
      <c r="G47" s="3">
        <f t="shared" si="28"/>
        <v>134280</v>
      </c>
      <c r="H47" s="3">
        <f t="shared" si="28"/>
        <v>2519970</v>
      </c>
      <c r="I47" s="3">
        <f>I439</f>
        <v>1757133</v>
      </c>
      <c r="J47" s="3"/>
      <c r="K47" s="3"/>
      <c r="L47" s="3">
        <f t="shared" si="28"/>
        <v>90386.283960000001</v>
      </c>
      <c r="M47" s="3"/>
      <c r="N47" s="22">
        <f>'Olieforbrug, TJ'!M47</f>
        <v>2022</v>
      </c>
    </row>
    <row r="48" spans="1:15" x14ac:dyDescent="0.2">
      <c r="A48" s="22">
        <f>'Olieforbrug, TJ'!A48</f>
        <v>2023</v>
      </c>
      <c r="C48" s="3">
        <f>SUM(C446:C452)</f>
        <v>2333589</v>
      </c>
      <c r="D48" s="3">
        <f t="shared" ref="D48:L48" si="29">SUM(D446:D452)</f>
        <v>1720214</v>
      </c>
      <c r="E48" s="3">
        <f t="shared" si="29"/>
        <v>1312406</v>
      </c>
      <c r="F48" s="3">
        <f t="shared" si="29"/>
        <v>208673</v>
      </c>
      <c r="G48" s="3">
        <f t="shared" si="29"/>
        <v>-169650</v>
      </c>
      <c r="H48" s="3">
        <f t="shared" si="29"/>
        <v>2445495</v>
      </c>
      <c r="I48" s="3">
        <f>I452</f>
        <v>1787962</v>
      </c>
      <c r="J48" s="3"/>
      <c r="K48" s="3"/>
      <c r="L48" s="3">
        <f t="shared" si="29"/>
        <v>87715.014660000001</v>
      </c>
      <c r="M48" s="3"/>
      <c r="N48" s="22">
        <f>'Olieforbrug, TJ'!M48</f>
        <v>2023</v>
      </c>
      <c r="O48" s="136"/>
    </row>
    <row r="49" spans="1:14" x14ac:dyDescent="0.2">
      <c r="A49" s="22">
        <f>'Olieforbrug, TJ'!A49</f>
        <v>2024</v>
      </c>
      <c r="C49" s="3">
        <f>SUM(C459:C465)</f>
        <v>2296414</v>
      </c>
      <c r="D49" s="3">
        <f t="shared" ref="D49:L49" si="30">SUM(D459:D465)</f>
        <v>1456488</v>
      </c>
      <c r="E49" s="3">
        <f t="shared" si="30"/>
        <v>1006195</v>
      </c>
      <c r="F49" s="3">
        <f t="shared" si="30"/>
        <v>412509</v>
      </c>
      <c r="G49" s="3">
        <f t="shared" si="30"/>
        <v>-86505</v>
      </c>
      <c r="H49" s="3">
        <f t="shared" si="30"/>
        <v>2231328</v>
      </c>
      <c r="I49" s="3">
        <f>I465</f>
        <v>1721614</v>
      </c>
      <c r="J49" s="3"/>
      <c r="K49" s="3"/>
      <c r="L49" s="3">
        <f t="shared" si="30"/>
        <v>80033.272704000003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SUM(C472:C478)</f>
        <v>2337288</v>
      </c>
      <c r="D50" s="3">
        <f t="shared" ref="D50:L50" si="31">SUM(D472:D478)</f>
        <v>1316604</v>
      </c>
      <c r="E50" s="3">
        <f t="shared" si="31"/>
        <v>1515315</v>
      </c>
      <c r="F50" s="3">
        <f t="shared" si="31"/>
        <v>416368</v>
      </c>
      <c r="G50" s="3">
        <f t="shared" si="31"/>
        <v>284907</v>
      </c>
      <c r="H50" s="3">
        <f t="shared" si="31"/>
        <v>2016453</v>
      </c>
      <c r="I50" s="3">
        <f>I478</f>
        <v>1563537</v>
      </c>
      <c r="J50" s="3"/>
      <c r="K50" s="3"/>
      <c r="L50" s="3">
        <f t="shared" si="31"/>
        <v>72326.136203999995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">
      <c r="A97" s="32"/>
      <c r="J97" s="3"/>
      <c r="K97" s="3"/>
      <c r="L97" s="3"/>
      <c r="M97" s="26"/>
    </row>
    <row r="98" spans="1:16" x14ac:dyDescent="0.2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">
      <c r="A102" s="32"/>
      <c r="J102" s="3"/>
      <c r="L102" s="3"/>
      <c r="M102" s="3"/>
      <c r="N102" s="26"/>
    </row>
    <row r="103" spans="1:16" s="57" customFormat="1" x14ac:dyDescent="0.2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">
      <c r="A142" s="32"/>
      <c r="J142" s="3"/>
      <c r="K142" s="3"/>
      <c r="L142" s="3"/>
      <c r="M142" s="3"/>
      <c r="N142" s="26"/>
    </row>
    <row r="143" spans="1:15" s="57" customFormat="1" x14ac:dyDescent="0.2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845210</v>
      </c>
      <c r="D153" s="3">
        <f t="shared" ref="D153:L153" si="77">SUM(D472:D474)</f>
        <v>526833</v>
      </c>
      <c r="E153" s="3">
        <f t="shared" si="77"/>
        <v>667844</v>
      </c>
      <c r="F153" s="3">
        <f t="shared" si="77"/>
        <v>169899</v>
      </c>
      <c r="G153" s="3">
        <f t="shared" si="77"/>
        <v>336299</v>
      </c>
      <c r="H153" s="3">
        <f t="shared" si="77"/>
        <v>891014</v>
      </c>
      <c r="I153" s="3">
        <f>I474</f>
        <v>1512145</v>
      </c>
      <c r="J153" s="3"/>
      <c r="K153" s="3"/>
      <c r="L153" s="3">
        <f t="shared" si="77"/>
        <v>31958.890152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1121697</v>
      </c>
      <c r="D154" s="3">
        <f t="shared" ref="D154:H154" si="78">SUM(D475:D477)</f>
        <v>619989</v>
      </c>
      <c r="E154" s="3">
        <f t="shared" si="78"/>
        <v>615471</v>
      </c>
      <c r="F154" s="3">
        <f t="shared" si="78"/>
        <v>181180</v>
      </c>
      <c r="G154" s="3">
        <f t="shared" si="78"/>
        <v>-75427</v>
      </c>
      <c r="H154" s="3">
        <f t="shared" si="78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5" thickBot="1" x14ac:dyDescent="0.25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5" thickBot="1" x14ac:dyDescent="0.25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5" thickBot="1" x14ac:dyDescent="0.25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5" thickBot="1" x14ac:dyDescent="0.25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5" thickBot="1" x14ac:dyDescent="0.25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5" thickBot="1" x14ac:dyDescent="0.25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5" thickBot="1" x14ac:dyDescent="0.25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5" thickBot="1" x14ac:dyDescent="0.25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5" thickBot="1" x14ac:dyDescent="0.25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79">H342*0.84*42.7/1000</f>
        <v>15276.324672000001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0">I342-I343</f>
        <v>2458</v>
      </c>
      <c r="H343" s="67">
        <v>341977</v>
      </c>
      <c r="I343" s="67">
        <v>1795782</v>
      </c>
      <c r="J343" s="15"/>
      <c r="K343" s="15"/>
      <c r="L343" s="14">
        <f t="shared" si="79"/>
        <v>12266.031036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0"/>
        <v>-47275</v>
      </c>
      <c r="H344" s="67">
        <v>392461</v>
      </c>
      <c r="I344" s="67">
        <v>1843057</v>
      </c>
      <c r="J344" s="15"/>
      <c r="K344" s="15"/>
      <c r="L344" s="14">
        <f t="shared" si="79"/>
        <v>14076.791148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0"/>
        <v>-1188</v>
      </c>
      <c r="H345" s="67">
        <v>368577</v>
      </c>
      <c r="I345" s="67">
        <v>1844245</v>
      </c>
      <c r="L345" s="14">
        <f t="shared" si="79"/>
        <v>13220.119836000002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0"/>
        <v>-133160</v>
      </c>
      <c r="H346" s="67">
        <v>348547</v>
      </c>
      <c r="I346" s="67">
        <v>1977405</v>
      </c>
      <c r="L346" s="14">
        <f t="shared" si="79"/>
        <v>12501.683795999999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0"/>
        <v>4155</v>
      </c>
      <c r="H347" s="67">
        <v>361546</v>
      </c>
      <c r="I347" s="67">
        <v>1973250</v>
      </c>
      <c r="L347" s="14">
        <f t="shared" si="79"/>
        <v>12967.931928000002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0"/>
        <v>48705</v>
      </c>
      <c r="H348" s="67">
        <v>343314</v>
      </c>
      <c r="I348" s="67">
        <v>1924545</v>
      </c>
      <c r="L348" s="14">
        <f t="shared" si="79"/>
        <v>12313.986552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79"/>
        <v>14136.798312000001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79"/>
        <v>14133.857136000001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79"/>
        <v>13844.151300000001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79"/>
        <v>12799.029516000001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79"/>
        <v>12661.081188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1">H368*0.84*42.7/1000</f>
        <v>13240.205916000001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2">I368-I369</f>
        <v>-589</v>
      </c>
      <c r="H369" s="16">
        <v>345077</v>
      </c>
      <c r="I369" s="16">
        <v>2218016</v>
      </c>
      <c r="J369" s="15"/>
      <c r="K369" s="15"/>
      <c r="L369" s="14">
        <f t="shared" si="81"/>
        <v>12377.221836000001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2"/>
        <v>159536</v>
      </c>
      <c r="H370" s="16">
        <v>419287</v>
      </c>
      <c r="I370" s="16">
        <v>2058480</v>
      </c>
      <c r="J370" s="15"/>
      <c r="K370" s="15"/>
      <c r="L370" s="14">
        <f t="shared" si="81"/>
        <v>15038.986115999998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2"/>
        <v>53313</v>
      </c>
      <c r="H371" s="16">
        <v>360315</v>
      </c>
      <c r="I371" s="16">
        <v>2005167</v>
      </c>
      <c r="J371" s="15"/>
      <c r="K371" s="15"/>
      <c r="L371" s="14">
        <f t="shared" si="81"/>
        <v>12923.778420000001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2"/>
        <v>-75897</v>
      </c>
      <c r="H372" s="16">
        <v>397754</v>
      </c>
      <c r="I372" s="16">
        <v>2081064</v>
      </c>
      <c r="J372" s="15"/>
      <c r="K372" s="15"/>
      <c r="L372" s="14">
        <f t="shared" si="81"/>
        <v>14266.640472000001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2"/>
        <v>32755</v>
      </c>
      <c r="H373" s="16">
        <v>375177</v>
      </c>
      <c r="I373" s="16">
        <v>2048309</v>
      </c>
      <c r="J373" s="15"/>
      <c r="K373" s="15"/>
      <c r="L373" s="14">
        <f t="shared" si="81"/>
        <v>13456.848636000001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2"/>
        <v>-5475</v>
      </c>
      <c r="H374" s="16">
        <v>365662</v>
      </c>
      <c r="I374" s="16">
        <v>2053784</v>
      </c>
      <c r="J374" s="15"/>
      <c r="K374" s="15"/>
      <c r="L374" s="14">
        <f t="shared" si="81"/>
        <v>13115.564616000001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1"/>
        <v>13453.943328000001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1"/>
        <v>14167.931736000002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1"/>
        <v>14040.528600000001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1"/>
        <v>14488.986204000001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1"/>
        <v>13251.073920000001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3">H381*0.84*42.7/1000</f>
        <v>13259.215956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4">I381-I382</f>
        <v>42050</v>
      </c>
      <c r="H382" s="16">
        <v>381516</v>
      </c>
      <c r="I382" s="16">
        <v>1688225</v>
      </c>
      <c r="J382" s="15"/>
      <c r="K382" s="15"/>
      <c r="L382" s="14">
        <f t="shared" si="83"/>
        <v>13684.215888000001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4"/>
        <v>17585</v>
      </c>
      <c r="H383" s="16">
        <v>426465</v>
      </c>
      <c r="I383" s="16">
        <v>1670640</v>
      </c>
      <c r="J383" s="15"/>
      <c r="K383" s="15"/>
      <c r="L383" s="14">
        <f t="shared" si="83"/>
        <v>15296.446619999999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4"/>
        <v>49771</v>
      </c>
      <c r="H384" s="16">
        <v>400924</v>
      </c>
      <c r="I384" s="16">
        <v>1620869</v>
      </c>
      <c r="J384" s="15"/>
      <c r="K384" s="15"/>
      <c r="L384" s="14">
        <f t="shared" si="83"/>
        <v>14380.342032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4"/>
        <v>0</v>
      </c>
      <c r="H385" s="16">
        <v>400924</v>
      </c>
      <c r="I385" s="16">
        <v>1620869</v>
      </c>
      <c r="J385" s="15"/>
      <c r="K385" s="15"/>
      <c r="L385" s="14">
        <f t="shared" si="83"/>
        <v>14380.342032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4"/>
        <v>-71611</v>
      </c>
      <c r="H386" s="16">
        <v>358114</v>
      </c>
      <c r="I386" s="16">
        <v>1692480</v>
      </c>
      <c r="J386" s="15"/>
      <c r="K386" s="15"/>
      <c r="L386" s="14">
        <f t="shared" si="83"/>
        <v>12844.832952000001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4"/>
        <v>-20907</v>
      </c>
      <c r="H387" s="16">
        <v>362811</v>
      </c>
      <c r="I387" s="16">
        <v>1713387</v>
      </c>
      <c r="J387" s="15"/>
      <c r="K387" s="15"/>
      <c r="L387" s="14">
        <f t="shared" si="83"/>
        <v>13013.304948000001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4"/>
        <v>10429</v>
      </c>
      <c r="H388" s="16">
        <v>396189</v>
      </c>
      <c r="I388" s="16">
        <v>1702958</v>
      </c>
      <c r="J388" s="15"/>
      <c r="K388" s="15"/>
      <c r="L388" s="14">
        <f t="shared" si="83"/>
        <v>14210.507052000001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4"/>
        <v>-8953</v>
      </c>
      <c r="H389" s="16">
        <v>371514</v>
      </c>
      <c r="I389" s="16">
        <v>1711911</v>
      </c>
      <c r="J389" s="15"/>
      <c r="K389" s="15"/>
      <c r="L389" s="14">
        <f t="shared" si="83"/>
        <v>13325.464152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4"/>
        <v>88533</v>
      </c>
      <c r="H390" s="16">
        <v>433158</v>
      </c>
      <c r="I390" s="16">
        <v>1623378</v>
      </c>
      <c r="J390" s="15"/>
      <c r="K390" s="15"/>
      <c r="L390" s="14">
        <f t="shared" si="83"/>
        <v>15536.511144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4"/>
        <v>77731</v>
      </c>
      <c r="H391" s="16">
        <v>416270</v>
      </c>
      <c r="I391" s="16">
        <v>1545647</v>
      </c>
      <c r="J391" s="15"/>
      <c r="K391" s="15"/>
      <c r="L391" s="14">
        <f t="shared" si="83"/>
        <v>14930.772360000001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4"/>
        <v>-32642</v>
      </c>
      <c r="H392" s="42">
        <v>366592</v>
      </c>
      <c r="I392" s="42">
        <v>1578289</v>
      </c>
      <c r="J392" s="2"/>
      <c r="K392" s="2"/>
      <c r="L392" s="54">
        <f t="shared" si="83"/>
        <v>13148.921855999999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5">H394*0.84*42.7/1000</f>
        <v>13919.294760000001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6">I394-I395</f>
        <v>59498</v>
      </c>
      <c r="H395" s="16">
        <v>340822</v>
      </c>
      <c r="I395" s="16">
        <v>1613354</v>
      </c>
      <c r="J395" s="15"/>
      <c r="K395" s="15"/>
      <c r="L395" s="14">
        <f t="shared" si="85"/>
        <v>12224.603496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6"/>
        <v>-42497</v>
      </c>
      <c r="H396" s="16">
        <v>380308</v>
      </c>
      <c r="I396" s="16">
        <v>1655851</v>
      </c>
      <c r="J396" s="15"/>
      <c r="K396" s="15"/>
      <c r="L396" s="14">
        <f t="shared" si="85"/>
        <v>13640.887344000001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6"/>
        <v>-26772</v>
      </c>
      <c r="H397" s="16">
        <v>424326</v>
      </c>
      <c r="I397" s="16">
        <v>1682623</v>
      </c>
      <c r="J397" s="15"/>
      <c r="K397" s="15"/>
      <c r="L397" s="14">
        <f t="shared" si="85"/>
        <v>15219.724968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6"/>
        <v>-91951</v>
      </c>
      <c r="H398" s="16">
        <v>490465</v>
      </c>
      <c r="I398" s="16">
        <v>1774574</v>
      </c>
      <c r="J398" s="15"/>
      <c r="K398" s="15"/>
      <c r="L398" s="14">
        <f t="shared" si="85"/>
        <v>17591.998620000002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6"/>
        <v>-132875</v>
      </c>
      <c r="H399" s="16">
        <v>435644</v>
      </c>
      <c r="I399" s="16">
        <v>1907449</v>
      </c>
      <c r="J399" s="15"/>
      <c r="K399" s="15"/>
      <c r="L399" s="14">
        <f t="shared" si="85"/>
        <v>15625.678991999999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6"/>
        <v>-13835</v>
      </c>
      <c r="H400" s="16">
        <v>362407</v>
      </c>
      <c r="I400" s="16">
        <v>1921284</v>
      </c>
      <c r="J400" s="15"/>
      <c r="K400" s="15"/>
      <c r="L400" s="14">
        <f t="shared" si="85"/>
        <v>12998.814276000001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5"/>
        <v>14647.41516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5"/>
        <v>13927.185720000001</v>
      </c>
      <c r="N402" s="23" t="str">
        <f>'Olieforbrug, TJ'!M402</f>
        <v>September</v>
      </c>
    </row>
    <row r="403" spans="1:14" ht="11.25" customHeight="1" x14ac:dyDescent="0.2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5"/>
        <v>14669.760924</v>
      </c>
      <c r="N403" s="23" t="str">
        <f>'Olieforbrug, TJ'!M403</f>
        <v>October</v>
      </c>
    </row>
    <row r="404" spans="1:14" ht="11.25" customHeight="1" x14ac:dyDescent="0.2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5"/>
        <v>13813.304820000001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5"/>
        <v>12579.840167999999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7">H407*0.84*42.7/1000</f>
        <v>12804.302112000001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8">I407-I408</f>
        <v>-49110</v>
      </c>
      <c r="H408" s="16">
        <v>335579</v>
      </c>
      <c r="I408" s="16">
        <v>1941542</v>
      </c>
      <c r="J408" s="15"/>
      <c r="K408" s="15"/>
      <c r="L408" s="14">
        <f t="shared" si="87"/>
        <v>12036.547572000001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8"/>
        <v>-6671</v>
      </c>
      <c r="H409" s="16">
        <v>370693</v>
      </c>
      <c r="I409" s="16">
        <v>1948213</v>
      </c>
      <c r="J409" s="15"/>
      <c r="K409" s="15"/>
      <c r="L409" s="14">
        <f t="shared" si="87"/>
        <v>13296.016524000001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8"/>
        <v>-3997</v>
      </c>
      <c r="H410" s="16">
        <v>359387</v>
      </c>
      <c r="I410" s="16">
        <v>1952210</v>
      </c>
      <c r="J410" s="15"/>
      <c r="K410" s="15"/>
      <c r="L410" s="14">
        <f t="shared" si="87"/>
        <v>12890.492916000001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8"/>
        <v>-169905</v>
      </c>
      <c r="H411" s="16">
        <v>330570</v>
      </c>
      <c r="I411" s="16">
        <v>2122115</v>
      </c>
      <c r="J411" s="15"/>
      <c r="K411" s="15"/>
      <c r="L411" s="14">
        <f t="shared" si="87"/>
        <v>11856.884759999999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8"/>
        <v>-103953</v>
      </c>
      <c r="H412" s="16">
        <v>338414</v>
      </c>
      <c r="I412" s="16">
        <v>2226068</v>
      </c>
      <c r="J412" s="15"/>
      <c r="K412" s="15"/>
      <c r="L412" s="14">
        <f t="shared" si="87"/>
        <v>12138.233352000001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8"/>
        <v>12691</v>
      </c>
      <c r="H413" s="16">
        <v>337502</v>
      </c>
      <c r="I413" s="16">
        <v>2213377</v>
      </c>
      <c r="J413" s="15"/>
      <c r="K413" s="15"/>
      <c r="L413" s="14">
        <f t="shared" si="87"/>
        <v>12105.521736000001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7"/>
        <v>13969.868640000001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7"/>
        <v>13476.647772</v>
      </c>
      <c r="N415" s="23" t="str">
        <f>'Olieforbrug, TJ'!M415</f>
        <v>September</v>
      </c>
    </row>
    <row r="416" spans="1:14" ht="14.1" customHeight="1" x14ac:dyDescent="0.2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7"/>
        <v>13311.009348000001</v>
      </c>
      <c r="N416" s="23" t="str">
        <f>'Olieforbrug, TJ'!M416</f>
        <v>October</v>
      </c>
    </row>
    <row r="417" spans="1:14" ht="14.1" customHeight="1" x14ac:dyDescent="0.2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7"/>
        <v>12143.685288000001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7"/>
        <v>12525.536016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89">H420*0.84*42.7/1000</f>
        <v>11153.620884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0">I420-I421</f>
        <v>-14449</v>
      </c>
      <c r="H421" s="16">
        <v>325788</v>
      </c>
      <c r="I421" s="16">
        <v>2254957</v>
      </c>
      <c r="J421" s="15"/>
      <c r="K421" s="15"/>
      <c r="L421" s="14">
        <f t="shared" si="89"/>
        <v>11685.363984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0"/>
        <v>80650</v>
      </c>
      <c r="H422" s="16">
        <v>400332</v>
      </c>
      <c r="I422" s="16">
        <v>2174307</v>
      </c>
      <c r="J422" s="15"/>
      <c r="K422" s="15"/>
      <c r="L422" s="14">
        <f t="shared" si="89"/>
        <v>14359.108176000002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0"/>
        <v>-7401</v>
      </c>
      <c r="H423" s="16">
        <v>363106</v>
      </c>
      <c r="I423" s="16">
        <v>2181708</v>
      </c>
      <c r="J423" s="15"/>
      <c r="K423" s="15"/>
      <c r="L423" s="14">
        <f t="shared" si="89"/>
        <v>13023.886007999999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0"/>
        <v>42874</v>
      </c>
      <c r="H424" s="16">
        <v>347691</v>
      </c>
      <c r="I424" s="16">
        <v>2138834</v>
      </c>
      <c r="J424" s="15"/>
      <c r="K424" s="15"/>
      <c r="L424" s="14">
        <f t="shared" si="89"/>
        <v>12470.980788000001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0"/>
        <v>61923</v>
      </c>
      <c r="H425" s="16">
        <v>370851</v>
      </c>
      <c r="I425" s="16">
        <v>2076911</v>
      </c>
      <c r="J425" s="15"/>
      <c r="K425" s="15"/>
      <c r="L425" s="14">
        <f t="shared" si="89"/>
        <v>13301.683668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0"/>
        <v>49209</v>
      </c>
      <c r="H426" s="16">
        <v>344046</v>
      </c>
      <c r="I426" s="16">
        <v>2027702</v>
      </c>
      <c r="J426" s="15"/>
      <c r="K426" s="15"/>
      <c r="L426" s="14">
        <f t="shared" si="89"/>
        <v>12340.241928000001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89"/>
        <v>14394.617495999999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89"/>
        <v>13974.423876000003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89"/>
        <v>13146.698040000001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89"/>
        <v>13816.317732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89"/>
        <v>14129.373636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1">H433*0.84*42.7/1000</f>
        <v>12501.468588000002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2">I433-I434</f>
        <v>85517</v>
      </c>
      <c r="H434" s="16">
        <v>335674</v>
      </c>
      <c r="I434" s="16">
        <v>1877851</v>
      </c>
      <c r="J434" s="15"/>
      <c r="K434" s="15"/>
      <c r="L434" s="14">
        <f t="shared" si="91"/>
        <v>12039.955032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2"/>
        <v>214940</v>
      </c>
      <c r="H435" s="16">
        <v>441392</v>
      </c>
      <c r="I435" s="16">
        <v>1662911</v>
      </c>
      <c r="J435" s="15"/>
      <c r="K435" s="15"/>
      <c r="L435" s="14">
        <f t="shared" si="91"/>
        <v>15831.848255999999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2"/>
        <v>-65568</v>
      </c>
      <c r="H436" s="16">
        <v>360870</v>
      </c>
      <c r="I436" s="16">
        <v>1728479</v>
      </c>
      <c r="J436" s="15"/>
      <c r="K436" s="15"/>
      <c r="L436" s="14">
        <f t="shared" si="91"/>
        <v>12943.685160000001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2"/>
        <v>93854</v>
      </c>
      <c r="H437" s="16">
        <v>366774</v>
      </c>
      <c r="I437" s="16">
        <v>1634625</v>
      </c>
      <c r="J437" s="15"/>
      <c r="K437" s="15"/>
      <c r="L437" s="14">
        <f t="shared" si="91"/>
        <v>13155.449832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2"/>
        <v>-64641</v>
      </c>
      <c r="H438" s="16">
        <v>349980</v>
      </c>
      <c r="I438" s="16">
        <v>1699266</v>
      </c>
      <c r="J438" s="15"/>
      <c r="K438" s="15"/>
      <c r="L438" s="14">
        <f t="shared" si="91"/>
        <v>12553.082640000001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2"/>
        <v>-57867</v>
      </c>
      <c r="H439" s="16">
        <v>316739</v>
      </c>
      <c r="I439" s="16">
        <v>1757133</v>
      </c>
      <c r="J439" s="15"/>
      <c r="K439" s="15"/>
      <c r="L439" s="14">
        <f t="shared" ref="L439" si="93">H439*0.84*42.7/1000</f>
        <v>11360.794452000002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4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5">H440*0.84*42.7/1000</f>
        <v>14390.026392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6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7">H441*0.84*42.7/1000</f>
        <v>14037.730895999999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8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99">H442*0.84*42.7/1000</f>
        <v>12936.762635999999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0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1">H443*0.84*42.7/1000</f>
        <v>13099.316412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2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3">H444*0.84*42.7/1000</f>
        <v>13612.121208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4">H446*0.84*42.7/1000</f>
        <v>12253.907652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5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6">H447*0.84*42.7/1000</f>
        <v>11400.177516000002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5"/>
        <v>-65176</v>
      </c>
      <c r="H448" s="16">
        <v>370210</v>
      </c>
      <c r="I448" s="16">
        <v>1693809</v>
      </c>
      <c r="J448" s="15"/>
      <c r="K448" s="15"/>
      <c r="L448" s="14">
        <f t="shared" ref="L448" si="107">H448*0.84*42.7/1000</f>
        <v>13278.692279999999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5"/>
        <v>88213</v>
      </c>
      <c r="H449" s="16">
        <v>340178</v>
      </c>
      <c r="I449" s="16">
        <v>1605596</v>
      </c>
      <c r="J449" s="15"/>
      <c r="K449" s="15"/>
      <c r="L449" s="14">
        <f t="shared" ref="L449" si="108">H449*0.84*42.7/1000</f>
        <v>12201.504503999999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5"/>
        <v>-100050</v>
      </c>
      <c r="H450" s="16">
        <v>359085</v>
      </c>
      <c r="I450" s="16">
        <v>1705646</v>
      </c>
      <c r="J450" s="15"/>
      <c r="K450" s="15"/>
      <c r="L450" s="14">
        <f t="shared" ref="L450" si="109">H450*0.84*42.7/1000</f>
        <v>12879.66078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5"/>
        <v>11593</v>
      </c>
      <c r="H451" s="16">
        <v>345957</v>
      </c>
      <c r="I451" s="16">
        <v>1694053</v>
      </c>
      <c r="J451" s="15"/>
      <c r="K451" s="15"/>
      <c r="L451" s="14">
        <f t="shared" ref="L451" si="110">H451*0.84*42.7/1000</f>
        <v>12408.785676000001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5"/>
        <v>-93909</v>
      </c>
      <c r="H452" s="16">
        <v>370589</v>
      </c>
      <c r="I452" s="16">
        <v>1787962</v>
      </c>
      <c r="J452" s="15"/>
      <c r="K452" s="15"/>
      <c r="L452" s="14">
        <f t="shared" ref="L452" si="111">H452*0.84*42.7/1000</f>
        <v>13292.286252000002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2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3">H453*0.84*42.7/1000</f>
        <v>14117.860008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4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5">H454*0.84*42.7/1000</f>
        <v>12729.876012000001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6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7">H455*0.84*42.7/1000</f>
        <v>12492.967871999999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8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19">H456*0.84*42.7/1000</f>
        <v>12638.843028000001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0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1">H457*0.84*42.7/1000</f>
        <v>11875.823064000002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3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2">H459*0.84*42.7/1000</f>
        <v>11953.656623999999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3">
        <f t="shared" ref="G460:G465" si="123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4">H460*0.84*42.7/1000</f>
        <v>10765.42152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3">
        <f t="shared" si="123"/>
        <v>67531</v>
      </c>
      <c r="H461" s="77">
        <v>326613</v>
      </c>
      <c r="I461" s="16">
        <v>1616897</v>
      </c>
      <c r="J461" s="15"/>
      <c r="K461" s="15"/>
      <c r="L461" s="14">
        <f t="shared" ref="L461" si="125">H461*0.84*42.7/1000</f>
        <v>11714.955084000001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3">
        <f t="shared" si="123"/>
        <v>-173116</v>
      </c>
      <c r="H462" s="77">
        <v>336383</v>
      </c>
      <c r="I462" s="16">
        <v>1790013</v>
      </c>
      <c r="J462" s="15"/>
      <c r="K462" s="15"/>
      <c r="L462" s="14">
        <f t="shared" ref="L462" si="126">H462*0.84*42.7/1000</f>
        <v>12065.385444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3">
        <f t="shared" si="123"/>
        <v>130357</v>
      </c>
      <c r="H463" s="77">
        <v>356987</v>
      </c>
      <c r="I463" s="16">
        <v>1659656</v>
      </c>
      <c r="J463" s="15"/>
      <c r="K463" s="15"/>
      <c r="L463" s="14">
        <f t="shared" ref="L463" si="127">H463*0.84*42.7/1000</f>
        <v>12804.409716000002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3">
        <f t="shared" si="123"/>
        <v>-76257</v>
      </c>
      <c r="H464" s="77">
        <v>289107</v>
      </c>
      <c r="I464" s="16">
        <v>1735913</v>
      </c>
      <c r="J464" s="15"/>
      <c r="K464" s="15"/>
      <c r="L464" s="14">
        <f t="shared" ref="L464" si="128">H464*0.84*42.7/1000</f>
        <v>10369.689876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3">
        <f t="shared" si="123"/>
        <v>14299</v>
      </c>
      <c r="H465" s="77">
        <v>288830</v>
      </c>
      <c r="I465" s="16">
        <v>1721614</v>
      </c>
      <c r="J465" s="15"/>
      <c r="K465" s="15"/>
      <c r="L465" s="14">
        <f t="shared" ref="L465" si="129">H465*0.84*42.7/1000</f>
        <v>10359.754439999999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3">
        <f t="shared" ref="G466" si="130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1">H466*0.84*42.7/1000</f>
        <v>12863.556048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3">
        <f t="shared" ref="G467" si="132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3">H467*0.84*42.7/1000</f>
        <v>11865.636552000002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3">
        <f t="shared" ref="G468" si="134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5">H468*0.84*42.7/1000</f>
        <v>12149.352432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3">
        <f t="shared" ref="G469" si="136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7">H469*0.84*42.7/1000</f>
        <v>10843.183344000001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6">
        <f t="shared" ref="G470" si="138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39">H470*0.84*42.7/1000</f>
        <v>11090.708412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0">H472*0.84*42.7/1000</f>
        <v>9284.6111400000009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8" si="141">I472-I473</f>
        <v>130902</v>
      </c>
      <c r="H473" s="16">
        <v>299630</v>
      </c>
      <c r="I473" s="16">
        <v>1677338</v>
      </c>
      <c r="J473" s="15"/>
      <c r="K473" s="15"/>
      <c r="L473" s="14">
        <f t="shared" si="140"/>
        <v>10747.128839999999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1"/>
        <v>165193</v>
      </c>
      <c r="H474" s="16">
        <v>332529</v>
      </c>
      <c r="I474" s="16">
        <v>1512145</v>
      </c>
      <c r="J474" s="15"/>
      <c r="K474" s="15"/>
      <c r="L474" s="14">
        <f t="shared" si="140"/>
        <v>11927.150172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1"/>
        <v>-11532</v>
      </c>
      <c r="H475" s="16">
        <v>290907</v>
      </c>
      <c r="I475" s="16">
        <v>1523677</v>
      </c>
      <c r="J475" s="15"/>
      <c r="K475" s="15"/>
      <c r="L475" s="14">
        <f t="shared" si="140"/>
        <v>10434.252276000001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1"/>
        <v>-89039</v>
      </c>
      <c r="H476" s="16">
        <v>284852</v>
      </c>
      <c r="I476" s="16">
        <v>1612716</v>
      </c>
      <c r="J476" s="15"/>
      <c r="K476" s="15"/>
      <c r="L476" s="14">
        <f t="shared" si="140"/>
        <v>10217.071535999999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1"/>
        <v>25144</v>
      </c>
      <c r="H477" s="16">
        <v>274531</v>
      </c>
      <c r="I477" s="16">
        <v>1587572</v>
      </c>
      <c r="J477" s="15"/>
      <c r="K477" s="15"/>
      <c r="L477" s="14">
        <f t="shared" si="140"/>
        <v>9846.8779080000004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 t="shared" si="141"/>
        <v>24035</v>
      </c>
      <c r="H478" s="16">
        <v>275149</v>
      </c>
      <c r="I478" s="16">
        <v>1563537</v>
      </c>
      <c r="J478" s="15"/>
      <c r="K478" s="15"/>
      <c r="L478" s="14">
        <f t="shared" ref="L478" si="142">H478*0.84*42.7/1000</f>
        <v>9869.0443320000013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indexed="42"/>
  </sheetPr>
  <dimension ref="A1:O478"/>
  <sheetViews>
    <sheetView zoomScale="80" zoomScaleNormal="80" workbookViewId="0">
      <pane xSplit="2" ySplit="5" topLeftCell="C44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J481" sqref="J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5" x14ac:dyDescent="0.2">
      <c r="A30" s="22">
        <f>'Olieforbrug, TJ'!A30</f>
        <v>2005</v>
      </c>
      <c r="C30" s="3">
        <f>SUM(C212:C218)</f>
        <v>0</v>
      </c>
      <c r="D30" s="3">
        <f t="shared" ref="D30:L30" si="11">SUM(D212:D218)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5130</v>
      </c>
      <c r="I30" s="3">
        <f>I218</f>
        <v>0</v>
      </c>
      <c r="J30" s="3"/>
      <c r="K30" s="3"/>
      <c r="L30" s="3">
        <f t="shared" si="11"/>
        <v>178.52400000000003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SUM(C225:C231)</f>
        <v>0</v>
      </c>
      <c r="D31" s="3">
        <f t="shared" ref="D31:L31" si="12">SUM(D225:D231)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4540.0410000000002</v>
      </c>
      <c r="I31" s="3">
        <f>I231</f>
        <v>0</v>
      </c>
      <c r="J31" s="3"/>
      <c r="K31" s="3"/>
      <c r="L31" s="3">
        <f t="shared" si="12"/>
        <v>157.99342680000001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SUM(C238:C244)</f>
        <v>0</v>
      </c>
      <c r="D32" s="3">
        <f t="shared" ref="D32:L32" si="13">SUM(D238:D244)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1995</v>
      </c>
      <c r="I32" s="3">
        <f>I244</f>
        <v>0</v>
      </c>
      <c r="J32" s="3"/>
      <c r="K32" s="3"/>
      <c r="L32" s="3">
        <f t="shared" si="13"/>
        <v>69.426000000000002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SUM(C251:C257)</f>
        <v>0</v>
      </c>
      <c r="D33" s="3">
        <f t="shared" ref="D33:L33" si="14">SUM(D251:D257)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2280</v>
      </c>
      <c r="I33" s="3">
        <f>I257</f>
        <v>0</v>
      </c>
      <c r="J33" s="3"/>
      <c r="K33" s="3"/>
      <c r="L33" s="3">
        <f t="shared" si="14"/>
        <v>79.344000000000008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SUM(C264:C270)</f>
        <v>0</v>
      </c>
      <c r="D34" s="3">
        <f t="shared" ref="D34:L34" si="15">SUM(D264:D270)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2183</v>
      </c>
      <c r="I34" s="3">
        <f>I270</f>
        <v>0</v>
      </c>
      <c r="J34" s="3"/>
      <c r="K34" s="3"/>
      <c r="L34" s="3">
        <f t="shared" si="15"/>
        <v>75.968400000000003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SUM(C277:C283)</f>
        <v>0</v>
      </c>
      <c r="D35" s="3">
        <f t="shared" ref="D35:L35" si="16">SUM(D277:D283)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1053</v>
      </c>
      <c r="I35" s="3">
        <f>I283</f>
        <v>0</v>
      </c>
      <c r="J35" s="3"/>
      <c r="K35" s="3"/>
      <c r="L35" s="3">
        <f t="shared" si="16"/>
        <v>36.644399999999997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SUM(C290:C296)</f>
        <v>0</v>
      </c>
      <c r="D36" s="3">
        <f t="shared" ref="D36:L36" si="17">SUM(D290:D296)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1104</v>
      </c>
      <c r="I36" s="3">
        <f>I296</f>
        <v>0</v>
      </c>
      <c r="J36" s="3"/>
      <c r="K36" s="3"/>
      <c r="L36" s="3">
        <f t="shared" si="17"/>
        <v>38.419200000000004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SUM(C303:C309)</f>
        <v>0</v>
      </c>
      <c r="D37" s="3">
        <f t="shared" ref="D37:L37" si="18">SUM(D303:D309)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478</v>
      </c>
      <c r="I37" s="3">
        <f>I309</f>
        <v>0</v>
      </c>
      <c r="J37" s="3"/>
      <c r="K37" s="3"/>
      <c r="L37" s="3">
        <f t="shared" si="18"/>
        <v>16.634399999999999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SUM(C316:C322)</f>
        <v>0</v>
      </c>
      <c r="D38" s="3">
        <f t="shared" ref="D38:L38" si="19">SUM(D316:D322)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642</v>
      </c>
      <c r="I38" s="3">
        <f>I322</f>
        <v>0</v>
      </c>
      <c r="J38" s="3"/>
      <c r="K38" s="3"/>
      <c r="L38" s="3">
        <f t="shared" si="19"/>
        <v>22.341600000000003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SUM(C329:C335)</f>
        <v>0</v>
      </c>
      <c r="D39" s="3">
        <f t="shared" ref="D39:L39" si="20">SUM(D329:D335)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162</v>
      </c>
      <c r="I39" s="3">
        <f>I335</f>
        <v>0</v>
      </c>
      <c r="J39" s="3"/>
      <c r="K39" s="3"/>
      <c r="L39" s="3">
        <f t="shared" si="20"/>
        <v>5.6375999999999999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SUM(C342:C348)</f>
        <v>0</v>
      </c>
      <c r="D40" s="3">
        <f t="shared" ref="D40:L40" si="21">SUM(D342:D348)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770</v>
      </c>
      <c r="I40" s="3">
        <f>I348</f>
        <v>0</v>
      </c>
      <c r="J40" s="3"/>
      <c r="K40" s="3"/>
      <c r="L40" s="3">
        <f t="shared" si="21"/>
        <v>26.795999999999999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SUM(C355:C361)</f>
        <v>0</v>
      </c>
      <c r="D41" s="3">
        <f t="shared" ref="D41:L41" si="22">SUM(D355:D361)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563</v>
      </c>
      <c r="I41" s="3">
        <f>I361</f>
        <v>0</v>
      </c>
      <c r="J41" s="3"/>
      <c r="K41" s="3"/>
      <c r="L41" s="3">
        <f t="shared" si="22"/>
        <v>19.592400000000001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SUM(C368:C374)</f>
        <v>0</v>
      </c>
      <c r="D42" s="3">
        <f t="shared" ref="D42:L42" si="23">SUM(D368:D374)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565</v>
      </c>
      <c r="I42" s="3">
        <f>I374</f>
        <v>0</v>
      </c>
      <c r="J42" s="3"/>
      <c r="K42" s="3"/>
      <c r="L42" s="3">
        <f t="shared" si="23"/>
        <v>19.662000000000003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SUM(C381:C387)</f>
        <v>0</v>
      </c>
      <c r="D43" s="3">
        <f t="shared" ref="D43:L43" si="24">SUM(D381:D387)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396</v>
      </c>
      <c r="I43" s="3">
        <f>I387</f>
        <v>0</v>
      </c>
      <c r="J43" s="3"/>
      <c r="K43" s="3"/>
      <c r="L43" s="3">
        <f t="shared" si="24"/>
        <v>13.780799999999999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SUM(C394:C400)</f>
        <v>0</v>
      </c>
      <c r="D44" s="3">
        <f t="shared" ref="D44:L44" si="25">SUM(D394:D400)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5375</v>
      </c>
      <c r="I44" s="3">
        <f>I400</f>
        <v>0</v>
      </c>
      <c r="J44" s="3"/>
      <c r="K44" s="3"/>
      <c r="L44" s="3">
        <f t="shared" si="25"/>
        <v>187.05000000000004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SUM(C407:C413)</f>
        <v>0</v>
      </c>
      <c r="D45" s="3">
        <f t="shared" ref="D45:L45" si="26">SUM(D407:D413)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1269</v>
      </c>
      <c r="I45" s="3">
        <f>I413</f>
        <v>0</v>
      </c>
      <c r="J45" s="3"/>
      <c r="K45" s="3"/>
      <c r="L45" s="3">
        <f t="shared" si="26"/>
        <v>44.161199999999994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SUM(C420:C426)</f>
        <v>0</v>
      </c>
      <c r="D46" s="3">
        <f t="shared" ref="D46:L46" si="27">SUM(D420:D426)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557</v>
      </c>
      <c r="I46" s="3">
        <f>I426</f>
        <v>0</v>
      </c>
      <c r="J46" s="3"/>
      <c r="K46" s="3"/>
      <c r="L46" s="3">
        <f t="shared" si="27"/>
        <v>19.383600000000001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SUM(C433:C439)</f>
        <v>0</v>
      </c>
      <c r="D47" s="3">
        <f t="shared" ref="D47:L47" si="28">SUM(D433:D439)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173</v>
      </c>
      <c r="I47" s="3">
        <f>I439</f>
        <v>0</v>
      </c>
      <c r="J47" s="3"/>
      <c r="K47" s="3"/>
      <c r="L47" s="3">
        <f t="shared" si="28"/>
        <v>6.0204000000000004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SUM(C446:C452)</f>
        <v>0</v>
      </c>
      <c r="D48" s="3">
        <f t="shared" ref="D48:L48" si="29">SUM(D446:D452)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226</v>
      </c>
      <c r="I48" s="3">
        <f>I452</f>
        <v>0</v>
      </c>
      <c r="J48" s="3"/>
      <c r="K48" s="3"/>
      <c r="L48" s="3">
        <f t="shared" si="29"/>
        <v>7.8648000000000016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SUM(C459:C465)</f>
        <v>0</v>
      </c>
      <c r="D49" s="3">
        <f t="shared" ref="D49:L49" si="30">SUM(D459:D465)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55</v>
      </c>
      <c r="I49" s="3">
        <f>I465</f>
        <v>0</v>
      </c>
      <c r="J49" s="3"/>
      <c r="K49" s="3"/>
      <c r="L49" s="3">
        <f t="shared" si="30"/>
        <v>1.9139999999999999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SUM(C472:C478)</f>
        <v>0</v>
      </c>
      <c r="D50" s="3">
        <f t="shared" ref="D50:L50" si="31">SUM(D472:D478)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I478</f>
        <v>0</v>
      </c>
      <c r="J50" s="3"/>
      <c r="K50" s="3"/>
      <c r="L50" s="3">
        <f t="shared" si="31"/>
        <v>0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H160" s="3">
        <v>862.06896551724139</v>
      </c>
      <c r="N160" s="23" t="s">
        <v>115</v>
      </c>
    </row>
    <row r="161" spans="1:14" x14ac:dyDescent="0.2">
      <c r="A161" s="33" t="s">
        <v>103</v>
      </c>
      <c r="H161" s="3">
        <v>977.0114942528736</v>
      </c>
      <c r="N161" s="23" t="s">
        <v>116</v>
      </c>
    </row>
    <row r="162" spans="1:14" x14ac:dyDescent="0.2">
      <c r="A162" s="33" t="s">
        <v>104</v>
      </c>
      <c r="H162" s="3">
        <v>977.0114942528736</v>
      </c>
      <c r="N162" s="23" t="s">
        <v>117</v>
      </c>
    </row>
    <row r="163" spans="1:14" x14ac:dyDescent="0.2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5" thickBot="1" x14ac:dyDescent="0.25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5" thickBot="1" x14ac:dyDescent="0.25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5" thickBot="1" x14ac:dyDescent="0.25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5" thickBot="1" x14ac:dyDescent="0.25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5" thickBot="1" x14ac:dyDescent="0.25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5" thickBot="1" x14ac:dyDescent="0.25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5" thickBot="1" x14ac:dyDescent="0.25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5" thickBot="1" x14ac:dyDescent="0.25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5" thickBot="1" x14ac:dyDescent="0.25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8">H342*0.8*43.5/1000</f>
        <v>1.4616000000000002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8"/>
        <v>1.2527999999999999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8"/>
        <v>0.48720000000000002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H345" s="67">
        <v>28</v>
      </c>
      <c r="L345" s="14">
        <f t="shared" si="78"/>
        <v>0.97440000000000004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H346" s="67">
        <v>17</v>
      </c>
      <c r="L346" s="14">
        <f t="shared" si="78"/>
        <v>0.59160000000000001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H347" s="67">
        <v>12</v>
      </c>
      <c r="L347" s="14">
        <f t="shared" si="78"/>
        <v>0.41760000000000008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H348" s="67">
        <v>621</v>
      </c>
      <c r="L348" s="14">
        <f t="shared" si="78"/>
        <v>21.610799999999998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H349" s="67">
        <v>45</v>
      </c>
      <c r="L349" s="14">
        <f t="shared" si="78"/>
        <v>1.5660000000000001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H350" s="67">
        <v>1</v>
      </c>
      <c r="L350" s="14">
        <f t="shared" si="78"/>
        <v>3.4800000000000005E-2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H351" s="67">
        <v>50</v>
      </c>
      <c r="L351" s="14">
        <f t="shared" si="78"/>
        <v>1.74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H352" s="67">
        <v>8</v>
      </c>
      <c r="L352" s="14">
        <f t="shared" si="78"/>
        <v>0.27840000000000004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8"/>
        <v>1.2527999999999999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79">H358*0.8*43.5/1000</f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79"/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79"/>
        <v>5.1852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79"/>
        <v>12.249600000000001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79"/>
        <v>0.13920000000000002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79"/>
        <v>3.4800000000000005E-2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0">H368*0.8*43.5/1000</f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0"/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0"/>
        <v>0.31319999999999998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0"/>
        <v>0.27840000000000004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0"/>
        <v>0.13920000000000002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0"/>
        <v>1.6008000000000002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0"/>
        <v>17.330400000000001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0"/>
        <v>0.17399999999999999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0"/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0"/>
        <v>0.24360000000000001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0"/>
        <v>0.41760000000000008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0"/>
        <v>0.27840000000000004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1">H381*0.8*43.5/1000</f>
        <v>0.34799999999999998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1"/>
        <v>0.34799999999999998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1"/>
        <v>0.48720000000000002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1"/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1"/>
        <v>0.13920000000000002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1"/>
        <v>0.13920000000000002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1"/>
        <v>12.319199999999999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1"/>
        <v>3.4800000000000005E-2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1"/>
        <v>0.31319999999999998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1"/>
        <v>0.13920000000000002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1"/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1"/>
        <v>156.8784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2">H394*0.8*43.5/1000</f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2"/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2"/>
        <v>180.19440000000003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2"/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2"/>
        <v>0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2"/>
        <v>0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2"/>
        <v>6.8556000000000017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2"/>
        <v>0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2"/>
        <v>0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2"/>
        <v>0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2"/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2"/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3">H407*0.8*43.5/1000</f>
        <v>0</v>
      </c>
      <c r="N407" s="23" t="str">
        <f>'Olieforbrug, TJ'!M407</f>
        <v>January</v>
      </c>
    </row>
    <row r="408" spans="1:14" x14ac:dyDescent="0.2">
      <c r="A408" s="23" t="s">
        <v>154</v>
      </c>
      <c r="H408" s="16">
        <v>0</v>
      </c>
      <c r="L408" s="14">
        <f t="shared" si="83"/>
        <v>0</v>
      </c>
      <c r="N408" s="23" t="str">
        <f>'Olieforbrug, TJ'!M408</f>
        <v>February</v>
      </c>
    </row>
    <row r="409" spans="1:14" x14ac:dyDescent="0.2">
      <c r="A409" s="23" t="s">
        <v>155</v>
      </c>
      <c r="H409" s="16">
        <v>12</v>
      </c>
      <c r="L409" s="14">
        <f t="shared" si="83"/>
        <v>0.41760000000000008</v>
      </c>
      <c r="N409" s="23" t="str">
        <f>'Olieforbrug, TJ'!M409</f>
        <v>March</v>
      </c>
    </row>
    <row r="410" spans="1:14" x14ac:dyDescent="0.2">
      <c r="A410" s="23" t="s">
        <v>118</v>
      </c>
      <c r="H410" s="16">
        <v>0</v>
      </c>
      <c r="L410" s="14">
        <f t="shared" si="83"/>
        <v>0</v>
      </c>
      <c r="N410" s="23" t="str">
        <f>'Olieforbrug, TJ'!M410</f>
        <v>April</v>
      </c>
    </row>
    <row r="411" spans="1:14" x14ac:dyDescent="0.2">
      <c r="A411" s="23" t="s">
        <v>137</v>
      </c>
      <c r="H411" s="16">
        <v>1242</v>
      </c>
      <c r="L411" s="14">
        <f t="shared" si="83"/>
        <v>43.221599999999995</v>
      </c>
      <c r="N411" s="23" t="str">
        <f>'Olieforbrug, TJ'!M411</f>
        <v>May</v>
      </c>
    </row>
    <row r="412" spans="1:14" x14ac:dyDescent="0.2">
      <c r="A412" s="23" t="s">
        <v>138</v>
      </c>
      <c r="H412" s="16">
        <v>8</v>
      </c>
      <c r="L412" s="14">
        <f t="shared" si="83"/>
        <v>0.27840000000000004</v>
      </c>
      <c r="N412" s="23" t="str">
        <f>'Olieforbrug, TJ'!M412</f>
        <v>June</v>
      </c>
    </row>
    <row r="413" spans="1:14" x14ac:dyDescent="0.2">
      <c r="A413" s="23" t="s">
        <v>129</v>
      </c>
      <c r="H413" s="16">
        <v>7</v>
      </c>
      <c r="L413" s="14">
        <f t="shared" si="83"/>
        <v>0.24360000000000001</v>
      </c>
      <c r="N413" s="23" t="str">
        <f>'Olieforbrug, TJ'!M413</f>
        <v>July</v>
      </c>
    </row>
    <row r="414" spans="1:14" x14ac:dyDescent="0.2">
      <c r="A414" s="23" t="s">
        <v>122</v>
      </c>
      <c r="H414" s="16">
        <v>8</v>
      </c>
      <c r="L414" s="14">
        <f t="shared" si="83"/>
        <v>0.27840000000000004</v>
      </c>
      <c r="N414" s="23" t="str">
        <f>'Olieforbrug, TJ'!M414</f>
        <v>August</v>
      </c>
    </row>
    <row r="415" spans="1:14" x14ac:dyDescent="0.2">
      <c r="A415" s="23" t="s">
        <v>123</v>
      </c>
      <c r="H415" s="16">
        <v>4</v>
      </c>
      <c r="L415" s="14">
        <f t="shared" si="83"/>
        <v>0.13920000000000002</v>
      </c>
      <c r="N415" s="23" t="str">
        <f>'Olieforbrug, TJ'!M415</f>
        <v>September</v>
      </c>
    </row>
    <row r="416" spans="1:14" x14ac:dyDescent="0.2">
      <c r="A416" s="23" t="s">
        <v>131</v>
      </c>
      <c r="H416" s="16">
        <v>8</v>
      </c>
      <c r="L416" s="14">
        <f t="shared" si="83"/>
        <v>0.27840000000000004</v>
      </c>
      <c r="N416" s="23" t="str">
        <f>'Olieforbrug, TJ'!M416</f>
        <v>October</v>
      </c>
    </row>
    <row r="417" spans="1:14" x14ac:dyDescent="0.2">
      <c r="A417" s="23" t="s">
        <v>125</v>
      </c>
      <c r="H417" s="16">
        <v>8</v>
      </c>
      <c r="L417" s="14">
        <f t="shared" si="83"/>
        <v>0.27840000000000004</v>
      </c>
      <c r="N417" s="23" t="str">
        <f>'Olieforbrug, TJ'!M417</f>
        <v>November</v>
      </c>
    </row>
    <row r="418" spans="1:14" ht="13.5" thickBot="1" x14ac:dyDescent="0.25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3"/>
        <v>0.24360000000000001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4">H420*0.8*43.5/1000</f>
        <v>0.24360000000000001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4"/>
        <v>0.27840000000000004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4"/>
        <v>0.13920000000000002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4"/>
        <v>1.3224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4"/>
        <v>0.27840000000000004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4"/>
        <v>7.7952000000000004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4"/>
        <v>9.3263999999999996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4"/>
        <v>0.13920000000000002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4"/>
        <v>0.34799999999999998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H429" s="16">
        <v>37</v>
      </c>
      <c r="L429" s="14">
        <f t="shared" si="84"/>
        <v>1.2876000000000001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H430" s="16">
        <v>12</v>
      </c>
      <c r="L430" s="14">
        <f t="shared" si="84"/>
        <v>0.41760000000000008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4"/>
        <v>0.41760000000000008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5">H433*0.8*43.5/1000</f>
        <v>0.24360000000000001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5"/>
        <v>2.0880000000000001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5"/>
        <v>2.0880000000000001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5"/>
        <v>0.27840000000000004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5"/>
        <v>0.34799999999999998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5"/>
        <v>0.20880000000000004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6">H439*0.8*43.5/1000</f>
        <v>0.76560000000000006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7">H440*0.8*43.5/1000</f>
        <v>0.13920000000000002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8">H441*0.8*43.5/1000</f>
        <v>0.27840000000000004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89">H442*0.8*43.5/1000</f>
        <v>0.27840000000000004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0">H443*0.8*43.5/1000</f>
        <v>0.10440000000000002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1">H444*0.8*43.5/1000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2">H446*0.8*43.5/1000</f>
        <v>0.31319999999999998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3">H447*0.8*43.5/1000</f>
        <v>0.13920000000000002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4">H448*0.8*43.5/1000</f>
        <v>0.27840000000000004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5">H449*0.8*43.5/1000</f>
        <v>0.17399999999999999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6">H450*0.8*43.5/1000</f>
        <v>0.10440000000000002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7">H451*0.8*43.5/1000</f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8">H452*0.8*43.5/1000</f>
        <v>6.8556000000000017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99">H453*0.8*43.5/1000</f>
        <v>0.27840000000000004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0">H454*0.8*43.5/1000</f>
        <v>0.27840000000000004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1">H455*0.8*43.5/1000</f>
        <v>0.13920000000000002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2">H456*0.8*43.5/1000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3">H457*0.8*43.5/1000</f>
        <v>0.13920000000000002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4">H459*0.8*43.5/1000</f>
        <v>0.27840000000000004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5">H460*0.8*43.5/1000</f>
        <v>0.24360000000000001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6">H461*0.8*43.5/1000</f>
        <v>0.31319999999999998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7">H462*0.8*43.5/1000</f>
        <v>0.24360000000000001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8">H463*0.8*43.5/1000</f>
        <v>0.27840000000000004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09">H464*0.8*43.5/1000</f>
        <v>0.27840000000000004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0">H465*0.8*43.5/1000</f>
        <v>0.27840000000000004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1">H466*0.8*43.5/1000</f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2">H467*0.8*43.5/1000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3">H468*0.8*43.5/1000</f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4">H469*0.8*43.5/1000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5">H470*0.8*43.5/1000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6">H472*0.8*43.5/1000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17">H473*0.8*43.5/1000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18">H474*0.8*43.5/1000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19">H475*0.8*43.5/1000</f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0">H476*0.8*43.5/1000</f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1">H477*0.8*43.5/1000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2">H478*0.8*43.5/1000</f>
        <v>0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indexed="42"/>
  </sheetPr>
  <dimension ref="A1:P478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W469" sqref="W469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0.140625" bestFit="1" customWidth="1"/>
  </cols>
  <sheetData>
    <row r="1" spans="1:16" x14ac:dyDescent="0.2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K28" s="3"/>
      <c r="L28" s="3"/>
      <c r="M28" s="3"/>
    </row>
    <row r="29" spans="1:16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362873</v>
      </c>
      <c r="D30" s="3">
        <f t="shared" ref="D30:L30" si="11">SUM(D212:D218)</f>
        <v>822708</v>
      </c>
      <c r="E30" s="3">
        <f t="shared" si="11"/>
        <v>322182</v>
      </c>
      <c r="F30" s="3">
        <f t="shared" si="11"/>
        <v>0</v>
      </c>
      <c r="G30" s="3">
        <f t="shared" si="11"/>
        <v>-237711</v>
      </c>
      <c r="H30" s="3">
        <f t="shared" si="11"/>
        <v>656266</v>
      </c>
      <c r="I30" s="3">
        <f>I218</f>
        <v>427876</v>
      </c>
      <c r="J30" s="3"/>
      <c r="K30" s="3"/>
      <c r="L30" s="3">
        <f t="shared" si="11"/>
        <v>22838.056800000002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448586</v>
      </c>
      <c r="D31" s="3">
        <f t="shared" ref="D31:L31" si="12">SUM(D225:D231)</f>
        <v>452707</v>
      </c>
      <c r="E31" s="3">
        <f t="shared" si="12"/>
        <v>289439</v>
      </c>
      <c r="F31" s="3">
        <f t="shared" si="12"/>
        <v>0</v>
      </c>
      <c r="G31" s="3">
        <f t="shared" si="12"/>
        <v>32760</v>
      </c>
      <c r="H31" s="3">
        <f t="shared" si="12"/>
        <v>641714</v>
      </c>
      <c r="I31" s="3">
        <f>I231</f>
        <v>429880</v>
      </c>
      <c r="J31" s="3"/>
      <c r="K31" s="3"/>
      <c r="L31" s="3">
        <f t="shared" si="12"/>
        <v>22331.647199999999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428869</v>
      </c>
      <c r="D32" s="3">
        <f t="shared" ref="D32:L32" si="13">SUM(D238:D244)</f>
        <v>613134</v>
      </c>
      <c r="E32" s="3">
        <f t="shared" si="13"/>
        <v>371838</v>
      </c>
      <c r="F32" s="3">
        <f t="shared" si="13"/>
        <v>0</v>
      </c>
      <c r="G32" s="3">
        <f t="shared" si="13"/>
        <v>-22366</v>
      </c>
      <c r="H32" s="3">
        <f t="shared" si="13"/>
        <v>682946</v>
      </c>
      <c r="I32" s="3">
        <f>I244</f>
        <v>312679</v>
      </c>
      <c r="J32" s="3"/>
      <c r="K32" s="3"/>
      <c r="L32" s="3">
        <f t="shared" si="13"/>
        <v>23766.520800000006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401124</v>
      </c>
      <c r="D33" s="3">
        <f t="shared" ref="D33:L33" si="14">SUM(D251:D257)</f>
        <v>690535</v>
      </c>
      <c r="E33" s="3">
        <f t="shared" si="14"/>
        <v>271886</v>
      </c>
      <c r="F33" s="3">
        <f t="shared" si="14"/>
        <v>0</v>
      </c>
      <c r="G33" s="3">
        <f t="shared" si="14"/>
        <v>-185425</v>
      </c>
      <c r="H33" s="3">
        <f t="shared" si="14"/>
        <v>674729</v>
      </c>
      <c r="I33" s="3">
        <f>I257</f>
        <v>320656</v>
      </c>
      <c r="J33" s="3"/>
      <c r="K33" s="3"/>
      <c r="L33" s="3">
        <f t="shared" si="14"/>
        <v>23480.569200000002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300240</v>
      </c>
      <c r="D34" s="3">
        <f t="shared" ref="D34:L34" si="15">SUM(D264:D270)</f>
        <v>704354</v>
      </c>
      <c r="E34" s="3">
        <f t="shared" si="15"/>
        <v>155442</v>
      </c>
      <c r="F34" s="3">
        <f t="shared" si="15"/>
        <v>0</v>
      </c>
      <c r="G34" s="3">
        <f t="shared" si="15"/>
        <v>-258781</v>
      </c>
      <c r="H34" s="3">
        <f t="shared" si="15"/>
        <v>594073</v>
      </c>
      <c r="I34" s="3">
        <f>I270</f>
        <v>797251</v>
      </c>
      <c r="J34" s="3"/>
      <c r="K34" s="3"/>
      <c r="L34" s="3">
        <f t="shared" si="15"/>
        <v>20673.740399999995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301443</v>
      </c>
      <c r="D35" s="3">
        <f t="shared" ref="D35:L35" si="16">SUM(D277:D283)</f>
        <v>589630</v>
      </c>
      <c r="E35" s="3">
        <f t="shared" si="16"/>
        <v>226004</v>
      </c>
      <c r="F35" s="3">
        <f t="shared" si="16"/>
        <v>0</v>
      </c>
      <c r="G35" s="3">
        <f t="shared" si="16"/>
        <v>-91120</v>
      </c>
      <c r="H35" s="3">
        <f t="shared" si="16"/>
        <v>586882</v>
      </c>
      <c r="I35" s="3">
        <f>I283</f>
        <v>708620</v>
      </c>
      <c r="J35" s="3"/>
      <c r="K35" s="3"/>
      <c r="L35" s="3">
        <f t="shared" si="16"/>
        <v>20423.493600000002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191342</v>
      </c>
      <c r="D36" s="3">
        <f t="shared" ref="D36:L36" si="17">SUM(D290:D296)</f>
        <v>543121</v>
      </c>
      <c r="E36" s="3">
        <f t="shared" si="17"/>
        <v>131160</v>
      </c>
      <c r="F36" s="3">
        <f t="shared" si="17"/>
        <v>0</v>
      </c>
      <c r="G36" s="3">
        <f t="shared" si="17"/>
        <v>10816</v>
      </c>
      <c r="H36" s="3">
        <f t="shared" si="17"/>
        <v>625857</v>
      </c>
      <c r="I36" s="3">
        <f>I296</f>
        <v>627894</v>
      </c>
      <c r="J36" s="3"/>
      <c r="K36" s="3"/>
      <c r="L36" s="3">
        <f t="shared" si="17"/>
        <v>21779.823600000003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170795</v>
      </c>
      <c r="D37" s="3">
        <f t="shared" ref="D37:L37" si="18">SUM(D303:D309)</f>
        <v>451173</v>
      </c>
      <c r="E37" s="3">
        <f t="shared" si="18"/>
        <v>80695</v>
      </c>
      <c r="F37" s="3">
        <f t="shared" si="18"/>
        <v>0</v>
      </c>
      <c r="G37" s="3">
        <f t="shared" si="18"/>
        <v>84573</v>
      </c>
      <c r="H37" s="3">
        <f t="shared" si="18"/>
        <v>618494</v>
      </c>
      <c r="I37" s="3">
        <f>I309</f>
        <v>298787</v>
      </c>
      <c r="J37" s="3"/>
      <c r="K37" s="3"/>
      <c r="L37" s="3">
        <f t="shared" si="18"/>
        <v>21523.591199999999</v>
      </c>
      <c r="M37" s="3"/>
      <c r="N37" s="22">
        <f>'Olieforbrug, TJ'!M37</f>
        <v>2012</v>
      </c>
      <c r="P37" s="113"/>
    </row>
    <row r="38" spans="1:16" x14ac:dyDescent="0.2">
      <c r="A38" s="22">
        <f>'Olieforbrug, TJ'!A38</f>
        <v>2013</v>
      </c>
      <c r="C38" s="3">
        <f>SUM(C316:C322)</f>
        <v>96639</v>
      </c>
      <c r="D38" s="3">
        <f t="shared" ref="D38:L38" si="19">SUM(D316:D322)</f>
        <v>549343</v>
      </c>
      <c r="E38" s="3">
        <f t="shared" si="19"/>
        <v>75494</v>
      </c>
      <c r="F38" s="3">
        <f t="shared" si="19"/>
        <v>0</v>
      </c>
      <c r="G38" s="3">
        <f t="shared" si="19"/>
        <v>49058</v>
      </c>
      <c r="H38" s="3">
        <f t="shared" si="19"/>
        <v>609182</v>
      </c>
      <c r="I38" s="3">
        <f>I322</f>
        <v>199798</v>
      </c>
      <c r="J38" s="3"/>
      <c r="K38" s="3"/>
      <c r="L38" s="3">
        <f t="shared" si="19"/>
        <v>21199.533600000002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92579</v>
      </c>
      <c r="D39" s="3">
        <f t="shared" ref="D39:L39" si="20">SUM(D329:D335)</f>
        <v>517360</v>
      </c>
      <c r="E39" s="3">
        <f t="shared" si="20"/>
        <v>59677</v>
      </c>
      <c r="F39" s="3">
        <f t="shared" si="20"/>
        <v>0</v>
      </c>
      <c r="G39" s="3">
        <f t="shared" si="20"/>
        <v>97769</v>
      </c>
      <c r="H39" s="3">
        <f t="shared" si="20"/>
        <v>648537</v>
      </c>
      <c r="I39" s="3">
        <f>I335</f>
        <v>161001</v>
      </c>
      <c r="J39" s="3"/>
      <c r="K39" s="3"/>
      <c r="L39" s="3">
        <f t="shared" si="20"/>
        <v>22569.087599999999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110680</v>
      </c>
      <c r="D40" s="3">
        <f t="shared" ref="D40:L40" si="21">SUM(D342:D348)</f>
        <v>648425</v>
      </c>
      <c r="E40" s="3">
        <f t="shared" si="21"/>
        <v>62011</v>
      </c>
      <c r="F40" s="3">
        <f t="shared" si="21"/>
        <v>0</v>
      </c>
      <c r="G40" s="3">
        <f t="shared" si="21"/>
        <v>-70148</v>
      </c>
      <c r="H40" s="3">
        <f t="shared" si="21"/>
        <v>625324</v>
      </c>
      <c r="I40" s="3">
        <f>I348</f>
        <v>203230</v>
      </c>
      <c r="J40" s="3"/>
      <c r="K40" s="3"/>
      <c r="L40" s="3">
        <f t="shared" si="21"/>
        <v>21761.275200000004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98862</v>
      </c>
      <c r="D41" s="3">
        <f t="shared" ref="D41:L41" si="22">SUM(D355:D361)</f>
        <v>788235</v>
      </c>
      <c r="E41" s="3">
        <f t="shared" si="22"/>
        <v>30236</v>
      </c>
      <c r="F41" s="3">
        <f t="shared" si="22"/>
        <v>0</v>
      </c>
      <c r="G41" s="3">
        <f t="shared" si="22"/>
        <v>-122984</v>
      </c>
      <c r="H41" s="3">
        <f t="shared" si="22"/>
        <v>701653</v>
      </c>
      <c r="I41" s="3">
        <f>I361</f>
        <v>359764</v>
      </c>
      <c r="J41" s="3"/>
      <c r="K41" s="3"/>
      <c r="L41" s="3">
        <f t="shared" si="22"/>
        <v>24417.524400000002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83645</v>
      </c>
      <c r="D42" s="3">
        <f t="shared" ref="D42:L42" si="23">SUM(D368:D374)</f>
        <v>681611</v>
      </c>
      <c r="E42" s="3">
        <f t="shared" si="23"/>
        <v>24304</v>
      </c>
      <c r="F42" s="3">
        <f t="shared" si="23"/>
        <v>0</v>
      </c>
      <c r="G42" s="3">
        <f t="shared" si="23"/>
        <v>-29849</v>
      </c>
      <c r="H42" s="3">
        <f t="shared" si="23"/>
        <v>709908</v>
      </c>
      <c r="I42" s="3">
        <f>I374</f>
        <v>409131</v>
      </c>
      <c r="J42" s="3"/>
      <c r="K42" s="3"/>
      <c r="L42" s="3">
        <f t="shared" si="23"/>
        <v>24704.7984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71004</v>
      </c>
      <c r="D43" s="3">
        <f t="shared" ref="D43:L43" si="24">SUM(D381:D387)</f>
        <v>637706</v>
      </c>
      <c r="E43" s="3">
        <f t="shared" si="24"/>
        <v>24970</v>
      </c>
      <c r="F43" s="3">
        <f t="shared" si="24"/>
        <v>137</v>
      </c>
      <c r="G43" s="3">
        <f t="shared" si="24"/>
        <v>62946</v>
      </c>
      <c r="H43" s="3">
        <f t="shared" si="24"/>
        <v>686757</v>
      </c>
      <c r="I43" s="3">
        <f>I387</f>
        <v>149281</v>
      </c>
      <c r="J43" s="3"/>
      <c r="K43" s="3"/>
      <c r="L43" s="3">
        <f t="shared" si="24"/>
        <v>23899.143599999999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75540</v>
      </c>
      <c r="D44" s="3">
        <f t="shared" ref="D44:L44" si="25">SUM(D394:D400)</f>
        <v>742152</v>
      </c>
      <c r="E44" s="3">
        <f t="shared" si="25"/>
        <v>515</v>
      </c>
      <c r="F44" s="3">
        <f t="shared" si="25"/>
        <v>1970</v>
      </c>
      <c r="G44" s="3">
        <f t="shared" si="25"/>
        <v>-68451</v>
      </c>
      <c r="H44" s="3">
        <f t="shared" si="25"/>
        <v>740861</v>
      </c>
      <c r="I44" s="3">
        <f>I400</f>
        <v>237595</v>
      </c>
      <c r="J44" s="3"/>
      <c r="K44" s="3"/>
      <c r="L44" s="3">
        <f t="shared" si="25"/>
        <v>25781.962800000005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SUM(C407:C413)</f>
        <v>76770</v>
      </c>
      <c r="D45" s="3">
        <f t="shared" ref="D45:L45" si="26">SUM(D407:D413)</f>
        <v>517796</v>
      </c>
      <c r="E45" s="3">
        <f t="shared" si="26"/>
        <v>88790</v>
      </c>
      <c r="F45" s="3">
        <f t="shared" si="26"/>
        <v>0</v>
      </c>
      <c r="G45" s="3">
        <f t="shared" si="26"/>
        <v>-193904</v>
      </c>
      <c r="H45" s="3">
        <f t="shared" si="26"/>
        <v>305640</v>
      </c>
      <c r="I45" s="3">
        <f>I413</f>
        <v>443928</v>
      </c>
      <c r="J45" s="3"/>
      <c r="K45" s="3"/>
      <c r="L45" s="3">
        <f t="shared" si="26"/>
        <v>10636.271999999999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SUM(C420:C426)</f>
        <v>54447</v>
      </c>
      <c r="D46" s="3">
        <f t="shared" ref="D46:L46" si="27">SUM(D420:D426)</f>
        <v>213906</v>
      </c>
      <c r="E46" s="3">
        <f t="shared" si="27"/>
        <v>44284</v>
      </c>
      <c r="F46" s="3">
        <f t="shared" si="27"/>
        <v>0</v>
      </c>
      <c r="G46" s="3">
        <f t="shared" si="27"/>
        <v>14235</v>
      </c>
      <c r="H46" s="3">
        <f t="shared" si="27"/>
        <v>233897</v>
      </c>
      <c r="I46" s="3">
        <f>I426</f>
        <v>424582</v>
      </c>
      <c r="J46" s="3"/>
      <c r="K46" s="3"/>
      <c r="L46" s="3">
        <f t="shared" si="27"/>
        <v>8139.615600000001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SUM(C433:C439)</f>
        <v>112580</v>
      </c>
      <c r="D47" s="3">
        <f t="shared" ref="D47:L47" si="28">SUM(D433:D439)</f>
        <v>383103</v>
      </c>
      <c r="E47" s="3">
        <f t="shared" si="28"/>
        <v>245</v>
      </c>
      <c r="F47" s="3">
        <f t="shared" si="28"/>
        <v>0</v>
      </c>
      <c r="G47" s="3">
        <f t="shared" si="28"/>
        <v>15442</v>
      </c>
      <c r="H47" s="3">
        <f t="shared" si="28"/>
        <v>507658</v>
      </c>
      <c r="I47" s="3">
        <f>I439</f>
        <v>130101</v>
      </c>
      <c r="J47" s="3"/>
      <c r="K47" s="3"/>
      <c r="L47" s="3">
        <f t="shared" si="28"/>
        <v>17666.4984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SUM(C446:C452)</f>
        <v>139520</v>
      </c>
      <c r="D48" s="3">
        <f t="shared" ref="D48:L48" si="29">SUM(D446:D452)</f>
        <v>516773</v>
      </c>
      <c r="E48" s="3">
        <f t="shared" si="29"/>
        <v>8005</v>
      </c>
      <c r="F48" s="3">
        <f t="shared" si="29"/>
        <v>0</v>
      </c>
      <c r="G48" s="3">
        <f t="shared" si="29"/>
        <v>-34566</v>
      </c>
      <c r="H48" s="3">
        <f t="shared" si="29"/>
        <v>613357</v>
      </c>
      <c r="I48" s="3">
        <f>I452</f>
        <v>246358</v>
      </c>
      <c r="J48" s="3"/>
      <c r="K48" s="3"/>
      <c r="L48" s="3">
        <f t="shared" si="29"/>
        <v>21344.823600000003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SUM(C459:C465)</f>
        <v>120318</v>
      </c>
      <c r="D49" s="3">
        <f t="shared" ref="D49:L49" si="30">SUM(D459:D465)</f>
        <v>604892</v>
      </c>
      <c r="E49" s="3">
        <f t="shared" si="30"/>
        <v>7493</v>
      </c>
      <c r="F49" s="3">
        <f t="shared" si="30"/>
        <v>0</v>
      </c>
      <c r="G49" s="3">
        <f t="shared" si="30"/>
        <v>-35342</v>
      </c>
      <c r="H49" s="3">
        <f t="shared" si="30"/>
        <v>681618</v>
      </c>
      <c r="I49" s="3">
        <f>I465</f>
        <v>258796</v>
      </c>
      <c r="J49" s="3"/>
      <c r="K49" s="3"/>
      <c r="L49" s="3">
        <f t="shared" si="30"/>
        <v>23720.306400000001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SUM(C472:C478)</f>
        <v>149976</v>
      </c>
      <c r="D50" s="3">
        <f t="shared" ref="D50:L50" si="31">SUM(D472:D478)</f>
        <v>560724</v>
      </c>
      <c r="E50" s="3">
        <f t="shared" si="31"/>
        <v>28396</v>
      </c>
      <c r="F50" s="3">
        <f t="shared" si="31"/>
        <v>0</v>
      </c>
      <c r="G50" s="3">
        <f t="shared" si="31"/>
        <v>36644</v>
      </c>
      <c r="H50" s="3">
        <f t="shared" si="31"/>
        <v>730565</v>
      </c>
      <c r="I50" s="3">
        <f>I478</f>
        <v>268993</v>
      </c>
      <c r="J50" s="3"/>
      <c r="K50" s="3"/>
      <c r="L50" s="3">
        <f t="shared" si="31"/>
        <v>25423.662000000004</v>
      </c>
      <c r="M50" s="3"/>
      <c r="N50" s="22">
        <f>'Olieforbrug, TJ'!M50</f>
        <v>2025</v>
      </c>
      <c r="P50" s="3"/>
    </row>
    <row r="51" spans="1:16" x14ac:dyDescent="0.2">
      <c r="A51" s="22"/>
      <c r="H51" s="82"/>
      <c r="J51" s="3"/>
      <c r="K51" s="3"/>
      <c r="L51" s="8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">
      <c r="A82" s="32"/>
      <c r="J82" s="3"/>
      <c r="K82" s="3"/>
      <c r="L82" s="3"/>
      <c r="N82" s="26"/>
    </row>
    <row r="83" spans="1:15" x14ac:dyDescent="0.2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">
      <c r="A87" s="32"/>
      <c r="J87" s="3"/>
      <c r="K87" s="3"/>
      <c r="L87" s="3"/>
      <c r="N87" s="26"/>
    </row>
    <row r="88" spans="1:15" x14ac:dyDescent="0.2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">
      <c r="A92" s="32"/>
      <c r="J92" s="3"/>
      <c r="K92" s="3"/>
      <c r="L92" s="3"/>
      <c r="N92" s="26"/>
    </row>
    <row r="93" spans="1:15" x14ac:dyDescent="0.2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48080</v>
      </c>
      <c r="D153" s="3">
        <f t="shared" ref="D153:L153" si="76">SUM(D472:D474)</f>
        <v>157253</v>
      </c>
      <c r="E153" s="3">
        <f t="shared" si="76"/>
        <v>6452</v>
      </c>
      <c r="F153" s="3">
        <f t="shared" si="76"/>
        <v>0</v>
      </c>
      <c r="G153" s="3">
        <f t="shared" si="76"/>
        <v>66930</v>
      </c>
      <c r="H153" s="3">
        <f t="shared" si="76"/>
        <v>268241</v>
      </c>
      <c r="I153" s="3">
        <f>I474</f>
        <v>238707</v>
      </c>
      <c r="J153" s="3"/>
      <c r="K153" s="3"/>
      <c r="L153" s="3">
        <f t="shared" si="76"/>
        <v>9334.7868000000017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72111</v>
      </c>
      <c r="D154" s="3">
        <f t="shared" ref="D154:H154" si="77">SUM(D475:D477)</f>
        <v>314908</v>
      </c>
      <c r="E154" s="3">
        <f t="shared" si="77"/>
        <v>0</v>
      </c>
      <c r="F154" s="3">
        <f t="shared" si="77"/>
        <v>0</v>
      </c>
      <c r="G154" s="3">
        <f t="shared" si="77"/>
        <v>-61049</v>
      </c>
      <c r="H154" s="3">
        <f t="shared" si="77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57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5" thickBot="1" x14ac:dyDescent="0.25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5" thickBot="1" x14ac:dyDescent="0.25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5" thickBot="1" x14ac:dyDescent="0.25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5" thickBot="1" x14ac:dyDescent="0.25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5" thickBot="1" x14ac:dyDescent="0.25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5" thickBot="1" x14ac:dyDescent="0.25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5" thickBot="1" x14ac:dyDescent="0.25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5" thickBot="1" x14ac:dyDescent="0.25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5" thickBot="1" x14ac:dyDescent="0.25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8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8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8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8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8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8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79">H368*0.8*43.5/1000</f>
        <v>3099.3576000000003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0">I368-I369</f>
        <v>-20282</v>
      </c>
      <c r="H369" s="16">
        <v>82758</v>
      </c>
      <c r="I369" s="16">
        <v>445176</v>
      </c>
      <c r="J369" s="15"/>
      <c r="K369" s="15"/>
      <c r="L369" s="14">
        <f t="shared" si="79"/>
        <v>2879.9784000000004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0"/>
        <v>40070</v>
      </c>
      <c r="H370" s="16">
        <v>95990</v>
      </c>
      <c r="I370" s="16">
        <v>405106</v>
      </c>
      <c r="J370" s="15"/>
      <c r="K370" s="15"/>
      <c r="L370" s="14">
        <f t="shared" si="79"/>
        <v>3340.4520000000002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0"/>
        <v>-15799</v>
      </c>
      <c r="H371" s="16">
        <v>94007</v>
      </c>
      <c r="I371" s="16">
        <v>420905</v>
      </c>
      <c r="J371" s="15"/>
      <c r="K371" s="15"/>
      <c r="L371" s="14">
        <f t="shared" si="79"/>
        <v>3271.4436000000001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0"/>
        <v>-17605</v>
      </c>
      <c r="H372" s="16">
        <v>104611</v>
      </c>
      <c r="I372" s="16">
        <v>438510</v>
      </c>
      <c r="J372" s="15"/>
      <c r="K372" s="15"/>
      <c r="L372" s="14">
        <f t="shared" si="79"/>
        <v>3640.4628000000002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0"/>
        <v>26505</v>
      </c>
      <c r="H373" s="16">
        <v>122023</v>
      </c>
      <c r="I373" s="16">
        <v>412005</v>
      </c>
      <c r="J373" s="15"/>
      <c r="K373" s="15"/>
      <c r="L373" s="14">
        <f t="shared" si="79"/>
        <v>4246.4004000000004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0"/>
        <v>2874</v>
      </c>
      <c r="H374" s="16">
        <v>121457</v>
      </c>
      <c r="I374" s="16">
        <v>409131</v>
      </c>
      <c r="J374" s="15"/>
      <c r="K374" s="15"/>
      <c r="L374" s="14">
        <f t="shared" si="79"/>
        <v>4226.7036000000007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0"/>
        <v>8832</v>
      </c>
      <c r="H375" s="16">
        <v>114863</v>
      </c>
      <c r="I375" s="16">
        <v>400299</v>
      </c>
      <c r="J375" s="15"/>
      <c r="K375" s="15"/>
      <c r="L375" s="14">
        <f t="shared" si="79"/>
        <v>3997.2324000000003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0"/>
        <v>141551</v>
      </c>
      <c r="H376" s="16">
        <v>108755</v>
      </c>
      <c r="I376" s="16">
        <v>258748</v>
      </c>
      <c r="J376" s="15"/>
      <c r="K376" s="15"/>
      <c r="L376" s="14">
        <f t="shared" si="79"/>
        <v>3784.674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0"/>
        <v>51748</v>
      </c>
      <c r="H377" s="16">
        <v>143500</v>
      </c>
      <c r="I377" s="16">
        <v>207000</v>
      </c>
      <c r="J377" s="15"/>
      <c r="K377" s="15"/>
      <c r="L377" s="14">
        <f t="shared" si="79"/>
        <v>4993.8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0"/>
        <v>15920</v>
      </c>
      <c r="H378" s="16">
        <v>109893</v>
      </c>
      <c r="I378" s="16">
        <v>191080</v>
      </c>
      <c r="J378" s="15"/>
      <c r="K378" s="15"/>
      <c r="L378" s="14">
        <f t="shared" si="79"/>
        <v>3824.2764000000002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0"/>
        <v>-21147</v>
      </c>
      <c r="H379" s="42">
        <v>100527</v>
      </c>
      <c r="I379" s="42">
        <v>212227</v>
      </c>
      <c r="J379" s="2"/>
      <c r="K379" s="2"/>
      <c r="L379" s="54">
        <f t="shared" si="79"/>
        <v>3498.3396000000002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1">H381*0.8*43.5/1000</f>
        <v>3242.0724000000005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2">I381-I382</f>
        <v>-32027</v>
      </c>
      <c r="H382" s="16">
        <v>86528</v>
      </c>
      <c r="I382" s="16">
        <v>233720</v>
      </c>
      <c r="J382" s="15"/>
      <c r="K382" s="15"/>
      <c r="L382" s="14">
        <f t="shared" si="81"/>
        <v>3011.1744000000003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2"/>
        <v>64075</v>
      </c>
      <c r="H383" s="16">
        <v>98176</v>
      </c>
      <c r="I383" s="16">
        <v>169645</v>
      </c>
      <c r="J383" s="15"/>
      <c r="K383" s="15"/>
      <c r="L383" s="14">
        <f t="shared" si="81"/>
        <v>3416.5248000000001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2"/>
        <v>-17434</v>
      </c>
      <c r="H384" s="16">
        <v>97981</v>
      </c>
      <c r="I384" s="16">
        <v>187079</v>
      </c>
      <c r="J384" s="15"/>
      <c r="K384" s="15"/>
      <c r="L384" s="14">
        <f t="shared" si="81"/>
        <v>3409.7388000000001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2"/>
        <v>0</v>
      </c>
      <c r="H385" s="16">
        <v>97977</v>
      </c>
      <c r="I385" s="16">
        <v>187079</v>
      </c>
      <c r="J385" s="15"/>
      <c r="K385" s="15"/>
      <c r="L385" s="14">
        <f t="shared" si="81"/>
        <v>3409.5996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2"/>
        <v>-6714</v>
      </c>
      <c r="H386" s="16">
        <v>83420</v>
      </c>
      <c r="I386" s="16">
        <v>193793</v>
      </c>
      <c r="J386" s="15"/>
      <c r="K386" s="15"/>
      <c r="L386" s="14">
        <f t="shared" si="81"/>
        <v>2903.0160000000001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2"/>
        <v>44512</v>
      </c>
      <c r="H387" s="16">
        <v>129512</v>
      </c>
      <c r="I387" s="16">
        <v>149281</v>
      </c>
      <c r="J387" s="15"/>
      <c r="K387" s="15"/>
      <c r="L387" s="14">
        <f t="shared" si="81"/>
        <v>4507.0176000000001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1"/>
        <v>4253.6387999999997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1"/>
        <v>3967.8264000000004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1"/>
        <v>4345.5804000000007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1"/>
        <v>3563.3808000000004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1"/>
        <v>3035.0471999999995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3">H394*0.8*43.5/1000</f>
        <v>3325.7664000000004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4">I394-I395</f>
        <v>-51</v>
      </c>
      <c r="H395" s="16">
        <v>88513</v>
      </c>
      <c r="I395" s="16">
        <v>166957</v>
      </c>
      <c r="J395" s="15"/>
      <c r="K395" s="15"/>
      <c r="L395" s="14">
        <f t="shared" si="83"/>
        <v>3080.2524000000003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4"/>
        <v>-38377</v>
      </c>
      <c r="H396" s="16">
        <v>100146</v>
      </c>
      <c r="I396" s="16">
        <v>205334</v>
      </c>
      <c r="J396" s="15"/>
      <c r="K396" s="15"/>
      <c r="L396" s="14">
        <f t="shared" si="83"/>
        <v>3485.0808000000002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4"/>
        <v>-49576</v>
      </c>
      <c r="H397" s="16">
        <v>100727</v>
      </c>
      <c r="I397" s="16">
        <v>254910</v>
      </c>
      <c r="J397" s="15"/>
      <c r="K397" s="15"/>
      <c r="L397" s="14">
        <f t="shared" si="83"/>
        <v>3505.2996000000003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4"/>
        <v>59584</v>
      </c>
      <c r="H398" s="16">
        <v>106682</v>
      </c>
      <c r="I398" s="16">
        <v>195326</v>
      </c>
      <c r="J398" s="15"/>
      <c r="K398" s="15"/>
      <c r="L398" s="14">
        <f t="shared" si="83"/>
        <v>3712.5336000000002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4"/>
        <v>-2897</v>
      </c>
      <c r="H399" s="16">
        <v>119944</v>
      </c>
      <c r="I399" s="16">
        <v>198223</v>
      </c>
      <c r="J399" s="15"/>
      <c r="K399" s="15"/>
      <c r="L399" s="14">
        <f t="shared" si="83"/>
        <v>4174.0512000000008</v>
      </c>
      <c r="N399" s="23" t="str">
        <f>'Olieforbrug, TJ'!M399</f>
        <v>June</v>
      </c>
    </row>
    <row r="400" spans="1:14" ht="11.25" customHeight="1" x14ac:dyDescent="0.2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4"/>
        <v>-39372</v>
      </c>
      <c r="H400" s="16">
        <v>129281</v>
      </c>
      <c r="I400" s="16">
        <v>237595</v>
      </c>
      <c r="J400" s="15"/>
      <c r="K400" s="15"/>
      <c r="L400" s="14">
        <f t="shared" si="83"/>
        <v>4498.9787999999999</v>
      </c>
      <c r="N400" s="23" t="str">
        <f>'Olieforbrug, TJ'!M400</f>
        <v>July</v>
      </c>
    </row>
    <row r="401" spans="1:14" ht="11.25" customHeight="1" x14ac:dyDescent="0.2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3"/>
        <v>4540.4603999999999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3"/>
        <v>3884.4804000000004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3"/>
        <v>4222.8756000000003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3"/>
        <v>3127.8935999999999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3"/>
        <v>3433.194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5">H407*0.8*43.5/1000</f>
        <v>2519.6243999999997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6">I407-I408</f>
        <v>-6324</v>
      </c>
      <c r="H408" s="16">
        <v>85730</v>
      </c>
      <c r="I408" s="16">
        <v>254034</v>
      </c>
      <c r="J408" s="15"/>
      <c r="K408" s="15"/>
      <c r="L408" s="14">
        <f t="shared" si="85"/>
        <v>2983.404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6"/>
        <v>-25880</v>
      </c>
      <c r="H409" s="16">
        <v>55272</v>
      </c>
      <c r="I409" s="16">
        <v>279914</v>
      </c>
      <c r="J409" s="15"/>
      <c r="K409" s="15"/>
      <c r="L409" s="14">
        <f t="shared" si="85"/>
        <v>1923.4656000000002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6"/>
        <v>6507</v>
      </c>
      <c r="H410" s="16">
        <v>17355</v>
      </c>
      <c r="I410" s="16">
        <v>273407</v>
      </c>
      <c r="J410" s="15"/>
      <c r="K410" s="15"/>
      <c r="L410" s="14">
        <f t="shared" si="85"/>
        <v>603.95399999999995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6"/>
        <v>-159994</v>
      </c>
      <c r="H411" s="16">
        <v>24526</v>
      </c>
      <c r="I411" s="16">
        <v>433401</v>
      </c>
      <c r="J411" s="15"/>
      <c r="K411" s="15"/>
      <c r="L411" s="14">
        <f t="shared" si="85"/>
        <v>853.50479999999993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6"/>
        <v>-36511</v>
      </c>
      <c r="H412" s="16">
        <v>12122</v>
      </c>
      <c r="I412" s="16">
        <v>469912</v>
      </c>
      <c r="J412" s="15"/>
      <c r="K412" s="15"/>
      <c r="L412" s="14">
        <f t="shared" si="85"/>
        <v>421.84560000000005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6"/>
        <v>25984</v>
      </c>
      <c r="H413" s="16">
        <v>38232</v>
      </c>
      <c r="I413" s="16">
        <v>443928</v>
      </c>
      <c r="J413" s="15"/>
      <c r="K413" s="15"/>
      <c r="L413" s="14">
        <f t="shared" ref="L413:L418" si="87">H413*0.8*43.5/1000</f>
        <v>1330.4736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7"/>
        <v>1123.4136000000001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7"/>
        <v>1453.2828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7"/>
        <v>1149.4092000000001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7"/>
        <v>888.58320000000003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7"/>
        <v>881.06640000000004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8">H420*0.8*43.5/1000</f>
        <v>731.46120000000008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89">I420-I421</f>
        <v>10748</v>
      </c>
      <c r="H421" s="16">
        <v>19323</v>
      </c>
      <c r="I421" s="16">
        <v>449175</v>
      </c>
      <c r="J421" s="15"/>
      <c r="K421" s="15"/>
      <c r="L421" s="14">
        <f t="shared" si="88"/>
        <v>672.44040000000007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89"/>
        <v>-18455</v>
      </c>
      <c r="H422" s="16">
        <v>24135</v>
      </c>
      <c r="I422" s="16">
        <v>467630</v>
      </c>
      <c r="J422" s="15"/>
      <c r="K422" s="15"/>
      <c r="L422" s="14">
        <f t="shared" si="88"/>
        <v>839.89800000000002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89"/>
        <v>-1729</v>
      </c>
      <c r="H423" s="16">
        <v>29838</v>
      </c>
      <c r="I423" s="16">
        <v>469359</v>
      </c>
      <c r="J423" s="15"/>
      <c r="K423" s="15"/>
      <c r="L423" s="14">
        <f t="shared" si="88"/>
        <v>1038.3624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89"/>
        <v>5381</v>
      </c>
      <c r="H424" s="16">
        <v>28516</v>
      </c>
      <c r="I424" s="16">
        <v>463978</v>
      </c>
      <c r="J424" s="15"/>
      <c r="K424" s="15"/>
      <c r="L424" s="14">
        <f t="shared" si="88"/>
        <v>992.35680000000013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89"/>
        <v>10849</v>
      </c>
      <c r="H425" s="16">
        <v>48596</v>
      </c>
      <c r="I425" s="16">
        <v>453129</v>
      </c>
      <c r="J425" s="15"/>
      <c r="K425" s="15"/>
      <c r="L425" s="14">
        <f t="shared" si="88"/>
        <v>1691.1408000000001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89"/>
        <v>28547</v>
      </c>
      <c r="H426" s="16">
        <v>62470</v>
      </c>
      <c r="I426" s="16">
        <v>424582</v>
      </c>
      <c r="J426" s="15"/>
      <c r="K426" s="15"/>
      <c r="L426" s="14">
        <f t="shared" si="88"/>
        <v>2173.9560000000001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8"/>
        <v>2167.17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8"/>
        <v>2411.6748000000002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8"/>
        <v>2383.8000000000002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8"/>
        <v>2124.8879999999999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8"/>
        <v>2474.7672000000002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0">H433*0.8*43.5/1000</f>
        <v>1884.8027999999999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1">I433-I434</f>
        <v>33052</v>
      </c>
      <c r="H434" s="16">
        <v>51176</v>
      </c>
      <c r="I434" s="16">
        <v>136430</v>
      </c>
      <c r="J434" s="15"/>
      <c r="K434" s="15"/>
      <c r="L434" s="14">
        <f t="shared" si="90"/>
        <v>1780.9248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1"/>
        <v>2725</v>
      </c>
      <c r="H435" s="16">
        <v>59442</v>
      </c>
      <c r="I435" s="16">
        <v>133705</v>
      </c>
      <c r="J435" s="15"/>
      <c r="K435" s="15"/>
      <c r="L435" s="14">
        <f t="shared" si="90"/>
        <v>2068.5816000000004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1"/>
        <v>11348</v>
      </c>
      <c r="H436" s="16">
        <v>84314</v>
      </c>
      <c r="I436" s="16">
        <v>122357</v>
      </c>
      <c r="J436" s="15"/>
      <c r="K436" s="15"/>
      <c r="L436" s="14">
        <f t="shared" si="90"/>
        <v>2934.1271999999999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1"/>
        <v>8342</v>
      </c>
      <c r="H437" s="16">
        <v>78920</v>
      </c>
      <c r="I437" s="16">
        <v>114015</v>
      </c>
      <c r="J437" s="15"/>
      <c r="K437" s="15"/>
      <c r="L437" s="14">
        <f t="shared" si="90"/>
        <v>2746.4160000000002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1"/>
        <v>-43444</v>
      </c>
      <c r="H438" s="16">
        <v>87303</v>
      </c>
      <c r="I438" s="16">
        <v>157459</v>
      </c>
      <c r="J438" s="15"/>
      <c r="K438" s="15"/>
      <c r="L438" s="14">
        <f t="shared" si="90"/>
        <v>3038.1444000000006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1"/>
        <v>27358</v>
      </c>
      <c r="H439" s="16">
        <v>92342</v>
      </c>
      <c r="I439" s="16">
        <v>130101</v>
      </c>
      <c r="J439" s="15"/>
      <c r="K439" s="15"/>
      <c r="L439" s="14">
        <f t="shared" ref="L439" si="92">H439*0.8*43.5/1000</f>
        <v>3213.5016000000001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3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4">H440*0.8*43.5/1000</f>
        <v>3624.3852000000006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5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6">H441*0.8*43.5/1000</f>
        <v>3063.2351999999996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7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8">H442*0.8*43.5/1000</f>
        <v>3140.1779999999999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99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0">H443*0.8*43.5/1000</f>
        <v>2447.2752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1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2">H444*0.8*43.5/1000</f>
        <v>2729.9208000000003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3">H446*0.8*43.5/1000</f>
        <v>2374.9608000000003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4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5">H447*0.8*43.5/1000</f>
        <v>2136.3372000000004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4"/>
        <v>70431</v>
      </c>
      <c r="H448" s="16">
        <v>76072</v>
      </c>
      <c r="I448" s="16">
        <v>167445</v>
      </c>
      <c r="J448" s="15"/>
      <c r="K448" s="15"/>
      <c r="L448" s="14">
        <f t="shared" ref="L448" si="106">H448*0.8*43.5/1000</f>
        <v>2647.3056000000001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4"/>
        <v>-24641</v>
      </c>
      <c r="H449" s="16">
        <v>92070</v>
      </c>
      <c r="I449" s="16">
        <v>192086</v>
      </c>
      <c r="J449" s="15"/>
      <c r="K449" s="15"/>
      <c r="L449" s="14">
        <f t="shared" ref="L449" si="107">H449*0.8*43.5/1000</f>
        <v>3204.0360000000001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4"/>
        <v>-41444</v>
      </c>
      <c r="H450" s="16">
        <v>93932</v>
      </c>
      <c r="I450" s="16">
        <v>233530</v>
      </c>
      <c r="J450" s="15"/>
      <c r="K450" s="15"/>
      <c r="L450" s="14">
        <f t="shared" ref="L450" si="108">H450*0.8*43.5/1000</f>
        <v>3268.8335999999999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4"/>
        <v>7786</v>
      </c>
      <c r="H451" s="16">
        <v>105520</v>
      </c>
      <c r="I451" s="16">
        <v>225744</v>
      </c>
      <c r="J451" s="15"/>
      <c r="K451" s="15"/>
      <c r="L451" s="14">
        <f t="shared" ref="L451" si="109">H451*0.8*43.5/1000</f>
        <v>3672.096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4"/>
        <v>-20614</v>
      </c>
      <c r="H452" s="16">
        <v>116128</v>
      </c>
      <c r="I452" s="16">
        <v>246358</v>
      </c>
      <c r="J452" s="15"/>
      <c r="K452" s="15"/>
      <c r="L452" s="14">
        <f t="shared" ref="L452" si="110">H452*0.8*43.5/1000</f>
        <v>4041.2544000000003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1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2">H453*0.8*43.5/1000</f>
        <v>3634.0596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3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4">H454*0.8*43.5/1000</f>
        <v>3778.1316000000002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5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6">H455*0.8*43.5/1000</f>
        <v>3671.5392000000006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7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8">H456*0.8*43.5/1000</f>
        <v>2703.96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19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0">H457*0.8*43.5/1000</f>
        <v>3295.212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1">H459*0.8*43.5/1000</f>
        <v>2616.6120000000001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2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3">H460*0.8*43.5/1000</f>
        <v>2568.2399999999998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2"/>
        <v>-40398</v>
      </c>
      <c r="H461" s="16">
        <v>85751</v>
      </c>
      <c r="I461" s="16">
        <v>249405</v>
      </c>
      <c r="J461" s="15"/>
      <c r="K461" s="15"/>
      <c r="L461" s="14">
        <f t="shared" ref="L461" si="124">H461*0.8*43.5/1000</f>
        <v>2984.1348000000003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2"/>
        <v>21477</v>
      </c>
      <c r="H462" s="16">
        <v>95600</v>
      </c>
      <c r="I462" s="16">
        <v>227928</v>
      </c>
      <c r="J462" s="15"/>
      <c r="K462" s="15"/>
      <c r="L462" s="14">
        <f t="shared" ref="L462" si="125">H462*0.8*43.5/1000</f>
        <v>3326.88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2"/>
        <v>6380</v>
      </c>
      <c r="H463" s="16">
        <v>117299</v>
      </c>
      <c r="I463" s="16">
        <v>221548</v>
      </c>
      <c r="J463" s="15"/>
      <c r="K463" s="15"/>
      <c r="L463" s="14">
        <f t="shared" ref="L463" si="126">H463*0.8*43.5/1000</f>
        <v>4082.0052000000005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2"/>
        <v>-44588</v>
      </c>
      <c r="H464" s="16">
        <v>108628</v>
      </c>
      <c r="I464" s="16">
        <v>266136</v>
      </c>
      <c r="J464" s="15"/>
      <c r="K464" s="15"/>
      <c r="L464" s="14">
        <f t="shared" ref="L464" si="127">H464*0.8*43.5/1000</f>
        <v>3780.2544000000003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2"/>
        <v>7340</v>
      </c>
      <c r="H465" s="16">
        <v>125350</v>
      </c>
      <c r="I465" s="16">
        <v>258796</v>
      </c>
      <c r="J465" s="15"/>
      <c r="K465" s="15"/>
      <c r="L465" s="14">
        <f t="shared" ref="L465" si="128">H465*0.8*43.5/1000</f>
        <v>4362.18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29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0">H466*0.8*43.5/1000</f>
        <v>4001.2692000000006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1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2">H467*0.8*43.5/1000</f>
        <v>3825.1464000000005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3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4">H468*0.8*43.5/1000</f>
        <v>3926.5188000000003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5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6">H469*0.8*43.5/1000</f>
        <v>3447.5316000000003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7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8">H470*0.8*43.5/1000</f>
        <v>3380.9591999999998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39">H472*0.8*43.5/1000</f>
        <v>3640.6368000000002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0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1">H473*0.8*43.5/1000</f>
        <v>2369.6712000000002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0"/>
        <v>62319</v>
      </c>
      <c r="H474" s="16">
        <v>95531</v>
      </c>
      <c r="I474" s="16">
        <v>238707</v>
      </c>
      <c r="J474" s="15"/>
      <c r="K474" s="15"/>
      <c r="L474" s="14">
        <f>H474*0.8*43.5/1000</f>
        <v>3324.4788000000003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0"/>
        <v>-4742</v>
      </c>
      <c r="H475" s="16">
        <v>102307</v>
      </c>
      <c r="I475" s="16">
        <v>243449</v>
      </c>
      <c r="J475" s="15"/>
      <c r="K475" s="15"/>
      <c r="L475" s="14">
        <f>H475*0.8*43.5/1000</f>
        <v>3560.2836000000002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0"/>
        <v>-11670</v>
      </c>
      <c r="H476" s="16">
        <v>109196</v>
      </c>
      <c r="I476" s="16">
        <v>255119</v>
      </c>
      <c r="J476" s="15"/>
      <c r="K476" s="15"/>
      <c r="L476" s="14">
        <f>H476*0.8*43.5/1000</f>
        <v>3800.0208000000002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0"/>
        <v>-44637</v>
      </c>
      <c r="H477" s="16">
        <v>123667</v>
      </c>
      <c r="I477" s="16">
        <v>299756</v>
      </c>
      <c r="J477" s="15"/>
      <c r="K477" s="15"/>
      <c r="L477" s="14">
        <f>H477*0.8*43.5/1000</f>
        <v>4303.6116000000002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0"/>
        <v>30763</v>
      </c>
      <c r="H478" s="16">
        <v>127154</v>
      </c>
      <c r="I478" s="16">
        <v>268993</v>
      </c>
      <c r="J478" s="15"/>
      <c r="K478" s="15"/>
      <c r="L478" s="14">
        <f>H478*0.8*43.5/1000</f>
        <v>4424.9592000000002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indexed="42"/>
  </sheetPr>
  <dimension ref="A1:P478"/>
  <sheetViews>
    <sheetView zoomScale="80" zoomScaleNormal="80" workbookViewId="0">
      <pane xSplit="2" ySplit="5" topLeftCell="C441" activePane="bottomRight" state="frozen"/>
      <selection pane="topRight" activeCell="C1" sqref="C1"/>
      <selection pane="bottomLeft" activeCell="A6" sqref="A6"/>
      <selection pane="bottomRight" activeCell="L480" sqref="L480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42578125" customWidth="1"/>
    <col min="14" max="14" width="20.5703125" customWidth="1"/>
    <col min="15" max="15" width="9.5703125" customWidth="1"/>
  </cols>
  <sheetData>
    <row r="1" spans="1:16" ht="12.75" customHeight="1" x14ac:dyDescent="0.2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"/>
    <row r="4" spans="1:16" ht="12.75" customHeight="1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Juli</v>
      </c>
      <c r="J29" s="3"/>
      <c r="K29" s="3"/>
      <c r="L29" s="3"/>
      <c r="M29" s="3"/>
      <c r="N29" s="22" t="str">
        <f>'Olieforbrug, TJ'!M29</f>
        <v>January - July</v>
      </c>
    </row>
    <row r="30" spans="1:16" x14ac:dyDescent="0.2">
      <c r="A30" s="22">
        <f>'Olieforbrug, TJ'!A30</f>
        <v>2005</v>
      </c>
      <c r="C30" s="3">
        <f>SUM(C212:C218)</f>
        <v>779026</v>
      </c>
      <c r="D30" s="3">
        <f t="shared" ref="D30:L30" si="11">SUM(D212:D218)</f>
        <v>654666</v>
      </c>
      <c r="E30" s="3">
        <f t="shared" si="11"/>
        <v>862775</v>
      </c>
      <c r="F30" s="3">
        <f t="shared" si="11"/>
        <v>299375</v>
      </c>
      <c r="G30" s="3">
        <f t="shared" si="11"/>
        <v>38380</v>
      </c>
      <c r="H30" s="3">
        <f t="shared" si="11"/>
        <v>356299</v>
      </c>
      <c r="I30" s="3">
        <f>I218</f>
        <v>416258</v>
      </c>
      <c r="J30" s="3"/>
      <c r="K30" s="3"/>
      <c r="L30" s="3">
        <f t="shared" si="11"/>
        <v>14483.554349999997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SUM(C225:C231)</f>
        <v>823411</v>
      </c>
      <c r="D31" s="3">
        <f t="shared" ref="D31:L31" si="12">SUM(D225:D231)</f>
        <v>711276</v>
      </c>
      <c r="E31" s="3">
        <f t="shared" si="12"/>
        <v>664110</v>
      </c>
      <c r="F31" s="3">
        <f t="shared" si="12"/>
        <v>448250</v>
      </c>
      <c r="G31" s="3">
        <f t="shared" si="12"/>
        <v>48726</v>
      </c>
      <c r="H31" s="3">
        <f t="shared" si="12"/>
        <v>436963</v>
      </c>
      <c r="I31" s="3">
        <f>I231</f>
        <v>496079</v>
      </c>
      <c r="J31" s="3"/>
      <c r="K31" s="3"/>
      <c r="L31" s="3">
        <f t="shared" si="12"/>
        <v>17762.54595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SUM(C238:C244)</f>
        <v>824900</v>
      </c>
      <c r="D32" s="3">
        <f t="shared" ref="D32:L32" si="13">SUM(D238:D244)</f>
        <v>769357</v>
      </c>
      <c r="E32" s="3">
        <f t="shared" si="13"/>
        <v>898097</v>
      </c>
      <c r="F32" s="3">
        <f t="shared" si="13"/>
        <v>506614</v>
      </c>
      <c r="G32" s="3">
        <f t="shared" si="13"/>
        <v>42451</v>
      </c>
      <c r="H32" s="3">
        <f t="shared" si="13"/>
        <v>290859</v>
      </c>
      <c r="I32" s="3">
        <f>I244</f>
        <v>533194</v>
      </c>
      <c r="J32" s="3"/>
      <c r="K32" s="3"/>
      <c r="L32" s="3">
        <f t="shared" si="13"/>
        <v>11823.418350000002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SUM(C251:C257)</f>
        <v>756745</v>
      </c>
      <c r="D33" s="3">
        <f t="shared" ref="D33:L33" si="14">SUM(D251:D257)</f>
        <v>1456053</v>
      </c>
      <c r="E33" s="3">
        <f t="shared" si="14"/>
        <v>1456971</v>
      </c>
      <c r="F33" s="3">
        <f t="shared" si="14"/>
        <v>466798</v>
      </c>
      <c r="G33" s="3">
        <f t="shared" si="14"/>
        <v>-8814</v>
      </c>
      <c r="H33" s="3">
        <f t="shared" si="14"/>
        <v>179344</v>
      </c>
      <c r="I33" s="3">
        <f>I257</f>
        <v>527103</v>
      </c>
      <c r="J33" s="3"/>
      <c r="K33" s="3"/>
      <c r="L33" s="3">
        <f t="shared" si="14"/>
        <v>7290.3335999999999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SUM(C264:C270)</f>
        <v>820525</v>
      </c>
      <c r="D34" s="3">
        <f t="shared" ref="D34:L34" si="15">SUM(D264:D270)</f>
        <v>615954</v>
      </c>
      <c r="E34" s="3">
        <f t="shared" si="15"/>
        <v>1022622</v>
      </c>
      <c r="F34" s="3">
        <f t="shared" si="15"/>
        <v>186343</v>
      </c>
      <c r="G34" s="3">
        <f t="shared" si="15"/>
        <v>-116194</v>
      </c>
      <c r="H34" s="3">
        <f t="shared" si="15"/>
        <v>247421</v>
      </c>
      <c r="I34" s="3">
        <f>I270</f>
        <v>596532</v>
      </c>
      <c r="J34" s="3"/>
      <c r="K34" s="3"/>
      <c r="L34" s="3">
        <f t="shared" si="15"/>
        <v>10057.66365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SUM(C277:C283)</f>
        <v>797886</v>
      </c>
      <c r="D35" s="3">
        <f t="shared" ref="D35:L35" si="16">SUM(D277:D283)</f>
        <v>1413262</v>
      </c>
      <c r="E35" s="3">
        <f t="shared" si="16"/>
        <v>1534377</v>
      </c>
      <c r="F35" s="3">
        <f t="shared" si="16"/>
        <v>215880</v>
      </c>
      <c r="G35" s="3">
        <f t="shared" si="16"/>
        <v>-379067</v>
      </c>
      <c r="H35" s="3">
        <f t="shared" si="16"/>
        <v>190384</v>
      </c>
      <c r="I35" s="3">
        <f>I283</f>
        <v>969527</v>
      </c>
      <c r="J35" s="3"/>
      <c r="K35" s="3"/>
      <c r="L35" s="3">
        <f t="shared" si="16"/>
        <v>7739.1095999999998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SUM(C290:C296)</f>
        <v>722981</v>
      </c>
      <c r="D36" s="3">
        <f t="shared" ref="D36:L36" si="17">SUM(D290:D296)</f>
        <v>1105290</v>
      </c>
      <c r="E36" s="3">
        <f t="shared" si="17"/>
        <v>1790998</v>
      </c>
      <c r="F36" s="3">
        <f t="shared" si="17"/>
        <v>296007</v>
      </c>
      <c r="G36" s="3">
        <f t="shared" si="17"/>
        <v>354448</v>
      </c>
      <c r="H36" s="3">
        <f t="shared" si="17"/>
        <v>104290</v>
      </c>
      <c r="I36" s="3">
        <f>I296</f>
        <v>515805</v>
      </c>
      <c r="J36" s="3"/>
      <c r="K36" s="3"/>
      <c r="L36" s="3">
        <f t="shared" si="17"/>
        <v>4239.3884999999991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SUM(C303:C309)</f>
        <v>733977</v>
      </c>
      <c r="D37" s="3">
        <f t="shared" ref="D37:L37" si="18">SUM(D303:D309)</f>
        <v>1118974</v>
      </c>
      <c r="E37" s="3">
        <f t="shared" si="18"/>
        <v>1891212</v>
      </c>
      <c r="F37" s="3">
        <f t="shared" si="18"/>
        <v>174692</v>
      </c>
      <c r="G37" s="3">
        <f t="shared" si="18"/>
        <v>298348</v>
      </c>
      <c r="H37" s="3">
        <f t="shared" si="18"/>
        <v>105102</v>
      </c>
      <c r="I37" s="3">
        <f>I309</f>
        <v>237986</v>
      </c>
      <c r="J37" s="3"/>
      <c r="K37" s="3"/>
      <c r="L37" s="3">
        <f t="shared" si="18"/>
        <v>4272.3963000000003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SUM(C316:C322)</f>
        <v>682678</v>
      </c>
      <c r="D38" s="3">
        <f t="shared" ref="D38:L38" si="19">SUM(D316:D322)</f>
        <v>1781272</v>
      </c>
      <c r="E38" s="3">
        <f t="shared" si="19"/>
        <v>1978967</v>
      </c>
      <c r="F38" s="3">
        <f t="shared" si="19"/>
        <v>155309</v>
      </c>
      <c r="G38" s="3">
        <f t="shared" si="19"/>
        <v>-242491</v>
      </c>
      <c r="H38" s="3">
        <f t="shared" si="19"/>
        <v>126371</v>
      </c>
      <c r="I38" s="3">
        <f>I322</f>
        <v>703893</v>
      </c>
      <c r="J38" s="3"/>
      <c r="K38" s="3"/>
      <c r="L38" s="3">
        <f t="shared" si="19"/>
        <v>5136.9811499999996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SUM(C329:C335)</f>
        <v>739884</v>
      </c>
      <c r="D39" s="3">
        <f t="shared" ref="D39:L39" si="20">SUM(D329:D335)</f>
        <v>2131931</v>
      </c>
      <c r="E39" s="3">
        <f t="shared" si="20"/>
        <v>2431671</v>
      </c>
      <c r="F39" s="3">
        <f t="shared" si="20"/>
        <v>304242</v>
      </c>
      <c r="G39" s="3">
        <f t="shared" si="20"/>
        <v>42482</v>
      </c>
      <c r="H39" s="3">
        <f t="shared" si="20"/>
        <v>47097</v>
      </c>
      <c r="I39" s="3">
        <f>I335</f>
        <v>611333</v>
      </c>
      <c r="J39" s="3"/>
      <c r="K39" s="3"/>
      <c r="L39" s="3">
        <f t="shared" si="20"/>
        <v>1914.4930499999998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SUM(C342:C348)</f>
        <v>774316</v>
      </c>
      <c r="D40" s="3">
        <f t="shared" ref="D40:L40" si="21">SUM(D342:D348)</f>
        <v>2410433</v>
      </c>
      <c r="E40" s="3">
        <f t="shared" si="21"/>
        <v>2982079</v>
      </c>
      <c r="F40" s="3">
        <f t="shared" si="21"/>
        <v>199967</v>
      </c>
      <c r="G40" s="3">
        <f t="shared" si="21"/>
        <v>-2720</v>
      </c>
      <c r="H40" s="3">
        <f t="shared" si="21"/>
        <v>37806</v>
      </c>
      <c r="I40" s="3">
        <f>I348</f>
        <v>794208</v>
      </c>
      <c r="J40" s="3"/>
      <c r="K40" s="3"/>
      <c r="L40" s="3">
        <f t="shared" si="21"/>
        <v>1536.8138999999999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SUM(C355:C361)</f>
        <v>679440</v>
      </c>
      <c r="D41" s="3">
        <f t="shared" ref="D41:L41" si="22">SUM(D355:D361)</f>
        <v>2274610</v>
      </c>
      <c r="E41" s="3">
        <f t="shared" si="22"/>
        <v>3039777</v>
      </c>
      <c r="F41" s="3">
        <f t="shared" si="22"/>
        <v>176080</v>
      </c>
      <c r="G41" s="3">
        <f t="shared" si="22"/>
        <v>237297</v>
      </c>
      <c r="H41" s="3">
        <f t="shared" si="22"/>
        <v>23514</v>
      </c>
      <c r="I41" s="3">
        <f>I361</f>
        <v>838389</v>
      </c>
      <c r="J41" s="3"/>
      <c r="K41" s="3"/>
      <c r="L41" s="3">
        <f t="shared" si="22"/>
        <v>955.84410000000003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SUM(C368:C374)</f>
        <v>721795</v>
      </c>
      <c r="D42" s="3">
        <f t="shared" ref="D42:L42" si="23">SUM(D368:D374)</f>
        <v>636509</v>
      </c>
      <c r="E42" s="3">
        <f t="shared" si="23"/>
        <v>1661947</v>
      </c>
      <c r="F42" s="3">
        <f t="shared" si="23"/>
        <v>72639</v>
      </c>
      <c r="G42" s="3">
        <f t="shared" si="23"/>
        <v>381318</v>
      </c>
      <c r="H42" s="3">
        <f t="shared" si="23"/>
        <v>7051</v>
      </c>
      <c r="I42" s="3">
        <f>I374</f>
        <v>500232</v>
      </c>
      <c r="J42" s="3"/>
      <c r="K42" s="3"/>
      <c r="L42" s="3">
        <f t="shared" si="23"/>
        <v>286.62315000000001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SUM(C381:C387)</f>
        <v>718771</v>
      </c>
      <c r="D43" s="3">
        <f t="shared" ref="D43:L43" si="24">SUM(D381:D387)</f>
        <v>933086</v>
      </c>
      <c r="E43" s="3">
        <f t="shared" si="24"/>
        <v>1643543</v>
      </c>
      <c r="F43" s="3">
        <f t="shared" si="24"/>
        <v>129332</v>
      </c>
      <c r="G43" s="3">
        <f t="shared" si="24"/>
        <v>137893</v>
      </c>
      <c r="H43" s="3">
        <f t="shared" si="24"/>
        <v>11579</v>
      </c>
      <c r="I43" s="3">
        <f>I387</f>
        <v>260396</v>
      </c>
      <c r="J43" s="3"/>
      <c r="K43" s="3"/>
      <c r="L43" s="3">
        <f t="shared" si="24"/>
        <v>470.68634999999995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SUM(C394:C400)</f>
        <v>793444</v>
      </c>
      <c r="D44" s="3">
        <f t="shared" ref="D44:L44" si="25">SUM(D394:D400)</f>
        <v>1220740</v>
      </c>
      <c r="E44" s="3">
        <f t="shared" si="25"/>
        <v>1207852</v>
      </c>
      <c r="F44" s="3">
        <f t="shared" si="25"/>
        <v>187800</v>
      </c>
      <c r="G44" s="3">
        <f t="shared" si="25"/>
        <v>-604680</v>
      </c>
      <c r="H44" s="3">
        <f t="shared" si="25"/>
        <v>11847</v>
      </c>
      <c r="I44" s="3">
        <f>I400</f>
        <v>825912</v>
      </c>
      <c r="J44" s="3"/>
      <c r="K44" s="3"/>
      <c r="L44" s="3">
        <f t="shared" si="25"/>
        <v>481.58054999999996</v>
      </c>
      <c r="M44" s="3"/>
      <c r="N44" s="22">
        <f>'Olieforbrug, TJ'!M44</f>
        <v>2019</v>
      </c>
      <c r="O44" s="3"/>
      <c r="P44" s="3"/>
    </row>
    <row r="45" spans="1:16" x14ac:dyDescent="0.2">
      <c r="A45" s="22">
        <f>'Olieforbrug, TJ'!A45</f>
        <v>2020</v>
      </c>
      <c r="C45" s="3">
        <f>SUM(C407:C413)</f>
        <v>783402</v>
      </c>
      <c r="D45" s="3">
        <f t="shared" ref="D45:L45" si="26">SUM(D407:D413)</f>
        <v>1890895</v>
      </c>
      <c r="E45" s="3">
        <f t="shared" si="26"/>
        <v>2318518</v>
      </c>
      <c r="F45" s="3">
        <f t="shared" si="26"/>
        <v>121876</v>
      </c>
      <c r="G45" s="3">
        <f t="shared" si="26"/>
        <v>-286010</v>
      </c>
      <c r="H45" s="3">
        <f t="shared" si="26"/>
        <v>16193</v>
      </c>
      <c r="I45" s="3">
        <f>I413</f>
        <v>905431</v>
      </c>
      <c r="J45" s="3"/>
      <c r="K45" s="3"/>
      <c r="L45" s="3">
        <f t="shared" si="26"/>
        <v>658.24545000000001</v>
      </c>
      <c r="M45" s="3"/>
      <c r="N45" s="22">
        <f>'Olieforbrug, TJ'!M45</f>
        <v>2020</v>
      </c>
      <c r="O45" s="3"/>
      <c r="P45" s="3"/>
    </row>
    <row r="46" spans="1:16" x14ac:dyDescent="0.2">
      <c r="A46" s="22">
        <f>'Olieforbrug, TJ'!A46</f>
        <v>2021</v>
      </c>
      <c r="C46" s="3">
        <f>SUM(C420:C426)</f>
        <v>809390</v>
      </c>
      <c r="D46" s="3">
        <f t="shared" ref="D46:L46" si="27">SUM(D420:D426)</f>
        <v>1155763</v>
      </c>
      <c r="E46" s="3">
        <f t="shared" si="27"/>
        <v>2549520</v>
      </c>
      <c r="F46" s="3">
        <f t="shared" si="27"/>
        <v>54999</v>
      </c>
      <c r="G46" s="3">
        <f t="shared" si="27"/>
        <v>538004</v>
      </c>
      <c r="H46" s="3">
        <f t="shared" si="27"/>
        <v>21536</v>
      </c>
      <c r="I46" s="3">
        <f>I426</f>
        <v>421011</v>
      </c>
      <c r="J46" s="3"/>
      <c r="K46" s="3"/>
      <c r="L46" s="3">
        <f t="shared" si="27"/>
        <v>875.4384</v>
      </c>
      <c r="M46" s="3"/>
      <c r="N46" s="22">
        <f>'Olieforbrug, TJ'!M46</f>
        <v>2021</v>
      </c>
      <c r="O46" s="3"/>
      <c r="P46" s="3"/>
    </row>
    <row r="47" spans="1:16" x14ac:dyDescent="0.2">
      <c r="A47" s="22">
        <f>'Olieforbrug, TJ'!A47</f>
        <v>2022</v>
      </c>
      <c r="C47" s="3">
        <f>SUM(C433:C439)</f>
        <v>798333</v>
      </c>
      <c r="D47" s="3">
        <f t="shared" ref="D47:L47" si="28">SUM(D433:D439)</f>
        <v>1321782</v>
      </c>
      <c r="E47" s="3">
        <f t="shared" si="28"/>
        <v>2060213</v>
      </c>
      <c r="F47" s="3">
        <f t="shared" si="28"/>
        <v>102009</v>
      </c>
      <c r="G47" s="3">
        <f t="shared" si="28"/>
        <v>41946</v>
      </c>
      <c r="H47" s="3">
        <f t="shared" si="28"/>
        <v>28417</v>
      </c>
      <c r="I47" s="3">
        <f>I439</f>
        <v>272591</v>
      </c>
      <c r="J47" s="3"/>
      <c r="K47" s="3"/>
      <c r="L47" s="3">
        <f t="shared" si="28"/>
        <v>1155.1510499999999</v>
      </c>
      <c r="M47" s="3"/>
      <c r="N47" s="22">
        <f>'Olieforbrug, TJ'!M47</f>
        <v>2022</v>
      </c>
      <c r="O47" s="3"/>
      <c r="P47" s="3"/>
    </row>
    <row r="48" spans="1:16" x14ac:dyDescent="0.2">
      <c r="A48" s="22">
        <f>'Olieforbrug, TJ'!A48</f>
        <v>2023</v>
      </c>
      <c r="C48" s="3">
        <f>SUM(C446:C452)</f>
        <v>866155</v>
      </c>
      <c r="D48" s="3">
        <f t="shared" ref="D48:L48" si="29">SUM(D446:D452)</f>
        <v>1035002</v>
      </c>
      <c r="E48" s="3">
        <f t="shared" si="29"/>
        <v>2068085</v>
      </c>
      <c r="F48" s="3">
        <f t="shared" si="29"/>
        <v>164823</v>
      </c>
      <c r="G48" s="3">
        <f t="shared" si="29"/>
        <v>392863</v>
      </c>
      <c r="H48" s="3">
        <f t="shared" si="29"/>
        <v>10010.023112049006</v>
      </c>
      <c r="I48" s="3">
        <f>I452</f>
        <v>331819</v>
      </c>
      <c r="J48" s="3"/>
      <c r="K48" s="3"/>
      <c r="L48" s="3">
        <f t="shared" si="29"/>
        <v>406.90743950479202</v>
      </c>
      <c r="M48" s="3"/>
      <c r="N48" s="22">
        <f>'Olieforbrug, TJ'!M48</f>
        <v>2023</v>
      </c>
      <c r="O48" s="3"/>
      <c r="P48" s="3"/>
    </row>
    <row r="49" spans="1:16" x14ac:dyDescent="0.2">
      <c r="A49" s="22">
        <f>'Olieforbrug, TJ'!A49</f>
        <v>2024</v>
      </c>
      <c r="C49" s="3">
        <f>SUM(C459:C465)</f>
        <v>763291</v>
      </c>
      <c r="D49" s="3">
        <f t="shared" ref="D49:L49" si="30">SUM(D459:D465)</f>
        <v>901514</v>
      </c>
      <c r="E49" s="3">
        <f t="shared" si="30"/>
        <v>1567098</v>
      </c>
      <c r="F49" s="3">
        <f t="shared" si="30"/>
        <v>281464</v>
      </c>
      <c r="G49" s="3">
        <f t="shared" si="30"/>
        <v>158520</v>
      </c>
      <c r="H49" s="3">
        <f t="shared" si="30"/>
        <v>6640</v>
      </c>
      <c r="I49" s="3">
        <f>I465</f>
        <v>229221</v>
      </c>
      <c r="J49" s="3"/>
      <c r="K49" s="3"/>
      <c r="L49" s="3">
        <f t="shared" si="30"/>
        <v>269.916</v>
      </c>
      <c r="M49" s="3"/>
      <c r="N49" s="22">
        <f>'Olieforbrug, TJ'!M49</f>
        <v>2024</v>
      </c>
      <c r="O49" s="3"/>
      <c r="P49" s="3"/>
    </row>
    <row r="50" spans="1:16" x14ac:dyDescent="0.2">
      <c r="A50" s="22">
        <f>'Olieforbrug, TJ'!A50</f>
        <v>2025</v>
      </c>
      <c r="C50" s="3">
        <f>SUM(C472:C478)</f>
        <v>714343</v>
      </c>
      <c r="D50" s="3">
        <f t="shared" ref="D50:L50" si="31">SUM(D472:D478)</f>
        <v>736132</v>
      </c>
      <c r="E50" s="3">
        <f t="shared" si="31"/>
        <v>1344897</v>
      </c>
      <c r="F50" s="3">
        <f t="shared" si="31"/>
        <v>190692</v>
      </c>
      <c r="G50" s="3">
        <f t="shared" si="31"/>
        <v>1959</v>
      </c>
      <c r="H50" s="3">
        <f t="shared" si="31"/>
        <v>1946</v>
      </c>
      <c r="I50" s="3">
        <f>I478</f>
        <v>251906</v>
      </c>
      <c r="J50" s="3"/>
      <c r="K50" s="3"/>
      <c r="L50" s="3">
        <f t="shared" si="31"/>
        <v>79.104900000000001</v>
      </c>
      <c r="M50" s="3"/>
      <c r="N50" s="22">
        <f>'Olieforbrug, TJ'!M50</f>
        <v>2025</v>
      </c>
      <c r="O50" s="3"/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2.75" customHeight="1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">
      <c r="A57" s="23"/>
      <c r="L57" s="3"/>
    </row>
    <row r="58" spans="1:16" ht="12.75" customHeight="1" x14ac:dyDescent="0.2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">
      <c r="A62" s="23"/>
      <c r="L62" s="3"/>
    </row>
    <row r="63" spans="1:16" ht="12.75" customHeight="1" x14ac:dyDescent="0.2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">
      <c r="A67" s="23"/>
      <c r="L67" s="3"/>
    </row>
    <row r="68" spans="1:14" ht="12.75" customHeight="1" x14ac:dyDescent="0.2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">
      <c r="A72" s="23"/>
      <c r="L72" s="3"/>
    </row>
    <row r="73" spans="1:14" ht="12.75" customHeight="1" x14ac:dyDescent="0.2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">
      <c r="A77" s="23"/>
      <c r="L77" s="3"/>
      <c r="N77" s="26"/>
    </row>
    <row r="78" spans="1:14" ht="12.75" customHeight="1" x14ac:dyDescent="0.2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336343</v>
      </c>
      <c r="D153" s="3">
        <f t="shared" ref="D153:L153" si="76">SUM(D472:D474)</f>
        <v>260938</v>
      </c>
      <c r="E153" s="3">
        <f t="shared" si="76"/>
        <v>421922</v>
      </c>
      <c r="F153" s="3">
        <f t="shared" si="76"/>
        <v>78804</v>
      </c>
      <c r="G153" s="3">
        <f t="shared" si="76"/>
        <v>-171711</v>
      </c>
      <c r="H153" s="3">
        <f t="shared" si="76"/>
        <v>1663</v>
      </c>
      <c r="I153" s="3">
        <f>I474</f>
        <v>425576</v>
      </c>
      <c r="J153" s="3"/>
      <c r="K153" s="3"/>
      <c r="L153" s="3">
        <f t="shared" si="76"/>
        <v>67.600949999999997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268889</v>
      </c>
      <c r="D154" s="3">
        <f t="shared" ref="D154:H154" si="77">SUM(D475:D477)</f>
        <v>340036</v>
      </c>
      <c r="E154" s="3">
        <f t="shared" si="77"/>
        <v>632217</v>
      </c>
      <c r="F154" s="3">
        <f t="shared" si="77"/>
        <v>83989</v>
      </c>
      <c r="G154" s="3">
        <f t="shared" si="77"/>
        <v>95818</v>
      </c>
      <c r="H154" s="3">
        <f t="shared" si="77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25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25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25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5" thickBot="1" x14ac:dyDescent="0.25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25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25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25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25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5" thickBot="1" x14ac:dyDescent="0.25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5" thickBot="1" x14ac:dyDescent="0.25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5" thickBot="1" x14ac:dyDescent="0.25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5" thickBot="1" x14ac:dyDescent="0.25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5" thickBot="1" x14ac:dyDescent="0.25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8">H342*40.65/1000</f>
        <v>611.25404999999989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79">I342-I343</f>
        <v>25225</v>
      </c>
      <c r="H343" s="67">
        <v>7190</v>
      </c>
      <c r="I343" s="67">
        <v>920099</v>
      </c>
      <c r="J343" s="15"/>
      <c r="K343" s="15"/>
      <c r="L343" s="14">
        <f t="shared" si="78"/>
        <v>292.27350000000001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79"/>
        <v>46199</v>
      </c>
      <c r="H344" s="67">
        <v>2111</v>
      </c>
      <c r="I344" s="67">
        <v>873900</v>
      </c>
      <c r="J344" s="15"/>
      <c r="K344" s="15"/>
      <c r="L344" s="14">
        <f t="shared" si="78"/>
        <v>85.812149999999988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79"/>
        <v>-147193</v>
      </c>
      <c r="H345" s="67">
        <v>4439</v>
      </c>
      <c r="I345" s="67">
        <v>1021093</v>
      </c>
      <c r="L345" s="14">
        <f t="shared" si="78"/>
        <v>180.44535000000002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79"/>
        <v>275572</v>
      </c>
      <c r="H346" s="67">
        <v>1744</v>
      </c>
      <c r="I346" s="67">
        <v>745521</v>
      </c>
      <c r="L346" s="14">
        <f t="shared" si="78"/>
        <v>70.893599999999992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79"/>
        <v>-154300</v>
      </c>
      <c r="H347" s="67">
        <v>5782</v>
      </c>
      <c r="I347" s="67">
        <v>899821</v>
      </c>
      <c r="L347" s="14">
        <f t="shared" si="78"/>
        <v>235.03829999999999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79"/>
        <v>105613</v>
      </c>
      <c r="H348" s="67">
        <v>1503</v>
      </c>
      <c r="I348" s="67">
        <v>794208</v>
      </c>
      <c r="L348" s="14">
        <f t="shared" si="78"/>
        <v>61.09695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8"/>
        <v>123.0882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8"/>
        <v>180.44535000000002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8"/>
        <v>337.47629999999998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8"/>
        <v>414.91454999999996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8"/>
        <v>680.68425000000002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0">H368*40.65/1000</f>
        <v>88.088549999999998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1">I368-I369</f>
        <v>159885</v>
      </c>
      <c r="H369" s="16">
        <v>2498</v>
      </c>
      <c r="I369" s="16">
        <v>774919</v>
      </c>
      <c r="J369" s="15"/>
      <c r="K369" s="15"/>
      <c r="L369" s="14">
        <f t="shared" si="80"/>
        <v>101.5437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1"/>
        <v>163086</v>
      </c>
      <c r="H370" s="16">
        <v>641</v>
      </c>
      <c r="I370" s="16">
        <v>611833</v>
      </c>
      <c r="J370" s="15"/>
      <c r="K370" s="15"/>
      <c r="L370" s="14">
        <f t="shared" si="80"/>
        <v>26.056649999999998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1"/>
        <v>13419</v>
      </c>
      <c r="H371" s="16">
        <v>-739</v>
      </c>
      <c r="I371" s="16">
        <v>598414</v>
      </c>
      <c r="J371" s="15"/>
      <c r="K371" s="15"/>
      <c r="L371" s="14">
        <f t="shared" si="80"/>
        <v>-30.04035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1"/>
        <v>-13133</v>
      </c>
      <c r="H372" s="16">
        <v>-572</v>
      </c>
      <c r="I372" s="16">
        <v>611547</v>
      </c>
      <c r="J372" s="15"/>
      <c r="K372" s="15"/>
      <c r="L372" s="14">
        <f t="shared" si="80"/>
        <v>-23.251799999999999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1"/>
        <v>66492</v>
      </c>
      <c r="H373" s="16">
        <v>2580</v>
      </c>
      <c r="I373" s="16">
        <v>545055</v>
      </c>
      <c r="J373" s="15"/>
      <c r="K373" s="15"/>
      <c r="L373" s="14">
        <f t="shared" si="80"/>
        <v>104.877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1"/>
        <v>44823</v>
      </c>
      <c r="H374" s="16">
        <v>476</v>
      </c>
      <c r="I374" s="16">
        <v>500232</v>
      </c>
      <c r="J374" s="15"/>
      <c r="K374" s="15"/>
      <c r="L374" s="14">
        <f t="shared" si="80"/>
        <v>19.349399999999999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0"/>
        <v>76.21875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0"/>
        <v>306.21645000000001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0"/>
        <v>417.88200000000001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0"/>
        <v>603.69315000000006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0"/>
        <v>801.08954999999992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2">H381*40.65/1000</f>
        <v>43.576799999999999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3">I381-I382</f>
        <v>-194892</v>
      </c>
      <c r="H382" s="16">
        <v>66</v>
      </c>
      <c r="I382" s="16">
        <v>420608</v>
      </c>
      <c r="J382" s="15"/>
      <c r="K382" s="15"/>
      <c r="L382" s="14">
        <f t="shared" si="82"/>
        <v>2.6829000000000001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3"/>
        <v>95071</v>
      </c>
      <c r="H383" s="16">
        <v>3303</v>
      </c>
      <c r="I383" s="16">
        <v>325537</v>
      </c>
      <c r="J383" s="15"/>
      <c r="K383" s="15"/>
      <c r="L383" s="14">
        <f t="shared" si="82"/>
        <v>134.26694999999998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3"/>
        <v>2593</v>
      </c>
      <c r="H384" s="16">
        <v>1764</v>
      </c>
      <c r="I384" s="16">
        <v>322944</v>
      </c>
      <c r="J384" s="15"/>
      <c r="K384" s="15"/>
      <c r="L384" s="14">
        <f t="shared" si="82"/>
        <v>71.706599999999995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3"/>
        <v>0</v>
      </c>
      <c r="H385" s="16">
        <v>1764</v>
      </c>
      <c r="I385" s="16">
        <v>322944</v>
      </c>
      <c r="J385" s="15"/>
      <c r="K385" s="15"/>
      <c r="L385" s="14">
        <f t="shared" si="82"/>
        <v>71.706599999999995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3"/>
        <v>-44958</v>
      </c>
      <c r="H386" s="16">
        <v>1426</v>
      </c>
      <c r="I386" s="16">
        <v>367902</v>
      </c>
      <c r="J386" s="15"/>
      <c r="K386" s="15"/>
      <c r="L386" s="14">
        <f t="shared" si="82"/>
        <v>57.966900000000003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3"/>
        <v>107506</v>
      </c>
      <c r="H387" s="16">
        <v>2184</v>
      </c>
      <c r="I387" s="16">
        <v>260396</v>
      </c>
      <c r="J387" s="15"/>
      <c r="K387" s="15"/>
      <c r="L387" s="14">
        <f t="shared" si="82"/>
        <v>88.779599999999988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2"/>
        <v>40.65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2"/>
        <v>165.40485000000001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2"/>
        <v>390.8091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2"/>
        <v>303.57420000000002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2"/>
        <v>536.86454999999989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4">H394*40.65/1000</f>
        <v>197.2338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5">I394-I395</f>
        <v>-84957</v>
      </c>
      <c r="H395" s="16">
        <v>3977</v>
      </c>
      <c r="I395" s="16">
        <v>319711</v>
      </c>
      <c r="J395" s="15"/>
      <c r="K395" s="15"/>
      <c r="L395" s="14">
        <f t="shared" si="84"/>
        <v>161.66504999999998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5"/>
        <v>110178</v>
      </c>
      <c r="H396" s="16">
        <v>578</v>
      </c>
      <c r="I396" s="16">
        <v>209533</v>
      </c>
      <c r="J396" s="15"/>
      <c r="K396" s="15"/>
      <c r="L396" s="14">
        <f t="shared" si="84"/>
        <v>23.495699999999999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5"/>
        <v>-13240</v>
      </c>
      <c r="H397" s="16">
        <v>1227</v>
      </c>
      <c r="I397" s="16">
        <v>222773</v>
      </c>
      <c r="J397" s="15"/>
      <c r="K397" s="15"/>
      <c r="L397" s="14">
        <f t="shared" si="84"/>
        <v>49.877549999999992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5"/>
        <v>-119801</v>
      </c>
      <c r="H398" s="16">
        <v>971</v>
      </c>
      <c r="I398" s="16">
        <v>342574</v>
      </c>
      <c r="J398" s="15"/>
      <c r="K398" s="15"/>
      <c r="L398" s="14">
        <f t="shared" si="84"/>
        <v>39.471150000000002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5"/>
        <v>-220662</v>
      </c>
      <c r="H399" s="16">
        <v>1269</v>
      </c>
      <c r="I399" s="16">
        <v>563236</v>
      </c>
      <c r="J399" s="15"/>
      <c r="K399" s="15"/>
      <c r="L399" s="14">
        <f t="shared" si="84"/>
        <v>51.584849999999996</v>
      </c>
      <c r="N399" s="23" t="str">
        <f>'Olieforbrug, TJ'!M399</f>
        <v>June</v>
      </c>
    </row>
    <row r="400" spans="1:14" ht="12" customHeight="1" x14ac:dyDescent="0.2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5"/>
        <v>-262676</v>
      </c>
      <c r="H400" s="16">
        <v>-1027</v>
      </c>
      <c r="I400" s="16">
        <v>825912</v>
      </c>
      <c r="J400" s="15"/>
      <c r="K400" s="15"/>
      <c r="L400" s="14">
        <f t="shared" ref="L400:L405" si="86">H400*40.65/1000</f>
        <v>-41.747549999999997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6"/>
        <v>-13.21125</v>
      </c>
      <c r="N401" s="23" t="str">
        <f>'Olieforbrug, TJ'!M401</f>
        <v>August</v>
      </c>
    </row>
    <row r="402" spans="1:14" ht="12" customHeight="1" x14ac:dyDescent="0.2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6"/>
        <v>126.2589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6"/>
        <v>462.75959999999998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6"/>
        <v>598.65254999999991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6"/>
        <v>327.11054999999999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7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7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7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7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7"/>
        <v>6841</v>
      </c>
      <c r="H412" s="16">
        <v>1740</v>
      </c>
      <c r="I412" s="16">
        <v>1111660</v>
      </c>
      <c r="J412" s="15"/>
      <c r="K412" s="15"/>
      <c r="L412" s="14">
        <f t="shared" ref="L412:L418" si="88">H412*40.65/1000</f>
        <v>70.730999999999995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7"/>
        <v>206229</v>
      </c>
      <c r="H413" s="16">
        <v>1461</v>
      </c>
      <c r="I413" s="16">
        <v>905431</v>
      </c>
      <c r="J413" s="15"/>
      <c r="K413" s="15"/>
      <c r="L413" s="14">
        <f t="shared" si="88"/>
        <v>59.389650000000003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8"/>
        <v>178.90064999999998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8"/>
        <v>164.10405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8"/>
        <v>473.12534999999997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8"/>
        <v>449.3451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8"/>
        <v>314.38709999999998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89">H420*40.65/1000</f>
        <v>355.07774999999998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0">I420-I421</f>
        <v>76038</v>
      </c>
      <c r="H421" s="16">
        <v>2168</v>
      </c>
      <c r="I421" s="16">
        <v>756668</v>
      </c>
      <c r="J421" s="15"/>
      <c r="K421" s="15"/>
      <c r="L421" s="14">
        <f t="shared" si="89"/>
        <v>88.129199999999997</v>
      </c>
      <c r="N421" s="23" t="str">
        <f>'Olieforbrug, TJ'!M421</f>
        <v>February</v>
      </c>
    </row>
    <row r="422" spans="1:14" s="102" customFormat="1" x14ac:dyDescent="0.2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0"/>
        <v>-5262</v>
      </c>
      <c r="H422" s="103">
        <v>2563</v>
      </c>
      <c r="I422" s="103">
        <v>761930</v>
      </c>
      <c r="J422" s="104"/>
      <c r="K422" s="104"/>
      <c r="L422" s="105">
        <f t="shared" si="89"/>
        <v>104.18594999999999</v>
      </c>
      <c r="N422" s="101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0"/>
        <v>191808</v>
      </c>
      <c r="H423" s="16">
        <v>1686</v>
      </c>
      <c r="I423" s="16">
        <v>570122</v>
      </c>
      <c r="J423" s="15"/>
      <c r="K423" s="15"/>
      <c r="L423" s="14">
        <f t="shared" si="89"/>
        <v>68.535899999999998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0"/>
        <v>-101633</v>
      </c>
      <c r="H424" s="16">
        <v>1838</v>
      </c>
      <c r="I424" s="16">
        <v>671755</v>
      </c>
      <c r="J424" s="15"/>
      <c r="K424" s="15"/>
      <c r="L424" s="14">
        <f t="shared" si="89"/>
        <v>74.714699999999993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0"/>
        <v>10765</v>
      </c>
      <c r="H425" s="16">
        <v>2489</v>
      </c>
      <c r="I425" s="16">
        <v>660990</v>
      </c>
      <c r="J425" s="15"/>
      <c r="K425" s="15"/>
      <c r="L425" s="14">
        <f t="shared" si="89"/>
        <v>101.17784999999999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0"/>
        <v>239979</v>
      </c>
      <c r="H426" s="16">
        <v>2057</v>
      </c>
      <c r="I426" s="16">
        <v>421011</v>
      </c>
      <c r="J426" s="15"/>
      <c r="K426" s="15"/>
      <c r="L426" s="14">
        <f t="shared" si="89"/>
        <v>83.617050000000006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89"/>
        <v>98.129099999999994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89"/>
        <v>157.23419999999999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89"/>
        <v>313.24889999999999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89"/>
        <v>190.32329999999999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89"/>
        <v>507.63719999999995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1">H433*40.65/1000</f>
        <v>7.1543999999999999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2">I433-I434</f>
        <v>84264</v>
      </c>
      <c r="H434" s="16">
        <v>909</v>
      </c>
      <c r="I434" s="16">
        <v>197994</v>
      </c>
      <c r="J434" s="15"/>
      <c r="K434" s="15"/>
      <c r="L434" s="14">
        <f t="shared" si="91"/>
        <v>36.950849999999996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2"/>
        <v>-141609</v>
      </c>
      <c r="H435" s="16">
        <v>5251</v>
      </c>
      <c r="I435" s="16">
        <v>339603</v>
      </c>
      <c r="J435" s="15"/>
      <c r="K435" s="15"/>
      <c r="L435" s="14">
        <f t="shared" si="91"/>
        <v>213.45314999999999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2"/>
        <v>-45528</v>
      </c>
      <c r="H436" s="16">
        <v>12539</v>
      </c>
      <c r="I436" s="16">
        <v>385131</v>
      </c>
      <c r="J436" s="15"/>
      <c r="K436" s="15"/>
      <c r="L436" s="14">
        <f t="shared" si="91"/>
        <v>509.71034999999995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2"/>
        <v>25588</v>
      </c>
      <c r="H437" s="16">
        <v>2202</v>
      </c>
      <c r="I437" s="16">
        <v>359543</v>
      </c>
      <c r="J437" s="15"/>
      <c r="K437" s="15"/>
      <c r="L437" s="14">
        <f t="shared" si="91"/>
        <v>89.511300000000006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2"/>
        <v>-30941</v>
      </c>
      <c r="H438" s="16">
        <v>2327</v>
      </c>
      <c r="I438" s="16">
        <v>390484</v>
      </c>
      <c r="J438" s="15"/>
      <c r="K438" s="15"/>
      <c r="L438" s="14">
        <f t="shared" si="91"/>
        <v>94.592550000000003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2"/>
        <v>117893</v>
      </c>
      <c r="H439" s="16">
        <v>5013</v>
      </c>
      <c r="I439" s="16">
        <v>272591</v>
      </c>
      <c r="J439" s="15"/>
      <c r="K439" s="15"/>
      <c r="L439" s="14">
        <f t="shared" ref="L439" si="93">H439*40.65/1000</f>
        <v>203.77844999999999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4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5">H440*40.65/1000</f>
        <v>116.09639999999999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6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7">H441*40.65/1000</f>
        <v>419.95514999999995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8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99">H442*40.65/1000</f>
        <v>324.4683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0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1">H443*40.65/1000</f>
        <v>184.14449999999999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2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3">H444*40.65/1000</f>
        <v>366.45974999999999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4">H446*40.65/1000</f>
        <v>168.81944999999999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5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6">H447*40.65/1000</f>
        <v>14.471399999999999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5"/>
        <v>-4721</v>
      </c>
      <c r="H448" s="16">
        <v>1886</v>
      </c>
      <c r="I448" s="16">
        <v>561000</v>
      </c>
      <c r="J448" s="15"/>
      <c r="K448" s="15"/>
      <c r="L448" s="14">
        <f t="shared" ref="L448" si="107">H448*40.65/1000</f>
        <v>76.665899999999993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5"/>
        <v>129905</v>
      </c>
      <c r="H449" s="16">
        <v>1716</v>
      </c>
      <c r="I449" s="16">
        <v>431095</v>
      </c>
      <c r="J449" s="15"/>
      <c r="K449" s="15"/>
      <c r="L449" s="14">
        <f t="shared" ref="L449" si="108">H449*40.65/1000</f>
        <v>69.755399999999995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5"/>
        <v>-9637</v>
      </c>
      <c r="H450" s="77">
        <v>924</v>
      </c>
      <c r="I450" s="16">
        <v>440732</v>
      </c>
      <c r="J450" s="15"/>
      <c r="K450" s="15"/>
      <c r="L450" s="14">
        <f t="shared" ref="L450" si="109">H450*40.65/1000</f>
        <v>37.560600000000001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5"/>
        <v>7366</v>
      </c>
      <c r="H451" s="77">
        <v>-60</v>
      </c>
      <c r="I451" s="16">
        <v>433366</v>
      </c>
      <c r="J451" s="15"/>
      <c r="K451" s="15"/>
      <c r="L451" s="14">
        <f t="shared" ref="L451" si="110">H451*40.65/1000</f>
        <v>-2.4390000000000001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5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1">H452*40.65/1000</f>
        <v>42.0736895047921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2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3">H453*40.65/1000</f>
        <v>14.287618693563173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4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5">H454*40.65/1000</f>
        <v>169.55115000000001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16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17">H455*40.65/1000</f>
        <v>140.03925000000001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8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19">H456*40.65/1000</f>
        <v>182.76239999999999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0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1">H457*40.65/1000</f>
        <v>239.83500000000001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2">H459*40.65/1000</f>
        <v>150.8115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3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4">H460*40.65/1000</f>
        <v>37.194749999999999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3"/>
        <v>45122</v>
      </c>
      <c r="H461" s="77">
        <v>571</v>
      </c>
      <c r="I461" s="16">
        <v>308370</v>
      </c>
      <c r="J461" s="15"/>
      <c r="K461" s="15"/>
      <c r="L461" s="14">
        <f t="shared" ref="L461" si="125">H461*40.65/1000</f>
        <v>23.211149999999996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3"/>
        <v>-53694</v>
      </c>
      <c r="H462" s="77">
        <v>319</v>
      </c>
      <c r="I462" s="16">
        <v>362064</v>
      </c>
      <c r="J462" s="15"/>
      <c r="K462" s="15"/>
      <c r="L462" s="14">
        <f t="shared" ref="L462" si="126">H462*40.65/1000</f>
        <v>12.96735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3"/>
        <v>-33258</v>
      </c>
      <c r="H463" s="77">
        <v>456</v>
      </c>
      <c r="I463" s="16">
        <v>395322</v>
      </c>
      <c r="J463" s="15"/>
      <c r="K463" s="15"/>
      <c r="L463" s="14">
        <f t="shared" ref="L463" si="127">H463*40.65/1000</f>
        <v>18.536399999999997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3"/>
        <v>89138</v>
      </c>
      <c r="H464" s="77">
        <v>9</v>
      </c>
      <c r="I464" s="16">
        <v>306184</v>
      </c>
      <c r="J464" s="15"/>
      <c r="K464" s="15"/>
      <c r="L464" s="14">
        <f t="shared" ref="L464" si="128">H464*40.65/1000</f>
        <v>0.36584999999999995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3"/>
        <v>76963</v>
      </c>
      <c r="H465" s="77">
        <v>660</v>
      </c>
      <c r="I465" s="16">
        <v>229221</v>
      </c>
      <c r="J465" s="15"/>
      <c r="K465" s="15"/>
      <c r="L465" s="14">
        <f t="shared" ref="L465" si="129">H465*40.65/1000</f>
        <v>26.829000000000001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0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1">H466*40.65/1000</f>
        <v>39.5931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2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3">H467*40.65/1000</f>
        <v>17.235599999999998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4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5">H468*40.65/1000</f>
        <v>20.568899999999999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6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7">H469*40.65/1000</f>
        <v>8.7397500000000008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8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39">H470*40.65/1000</f>
        <v>7.6421999999999999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0">H472*40.65/1000</f>
        <v>21.625799999999998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1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2">H473*40.65/1000</f>
        <v>15.203100000000001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1"/>
        <v>-91273</v>
      </c>
      <c r="H474" s="77">
        <v>757</v>
      </c>
      <c r="I474" s="16">
        <v>425576</v>
      </c>
      <c r="J474" s="15"/>
      <c r="K474" s="15"/>
      <c r="L474" s="14">
        <f t="shared" ref="L474" si="143">H474*40.65/1000</f>
        <v>30.77205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1"/>
        <v>12600</v>
      </c>
      <c r="H475" s="77">
        <v>139</v>
      </c>
      <c r="I475" s="16">
        <v>412976</v>
      </c>
      <c r="J475" s="15"/>
      <c r="K475" s="15"/>
      <c r="L475" s="14">
        <f t="shared" ref="L475" si="144">H475*40.65/1000</f>
        <v>5.6503499999999995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1"/>
        <v>189251</v>
      </c>
      <c r="H476" s="77">
        <v>212</v>
      </c>
      <c r="I476" s="16">
        <v>223725</v>
      </c>
      <c r="J476" s="15"/>
      <c r="K476" s="15"/>
      <c r="L476" s="14">
        <f t="shared" ref="L476" si="145">H476*40.65/1000</f>
        <v>8.617799999999999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1"/>
        <v>-106033</v>
      </c>
      <c r="H477" s="77">
        <v>-5</v>
      </c>
      <c r="I477" s="16">
        <v>329758</v>
      </c>
      <c r="J477" s="15"/>
      <c r="K477" s="15"/>
      <c r="L477" s="14">
        <f t="shared" ref="L477" si="146">H477*40.65/1000</f>
        <v>-0.20324999999999999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1"/>
        <v>77852</v>
      </c>
      <c r="H478" s="77">
        <v>-63</v>
      </c>
      <c r="I478" s="16">
        <v>251906</v>
      </c>
      <c r="J478" s="15"/>
      <c r="K478" s="15"/>
      <c r="L478" s="14">
        <f t="shared" ref="L478" si="147">H478*40.65/1000</f>
        <v>-2.5609499999999996</v>
      </c>
      <c r="M478" s="174"/>
      <c r="N478" s="180" t="str">
        <f>'Olieforbrug, TJ'!M478</f>
        <v>July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2025-09-04T11:21:30Z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