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5544AF11-1A3E-4300-A17C-D7768D57F562}" xr6:coauthVersionLast="47" xr6:coauthVersionMax="47" xr10:uidLastSave="{00000000-0000-0000-0000-000000000000}"/>
  <bookViews>
    <workbookView xWindow="-28920" yWindow="-1530" windowWidth="29040" windowHeight="1572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156" i="15" l="1"/>
  <c r="P156" i="15"/>
  <c r="N156" i="15"/>
  <c r="J156" i="15"/>
  <c r="H156" i="15"/>
  <c r="G156" i="15"/>
  <c r="F156" i="15"/>
  <c r="E156" i="15"/>
  <c r="D156" i="15"/>
  <c r="C156" i="15"/>
  <c r="L156" i="14"/>
  <c r="I156" i="14"/>
  <c r="H156" i="14"/>
  <c r="G156" i="14"/>
  <c r="F156" i="14"/>
  <c r="E156" i="14"/>
  <c r="D156" i="14"/>
  <c r="C156" i="14"/>
  <c r="I156" i="11"/>
  <c r="G156" i="11"/>
  <c r="F156" i="11"/>
  <c r="E156" i="11"/>
  <c r="D156" i="11"/>
  <c r="C156" i="11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H30" i="15"/>
  <c r="G30" i="15"/>
  <c r="F30" i="15"/>
  <c r="E30" i="15"/>
  <c r="D30" i="15"/>
  <c r="C30" i="15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30" i="6"/>
  <c r="L30" i="6"/>
  <c r="I41" i="6"/>
  <c r="I40" i="6"/>
  <c r="I39" i="6"/>
  <c r="I38" i="6"/>
  <c r="I37" i="6"/>
  <c r="I36" i="6"/>
  <c r="I35" i="6"/>
  <c r="I34" i="6"/>
  <c r="I33" i="6"/>
  <c r="I32" i="6"/>
  <c r="I31" i="6"/>
  <c r="D30" i="6"/>
  <c r="E30" i="6"/>
  <c r="F30" i="6"/>
  <c r="H30" i="6"/>
  <c r="D31" i="6"/>
  <c r="E31" i="6"/>
  <c r="F31" i="6"/>
  <c r="H31" i="6"/>
  <c r="D32" i="6"/>
  <c r="E32" i="6"/>
  <c r="F32" i="6"/>
  <c r="H32" i="6"/>
  <c r="D33" i="6"/>
  <c r="E33" i="6"/>
  <c r="F33" i="6"/>
  <c r="G33" i="6"/>
  <c r="H33" i="6"/>
  <c r="L33" i="6"/>
  <c r="D34" i="6"/>
  <c r="E34" i="6"/>
  <c r="F34" i="6"/>
  <c r="G34" i="6"/>
  <c r="H34" i="6"/>
  <c r="L34" i="6"/>
  <c r="D35" i="6"/>
  <c r="E35" i="6"/>
  <c r="F35" i="6"/>
  <c r="G35" i="6"/>
  <c r="H35" i="6"/>
  <c r="L35" i="6"/>
  <c r="D36" i="6"/>
  <c r="E36" i="6"/>
  <c r="F36" i="6"/>
  <c r="G36" i="6"/>
  <c r="H36" i="6"/>
  <c r="L36" i="6"/>
  <c r="D37" i="6"/>
  <c r="E37" i="6"/>
  <c r="F37" i="6"/>
  <c r="G37" i="6"/>
  <c r="H37" i="6"/>
  <c r="L37" i="6"/>
  <c r="D38" i="6"/>
  <c r="E38" i="6"/>
  <c r="F38" i="6"/>
  <c r="G38" i="6"/>
  <c r="H38" i="6"/>
  <c r="L38" i="6"/>
  <c r="D39" i="6"/>
  <c r="E39" i="6"/>
  <c r="F39" i="6"/>
  <c r="G39" i="6"/>
  <c r="H39" i="6"/>
  <c r="L39" i="6"/>
  <c r="D40" i="6"/>
  <c r="E40" i="6"/>
  <c r="F40" i="6"/>
  <c r="H40" i="6"/>
  <c r="D41" i="6"/>
  <c r="E41" i="6"/>
  <c r="F41" i="6"/>
  <c r="G41" i="6"/>
  <c r="H41" i="6"/>
  <c r="L41" i="6"/>
  <c r="C41" i="6"/>
  <c r="C40" i="6"/>
  <c r="C39" i="6"/>
  <c r="C38" i="6"/>
  <c r="C37" i="6"/>
  <c r="C36" i="6"/>
  <c r="C35" i="6"/>
  <c r="C34" i="6"/>
  <c r="C33" i="6"/>
  <c r="C32" i="6"/>
  <c r="C31" i="6"/>
  <c r="C30" i="6"/>
  <c r="K30" i="16"/>
  <c r="K33" i="16"/>
  <c r="R27" i="15"/>
  <c r="P27" i="15"/>
  <c r="N27" i="15"/>
  <c r="J27" i="15"/>
  <c r="H27" i="15"/>
  <c r="G27" i="15"/>
  <c r="F27" i="15"/>
  <c r="E27" i="15"/>
  <c r="D27" i="15"/>
  <c r="C27" i="15"/>
  <c r="I27" i="3"/>
  <c r="L27" i="14"/>
  <c r="I27" i="14"/>
  <c r="H27" i="14"/>
  <c r="G27" i="14"/>
  <c r="F27" i="14"/>
  <c r="E27" i="14"/>
  <c r="D27" i="14"/>
  <c r="C27" i="14"/>
  <c r="I27" i="11"/>
  <c r="G27" i="11"/>
  <c r="F27" i="11"/>
  <c r="E27" i="11"/>
  <c r="D27" i="11"/>
  <c r="C27" i="11"/>
  <c r="K40" i="16"/>
  <c r="K39" i="16"/>
  <c r="K38" i="16"/>
  <c r="K37" i="16"/>
  <c r="K36" i="16"/>
  <c r="K35" i="16"/>
  <c r="K34" i="16"/>
  <c r="K32" i="16"/>
  <c r="K31" i="16"/>
  <c r="A483" i="15"/>
  <c r="G483" i="15"/>
  <c r="L483" i="15"/>
  <c r="L483" i="9"/>
  <c r="A483" i="9"/>
  <c r="N483" i="9"/>
  <c r="A483" i="13"/>
  <c r="G483" i="13"/>
  <c r="K483" i="13"/>
  <c r="I156" i="3"/>
  <c r="L483" i="3"/>
  <c r="A483" i="3"/>
  <c r="N483" i="3"/>
  <c r="A483" i="14"/>
  <c r="G483" i="14"/>
  <c r="N483" i="14"/>
  <c r="L483" i="10"/>
  <c r="A483" i="10"/>
  <c r="N483" i="10"/>
  <c r="I156" i="8"/>
  <c r="L483" i="8"/>
  <c r="A483" i="8"/>
  <c r="G483" i="8"/>
  <c r="N483" i="8"/>
  <c r="G483" i="7"/>
  <c r="L483" i="7"/>
  <c r="A483" i="7"/>
  <c r="N483" i="7"/>
  <c r="A483" i="1"/>
  <c r="N483" i="1"/>
  <c r="L483" i="11"/>
  <c r="A483" i="11"/>
  <c r="N483" i="11"/>
  <c r="I156" i="2"/>
  <c r="L483" i="2"/>
  <c r="B27" i="18" s="1"/>
  <c r="A483" i="2"/>
  <c r="N483" i="2"/>
  <c r="I156" i="4"/>
  <c r="L483" i="4"/>
  <c r="A483" i="4"/>
  <c r="N483" i="4"/>
  <c r="A483" i="5"/>
  <c r="N483" i="5"/>
  <c r="I156" i="12"/>
  <c r="A483" i="12"/>
  <c r="K483" i="12"/>
  <c r="I50" i="6"/>
  <c r="L483" i="6"/>
  <c r="A483" i="6"/>
  <c r="N483" i="6"/>
  <c r="A482" i="15"/>
  <c r="G482" i="15"/>
  <c r="L482" i="15"/>
  <c r="L482" i="9"/>
  <c r="A482" i="9"/>
  <c r="N482" i="9"/>
  <c r="A482" i="13"/>
  <c r="G482" i="13"/>
  <c r="K482" i="13"/>
  <c r="L482" i="3"/>
  <c r="A482" i="3"/>
  <c r="N482" i="3"/>
  <c r="A482" i="14"/>
  <c r="G482" i="14"/>
  <c r="N482" i="14"/>
  <c r="L482" i="10"/>
  <c r="A482" i="10"/>
  <c r="N482" i="10"/>
  <c r="L482" i="8"/>
  <c r="A482" i="8"/>
  <c r="N482" i="8"/>
  <c r="L482" i="7"/>
  <c r="A482" i="7"/>
  <c r="N482" i="7"/>
  <c r="A482" i="1"/>
  <c r="N482" i="1"/>
  <c r="L482" i="11"/>
  <c r="A482" i="11"/>
  <c r="N482" i="11"/>
  <c r="L482" i="2"/>
  <c r="B26" i="18" s="1"/>
  <c r="A482" i="2"/>
  <c r="N482" i="2"/>
  <c r="L482" i="4"/>
  <c r="A482" i="4"/>
  <c r="N482" i="4"/>
  <c r="A482" i="5"/>
  <c r="N482" i="5"/>
  <c r="A482" i="12"/>
  <c r="K482" i="12"/>
  <c r="L482" i="6"/>
  <c r="A482" i="6"/>
  <c r="N482" i="6"/>
  <c r="G483" i="10" l="1"/>
  <c r="I27" i="12"/>
  <c r="I27" i="4"/>
  <c r="I27" i="7"/>
  <c r="I27" i="10"/>
  <c r="I50" i="4"/>
  <c r="I50" i="7"/>
  <c r="I50" i="10"/>
  <c r="I50" i="3"/>
  <c r="I50" i="12"/>
  <c r="I156" i="7"/>
  <c r="I156" i="10"/>
  <c r="G483" i="4"/>
  <c r="G483" i="12"/>
  <c r="L483" i="1"/>
  <c r="B88" i="18" s="1"/>
  <c r="G483" i="9"/>
  <c r="G483" i="1"/>
  <c r="I27" i="2"/>
  <c r="I27" i="1"/>
  <c r="I27" i="8"/>
  <c r="I27" i="9"/>
  <c r="I50" i="2"/>
  <c r="I50" i="1"/>
  <c r="I50" i="8"/>
  <c r="I50" i="9"/>
  <c r="I156" i="1"/>
  <c r="I156" i="9"/>
  <c r="G483" i="2"/>
  <c r="G483" i="3"/>
  <c r="I156" i="6"/>
  <c r="L483" i="5"/>
  <c r="B58" i="18" s="1"/>
  <c r="L482" i="1"/>
  <c r="B87" i="18" s="1"/>
  <c r="G483" i="6"/>
  <c r="I27" i="6"/>
  <c r="L482" i="5"/>
  <c r="N481" i="4"/>
  <c r="N481" i="5"/>
  <c r="A481" i="15"/>
  <c r="G481" i="15"/>
  <c r="L481" i="15"/>
  <c r="G482" i="9"/>
  <c r="F156" i="9"/>
  <c r="E156" i="9"/>
  <c r="D156" i="9"/>
  <c r="C156" i="9"/>
  <c r="A481" i="9"/>
  <c r="N481" i="9"/>
  <c r="A481" i="13"/>
  <c r="G481" i="13"/>
  <c r="K481" i="13"/>
  <c r="G482" i="3"/>
  <c r="F156" i="3"/>
  <c r="E156" i="3"/>
  <c r="D156" i="3"/>
  <c r="C156" i="3"/>
  <c r="A481" i="3"/>
  <c r="N481" i="3"/>
  <c r="A481" i="14"/>
  <c r="G481" i="14"/>
  <c r="N481" i="14"/>
  <c r="G482" i="10"/>
  <c r="F156" i="10"/>
  <c r="E156" i="10"/>
  <c r="D156" i="10"/>
  <c r="C156" i="10"/>
  <c r="A481" i="10"/>
  <c r="N481" i="10"/>
  <c r="G482" i="8"/>
  <c r="F156" i="8"/>
  <c r="E156" i="8"/>
  <c r="D156" i="8"/>
  <c r="C156" i="8"/>
  <c r="A481" i="8"/>
  <c r="N481" i="8"/>
  <c r="G482" i="7"/>
  <c r="F156" i="7"/>
  <c r="E156" i="7"/>
  <c r="D156" i="7"/>
  <c r="C156" i="7"/>
  <c r="A481" i="7"/>
  <c r="N481" i="7"/>
  <c r="G482" i="1"/>
  <c r="F156" i="1"/>
  <c r="E156" i="1"/>
  <c r="D156" i="1"/>
  <c r="C156" i="1"/>
  <c r="A481" i="1"/>
  <c r="N481" i="1"/>
  <c r="A481" i="11"/>
  <c r="N481" i="11"/>
  <c r="G482" i="2"/>
  <c r="F156" i="2"/>
  <c r="E156" i="2"/>
  <c r="D156" i="2"/>
  <c r="C156" i="2"/>
  <c r="A481" i="2"/>
  <c r="N481" i="2"/>
  <c r="G482" i="4"/>
  <c r="A481" i="4"/>
  <c r="A481" i="5"/>
  <c r="G482" i="12"/>
  <c r="H156" i="12"/>
  <c r="F156" i="12"/>
  <c r="E156" i="12"/>
  <c r="D156" i="12"/>
  <c r="C156" i="12"/>
  <c r="A481" i="12"/>
  <c r="K481" i="12"/>
  <c r="G482" i="6"/>
  <c r="H156" i="6"/>
  <c r="F156" i="6"/>
  <c r="E156" i="6"/>
  <c r="D156" i="6"/>
  <c r="A481" i="6"/>
  <c r="N481" i="6"/>
  <c r="J155" i="15"/>
  <c r="R155" i="15"/>
  <c r="P155" i="15"/>
  <c r="N155" i="15"/>
  <c r="H155" i="15"/>
  <c r="G155" i="15"/>
  <c r="F155" i="15"/>
  <c r="E155" i="15"/>
  <c r="D155" i="15"/>
  <c r="C155" i="15"/>
  <c r="L155" i="14"/>
  <c r="I155" i="14"/>
  <c r="H155" i="14"/>
  <c r="G155" i="14"/>
  <c r="F155" i="14"/>
  <c r="E155" i="14"/>
  <c r="D155" i="14"/>
  <c r="C155" i="14"/>
  <c r="I155" i="11"/>
  <c r="G155" i="11"/>
  <c r="F155" i="11"/>
  <c r="E155" i="11"/>
  <c r="D155" i="11"/>
  <c r="C155" i="11"/>
  <c r="A480" i="15"/>
  <c r="G480" i="15"/>
  <c r="L480" i="15"/>
  <c r="L480" i="9"/>
  <c r="A480" i="9"/>
  <c r="N480" i="9"/>
  <c r="A480" i="13"/>
  <c r="G480" i="13"/>
  <c r="K480" i="13"/>
  <c r="I155" i="3"/>
  <c r="L480" i="3"/>
  <c r="A480" i="3"/>
  <c r="N480" i="3"/>
  <c r="A480" i="14"/>
  <c r="G480" i="14"/>
  <c r="N480" i="14"/>
  <c r="L480" i="10"/>
  <c r="A480" i="10"/>
  <c r="N480" i="10"/>
  <c r="L480" i="8"/>
  <c r="A480" i="8"/>
  <c r="N480" i="8"/>
  <c r="L480" i="7"/>
  <c r="A480" i="7"/>
  <c r="N480" i="7"/>
  <c r="A480" i="1"/>
  <c r="N480" i="1"/>
  <c r="A480" i="11"/>
  <c r="N480" i="11"/>
  <c r="L480" i="2"/>
  <c r="B24" i="18" s="1"/>
  <c r="A480" i="2"/>
  <c r="N480" i="2"/>
  <c r="L480" i="4"/>
  <c r="A480" i="4"/>
  <c r="N480" i="4"/>
  <c r="A480" i="5"/>
  <c r="N480" i="5"/>
  <c r="A480" i="12"/>
  <c r="K480" i="12"/>
  <c r="L480" i="6"/>
  <c r="A480" i="6"/>
  <c r="N480" i="6"/>
  <c r="A479" i="15"/>
  <c r="G479" i="15"/>
  <c r="L479" i="15"/>
  <c r="L479" i="9"/>
  <c r="A479" i="9"/>
  <c r="N479" i="9"/>
  <c r="A479" i="13"/>
  <c r="G479" i="13"/>
  <c r="K479" i="13"/>
  <c r="L479" i="3"/>
  <c r="A479" i="3"/>
  <c r="N479" i="3"/>
  <c r="A479" i="14"/>
  <c r="G479" i="14"/>
  <c r="N479" i="14"/>
  <c r="L479" i="10"/>
  <c r="A479" i="10"/>
  <c r="N479" i="10"/>
  <c r="L479" i="8"/>
  <c r="A479" i="8"/>
  <c r="N479" i="8"/>
  <c r="G480" i="7"/>
  <c r="L479" i="7"/>
  <c r="A479" i="7"/>
  <c r="N479" i="7"/>
  <c r="A479" i="1"/>
  <c r="N479" i="1"/>
  <c r="L479" i="11"/>
  <c r="A479" i="11"/>
  <c r="N479" i="11"/>
  <c r="L479" i="2"/>
  <c r="B23" i="18" s="1"/>
  <c r="A479" i="2"/>
  <c r="N479" i="2"/>
  <c r="L479" i="4"/>
  <c r="A479" i="4"/>
  <c r="N479" i="4"/>
  <c r="A479" i="5"/>
  <c r="N479" i="5"/>
  <c r="A479" i="12"/>
  <c r="K479" i="12"/>
  <c r="L479" i="6"/>
  <c r="A479" i="6"/>
  <c r="N479" i="6"/>
  <c r="L481" i="2" l="1"/>
  <c r="H156" i="2"/>
  <c r="G483" i="5"/>
  <c r="I156" i="5"/>
  <c r="I50" i="5"/>
  <c r="I27" i="5"/>
  <c r="L481" i="7"/>
  <c r="L156" i="7" s="1"/>
  <c r="H156" i="7"/>
  <c r="L481" i="10"/>
  <c r="L156" i="10" s="1"/>
  <c r="H156" i="10"/>
  <c r="L481" i="6"/>
  <c r="L156" i="6" s="1"/>
  <c r="C156" i="6"/>
  <c r="C156" i="5"/>
  <c r="C156" i="4"/>
  <c r="H156" i="11"/>
  <c r="D156" i="5"/>
  <c r="D156" i="4"/>
  <c r="E156" i="5"/>
  <c r="E156" i="4"/>
  <c r="F156" i="5"/>
  <c r="F156" i="4"/>
  <c r="L481" i="4"/>
  <c r="L156" i="4" s="1"/>
  <c r="H156" i="4"/>
  <c r="L481" i="9"/>
  <c r="L156" i="9" s="1"/>
  <c r="H156" i="9"/>
  <c r="K483" i="16"/>
  <c r="L481" i="8"/>
  <c r="L156" i="8" s="1"/>
  <c r="H156" i="8"/>
  <c r="L481" i="3"/>
  <c r="L156" i="3" s="1"/>
  <c r="H156" i="3"/>
  <c r="K482" i="16"/>
  <c r="B57" i="18"/>
  <c r="G481" i="6"/>
  <c r="G156" i="6" s="1"/>
  <c r="G481" i="4"/>
  <c r="G156" i="4" s="1"/>
  <c r="G481" i="9"/>
  <c r="G156" i="9" s="1"/>
  <c r="G481" i="1"/>
  <c r="G156" i="1" s="1"/>
  <c r="G481" i="8"/>
  <c r="G156" i="8" s="1"/>
  <c r="G481" i="3"/>
  <c r="G156" i="3" s="1"/>
  <c r="G481" i="12"/>
  <c r="G156" i="12" s="1"/>
  <c r="G481" i="2"/>
  <c r="G156" i="2" s="1"/>
  <c r="G481" i="7"/>
  <c r="G156" i="7" s="1"/>
  <c r="G481" i="10"/>
  <c r="G156" i="10" s="1"/>
  <c r="G482" i="5"/>
  <c r="L481" i="11"/>
  <c r="L156" i="11" s="1"/>
  <c r="G480" i="1"/>
  <c r="G480" i="5"/>
  <c r="I155" i="5"/>
  <c r="G480" i="10"/>
  <c r="I155" i="10"/>
  <c r="I155" i="7"/>
  <c r="L480" i="11"/>
  <c r="L480" i="1"/>
  <c r="B85" i="18" s="1"/>
  <c r="I155" i="4"/>
  <c r="G480" i="12"/>
  <c r="G480" i="9"/>
  <c r="I155" i="12"/>
  <c r="G480" i="8"/>
  <c r="G480" i="2"/>
  <c r="G480" i="3"/>
  <c r="G480" i="4"/>
  <c r="I155" i="2"/>
  <c r="I155" i="1"/>
  <c r="I155" i="8"/>
  <c r="I155" i="9"/>
  <c r="G480" i="6"/>
  <c r="I155" i="6"/>
  <c r="L480" i="5"/>
  <c r="L479" i="1"/>
  <c r="B84" i="18" s="1"/>
  <c r="A478" i="15"/>
  <c r="G478" i="15"/>
  <c r="L478" i="15"/>
  <c r="G479" i="9"/>
  <c r="F155" i="9"/>
  <c r="E155" i="9"/>
  <c r="D155" i="9"/>
  <c r="C155" i="9"/>
  <c r="A478" i="9"/>
  <c r="N478" i="9"/>
  <c r="A478" i="13"/>
  <c r="G478" i="13"/>
  <c r="K478" i="13"/>
  <c r="G479" i="3"/>
  <c r="F155" i="3"/>
  <c r="E155" i="3"/>
  <c r="D155" i="3"/>
  <c r="C155" i="3"/>
  <c r="A478" i="3"/>
  <c r="N478" i="3"/>
  <c r="A478" i="14"/>
  <c r="G478" i="14"/>
  <c r="N478" i="14"/>
  <c r="G479" i="10"/>
  <c r="F155" i="10"/>
  <c r="E155" i="10"/>
  <c r="D155" i="10"/>
  <c r="C155" i="10"/>
  <c r="A478" i="10"/>
  <c r="N478" i="10"/>
  <c r="G479" i="8"/>
  <c r="F155" i="8"/>
  <c r="E155" i="8"/>
  <c r="D155" i="8"/>
  <c r="C155" i="8"/>
  <c r="A478" i="8"/>
  <c r="N478" i="8"/>
  <c r="G479" i="7"/>
  <c r="F155" i="7"/>
  <c r="E155" i="7"/>
  <c r="D155" i="7"/>
  <c r="C155" i="7"/>
  <c r="A478" i="7"/>
  <c r="N478" i="7"/>
  <c r="G479" i="1"/>
  <c r="F155" i="1"/>
  <c r="E155" i="1"/>
  <c r="D155" i="1"/>
  <c r="C155" i="1"/>
  <c r="A478" i="1"/>
  <c r="N478" i="1"/>
  <c r="A478" i="11"/>
  <c r="N478" i="11"/>
  <c r="G479" i="2"/>
  <c r="F155" i="2"/>
  <c r="E155" i="2"/>
  <c r="D155" i="2"/>
  <c r="C155" i="2"/>
  <c r="A478" i="2"/>
  <c r="N478" i="2"/>
  <c r="G479" i="4"/>
  <c r="D155" i="4"/>
  <c r="A478" i="4"/>
  <c r="N478" i="4"/>
  <c r="A478" i="5"/>
  <c r="N478" i="5"/>
  <c r="G479" i="12"/>
  <c r="H155" i="12"/>
  <c r="F155" i="12"/>
  <c r="E155" i="12"/>
  <c r="D155" i="12"/>
  <c r="C155" i="12"/>
  <c r="A478" i="12"/>
  <c r="K478" i="12"/>
  <c r="G479" i="6"/>
  <c r="H155" i="6"/>
  <c r="F155" i="6"/>
  <c r="E155" i="6"/>
  <c r="D155" i="6"/>
  <c r="A478" i="6"/>
  <c r="N478" i="6"/>
  <c r="L481" i="5" l="1"/>
  <c r="H156" i="5"/>
  <c r="L481" i="1"/>
  <c r="H156" i="1"/>
  <c r="B25" i="18"/>
  <c r="L156" i="2"/>
  <c r="G481" i="5"/>
  <c r="G156" i="5" s="1"/>
  <c r="K481" i="16"/>
  <c r="K156" i="16" s="1"/>
  <c r="E155" i="5"/>
  <c r="E155" i="4"/>
  <c r="L478" i="3"/>
  <c r="L155" i="3" s="1"/>
  <c r="H155" i="3"/>
  <c r="L478" i="2"/>
  <c r="L155" i="2" s="1"/>
  <c r="H155" i="2"/>
  <c r="L478" i="10"/>
  <c r="L155" i="10" s="1"/>
  <c r="H155" i="10"/>
  <c r="L478" i="6"/>
  <c r="L155" i="6" s="1"/>
  <c r="C155" i="6"/>
  <c r="L478" i="7"/>
  <c r="L155" i="7" s="1"/>
  <c r="H155" i="7"/>
  <c r="C155" i="5"/>
  <c r="C155" i="4"/>
  <c r="L478" i="11"/>
  <c r="L155" i="11" s="1"/>
  <c r="H155" i="11"/>
  <c r="F155" i="5"/>
  <c r="F155" i="4"/>
  <c r="L478" i="9"/>
  <c r="L155" i="9" s="1"/>
  <c r="H155" i="9"/>
  <c r="K480" i="16"/>
  <c r="B55" i="18"/>
  <c r="H155" i="4"/>
  <c r="L478" i="8"/>
  <c r="L155" i="8" s="1"/>
  <c r="H155" i="8"/>
  <c r="L479" i="5"/>
  <c r="D155" i="5"/>
  <c r="H155" i="1"/>
  <c r="G479" i="5"/>
  <c r="L478" i="4"/>
  <c r="L155" i="4" s="1"/>
  <c r="J154" i="15"/>
  <c r="R154" i="15"/>
  <c r="P154" i="15"/>
  <c r="N154" i="15"/>
  <c r="D154" i="15"/>
  <c r="E154" i="15"/>
  <c r="F154" i="15"/>
  <c r="H154" i="15"/>
  <c r="C154" i="15"/>
  <c r="L154" i="14"/>
  <c r="I154" i="14"/>
  <c r="H154" i="14"/>
  <c r="F154" i="14"/>
  <c r="E154" i="14"/>
  <c r="D154" i="14"/>
  <c r="C154" i="14"/>
  <c r="I154" i="11"/>
  <c r="G154" i="11"/>
  <c r="F154" i="11"/>
  <c r="E154" i="11"/>
  <c r="D154" i="11"/>
  <c r="C154" i="11"/>
  <c r="A477" i="15"/>
  <c r="G477" i="15"/>
  <c r="L477" i="15"/>
  <c r="G478" i="9"/>
  <c r="G155" i="9" s="1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G155" i="10" s="1"/>
  <c r="L477" i="10"/>
  <c r="A477" i="10"/>
  <c r="N477" i="10"/>
  <c r="G478" i="8"/>
  <c r="G155" i="8" s="1"/>
  <c r="L477" i="8"/>
  <c r="A477" i="8"/>
  <c r="N477" i="8"/>
  <c r="G478" i="7"/>
  <c r="G155" i="7" s="1"/>
  <c r="L477" i="7"/>
  <c r="A477" i="7"/>
  <c r="N477" i="7"/>
  <c r="G478" i="1"/>
  <c r="G155" i="1" s="1"/>
  <c r="A477" i="1"/>
  <c r="N477" i="1"/>
  <c r="L477" i="11"/>
  <c r="A477" i="11"/>
  <c r="N477" i="11"/>
  <c r="G478" i="2"/>
  <c r="G155" i="2" s="1"/>
  <c r="L477" i="2"/>
  <c r="A477" i="2"/>
  <c r="N477" i="2"/>
  <c r="I154" i="4"/>
  <c r="L477" i="5"/>
  <c r="A477" i="4"/>
  <c r="N477" i="4"/>
  <c r="A477" i="5"/>
  <c r="N477" i="5"/>
  <c r="G478" i="12"/>
  <c r="G155" i="12" s="1"/>
  <c r="A477" i="12"/>
  <c r="K477" i="12"/>
  <c r="G478" i="6"/>
  <c r="G155" i="6" s="1"/>
  <c r="L477" i="6"/>
  <c r="A477" i="6"/>
  <c r="N477" i="6"/>
  <c r="B86" i="18" l="1"/>
  <c r="L156" i="1"/>
  <c r="B56" i="18"/>
  <c r="L156" i="5"/>
  <c r="B22" i="18"/>
  <c r="L478" i="5"/>
  <c r="H155" i="5"/>
  <c r="B54" i="18"/>
  <c r="K479" i="16"/>
  <c r="G478" i="3"/>
  <c r="G155" i="3" s="1"/>
  <c r="I154" i="5"/>
  <c r="G478" i="4"/>
  <c r="G155" i="4" s="1"/>
  <c r="L477" i="1"/>
  <c r="B82" i="18" s="1"/>
  <c r="L478" i="1"/>
  <c r="L155" i="1" s="1"/>
  <c r="I154" i="2"/>
  <c r="I154" i="1"/>
  <c r="I154" i="8"/>
  <c r="I154" i="9"/>
  <c r="I154" i="6"/>
  <c r="B21" i="18"/>
  <c r="B52" i="18"/>
  <c r="I154" i="7"/>
  <c r="I154" i="10"/>
  <c r="I154" i="12"/>
  <c r="L477" i="4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L155" i="5" l="1"/>
  <c r="B53" i="18"/>
  <c r="G478" i="5"/>
  <c r="G155" i="5" s="1"/>
  <c r="B83" i="18"/>
  <c r="K478" i="16"/>
  <c r="K155" i="16" s="1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A475" i="15"/>
  <c r="G475" i="15"/>
  <c r="G154" i="15" s="1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G154" i="14" s="1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7"/>
  <c r="I153" i="10"/>
  <c r="G475" i="10"/>
  <c r="G154" i="10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B18" i="18"/>
  <c r="B49" i="18"/>
  <c r="I153" i="5"/>
  <c r="G473" i="14"/>
  <c r="G473" i="13"/>
  <c r="G473" i="15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K474" i="16" l="1"/>
  <c r="L473" i="6"/>
  <c r="B79" i="18"/>
  <c r="L473" i="10"/>
  <c r="L473" i="7"/>
  <c r="L473" i="11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C109" i="6"/>
  <c r="L108" i="6"/>
  <c r="H108" i="6"/>
  <c r="G108" i="6"/>
  <c r="F108" i="6"/>
  <c r="F18" i="6" s="1"/>
  <c r="E108" i="6"/>
  <c r="E18" i="6" s="1"/>
  <c r="D108" i="6"/>
  <c r="C108" i="6"/>
  <c r="C98" i="6"/>
  <c r="D98" i="6"/>
  <c r="E98" i="6"/>
  <c r="F98" i="6"/>
  <c r="G98" i="6"/>
  <c r="H98" i="6"/>
  <c r="L98" i="6"/>
  <c r="C99" i="6"/>
  <c r="D99" i="6"/>
  <c r="E99" i="6"/>
  <c r="F99" i="6"/>
  <c r="G99" i="6"/>
  <c r="H99" i="6"/>
  <c r="L99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3" i="6"/>
  <c r="D103" i="6"/>
  <c r="E103" i="6"/>
  <c r="F103" i="6"/>
  <c r="H103" i="6"/>
  <c r="C104" i="6"/>
  <c r="D104" i="6"/>
  <c r="E104" i="6"/>
  <c r="F104" i="6"/>
  <c r="H104" i="6"/>
  <c r="C105" i="6"/>
  <c r="D105" i="6"/>
  <c r="E105" i="6"/>
  <c r="F105" i="6"/>
  <c r="H105" i="6"/>
  <c r="C106" i="6"/>
  <c r="D106" i="6"/>
  <c r="E106" i="6"/>
  <c r="F106" i="6"/>
  <c r="H106" i="6"/>
  <c r="G472" i="15"/>
  <c r="G459" i="15"/>
  <c r="G472" i="13"/>
  <c r="G472" i="14"/>
  <c r="G473" i="12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H50" i="2" l="1"/>
  <c r="H27" i="2"/>
  <c r="E50" i="8"/>
  <c r="E27" i="8"/>
  <c r="D50" i="12"/>
  <c r="D27" i="12"/>
  <c r="F50" i="8"/>
  <c r="F27" i="8"/>
  <c r="H50" i="8"/>
  <c r="H27" i="8"/>
  <c r="C50" i="9"/>
  <c r="C27" i="9"/>
  <c r="H50" i="3"/>
  <c r="H27" i="3"/>
  <c r="E27" i="12"/>
  <c r="E50" i="12"/>
  <c r="F50" i="12"/>
  <c r="F27" i="12"/>
  <c r="C50" i="1"/>
  <c r="C27" i="1"/>
  <c r="D50" i="9"/>
  <c r="D27" i="9"/>
  <c r="D50" i="8"/>
  <c r="D27" i="8"/>
  <c r="C50" i="12"/>
  <c r="C27" i="12"/>
  <c r="H50" i="11"/>
  <c r="H27" i="11"/>
  <c r="D50" i="1"/>
  <c r="D27" i="1"/>
  <c r="C50" i="10"/>
  <c r="C27" i="10"/>
  <c r="E50" i="9"/>
  <c r="E27" i="9"/>
  <c r="H50" i="12"/>
  <c r="H27" i="12"/>
  <c r="E50" i="1"/>
  <c r="E27" i="1"/>
  <c r="D50" i="10"/>
  <c r="D27" i="10"/>
  <c r="F50" i="9"/>
  <c r="F27" i="9"/>
  <c r="E50" i="2"/>
  <c r="E27" i="2"/>
  <c r="H50" i="9"/>
  <c r="H27" i="9"/>
  <c r="F50" i="2"/>
  <c r="F27" i="2"/>
  <c r="C50" i="4"/>
  <c r="C27" i="4"/>
  <c r="F50" i="1"/>
  <c r="F27" i="1"/>
  <c r="E50" i="10"/>
  <c r="E27" i="10"/>
  <c r="D50" i="4"/>
  <c r="D27" i="4"/>
  <c r="F27" i="10"/>
  <c r="F50" i="10"/>
  <c r="C50" i="7"/>
  <c r="C27" i="7"/>
  <c r="H50" i="10"/>
  <c r="H27" i="10"/>
  <c r="D50" i="7"/>
  <c r="D27" i="7"/>
  <c r="H50" i="4"/>
  <c r="H27" i="4"/>
  <c r="E50" i="7"/>
  <c r="E27" i="7"/>
  <c r="F27" i="4"/>
  <c r="F50" i="4"/>
  <c r="F27" i="7"/>
  <c r="F50" i="7"/>
  <c r="C50" i="3"/>
  <c r="C27" i="3"/>
  <c r="E50" i="4"/>
  <c r="E27" i="4"/>
  <c r="H50" i="7"/>
  <c r="H27" i="7"/>
  <c r="D50" i="3"/>
  <c r="D27" i="3"/>
  <c r="C50" i="2"/>
  <c r="C27" i="2"/>
  <c r="D50" i="2"/>
  <c r="D27" i="2"/>
  <c r="E50" i="3"/>
  <c r="E27" i="3"/>
  <c r="C50" i="8"/>
  <c r="C27" i="8"/>
  <c r="F27" i="3"/>
  <c r="F50" i="3"/>
  <c r="G473" i="6"/>
  <c r="G18" i="6"/>
  <c r="L18" i="6"/>
  <c r="D18" i="6"/>
  <c r="L16" i="6"/>
  <c r="C50" i="6"/>
  <c r="C27" i="6"/>
  <c r="H16" i="6"/>
  <c r="D50" i="6"/>
  <c r="D27" i="6"/>
  <c r="G16" i="6"/>
  <c r="E50" i="6"/>
  <c r="E27" i="6"/>
  <c r="F16" i="6"/>
  <c r="F50" i="6"/>
  <c r="F27" i="6"/>
  <c r="H50" i="6"/>
  <c r="H27" i="6"/>
  <c r="C16" i="6"/>
  <c r="H18" i="6"/>
  <c r="C17" i="6"/>
  <c r="H17" i="6"/>
  <c r="D16" i="6"/>
  <c r="E16" i="6"/>
  <c r="F17" i="6"/>
  <c r="E17" i="6"/>
  <c r="G153" i="15"/>
  <c r="D17" i="6"/>
  <c r="G153" i="14"/>
  <c r="C18" i="6"/>
  <c r="D153" i="3"/>
  <c r="F153" i="6"/>
  <c r="D153" i="2"/>
  <c r="E153" i="3"/>
  <c r="C153" i="8"/>
  <c r="H153" i="3"/>
  <c r="E153" i="8"/>
  <c r="H153" i="2"/>
  <c r="D153" i="12"/>
  <c r="F153" i="8"/>
  <c r="H153" i="8"/>
  <c r="C153" i="9"/>
  <c r="E153" i="6"/>
  <c r="F153" i="3"/>
  <c r="C153" i="12"/>
  <c r="H153" i="11"/>
  <c r="C153" i="1"/>
  <c r="D153" i="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E153" i="2"/>
  <c r="F153" i="1"/>
  <c r="C153" i="6"/>
  <c r="D153" i="6"/>
  <c r="F153" i="7"/>
  <c r="C153" i="3"/>
  <c r="L472" i="3"/>
  <c r="L472" i="9"/>
  <c r="L472" i="7"/>
  <c r="L472" i="10"/>
  <c r="L472" i="8"/>
  <c r="L472" i="4"/>
  <c r="B48" i="18"/>
  <c r="L472" i="11"/>
  <c r="K473" i="16"/>
  <c r="G473" i="2"/>
  <c r="G473" i="3"/>
  <c r="G473" i="8"/>
  <c r="G473" i="7"/>
  <c r="G473" i="1"/>
  <c r="G473" i="9"/>
  <c r="L472" i="6"/>
  <c r="G473" i="10"/>
  <c r="G473" i="4"/>
  <c r="L472" i="2"/>
  <c r="D50" i="5" l="1"/>
  <c r="D27" i="5"/>
  <c r="L50" i="3"/>
  <c r="L27" i="3"/>
  <c r="L50" i="7"/>
  <c r="L27" i="7"/>
  <c r="E50" i="5"/>
  <c r="E27" i="5"/>
  <c r="L50" i="9"/>
  <c r="L27" i="9"/>
  <c r="L50" i="11"/>
  <c r="L27" i="11"/>
  <c r="H50" i="5"/>
  <c r="H27" i="5"/>
  <c r="L50" i="4"/>
  <c r="L27" i="4"/>
  <c r="H50" i="1"/>
  <c r="H27" i="1"/>
  <c r="C50" i="5"/>
  <c r="C27" i="5"/>
  <c r="L50" i="8"/>
  <c r="L27" i="8"/>
  <c r="F50" i="5"/>
  <c r="F27" i="5"/>
  <c r="L50" i="2"/>
  <c r="L27" i="2"/>
  <c r="L50" i="10"/>
  <c r="L27" i="10"/>
  <c r="L27" i="6"/>
  <c r="L50" i="6"/>
  <c r="L472" i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B16" i="18"/>
  <c r="B77" i="18"/>
  <c r="G473" i="5"/>
  <c r="L472" i="5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50" i="5" l="1"/>
  <c r="L27" i="5"/>
  <c r="L50" i="1"/>
  <c r="L27" i="1"/>
  <c r="L153" i="1"/>
  <c r="L153" i="5"/>
  <c r="B47" i="18"/>
  <c r="K472" i="16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27" i="16" l="1"/>
  <c r="K50" i="16"/>
  <c r="K153" i="16"/>
  <c r="J151" i="15"/>
  <c r="H151" i="15"/>
  <c r="F151" i="15"/>
  <c r="E151" i="15"/>
  <c r="D151" i="15"/>
  <c r="C151" i="15"/>
  <c r="L151" i="14"/>
  <c r="I151" i="14"/>
  <c r="H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0" i="15" l="1"/>
  <c r="G470" i="15"/>
  <c r="L470" i="15"/>
  <c r="A470" i="9"/>
  <c r="N470" i="9"/>
  <c r="A470" i="13"/>
  <c r="G470" i="13"/>
  <c r="K470" i="13"/>
  <c r="A470" i="3"/>
  <c r="N470" i="3"/>
  <c r="A470" i="14"/>
  <c r="G470" i="14"/>
  <c r="N470" i="14"/>
  <c r="A470" i="10"/>
  <c r="N470" i="10"/>
  <c r="A470" i="8"/>
  <c r="N470" i="8"/>
  <c r="A470" i="7"/>
  <c r="N470" i="7"/>
  <c r="A470" i="1"/>
  <c r="N470" i="1"/>
  <c r="A470" i="11"/>
  <c r="N470" i="11"/>
  <c r="A470" i="2"/>
  <c r="N470" i="2"/>
  <c r="I49" i="4"/>
  <c r="A470" i="4"/>
  <c r="N470" i="4"/>
  <c r="A470" i="5"/>
  <c r="N470" i="5"/>
  <c r="A470" i="12"/>
  <c r="K470" i="12"/>
  <c r="A470" i="6"/>
  <c r="N470" i="6"/>
  <c r="G472" i="12" l="1"/>
  <c r="I49" i="12"/>
  <c r="G472" i="9"/>
  <c r="I49" i="9"/>
  <c r="G472" i="1"/>
  <c r="I49" i="1"/>
  <c r="G472" i="8"/>
  <c r="I49" i="8"/>
  <c r="G472" i="6"/>
  <c r="G27" i="6" s="1"/>
  <c r="I49" i="6"/>
  <c r="G472" i="3"/>
  <c r="I49" i="3"/>
  <c r="G472" i="2"/>
  <c r="I49" i="2"/>
  <c r="G472" i="7"/>
  <c r="I49" i="7"/>
  <c r="G472" i="10"/>
  <c r="I49" i="10"/>
  <c r="G153" i="9"/>
  <c r="G153" i="1"/>
  <c r="G153" i="8"/>
  <c r="G153" i="3"/>
  <c r="G153" i="12"/>
  <c r="G153" i="10"/>
  <c r="G472" i="4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G50" i="7" l="1"/>
  <c r="G27" i="7"/>
  <c r="G50" i="2"/>
  <c r="G27" i="2"/>
  <c r="G50" i="3"/>
  <c r="G27" i="3"/>
  <c r="G153" i="6"/>
  <c r="G50" i="8"/>
  <c r="G27" i="8"/>
  <c r="G50" i="6"/>
  <c r="G50" i="1"/>
  <c r="G27" i="1"/>
  <c r="G50" i="9"/>
  <c r="G27" i="9"/>
  <c r="G153" i="7"/>
  <c r="G472" i="5"/>
  <c r="I49" i="5"/>
  <c r="G153" i="2"/>
  <c r="G50" i="4"/>
  <c r="G27" i="4"/>
  <c r="G50" i="10"/>
  <c r="G27" i="10"/>
  <c r="G27" i="12"/>
  <c r="G50" i="12"/>
  <c r="G153" i="5"/>
  <c r="G153" i="4"/>
  <c r="I26" i="5"/>
  <c r="I151" i="5"/>
  <c r="L470" i="5"/>
  <c r="A469" i="15"/>
  <c r="G469" i="15"/>
  <c r="L469" i="15"/>
  <c r="L469" i="9"/>
  <c r="A469" i="9"/>
  <c r="N469" i="9"/>
  <c r="A469" i="13"/>
  <c r="G469" i="13"/>
  <c r="K469" i="13"/>
  <c r="L469" i="3"/>
  <c r="A469" i="3"/>
  <c r="N469" i="3"/>
  <c r="A469" i="14"/>
  <c r="G469" i="14"/>
  <c r="N469" i="14"/>
  <c r="L469" i="10"/>
  <c r="A469" i="10"/>
  <c r="N469" i="10"/>
  <c r="L469" i="8"/>
  <c r="A469" i="8"/>
  <c r="N469" i="8"/>
  <c r="L469" i="7"/>
  <c r="A469" i="7"/>
  <c r="N469" i="7"/>
  <c r="A469" i="1"/>
  <c r="N469" i="1"/>
  <c r="L469" i="11"/>
  <c r="A469" i="11"/>
  <c r="N469" i="11"/>
  <c r="L469" i="2"/>
  <c r="B14" i="18" s="1"/>
  <c r="A469" i="2"/>
  <c r="N469" i="2"/>
  <c r="L469" i="4"/>
  <c r="A469" i="4"/>
  <c r="N469" i="4"/>
  <c r="A469" i="5"/>
  <c r="N469" i="5"/>
  <c r="A469" i="12"/>
  <c r="K469" i="12"/>
  <c r="L469" i="6"/>
  <c r="A469" i="6"/>
  <c r="N469" i="6"/>
  <c r="G50" i="5" l="1"/>
  <c r="G27" i="5"/>
  <c r="G470" i="1"/>
  <c r="G470" i="8"/>
  <c r="G470" i="2"/>
  <c r="G470" i="12"/>
  <c r="G470" i="7"/>
  <c r="G470" i="6"/>
  <c r="G470" i="3"/>
  <c r="G470" i="10"/>
  <c r="G470" i="4"/>
  <c r="G470" i="9"/>
  <c r="B46" i="18"/>
  <c r="K470" i="16"/>
  <c r="L469" i="1"/>
  <c r="B75" i="18" s="1"/>
  <c r="L469" i="5"/>
  <c r="A468" i="15"/>
  <c r="G468" i="15"/>
  <c r="G151" i="15" s="1"/>
  <c r="L468" i="15"/>
  <c r="F151" i="9"/>
  <c r="E151" i="9"/>
  <c r="D151" i="9"/>
  <c r="C151" i="9"/>
  <c r="A468" i="9"/>
  <c r="N468" i="9"/>
  <c r="A468" i="13"/>
  <c r="G468" i="13"/>
  <c r="K468" i="13"/>
  <c r="F151" i="3"/>
  <c r="E151" i="3"/>
  <c r="D151" i="3"/>
  <c r="C151" i="3"/>
  <c r="A468" i="3"/>
  <c r="N468" i="3"/>
  <c r="A468" i="14"/>
  <c r="G468" i="14"/>
  <c r="G151" i="14" s="1"/>
  <c r="N468" i="14"/>
  <c r="F151" i="10"/>
  <c r="E151" i="10"/>
  <c r="D151" i="10"/>
  <c r="C151" i="10"/>
  <c r="A468" i="10"/>
  <c r="N468" i="10"/>
  <c r="F151" i="8"/>
  <c r="E151" i="8"/>
  <c r="D151" i="8"/>
  <c r="C151" i="8"/>
  <c r="A468" i="8"/>
  <c r="N468" i="8"/>
  <c r="F151" i="7"/>
  <c r="E151" i="7"/>
  <c r="D151" i="7"/>
  <c r="C151" i="7"/>
  <c r="A468" i="7"/>
  <c r="N468" i="7"/>
  <c r="F151" i="1"/>
  <c r="E151" i="1"/>
  <c r="D151" i="1"/>
  <c r="C151" i="1"/>
  <c r="A468" i="1"/>
  <c r="N468" i="1"/>
  <c r="A468" i="11"/>
  <c r="N468" i="11"/>
  <c r="F151" i="2"/>
  <c r="E151" i="2"/>
  <c r="D151" i="2"/>
  <c r="C151" i="2"/>
  <c r="A468" i="2"/>
  <c r="N468" i="2"/>
  <c r="A468" i="4"/>
  <c r="N468" i="4"/>
  <c r="A468" i="5"/>
  <c r="N468" i="5"/>
  <c r="H151" i="12"/>
  <c r="F151" i="12"/>
  <c r="E151" i="12"/>
  <c r="D151" i="12"/>
  <c r="C151" i="12"/>
  <c r="A468" i="12"/>
  <c r="K468" i="12"/>
  <c r="H151" i="6"/>
  <c r="F151" i="6"/>
  <c r="E151" i="6"/>
  <c r="D151" i="6"/>
  <c r="C151" i="6"/>
  <c r="A468" i="6"/>
  <c r="N468" i="6"/>
  <c r="G470" i="5" l="1"/>
  <c r="G469" i="8"/>
  <c r="G469" i="1"/>
  <c r="G469" i="3"/>
  <c r="G469" i="12"/>
  <c r="G469" i="2"/>
  <c r="G469" i="7"/>
  <c r="G469" i="10"/>
  <c r="G469" i="6"/>
  <c r="G469" i="9"/>
  <c r="K469" i="16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4"/>
  <c r="G469" i="5" l="1"/>
  <c r="L468" i="1"/>
  <c r="B74" i="18" s="1"/>
  <c r="H151" i="1"/>
  <c r="L151" i="2"/>
  <c r="L468" i="5"/>
  <c r="H151" i="5"/>
  <c r="J150" i="15"/>
  <c r="D150" i="15"/>
  <c r="E150" i="15"/>
  <c r="F150" i="15"/>
  <c r="H150" i="15"/>
  <c r="C150" i="15"/>
  <c r="R150" i="15"/>
  <c r="P150" i="15"/>
  <c r="N150" i="15"/>
  <c r="C149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A467" i="15"/>
  <c r="G467" i="15"/>
  <c r="L467" i="15"/>
  <c r="L467" i="9"/>
  <c r="A467" i="9"/>
  <c r="N467" i="9"/>
  <c r="A467" i="13"/>
  <c r="G467" i="13"/>
  <c r="K467" i="13"/>
  <c r="L467" i="3"/>
  <c r="A467" i="3"/>
  <c r="N467" i="3"/>
  <c r="A467" i="14"/>
  <c r="G467" i="14"/>
  <c r="N467" i="14"/>
  <c r="L467" i="10"/>
  <c r="A467" i="10"/>
  <c r="N467" i="10"/>
  <c r="L467" i="8"/>
  <c r="A467" i="8"/>
  <c r="N467" i="8"/>
  <c r="L467" i="7"/>
  <c r="A467" i="7"/>
  <c r="N467" i="7"/>
  <c r="A467" i="1"/>
  <c r="N467" i="1"/>
  <c r="L467" i="11"/>
  <c r="A467" i="11"/>
  <c r="N467" i="11"/>
  <c r="L467" i="2"/>
  <c r="B12" i="18" s="1"/>
  <c r="A467" i="2"/>
  <c r="N467" i="2"/>
  <c r="L467" i="4"/>
  <c r="A467" i="4"/>
  <c r="N467" i="4"/>
  <c r="A467" i="5"/>
  <c r="N467" i="5"/>
  <c r="A467" i="12"/>
  <c r="K467" i="12"/>
  <c r="L467" i="6"/>
  <c r="A467" i="6"/>
  <c r="N467" i="6"/>
  <c r="G468" i="3" l="1"/>
  <c r="G151" i="3" s="1"/>
  <c r="G468" i="8"/>
  <c r="G151" i="8" s="1"/>
  <c r="G468" i="12"/>
  <c r="G151" i="12" s="1"/>
  <c r="G468" i="2"/>
  <c r="G151" i="2" s="1"/>
  <c r="G468" i="10"/>
  <c r="G151" i="10" s="1"/>
  <c r="G468" i="4"/>
  <c r="G151" i="4" s="1"/>
  <c r="G468" i="1"/>
  <c r="G151" i="1" s="1"/>
  <c r="G468" i="6"/>
  <c r="G151" i="6" s="1"/>
  <c r="G468" i="9"/>
  <c r="G151" i="9" s="1"/>
  <c r="G468" i="7"/>
  <c r="G151" i="7" s="1"/>
  <c r="I150" i="2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A466" i="15"/>
  <c r="G466" i="15"/>
  <c r="L466" i="15"/>
  <c r="L466" i="9"/>
  <c r="A466" i="9"/>
  <c r="N466" i="9"/>
  <c r="A466" i="13"/>
  <c r="G466" i="13"/>
  <c r="K466" i="13"/>
  <c r="L466" i="3"/>
  <c r="A466" i="3"/>
  <c r="N466" i="3"/>
  <c r="A466" i="14"/>
  <c r="G466" i="14"/>
  <c r="N466" i="14"/>
  <c r="L466" i="10"/>
  <c r="A466" i="10"/>
  <c r="N466" i="10"/>
  <c r="L466" i="8"/>
  <c r="A466" i="8"/>
  <c r="N466" i="8"/>
  <c r="L466" i="7"/>
  <c r="A466" i="7"/>
  <c r="N466" i="7"/>
  <c r="A466" i="1"/>
  <c r="N466" i="1"/>
  <c r="L466" i="11"/>
  <c r="A466" i="11"/>
  <c r="N466" i="11"/>
  <c r="L466" i="2"/>
  <c r="B11" i="18" s="1"/>
  <c r="A466" i="2"/>
  <c r="N466" i="2"/>
  <c r="L466" i="4"/>
  <c r="A466" i="4"/>
  <c r="N466" i="4"/>
  <c r="A466" i="5"/>
  <c r="N466" i="5"/>
  <c r="A466" i="12"/>
  <c r="K466" i="12"/>
  <c r="L466" i="6"/>
  <c r="A466" i="6"/>
  <c r="N466" i="6"/>
  <c r="G467" i="9" l="1"/>
  <c r="G467" i="4"/>
  <c r="G467" i="1"/>
  <c r="G467" i="8"/>
  <c r="G467" i="3"/>
  <c r="G467" i="6"/>
  <c r="G467" i="12"/>
  <c r="G467" i="2"/>
  <c r="G467" i="7"/>
  <c r="G467" i="10"/>
  <c r="B43" i="18"/>
  <c r="K467" i="16"/>
  <c r="I150" i="5"/>
  <c r="G468" i="5"/>
  <c r="G151" i="5" s="1"/>
  <c r="L466" i="1"/>
  <c r="B72" i="18" s="1"/>
  <c r="L466" i="5"/>
  <c r="A465" i="15"/>
  <c r="G465" i="15"/>
  <c r="G150" i="15" s="1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G150" i="14" s="1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7" i="5" l="1"/>
  <c r="G466" i="3"/>
  <c r="G466" i="12"/>
  <c r="G466" i="2"/>
  <c r="G466" i="10"/>
  <c r="G466" i="7"/>
  <c r="G466" i="6"/>
  <c r="G466" i="9"/>
  <c r="G466" i="5"/>
  <c r="G466" i="8"/>
  <c r="G466" i="1"/>
  <c r="K466" i="16"/>
  <c r="B42" i="18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F149" i="15"/>
  <c r="E149" i="15"/>
  <c r="D149" i="15"/>
  <c r="L149" i="15"/>
  <c r="L149" i="14"/>
  <c r="I149" i="14"/>
  <c r="H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K150" i="16" s="1"/>
  <c r="B41" i="18"/>
  <c r="L150" i="1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7"/>
  <c r="G150" i="7" s="1"/>
  <c r="I149" i="4"/>
  <c r="I149" i="9"/>
  <c r="I149" i="7"/>
  <c r="I149" i="8"/>
  <c r="I149" i="1"/>
  <c r="I149" i="3"/>
  <c r="I149" i="10"/>
  <c r="I149" i="12"/>
  <c r="I149" i="2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A463" i="15" l="1"/>
  <c r="G463" i="15"/>
  <c r="L463" i="15"/>
  <c r="L463" i="9" l="1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5"/>
  <c r="G462" i="15"/>
  <c r="G149" i="15" s="1"/>
  <c r="L462" i="15"/>
  <c r="A462" i="9"/>
  <c r="N462" i="9"/>
  <c r="A462" i="13"/>
  <c r="G462" i="13"/>
  <c r="K462" i="13"/>
  <c r="A462" i="3"/>
  <c r="N462" i="3"/>
  <c r="A462" i="14"/>
  <c r="G462" i="14"/>
  <c r="G149" i="14" s="1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F148" i="15"/>
  <c r="E148" i="15"/>
  <c r="D148" i="15"/>
  <c r="C148" i="15"/>
  <c r="L148" i="14"/>
  <c r="I148" i="14"/>
  <c r="H148" i="14"/>
  <c r="F148" i="14"/>
  <c r="E148" i="14"/>
  <c r="D148" i="14"/>
  <c r="C148" i="14"/>
  <c r="I148" i="11"/>
  <c r="G148" i="11"/>
  <c r="F148" i="11"/>
  <c r="E148" i="11"/>
  <c r="D148" i="11"/>
  <c r="C148" i="11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26" i="15" l="1"/>
  <c r="G148" i="15"/>
  <c r="G461" i="5"/>
  <c r="L460" i="1"/>
  <c r="B66" i="18" s="1"/>
  <c r="L460" i="5"/>
  <c r="G459" i="13"/>
  <c r="G459" i="14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G26" i="14" l="1"/>
  <c r="G148" i="14"/>
  <c r="K460" i="16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F148" i="10"/>
  <c r="H148" i="10"/>
  <c r="E148" i="4"/>
  <c r="C148" i="7"/>
  <c r="F148" i="4"/>
  <c r="D148" i="7"/>
  <c r="H148" i="4"/>
  <c r="C148" i="3"/>
  <c r="F148" i="7"/>
  <c r="D148" i="3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9"/>
  <c r="A459" i="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5" i="9" s="1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L15" i="3" s="1"/>
  <c r="K26" i="16" l="1"/>
  <c r="K148" i="16"/>
  <c r="T319" i="9"/>
  <c r="T320" i="9"/>
  <c r="T321" i="9"/>
  <c r="T322" i="9"/>
  <c r="T323" i="9"/>
  <c r="T324" i="9"/>
  <c r="T325" i="9"/>
  <c r="T326" i="9"/>
  <c r="T327" i="9"/>
  <c r="T329" i="9"/>
  <c r="T330" i="9"/>
  <c r="T331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53" i="9"/>
  <c r="T355" i="9"/>
  <c r="T356" i="9"/>
  <c r="T357" i="9"/>
  <c r="T359" i="9"/>
  <c r="T360" i="9"/>
  <c r="T361" i="9"/>
  <c r="T362" i="9"/>
  <c r="T363" i="9"/>
  <c r="T365" i="9"/>
  <c r="U317" i="9"/>
  <c r="T317" i="9" s="1"/>
  <c r="U318" i="9"/>
  <c r="T318" i="9" s="1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T332" i="9" s="1"/>
  <c r="U333" i="9"/>
  <c r="T333" i="9" s="1"/>
  <c r="U334" i="9"/>
  <c r="T334" i="9" s="1"/>
  <c r="U335" i="9"/>
  <c r="T335" i="9" s="1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T349" i="9" s="1"/>
  <c r="U350" i="9"/>
  <c r="T350" i="9" s="1"/>
  <c r="U351" i="9"/>
  <c r="T351" i="9" s="1"/>
  <c r="U352" i="9"/>
  <c r="T352" i="9" s="1"/>
  <c r="U353" i="9"/>
  <c r="U355" i="9"/>
  <c r="U356" i="9"/>
  <c r="U357" i="9"/>
  <c r="U358" i="9"/>
  <c r="T358" i="9" s="1"/>
  <c r="U359" i="9"/>
  <c r="U360" i="9"/>
  <c r="U361" i="9"/>
  <c r="U362" i="9"/>
  <c r="U363" i="9"/>
  <c r="U364" i="9"/>
  <c r="T364" i="9" s="1"/>
  <c r="U365" i="9"/>
  <c r="U366" i="9"/>
  <c r="T366" i="9" s="1"/>
  <c r="U316" i="9"/>
  <c r="T316" i="9" s="1"/>
  <c r="H96" i="9" l="1"/>
  <c r="H95" i="9"/>
  <c r="H94" i="9"/>
  <c r="H93" i="9"/>
  <c r="H15" i="9" s="1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4" i="9"/>
  <c r="H96" i="3"/>
  <c r="H95" i="3"/>
  <c r="H94" i="3"/>
  <c r="H15" i="3" s="1"/>
  <c r="H93" i="3"/>
  <c r="H45" i="3"/>
  <c r="H46" i="9" l="1"/>
  <c r="H42" i="9"/>
  <c r="H46" i="3"/>
  <c r="H48" i="9"/>
  <c r="H47" i="9"/>
  <c r="H43" i="9"/>
  <c r="H44" i="3"/>
  <c r="H48" i="3"/>
  <c r="H43" i="3"/>
  <c r="H47" i="3"/>
  <c r="H45" i="9"/>
  <c r="H42" i="3"/>
  <c r="I48" i="9" l="1"/>
  <c r="L457" i="9"/>
  <c r="I48" i="3"/>
  <c r="I48" i="10"/>
  <c r="L457" i="10"/>
  <c r="I48" i="8"/>
  <c r="L457" i="8"/>
  <c r="I48" i="7"/>
  <c r="I48" i="1"/>
  <c r="I48" i="2"/>
  <c r="I48" i="4"/>
  <c r="I48" i="12"/>
  <c r="I48" i="6"/>
  <c r="L457" i="6"/>
  <c r="I25" i="11"/>
  <c r="R146" i="15"/>
  <c r="P146" i="15"/>
  <c r="N146" i="15"/>
  <c r="J146" i="15"/>
  <c r="J25" i="15" s="1"/>
  <c r="N146" i="9"/>
  <c r="H146" i="15"/>
  <c r="F146" i="15"/>
  <c r="E146" i="15"/>
  <c r="D146" i="15"/>
  <c r="C146" i="15"/>
  <c r="L146" i="14"/>
  <c r="I146" i="14"/>
  <c r="I25" i="14" s="1"/>
  <c r="H146" i="14"/>
  <c r="F146" i="14"/>
  <c r="E146" i="14"/>
  <c r="D146" i="14"/>
  <c r="C146" i="14"/>
  <c r="I146" i="11"/>
  <c r="G146" i="11"/>
  <c r="F146" i="11"/>
  <c r="E146" i="11"/>
  <c r="D146" i="11"/>
  <c r="C146" i="1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I146" i="4"/>
  <c r="I25" i="4" s="1"/>
  <c r="G459" i="4"/>
  <c r="G49" i="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I48" i="5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G148" i="10" l="1"/>
  <c r="K457" i="16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G146" i="15" s="1"/>
  <c r="L455" i="15"/>
  <c r="A455" i="9"/>
  <c r="N455" i="9"/>
  <c r="A455" i="13"/>
  <c r="G455" i="13"/>
  <c r="K455" i="13"/>
  <c r="A455" i="3"/>
  <c r="N455" i="3"/>
  <c r="A455" i="14"/>
  <c r="G455" i="14"/>
  <c r="G146" i="14" s="1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G457" i="5" l="1"/>
  <c r="K456" i="16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 l="1"/>
  <c r="D43" i="18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H48" i="4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G145" i="14" s="1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F48" i="4" l="1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L48" i="4" s="1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G453" i="5" l="1"/>
  <c r="D40" i="18"/>
  <c r="G452" i="5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G145" i="5" l="1"/>
  <c r="I144" i="6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G144" i="14" s="1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R25" i="15" s="1"/>
  <c r="Q143" i="15"/>
  <c r="P25" i="15"/>
  <c r="O143" i="15"/>
  <c r="N143" i="15"/>
  <c r="N25" i="15" s="1"/>
  <c r="J143" i="15"/>
  <c r="N143" i="9"/>
  <c r="H143" i="15"/>
  <c r="H25" i="15" s="1"/>
  <c r="F143" i="15"/>
  <c r="F25" i="15" s="1"/>
  <c r="E143" i="15"/>
  <c r="E25" i="15" s="1"/>
  <c r="D143" i="15"/>
  <c r="D25" i="15" s="1"/>
  <c r="C143" i="15"/>
  <c r="C25" i="15" s="1"/>
  <c r="L143" i="14"/>
  <c r="L25" i="14" s="1"/>
  <c r="K143" i="14"/>
  <c r="J143" i="14"/>
  <c r="I143" i="14"/>
  <c r="H143" i="14"/>
  <c r="H25" i="14" s="1"/>
  <c r="F143" i="14"/>
  <c r="F25" i="14" s="1"/>
  <c r="E143" i="14"/>
  <c r="E25" i="14" s="1"/>
  <c r="D143" i="14"/>
  <c r="D25" i="14" s="1"/>
  <c r="C143" i="14"/>
  <c r="C25" i="14" s="1"/>
  <c r="I143" i="11"/>
  <c r="G143" i="11"/>
  <c r="G25" i="11" s="1"/>
  <c r="F143" i="11"/>
  <c r="F25" i="11" s="1"/>
  <c r="E143" i="11"/>
  <c r="E25" i="11" s="1"/>
  <c r="D143" i="11"/>
  <c r="D25" i="11" s="1"/>
  <c r="C143" i="11"/>
  <c r="C25" i="11" s="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F48" i="10"/>
  <c r="E48" i="10"/>
  <c r="D48" i="10"/>
  <c r="C48" i="10"/>
  <c r="H48" i="10" l="1"/>
  <c r="G448" i="10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446" i="13"/>
  <c r="G446" i="14"/>
  <c r="G143" i="15" l="1"/>
  <c r="G25" i="15" s="1"/>
  <c r="G143" i="14"/>
  <c r="G25" i="14" s="1"/>
  <c r="G447" i="5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I47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47" i="9"/>
  <c r="I47" i="3"/>
  <c r="I47" i="10"/>
  <c r="I47" i="8"/>
  <c r="I47" i="7"/>
  <c r="I47" i="1"/>
  <c r="I47" i="2"/>
  <c r="I47" i="5"/>
  <c r="I47" i="12"/>
  <c r="I141" i="6" l="1"/>
  <c r="I24" i="6" s="1"/>
  <c r="I47" i="6"/>
  <c r="I77" i="18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I24" i="14" s="1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I140" i="6" l="1"/>
  <c r="G443" i="12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C138" i="15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C24" i="15" l="1"/>
  <c r="D24" i="15"/>
  <c r="I139" i="6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L24" i="14" s="1"/>
  <c r="I138" i="14"/>
  <c r="H138" i="14"/>
  <c r="H24" i="14" s="1"/>
  <c r="G138" i="14"/>
  <c r="G24" i="14" s="1"/>
  <c r="F138" i="14"/>
  <c r="F24" i="14" s="1"/>
  <c r="E138" i="14"/>
  <c r="E24" i="14" s="1"/>
  <c r="D138" i="14"/>
  <c r="D24" i="14" s="1"/>
  <c r="C138" i="14"/>
  <c r="C24" i="14" s="1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46" i="9"/>
  <c r="I46" i="3"/>
  <c r="I46" i="10"/>
  <c r="I46" i="8"/>
  <c r="I46" i="7"/>
  <c r="I46" i="1"/>
  <c r="I46" i="2"/>
  <c r="I46" i="4"/>
  <c r="I46" i="12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136" i="6" l="1"/>
  <c r="I23" i="6" s="1"/>
  <c r="I46" i="6"/>
  <c r="I47" i="18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I46" i="5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I135" i="6" l="1"/>
  <c r="G136" i="9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I134" i="5"/>
  <c r="L424" i="1"/>
  <c r="L424" i="5"/>
  <c r="K425" i="16" l="1"/>
  <c r="K424" i="16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4" i="8"/>
  <c r="H42" i="8"/>
  <c r="H45" i="8" l="1"/>
  <c r="H43" i="8"/>
  <c r="K422" i="16"/>
  <c r="G422" i="5"/>
  <c r="L421" i="1"/>
  <c r="L421" i="5"/>
  <c r="H133" i="8"/>
  <c r="H23" i="8" s="1"/>
  <c r="H46" i="2"/>
  <c r="H42" i="2"/>
  <c r="H44" i="2" l="1"/>
  <c r="H43" i="2"/>
  <c r="H45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L420" i="11"/>
  <c r="L46" i="11" s="1"/>
  <c r="L420" i="3"/>
  <c r="L46" i="3" s="1"/>
  <c r="L420" i="9"/>
  <c r="L46" i="9" s="1"/>
  <c r="H46" i="1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I45" i="9"/>
  <c r="N418" i="9"/>
  <c r="A418" i="9"/>
  <c r="G418" i="13"/>
  <c r="K418" i="13"/>
  <c r="A418" i="13"/>
  <c r="I45" i="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I45" i="10"/>
  <c r="L418" i="10"/>
  <c r="N418" i="10"/>
  <c r="A418" i="10"/>
  <c r="I45" i="8"/>
  <c r="N418" i="8"/>
  <c r="A418" i="8"/>
  <c r="I45" i="7"/>
  <c r="N418" i="7"/>
  <c r="A418" i="7"/>
  <c r="I45" i="1"/>
  <c r="N418" i="1"/>
  <c r="A418" i="1"/>
  <c r="N418" i="11"/>
  <c r="I131" i="11"/>
  <c r="I22" i="11" s="1"/>
  <c r="D131" i="11"/>
  <c r="E131" i="11"/>
  <c r="F131" i="11"/>
  <c r="G131" i="11"/>
  <c r="C131" i="11"/>
  <c r="I45" i="2"/>
  <c r="L418" i="2"/>
  <c r="F27" i="18" s="1"/>
  <c r="N418" i="2"/>
  <c r="A418" i="2"/>
  <c r="I45" i="4"/>
  <c r="N418" i="4"/>
  <c r="A418" i="4"/>
  <c r="I45" i="12"/>
  <c r="K418" i="12"/>
  <c r="A418" i="12"/>
  <c r="L418" i="6"/>
  <c r="N418" i="6"/>
  <c r="A418" i="6"/>
  <c r="I131" i="6" l="1"/>
  <c r="I22" i="6" s="1"/>
  <c r="I45" i="6"/>
  <c r="G46" i="8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18" i="5"/>
  <c r="G420" i="4"/>
  <c r="G46" i="4" s="1"/>
  <c r="I45" i="5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N417" i="7"/>
  <c r="K418" i="16" l="1"/>
  <c r="F58" i="18"/>
  <c r="K420" i="16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N415" i="6"/>
  <c r="A415" i="6"/>
  <c r="I130" i="6" l="1"/>
  <c r="K416" i="16"/>
  <c r="K131" i="16" s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D45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H45" i="7" l="1"/>
  <c r="H45" i="4"/>
  <c r="F45" i="4"/>
  <c r="F45" i="7"/>
  <c r="E45" i="4"/>
  <c r="E45" i="7"/>
  <c r="C45" i="4"/>
  <c r="C45" i="7"/>
  <c r="F45" i="3"/>
  <c r="E45" i="3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H45" i="5" l="1"/>
  <c r="K408" i="16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I44" i="9"/>
  <c r="L405" i="9"/>
  <c r="A405" i="9"/>
  <c r="N405" i="9"/>
  <c r="A405" i="13"/>
  <c r="G405" i="13"/>
  <c r="K405" i="13"/>
  <c r="I44" i="3"/>
  <c r="L405" i="3"/>
  <c r="A405" i="3"/>
  <c r="N405" i="3"/>
  <c r="A405" i="14"/>
  <c r="N405" i="14"/>
  <c r="I44" i="10"/>
  <c r="L405" i="10"/>
  <c r="A405" i="10"/>
  <c r="N405" i="10"/>
  <c r="I44" i="8"/>
  <c r="L405" i="8"/>
  <c r="A405" i="8"/>
  <c r="N405" i="8"/>
  <c r="I44" i="7"/>
  <c r="L405" i="7"/>
  <c r="A405" i="7"/>
  <c r="N405" i="7"/>
  <c r="I44" i="1"/>
  <c r="A405" i="1"/>
  <c r="N405" i="1"/>
  <c r="L405" i="11"/>
  <c r="A405" i="11"/>
  <c r="N405" i="11"/>
  <c r="I44" i="2"/>
  <c r="L405" i="2"/>
  <c r="A405" i="2"/>
  <c r="N405" i="2"/>
  <c r="I44" i="4"/>
  <c r="L405" i="4"/>
  <c r="A405" i="4"/>
  <c r="N405" i="4"/>
  <c r="A405" i="5"/>
  <c r="N405" i="5"/>
  <c r="I44" i="12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A405" i="6"/>
  <c r="N405" i="6"/>
  <c r="I126" i="6" l="1"/>
  <c r="I21" i="6" s="1"/>
  <c r="I44" i="6"/>
  <c r="K27" i="18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I44" i="5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L402" i="6"/>
  <c r="A402" i="6"/>
  <c r="N402" i="6"/>
  <c r="I125" i="6" l="1"/>
  <c r="K403" i="16"/>
  <c r="K126" i="16" s="1"/>
  <c r="K24" i="18"/>
  <c r="F12" i="18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I43" i="6"/>
  <c r="H119" i="6"/>
  <c r="F119" i="6"/>
  <c r="I42" i="9"/>
  <c r="I42" i="10"/>
  <c r="I42" i="3"/>
  <c r="I42" i="8"/>
  <c r="I42" i="7"/>
  <c r="I42" i="1"/>
  <c r="I42" i="2"/>
  <c r="I42" i="4"/>
  <c r="I42" i="12"/>
  <c r="I42" i="6"/>
  <c r="E43" i="4" l="1"/>
  <c r="E43" i="7"/>
  <c r="E43" i="10"/>
  <c r="H42" i="4"/>
  <c r="H42" i="7"/>
  <c r="H42" i="10"/>
  <c r="F43" i="4"/>
  <c r="F43" i="7"/>
  <c r="F43" i="10"/>
  <c r="H43" i="4"/>
  <c r="H43" i="7"/>
  <c r="H43" i="10"/>
  <c r="H43" i="11"/>
  <c r="F42" i="7"/>
  <c r="C42" i="2"/>
  <c r="C42" i="8"/>
  <c r="C42" i="9"/>
  <c r="D42" i="2"/>
  <c r="D42" i="8"/>
  <c r="D42" i="9"/>
  <c r="C43" i="2"/>
  <c r="C43" i="8"/>
  <c r="C43" i="9"/>
  <c r="E42" i="9"/>
  <c r="F43" i="6"/>
  <c r="D43" i="2"/>
  <c r="D43" i="8"/>
  <c r="D43" i="9"/>
  <c r="F42" i="10"/>
  <c r="E42" i="2"/>
  <c r="E42" i="8"/>
  <c r="H41" i="11"/>
  <c r="F42" i="2"/>
  <c r="F42" i="8"/>
  <c r="F42" i="9"/>
  <c r="E43" i="2"/>
  <c r="E43" i="8"/>
  <c r="E43" i="9"/>
  <c r="F42" i="4"/>
  <c r="C42" i="12"/>
  <c r="H42" i="11"/>
  <c r="F43" i="2"/>
  <c r="F43" i="8"/>
  <c r="F43" i="9"/>
  <c r="C43" i="12"/>
  <c r="E42" i="12"/>
  <c r="D43" i="12"/>
  <c r="C43" i="1"/>
  <c r="C43" i="3"/>
  <c r="E42" i="3"/>
  <c r="E43" i="12"/>
  <c r="D43" i="1"/>
  <c r="D43" i="3"/>
  <c r="D42" i="1"/>
  <c r="F42" i="12"/>
  <c r="H42" i="12"/>
  <c r="F42" i="1"/>
  <c r="F42" i="3"/>
  <c r="F43" i="12"/>
  <c r="E43" i="1"/>
  <c r="E43" i="3"/>
  <c r="D42" i="12"/>
  <c r="H43" i="12"/>
  <c r="F43" i="1"/>
  <c r="F43" i="3"/>
  <c r="C42" i="4"/>
  <c r="C42" i="7"/>
  <c r="C42" i="10"/>
  <c r="C42" i="1"/>
  <c r="D42" i="3"/>
  <c r="E42" i="1"/>
  <c r="D42" i="4"/>
  <c r="D42" i="7"/>
  <c r="D42" i="10"/>
  <c r="C43" i="4"/>
  <c r="C43" i="7"/>
  <c r="C43" i="10"/>
  <c r="C42" i="3"/>
  <c r="E42" i="4"/>
  <c r="E42" i="7"/>
  <c r="E42" i="10"/>
  <c r="D43" i="4"/>
  <c r="D43" i="7"/>
  <c r="D43" i="10"/>
  <c r="D42" i="6"/>
  <c r="E42" i="6"/>
  <c r="D43" i="6"/>
  <c r="F42" i="6"/>
  <c r="E43" i="6"/>
  <c r="H43" i="6"/>
  <c r="C42" i="6"/>
  <c r="H42" i="6"/>
  <c r="C43" i="6"/>
  <c r="F114" i="6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G394" i="7"/>
  <c r="G44" i="7" s="1"/>
  <c r="I42" i="5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E43" i="5"/>
  <c r="F43" i="5"/>
  <c r="L123" i="1"/>
  <c r="L21" i="1" s="1"/>
  <c r="L123" i="5"/>
  <c r="L21" i="5" s="1"/>
  <c r="F42" i="5"/>
  <c r="C42" i="5"/>
  <c r="H42" i="5"/>
  <c r="C43" i="5"/>
  <c r="H43" i="5"/>
  <c r="D42" i="5"/>
  <c r="H42" i="1"/>
  <c r="E42" i="5"/>
  <c r="H43" i="1"/>
  <c r="I43" i="5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D43" i="5" l="1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L106" i="6" s="1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G105" i="6" s="1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G104" i="6" s="1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30" i="6" s="1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L31" i="6" l="1"/>
  <c r="G31" i="6"/>
  <c r="L105" i="6"/>
  <c r="G32" i="6"/>
  <c r="G40" i="6"/>
  <c r="L32" i="6"/>
  <c r="L40" i="6"/>
  <c r="K346" i="16"/>
  <c r="G106" i="6"/>
  <c r="K348" i="16"/>
  <c r="K350" i="16"/>
  <c r="K353" i="16"/>
  <c r="K344" i="16"/>
  <c r="G103" i="6"/>
  <c r="G17" i="6" s="1"/>
  <c r="L104" i="6"/>
  <c r="K352" i="16"/>
  <c r="K345" i="16"/>
  <c r="K351" i="16"/>
  <c r="L103" i="6"/>
  <c r="K349" i="16"/>
  <c r="K343" i="16"/>
  <c r="K347" i="16"/>
  <c r="K342" i="16"/>
  <c r="K377" i="16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G42" i="2" s="1"/>
  <c r="I111" i="2"/>
  <c r="I18" i="2" s="1"/>
  <c r="F113" i="7"/>
  <c r="L369" i="7"/>
  <c r="H108" i="8"/>
  <c r="C113" i="9"/>
  <c r="F109" i="5"/>
  <c r="F109" i="4"/>
  <c r="G368" i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371" i="12"/>
  <c r="G374" i="4"/>
  <c r="G372" i="4"/>
  <c r="G370" i="4"/>
  <c r="G368" i="4"/>
  <c r="L373" i="4"/>
  <c r="L373" i="5"/>
  <c r="D114" i="2"/>
  <c r="G372" i="2"/>
  <c r="G372" i="7"/>
  <c r="F114" i="8"/>
  <c r="L368" i="3"/>
  <c r="L42" i="3" s="1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42" i="10" s="1"/>
  <c r="G369" i="1"/>
  <c r="G374" i="7"/>
  <c r="G368" i="7"/>
  <c r="G42" i="7" s="1"/>
  <c r="G374" i="10"/>
  <c r="G370" i="10"/>
  <c r="G374" i="8"/>
  <c r="G368" i="8"/>
  <c r="G372" i="10"/>
  <c r="L368" i="9"/>
  <c r="L42" i="9" s="1"/>
  <c r="L42" i="2" l="1"/>
  <c r="G42" i="6"/>
  <c r="G42" i="8"/>
  <c r="G42" i="1"/>
  <c r="G42" i="12"/>
  <c r="G42" i="9"/>
  <c r="L42" i="8"/>
  <c r="L42" i="7"/>
  <c r="L42" i="11"/>
  <c r="L42" i="4"/>
  <c r="L41" i="11"/>
  <c r="G42" i="4"/>
  <c r="G42" i="3"/>
  <c r="L42" i="10"/>
  <c r="L42" i="6"/>
  <c r="L17" i="6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42" i="1" s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L42" i="5" l="1"/>
  <c r="G19" i="6"/>
  <c r="K111" i="16"/>
  <c r="K371" i="16"/>
  <c r="K114" i="16" s="1"/>
  <c r="K368" i="16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42" i="16" l="1"/>
  <c r="K18" i="16"/>
  <c r="K113" i="16"/>
  <c r="K19" i="16" s="1"/>
  <c r="L19" i="1"/>
  <c r="L19" i="5"/>
  <c r="G19" i="5"/>
  <c r="L18" i="5"/>
  <c r="G18" i="5"/>
  <c r="L18" i="1"/>
  <c r="C46" i="5"/>
  <c r="E46" i="5"/>
  <c r="F46" i="5"/>
  <c r="H46" i="5"/>
  <c r="D46" i="5"/>
  <c r="G430" i="5" l="1"/>
  <c r="F136" i="5"/>
  <c r="F23" i="5" s="1"/>
  <c r="H136" i="5"/>
  <c r="D136" i="5"/>
  <c r="E136" i="5"/>
  <c r="C136" i="5"/>
  <c r="G429" i="5"/>
  <c r="G46" i="5" s="1"/>
  <c r="L429" i="5"/>
  <c r="L46" i="5" s="1"/>
  <c r="K429" i="16" l="1"/>
  <c r="K46" i="16" s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<sst xmlns="http://schemas.openxmlformats.org/spreadsheetml/2006/main" count="8133" uniqueCount="306">
  <si>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</si>
  <si>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</si>
  <si>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</si>
  <si>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</si>
  <si>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</si>
  <si>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</si>
  <si>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</si>
  <si>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</si>
  <si>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</si>
  <si>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</si>
  <si>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</si>
  <si>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</si>
  <si>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</si>
  <si>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</si>
  <si>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</si>
  <si>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</si>
  <si>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</si>
  <si>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</si>
  <si>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</si>
  <si>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</si>
  <si>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</si>
  <si>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</si>
  <si>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</si>
  <si>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</si>
  <si>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</si>
  <si>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</si>
  <si>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</si>
  <si>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</si>
  <si>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</si>
  <si>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</si>
  <si>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</si>
  <si>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</si>
  <si>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</si>
  <si>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</si>
  <si>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</si>
  <si>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</si>
  <si>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</si>
  <si>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</si>
  <si>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</si>
  <si>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</si>
  <si>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</si>
  <si>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</si>
  <si>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</si>
  <si>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</si>
  <si>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</si>
  <si>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</si>
  <si>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</si>
  <si>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</si>
  <si>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</si>
  <si>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</si>
  <si>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</si>
  <si>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</si>
  <si>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</si>
  <si>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</si>
  <si>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</si>
  <si>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</si>
  <si>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</si>
  <si>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</si>
  <si>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</si>
  <si>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</si>
  <si>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</si>
  <si>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</si>
  <si>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</si>
  <si>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</si>
  <si>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</si>
  <si>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</si>
  <si>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</si>
  <si>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</si>
  <si>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</si>
  <si>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</si>
  <si>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</si>
  <si>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</si>
  <si>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</si>
  <si>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</si>
  <si>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</si>
  <si>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</si>
  <si>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</si>
  <si>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</si>
  <si>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</si>
  <si>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</si>
  <si>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</si>
  <si>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</si>
  <si>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</si>
  <si>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</si>
  <si>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</si>
  <si>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</si>
  <si>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</si>
  <si>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</si>
  <si>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</si>
  <si>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</si>
  <si>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</si>
  <si>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</si>
  <si>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</si>
  <si>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</si>
  <si>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</si>
  <si>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</si>
  <si>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</si>
  <si>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</si>
  <si>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</si>
  <si>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</si>
  <si>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</si>
  <si>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</si>
  <si>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</si>
  <si>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</si>
  <si>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</si>
  <si>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</si>
  <si>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</si>
  <si>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</si>
  <si>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</si>
  <si>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</si>
  <si>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</si>
  <si>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</si>
  <si>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</si>
  <si>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</si>
  <si>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</si>
  <si>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</si>
  <si>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</si>
  <si>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</si>
  <si>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</si>
  <si>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</si>
  <si>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</si>
  <si>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</si>
  <si>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</si>
  <si>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</si>
  <si>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</si>
  <si>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</si>
  <si>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</si>
  <si>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</si>
  <si>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</si>
  <si>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</si>
  <si>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</si>
  <si>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</si>
  <si>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</si>
  <si>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</si>
  <si>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</si>
  <si>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</si>
  <si>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</si>
  <si>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</si>
  <si>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</si>
  <si>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</si>
  <si>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</si>
  <si>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</si>
  <si>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</si>
  <si>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</si>
  <si>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</si>
  <si>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</si>
  <si>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</si>
  <si>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</si>
  <si>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</si>
  <si>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</si>
  <si>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</si>
  <si>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</si>
  <si>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</si>
  <si>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</si>
  <si>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</si>
  <si>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</si>
  <si>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</si>
  <si>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</si>
  <si>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</si>
  <si>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</si>
  <si>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</si>
  <si>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</si>
  <si>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</si>
  <si>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</si>
  <si>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</si>
  <si>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</si>
  <si>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</si>
  <si>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</si>
  <si>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</si>
  <si>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</si>
  <si>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</si>
  <si>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</si>
  <si>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</si>
  <si>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</si>
  <si>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</si>
  <si>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</si>
  <si>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</si>
  <si>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</si>
  <si>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</si>
  <si>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</si>
  <si>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</si>
  <si>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</si>
  <si>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</si>
  <si>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</si>
  <si>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</si>
  <si>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</si>
  <si>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</si>
  <si>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</si>
  <si>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</si>
  <si>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</si>
  <si>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</si>
  <si>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</si>
  <si>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</si>
  <si>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</si>
  <si>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</si>
  <si>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</si>
  <si>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</si>
  <si>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</si>
  <si>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</si>
  <si>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</si>
  <si>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</si>
  <si>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</si>
  <si>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</si>
  <si>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</si>
  <si>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</si>
  <si>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</si>
  <si>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</si>
  <si>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</si>
  <si>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</si>
  <si>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</si>
  <si>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</si>
  <si>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</si>
  <si>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</si>
  <si>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</si>
  <si>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</si>
  <si>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</si>
  <si>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</si>
  <si>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</si>
  <si>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</si>
  <si>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</si>
  <si>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</si>
  <si>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</si>
  <si>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</si>
  <si>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</si>
  <si>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</si>
  <si>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</si>
  <si>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</si>
  <si>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</si>
  <si>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</si>
  <si>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</si>
  <si>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</si>
  <si>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</si>
  <si>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</si>
  <si>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</si>
  <si>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</si>
  <si>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</si>
  <si>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</si>
  <si>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</si>
  <si>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</si>
  <si>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</si>
  <si>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</si>
  <si>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</si>
  <si>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</si>
  <si>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</si>
  <si>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</si>
  <si>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</si>
  <si>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</si>
  <si>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</si>
  <si>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</si>
  <si>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</si>
  <si>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</si>
  <si>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</si>
  <si>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</si>
  <si>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</si>
  <si>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</si>
  <si>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</si>
  <si>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</si>
  <si>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</si>
  <si>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</si>
  <si>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</si>
  <si>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</si>
  <si>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</si>
  <si>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</si>
  <si>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</si>
  <si>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</si>
  <si>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</si>
  <si>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</si>
  <si>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</si>
  <si>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</si>
  <si>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</si>
  <si>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</si>
  <si>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</si>
  <si>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</si>
  <si>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</si>
  <si>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</si>
  <si>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</si>
  <si>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</si>
  <si>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</si>
  <si>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</si>
  <si>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</si>
  <si>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</si>
  <si>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</si>
  <si>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</si>
  <si>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</si>
  <si>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</si>
  <si>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</si>
  <si>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</si>
  <si>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</si>
  <si>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</si>
  <si>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</si>
  <si>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</si>
  <si>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</si>
  <si>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</si>
  <si>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</si>
  <si>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</si>
  <si>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</si>
  <si>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</si>
  <si>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</si>
  <si>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</si>
  <si>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</si>
  <si>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</si>
  <si>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</si>
  <si>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</si>
  <si>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</si>
  <si>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December</t>
  </si>
  <si>
    <t>January -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</si>
</sst>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8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Fig!$A$16:$A$27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Fig!$B$16:$B$27</c:f>
              <c:numCache>
                <c:formatCode>#\ ##0</c:formatCode>
                <c:ptCount val="12"/>
                <c:pt idx="0">
                  <c:v>9284.6111400000009</c:v>
                </c:pt>
                <c:pt idx="1">
                  <c:v>10747.128839999999</c:v>
                </c:pt>
                <c:pt idx="2">
                  <c:v>11927.150172</c:v>
                </c:pt>
                <c:pt idx="3">
                  <c:v>10434.252276000001</c:v>
                </c:pt>
                <c:pt idx="4">
                  <c:v>10217.071535999999</c:v>
                </c:pt>
                <c:pt idx="5">
                  <c:v>9846.8779080000004</c:v>
                </c:pt>
                <c:pt idx="6">
                  <c:v>9869.0443320000013</c:v>
                </c:pt>
                <c:pt idx="7">
                  <c:v>11184.00108</c:v>
                </c:pt>
                <c:pt idx="8">
                  <c:v>10634.072904000001</c:v>
                </c:pt>
                <c:pt idx="9">
                  <c:v>11254.445832000001</c:v>
                </c:pt>
                <c:pt idx="10">
                  <c:v>9929.6612519999999</c:v>
                </c:pt>
                <c:pt idx="11">
                  <c:v>9369.152016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Fig!$D$16:$D$27</c:f>
              <c:numCache>
                <c:formatCode>#\ ##0</c:formatCode>
                <c:ptCount val="12"/>
                <c:pt idx="0">
                  <c:v>11953.656623999999</c:v>
                </c:pt>
                <c:pt idx="1">
                  <c:v>10765.42152</c:v>
                </c:pt>
                <c:pt idx="2">
                  <c:v>11714.955084000001</c:v>
                </c:pt>
                <c:pt idx="3">
                  <c:v>12065.385444</c:v>
                </c:pt>
                <c:pt idx="4">
                  <c:v>12804.409716000002</c:v>
                </c:pt>
                <c:pt idx="5">
                  <c:v>10369.689876</c:v>
                </c:pt>
                <c:pt idx="6">
                  <c:v>10359.754439999999</c:v>
                </c:pt>
                <c:pt idx="7">
                  <c:v>12863.556048</c:v>
                </c:pt>
                <c:pt idx="8">
                  <c:v>11865.636552000002</c:v>
                </c:pt>
                <c:pt idx="9">
                  <c:v>12149.352432</c:v>
                </c:pt>
                <c:pt idx="10">
                  <c:v>10843.183344000001</c:v>
                </c:pt>
                <c:pt idx="11">
                  <c:v>11090.708412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Fig!$F$16:$F$27</c:f>
              <c:numCache>
                <c:formatCode>#\ ##0</c:formatCode>
                <c:ptCount val="12"/>
                <c:pt idx="0">
                  <c:v>12133.391172</c:v>
                </c:pt>
                <c:pt idx="1">
                  <c:v>11585.493124800001</c:v>
                </c:pt>
                <c:pt idx="2">
                  <c:v>13696.124064</c:v>
                </c:pt>
                <c:pt idx="3">
                  <c:v>12624.990806399999</c:v>
                </c:pt>
                <c:pt idx="4">
                  <c:v>12633.4771752</c:v>
                </c:pt>
                <c:pt idx="5">
                  <c:v>12154.295042400001</c:v>
                </c:pt>
                <c:pt idx="6">
                  <c:v>11891.719761600001</c:v>
                </c:pt>
                <c:pt idx="7">
                  <c:v>13947.185716799999</c:v>
                </c:pt>
                <c:pt idx="8">
                  <c:v>13216.863021600002</c:v>
                </c:pt>
                <c:pt idx="9">
                  <c:v>12807.358065600001</c:v>
                </c:pt>
                <c:pt idx="10">
                  <c:v>12508.269160800002</c:v>
                </c:pt>
                <c:pt idx="11">
                  <c:v>12646.712467200001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Fig!$A$47:$A$58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Fig!$B$47:$B$58</c:f>
              <c:numCache>
                <c:formatCode>#\ ##0</c:formatCode>
                <c:ptCount val="12"/>
                <c:pt idx="0">
                  <c:v>4070.1478499999998</c:v>
                </c:pt>
                <c:pt idx="1">
                  <c:v>3927.5131499999998</c:v>
                </c:pt>
                <c:pt idx="2">
                  <c:v>4132.6614</c:v>
                </c:pt>
                <c:pt idx="3">
                  <c:v>4613.8481999999995</c:v>
                </c:pt>
                <c:pt idx="4">
                  <c:v>4578.5015999999996</c:v>
                </c:pt>
                <c:pt idx="5">
                  <c:v>4469.3081999999995</c:v>
                </c:pt>
                <c:pt idx="6">
                  <c:v>4379.2991999999995</c:v>
                </c:pt>
                <c:pt idx="7">
                  <c:v>4523.2807499999999</c:v>
                </c:pt>
                <c:pt idx="8">
                  <c:v>4251.5783999999994</c:v>
                </c:pt>
                <c:pt idx="9">
                  <c:v>4415.5655999999999</c:v>
                </c:pt>
                <c:pt idx="10">
                  <c:v>3939.2077499999996</c:v>
                </c:pt>
                <c:pt idx="11">
                  <c:v>4054.3798499999998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Fig!$D$47:$D$58</c:f>
              <c:numCache>
                <c:formatCode>#\ ##0</c:formatCode>
                <c:ptCount val="12"/>
                <c:pt idx="0">
                  <c:v>4280.4535500000002</c:v>
                </c:pt>
                <c:pt idx="1">
                  <c:v>4118.1088499999996</c:v>
                </c:pt>
                <c:pt idx="2">
                  <c:v>4420.1317499999996</c:v>
                </c:pt>
                <c:pt idx="3">
                  <c:v>4823.0698499999999</c:v>
                </c:pt>
                <c:pt idx="4">
                  <c:v>5098.2214499999991</c:v>
                </c:pt>
                <c:pt idx="5">
                  <c:v>4537.2091499999997</c:v>
                </c:pt>
                <c:pt idx="6">
                  <c:v>4628.6306999999997</c:v>
                </c:pt>
                <c:pt idx="7">
                  <c:v>4763.6113499999992</c:v>
                </c:pt>
                <c:pt idx="8">
                  <c:v>4529.6207999999997</c:v>
                </c:pt>
                <c:pt idx="9">
                  <c:v>4589.5720499999998</c:v>
                </c:pt>
                <c:pt idx="10">
                  <c:v>4216.4617500000004</c:v>
                </c:pt>
                <c:pt idx="11">
                  <c:v>4293.0679500000006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Fig!$F$47:$F$58</c:f>
              <c:numCache>
                <c:formatCode>#\ ##0</c:formatCode>
                <c:ptCount val="12"/>
                <c:pt idx="0">
                  <c:v>4167.6532200000001</c:v>
                </c:pt>
                <c:pt idx="1">
                  <c:v>4092.0719400000003</c:v>
                </c:pt>
                <c:pt idx="2">
                  <c:v>4481.7452099999991</c:v>
                </c:pt>
                <c:pt idx="3">
                  <c:v>4522.1704199999995</c:v>
                </c:pt>
                <c:pt idx="4">
                  <c:v>4929.8126399999992</c:v>
                </c:pt>
                <c:pt idx="5">
                  <c:v>4955.8824000000004</c:v>
                </c:pt>
                <c:pt idx="6">
                  <c:v>4882.9159799999998</c:v>
                </c:pt>
                <c:pt idx="7">
                  <c:v>5096.8680299999996</c:v>
                </c:pt>
                <c:pt idx="8">
                  <c:v>4848.1212599999999</c:v>
                </c:pt>
                <c:pt idx="9">
                  <c:v>4754.5710300000001</c:v>
                </c:pt>
                <c:pt idx="10">
                  <c:v>4590.25533</c:v>
                </c:pt>
                <c:pt idx="11">
                  <c:v>4501.3238099999999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Fig!$A$77:$A$88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Fig!$B$77:$B$88</c:f>
              <c:numCache>
                <c:formatCode>#\ ##0</c:formatCode>
                <c:ptCount val="12"/>
                <c:pt idx="0">
                  <c:v>3640.6368000000002</c:v>
                </c:pt>
                <c:pt idx="1">
                  <c:v>2369.6712000000002</c:v>
                </c:pt>
                <c:pt idx="2">
                  <c:v>3324.4788000000003</c:v>
                </c:pt>
                <c:pt idx="3">
                  <c:v>3560.2836000000002</c:v>
                </c:pt>
                <c:pt idx="4">
                  <c:v>3800.0208000000002</c:v>
                </c:pt>
                <c:pt idx="5">
                  <c:v>4303.6116000000002</c:v>
                </c:pt>
                <c:pt idx="6">
                  <c:v>4424.9592000000002</c:v>
                </c:pt>
                <c:pt idx="7">
                  <c:v>4208.2248</c:v>
                </c:pt>
                <c:pt idx="8">
                  <c:v>4264.5659999999998</c:v>
                </c:pt>
                <c:pt idx="9">
                  <c:v>4266.4452000000001</c:v>
                </c:pt>
                <c:pt idx="10">
                  <c:v>3618.6084000000005</c:v>
                </c:pt>
                <c:pt idx="11">
                  <c:v>3245.3436000000002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Fig!$D$77:$D$88</c:f>
              <c:numCache>
                <c:formatCode>#\ ##0</c:formatCode>
                <c:ptCount val="12"/>
                <c:pt idx="0">
                  <c:v>2616.6120000000001</c:v>
                </c:pt>
                <c:pt idx="1">
                  <c:v>2568.2399999999998</c:v>
                </c:pt>
                <c:pt idx="2">
                  <c:v>2984.1348000000003</c:v>
                </c:pt>
                <c:pt idx="3">
                  <c:v>3326.88</c:v>
                </c:pt>
                <c:pt idx="4">
                  <c:v>4082.0052000000005</c:v>
                </c:pt>
                <c:pt idx="5">
                  <c:v>3780.2544000000003</c:v>
                </c:pt>
                <c:pt idx="6">
                  <c:v>4362.18</c:v>
                </c:pt>
                <c:pt idx="7">
                  <c:v>4001.2692000000006</c:v>
                </c:pt>
                <c:pt idx="8">
                  <c:v>3825.1464000000005</c:v>
                </c:pt>
                <c:pt idx="9">
                  <c:v>3926.5188000000003</c:v>
                </c:pt>
                <c:pt idx="10">
                  <c:v>3447.5316000000003</c:v>
                </c:pt>
                <c:pt idx="11">
                  <c:v>3380.9591999999998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Fig!$F$77:$F$88</c:f>
              <c:numCache>
                <c:formatCode>#\ ##0</c:formatCode>
                <c:ptCount val="12"/>
                <c:pt idx="0">
                  <c:v>2025.4922400000003</c:v>
                </c:pt>
                <c:pt idx="1">
                  <c:v>2028.26928</c:v>
                </c:pt>
                <c:pt idx="2">
                  <c:v>2092.6771199999998</c:v>
                </c:pt>
                <c:pt idx="3">
                  <c:v>2221.47192</c:v>
                </c:pt>
                <c:pt idx="4">
                  <c:v>2388.6232800000002</c:v>
                </c:pt>
                <c:pt idx="5">
                  <c:v>2520.6962400000002</c:v>
                </c:pt>
                <c:pt idx="6">
                  <c:v>3024.2731200000003</c:v>
                </c:pt>
                <c:pt idx="7">
                  <c:v>2910.0595200000002</c:v>
                </c:pt>
                <c:pt idx="8">
                  <c:v>2906.2941599999999</c:v>
                </c:pt>
                <c:pt idx="9">
                  <c:v>2854.2890400000001</c:v>
                </c:pt>
                <c:pt idx="10">
                  <c:v>2322.4476000000004</c:v>
                </c:pt>
                <c:pt idx="11">
                  <c:v>2552.3851199999999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83"/>
  <sheetViews>
    <sheetView tabSelected="1" zoomScale="80" zoomScaleNormal="80" workbookViewId="0">
      <pane xSplit="2" ySplit="5" topLeftCell="C446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O475" sqref="O475"/>
    </sheetView>
  </sheetViews>
  <sheetFormatPr defaultRowHeight="13.2" x14ac:dyDescent="0.25"/>
  <cols>
    <col min="1" max="1" width="22.44140625" customWidth="1"/>
    <col min="2" max="2" width="4.88671875" style="3" customWidth="1"/>
    <col min="3" max="4" width="12.44140625" style="3" customWidth="1"/>
    <col min="5" max="5" width="9.109375" style="3"/>
    <col min="6" max="6" width="11.5546875" style="3" customWidth="1"/>
    <col min="7" max="7" width="20.109375" style="3" customWidth="1"/>
    <col min="8" max="8" width="20.109375" style="3" bestFit="1" customWidth="1"/>
    <col min="9" max="9" width="21.5546875" bestFit="1" customWidth="1"/>
    <col min="10" max="10" width="3.44140625" customWidth="1"/>
    <col min="11" max="11" width="14" bestFit="1" customWidth="1"/>
    <col min="12" max="12" width="17.44140625" bestFit="1" customWidth="1"/>
    <col min="13" max="13" width="21.88671875" customWidth="1"/>
    <col min="14" max="14" width="10.109375" customWidth="1"/>
    <col min="15" max="15" width="16.5546875" bestFit="1" customWidth="1"/>
  </cols>
  <sheetData>
    <row r="1" spans="1:14" x14ac:dyDescent="0.25">
      <c r="A1" s="1" t="s">
        <v>28</v>
      </c>
      <c r="B1" s="1"/>
      <c r="D1"/>
      <c r="E1"/>
      <c r="F1"/>
      <c r="G1"/>
      <c r="H1"/>
    </row>
    <row r="2" spans="1:14" x14ac:dyDescent="0.25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5">
      <c r="C3"/>
      <c r="M3" s="27" t="s">
        <v>60</v>
      </c>
    </row>
    <row r="4" spans="1:14" ht="13.8" thickBot="1" x14ac:dyDescent="0.3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8" thickBot="1" x14ac:dyDescent="0.3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5">
      <c r="A6" s="21"/>
      <c r="B6"/>
      <c r="C6" s="10"/>
      <c r="D6" s="10"/>
      <c r="E6" s="10"/>
      <c r="F6" s="10"/>
      <c r="G6" s="10"/>
      <c r="H6" s="10"/>
    </row>
    <row r="7" spans="1:14" x14ac:dyDescent="0.25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5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5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5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5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5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5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5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5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5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5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5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5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5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5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5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5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5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5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5">
      <c r="A26" s="22">
        <v>2024</v>
      </c>
      <c r="B26"/>
      <c r="I26" s="3"/>
      <c r="J26" s="3"/>
      <c r="K26" s="3">
        <f>SUM(K459:K470)</f>
        <v>267702.27583999996</v>
      </c>
      <c r="M26" s="22">
        <v>2024</v>
      </c>
    </row>
    <row r="27" spans="1:17" x14ac:dyDescent="0.25">
      <c r="A27" s="22">
        <v>2025</v>
      </c>
      <c r="B27"/>
      <c r="I27" s="3"/>
      <c r="J27" s="3"/>
      <c r="K27" s="3">
        <f>SUM(K472:K483)</f>
        <v>252649.44136799997</v>
      </c>
      <c r="M27" s="22">
        <v>2025</v>
      </c>
    </row>
    <row r="28" spans="1:17" x14ac:dyDescent="0.25">
      <c r="A28" s="23"/>
      <c r="B28"/>
      <c r="I28" s="3"/>
      <c r="J28" s="3"/>
      <c r="K28" s="82"/>
      <c r="N28" s="76"/>
    </row>
    <row r="29" spans="1:17" x14ac:dyDescent="0.25">
      <c r="A29" s="22" t="s">
        <v>304</v>
      </c>
      <c r="B29"/>
      <c r="I29" s="3"/>
      <c r="J29" s="3"/>
      <c r="K29" s="3"/>
      <c r="M29" s="22" t="s">
        <v>305</v>
      </c>
      <c r="N29" s="3"/>
    </row>
    <row r="30" spans="1:17" x14ac:dyDescent="0.25">
      <c r="A30" s="22">
        <v>2005</v>
      </c>
      <c r="B30"/>
      <c r="I30" s="3"/>
      <c r="J30" s="3"/>
      <c r="K30" s="3">
        <f>SUM(K212:K223)</f>
        <v>352523.13108199998</v>
      </c>
      <c r="L30" s="3"/>
      <c r="M30" s="22">
        <v>2005</v>
      </c>
      <c r="N30" s="22"/>
      <c r="O30" s="138"/>
      <c r="P30" s="3"/>
      <c r="Q30" s="3"/>
    </row>
    <row r="31" spans="1:17" x14ac:dyDescent="0.25">
      <c r="A31" s="22">
        <v>2006</v>
      </c>
      <c r="B31"/>
      <c r="I31" s="3"/>
      <c r="J31" s="3"/>
      <c r="K31" s="3">
        <f>SUM(K225:K236)</f>
        <v>353742.7098308999</v>
      </c>
      <c r="L31" s="3"/>
      <c r="M31" s="22">
        <v>2006</v>
      </c>
      <c r="N31" s="22"/>
      <c r="O31" s="139"/>
      <c r="P31" s="3"/>
      <c r="Q31" s="3"/>
    </row>
    <row r="32" spans="1:17" x14ac:dyDescent="0.25">
      <c r="A32" s="22">
        <v>2007</v>
      </c>
      <c r="B32"/>
      <c r="I32" s="3"/>
      <c r="J32" s="3"/>
      <c r="K32" s="3">
        <f>SUM(K238:K249)</f>
        <v>351139.84554009431</v>
      </c>
      <c r="L32" s="3"/>
      <c r="M32" s="22">
        <v>2007</v>
      </c>
      <c r="N32" s="22"/>
      <c r="O32" s="139"/>
      <c r="P32" s="3"/>
      <c r="Q32" s="3"/>
    </row>
    <row r="33" spans="1:17" x14ac:dyDescent="0.25">
      <c r="A33" s="22">
        <v>2008</v>
      </c>
      <c r="B33"/>
      <c r="I33" s="3"/>
      <c r="J33" s="3"/>
      <c r="K33" s="3">
        <f>SUM(K251:K262)</f>
        <v>338682.40627623326</v>
      </c>
      <c r="L33" s="3"/>
      <c r="M33" s="22">
        <v>2008</v>
      </c>
      <c r="N33" s="22"/>
      <c r="O33" s="139"/>
      <c r="P33" s="3"/>
      <c r="Q33" s="3"/>
    </row>
    <row r="34" spans="1:17" x14ac:dyDescent="0.25">
      <c r="A34" s="22">
        <v>2009</v>
      </c>
      <c r="B34"/>
      <c r="I34" s="3"/>
      <c r="J34" s="3"/>
      <c r="K34" s="3">
        <f>SUM(K264:K275)</f>
        <v>321700.60549033614</v>
      </c>
      <c r="L34" s="3"/>
      <c r="M34" s="22">
        <v>2009</v>
      </c>
      <c r="N34" s="22"/>
      <c r="O34" s="139"/>
      <c r="P34" s="3"/>
      <c r="Q34" s="3"/>
    </row>
    <row r="35" spans="1:17" x14ac:dyDescent="0.25">
      <c r="A35" s="22">
        <v>2010</v>
      </c>
      <c r="B35"/>
      <c r="I35" s="3"/>
      <c r="J35" s="3"/>
      <c r="K35" s="3">
        <f>SUM(K277:K288)</f>
        <v>319383.56997243332</v>
      </c>
      <c r="L35" s="3"/>
      <c r="M35" s="22">
        <v>2010</v>
      </c>
      <c r="N35" s="22"/>
      <c r="O35" s="139"/>
      <c r="P35" s="3"/>
      <c r="Q35" s="3"/>
    </row>
    <row r="36" spans="1:17" x14ac:dyDescent="0.25">
      <c r="A36" s="22">
        <v>2011</v>
      </c>
      <c r="B36"/>
      <c r="I36" s="3"/>
      <c r="J36" s="3"/>
      <c r="K36" s="3">
        <f>SUM(K290:K301)</f>
        <v>312328.56537999999</v>
      </c>
      <c r="L36" s="3"/>
      <c r="M36" s="22">
        <v>2011</v>
      </c>
      <c r="N36" s="22"/>
      <c r="O36" s="139"/>
      <c r="P36" s="3"/>
      <c r="Q36" s="3"/>
    </row>
    <row r="37" spans="1:17" x14ac:dyDescent="0.25">
      <c r="A37" s="22">
        <v>2012</v>
      </c>
      <c r="B37"/>
      <c r="I37" s="3"/>
      <c r="J37" s="3"/>
      <c r="K37" s="3">
        <f>SUM(K303:K314)</f>
        <v>303115.77238239994</v>
      </c>
      <c r="L37" s="3"/>
      <c r="M37" s="22">
        <v>2012</v>
      </c>
      <c r="N37" s="22"/>
      <c r="O37" s="139"/>
      <c r="P37" s="3"/>
      <c r="Q37" s="3"/>
    </row>
    <row r="38" spans="1:17" x14ac:dyDescent="0.25">
      <c r="A38" s="22">
        <v>2013</v>
      </c>
      <c r="B38"/>
      <c r="I38" s="3"/>
      <c r="J38" s="3"/>
      <c r="K38" s="3">
        <f>SUM(K316:K327)</f>
        <v>295459.67336260004</v>
      </c>
      <c r="L38" s="3"/>
      <c r="M38" s="22">
        <v>2013</v>
      </c>
      <c r="N38" s="22"/>
      <c r="O38" s="139"/>
      <c r="P38" s="3"/>
      <c r="Q38" s="3"/>
    </row>
    <row r="39" spans="1:17" x14ac:dyDescent="0.25">
      <c r="A39" s="22">
        <v>2014</v>
      </c>
      <c r="B39"/>
      <c r="I39" s="3"/>
      <c r="J39" s="3"/>
      <c r="K39" s="3">
        <f>SUM(K329:K340)</f>
        <v>292544.60846839997</v>
      </c>
      <c r="L39" s="3"/>
      <c r="M39" s="22">
        <v>2014</v>
      </c>
      <c r="N39" s="22"/>
      <c r="O39" s="139"/>
      <c r="P39" s="3"/>
      <c r="Q39" s="3"/>
    </row>
    <row r="40" spans="1:17" x14ac:dyDescent="0.25">
      <c r="A40" s="22">
        <v>2015</v>
      </c>
      <c r="B40"/>
      <c r="I40" s="3"/>
      <c r="J40" s="3"/>
      <c r="K40" s="3">
        <f>SUM(K342:K353)</f>
        <v>295565.70118920004</v>
      </c>
      <c r="L40" s="3"/>
      <c r="M40" s="22">
        <v>2015</v>
      </c>
      <c r="N40" s="22"/>
      <c r="O40" s="139"/>
      <c r="P40" s="3"/>
      <c r="Q40" s="3"/>
    </row>
    <row r="41" spans="1:17" x14ac:dyDescent="0.25">
      <c r="A41" s="22">
        <v>2016</v>
      </c>
      <c r="B41"/>
      <c r="I41" s="3"/>
      <c r="J41" s="3"/>
      <c r="K41" s="3">
        <f>SUM(K355:K366)</f>
        <v>299898.97578950005</v>
      </c>
      <c r="L41" s="3"/>
      <c r="M41" s="22">
        <v>2016</v>
      </c>
      <c r="N41" s="22"/>
      <c r="O41" s="139"/>
      <c r="P41" s="3"/>
      <c r="Q41" s="3"/>
    </row>
    <row r="42" spans="1:17" x14ac:dyDescent="0.25">
      <c r="A42" s="22">
        <v>2017</v>
      </c>
      <c r="B42"/>
      <c r="I42" s="3"/>
      <c r="J42" s="3"/>
      <c r="K42" s="3">
        <f>SUM(K368:K379)</f>
        <v>305295.24411799997</v>
      </c>
      <c r="L42" s="3"/>
      <c r="M42" s="22">
        <v>2017</v>
      </c>
      <c r="N42" s="22"/>
      <c r="O42" s="139"/>
      <c r="P42" s="3"/>
      <c r="Q42" s="3"/>
    </row>
    <row r="43" spans="1:17" x14ac:dyDescent="0.25">
      <c r="A43" s="22">
        <v>2018</v>
      </c>
      <c r="B43"/>
      <c r="I43" s="3"/>
      <c r="J43" s="3"/>
      <c r="K43" s="3">
        <f>SUM(K381:K392)</f>
        <v>304924.35223620001</v>
      </c>
      <c r="L43" s="3"/>
      <c r="M43" s="22">
        <v>2018</v>
      </c>
      <c r="N43" s="22"/>
      <c r="O43" s="139"/>
      <c r="P43" s="3"/>
      <c r="Q43" s="3"/>
    </row>
    <row r="44" spans="1:17" x14ac:dyDescent="0.25">
      <c r="A44" s="22">
        <v>2019</v>
      </c>
      <c r="B44"/>
      <c r="I44" s="3"/>
      <c r="J44" s="3"/>
      <c r="K44" s="3">
        <f>SUM(K394:K405)</f>
        <v>311720.37408849999</v>
      </c>
      <c r="L44" s="3"/>
      <c r="M44" s="22">
        <v>2019</v>
      </c>
      <c r="N44" s="22"/>
      <c r="O44" s="139"/>
      <c r="P44" s="3"/>
      <c r="Q44" s="3"/>
    </row>
    <row r="45" spans="1:17" x14ac:dyDescent="0.25">
      <c r="A45" s="22">
        <v>2020</v>
      </c>
      <c r="B45"/>
      <c r="I45" s="3"/>
      <c r="J45" s="3"/>
      <c r="K45" s="3">
        <f>SUM(K407:K418)</f>
        <v>261114.29537599999</v>
      </c>
      <c r="L45" s="3"/>
      <c r="M45" s="22">
        <v>2020</v>
      </c>
      <c r="N45" s="22"/>
      <c r="O45" s="139"/>
      <c r="P45" s="3"/>
      <c r="Q45" s="3"/>
    </row>
    <row r="46" spans="1:17" x14ac:dyDescent="0.25">
      <c r="A46" s="22">
        <v>2021</v>
      </c>
      <c r="B46"/>
      <c r="I46" s="3"/>
      <c r="J46" s="3"/>
      <c r="K46" s="3">
        <f>SUM(K420:K431)</f>
        <v>271484.74314400001</v>
      </c>
      <c r="L46" s="3"/>
      <c r="M46" s="22">
        <v>2021</v>
      </c>
      <c r="N46" s="22"/>
      <c r="O46" s="139"/>
      <c r="P46" s="3"/>
      <c r="Q46" s="3"/>
    </row>
    <row r="47" spans="1:17" x14ac:dyDescent="0.25">
      <c r="A47" s="22">
        <v>2022</v>
      </c>
      <c r="B47"/>
      <c r="I47" s="3"/>
      <c r="J47" s="3"/>
      <c r="K47" s="3">
        <f>SUM(K433:K444)</f>
        <v>285248.783696</v>
      </c>
      <c r="L47" s="3"/>
      <c r="M47" s="22">
        <v>2022</v>
      </c>
      <c r="N47" s="22"/>
      <c r="O47" s="139"/>
      <c r="P47" s="3"/>
      <c r="Q47" s="3"/>
    </row>
    <row r="48" spans="1:17" x14ac:dyDescent="0.25">
      <c r="A48" s="22">
        <v>2023</v>
      </c>
      <c r="B48"/>
      <c r="I48" s="3"/>
      <c r="J48" s="3"/>
      <c r="K48" s="3">
        <f>SUM(K446:K457)</f>
        <v>280334.61372469837</v>
      </c>
      <c r="L48" s="3"/>
      <c r="M48" s="22">
        <v>2023</v>
      </c>
      <c r="N48" s="22"/>
      <c r="O48" s="139"/>
      <c r="P48" s="3"/>
      <c r="Q48" s="3"/>
    </row>
    <row r="49" spans="1:17" x14ac:dyDescent="0.25">
      <c r="A49" s="22">
        <v>2024</v>
      </c>
      <c r="B49"/>
      <c r="I49" s="3"/>
      <c r="J49" s="3"/>
      <c r="K49" s="3">
        <f>SUM(K459:K470)</f>
        <v>267702.27583999996</v>
      </c>
      <c r="L49" s="3"/>
      <c r="M49" s="22">
        <v>2024</v>
      </c>
      <c r="N49" s="22"/>
      <c r="O49" s="139"/>
      <c r="P49" s="3"/>
      <c r="Q49" s="3"/>
    </row>
    <row r="50" spans="1:17" x14ac:dyDescent="0.25">
      <c r="A50" s="22">
        <v>2025</v>
      </c>
      <c r="B50"/>
      <c r="I50" s="3"/>
      <c r="J50" s="3"/>
      <c r="K50" s="3">
        <f>SUM(K472:K483)</f>
        <v>252649.44136799997</v>
      </c>
      <c r="L50" s="3"/>
      <c r="M50" s="22">
        <v>2025</v>
      </c>
      <c r="N50" s="22"/>
      <c r="O50" s="139"/>
      <c r="P50" s="3"/>
      <c r="Q50" s="3"/>
    </row>
    <row r="51" spans="1:17" x14ac:dyDescent="0.25">
      <c r="A51" s="22"/>
      <c r="B51"/>
      <c r="I51" s="3"/>
      <c r="J51" s="3"/>
      <c r="K51" s="51"/>
      <c r="M51" s="22"/>
      <c r="N51" s="3"/>
    </row>
    <row r="52" spans="1:17" ht="13.8" thickBot="1" x14ac:dyDescent="0.3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5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5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5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5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5">
      <c r="A57" s="23"/>
      <c r="B57"/>
      <c r="I57" s="3"/>
      <c r="J57" s="3"/>
      <c r="K57" s="3"/>
      <c r="N57" s="3"/>
    </row>
    <row r="58" spans="1:17" x14ac:dyDescent="0.25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5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5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5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5">
      <c r="A62" s="23"/>
      <c r="B62"/>
      <c r="I62" s="3"/>
      <c r="J62" s="3"/>
      <c r="K62" s="3"/>
      <c r="N62" s="3"/>
    </row>
    <row r="63" spans="1:17" x14ac:dyDescent="0.25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5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5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5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5">
      <c r="A67" s="23"/>
      <c r="B67"/>
      <c r="I67" s="3"/>
      <c r="J67" s="3"/>
      <c r="K67" s="3"/>
      <c r="N67" s="3"/>
    </row>
    <row r="68" spans="1:14" x14ac:dyDescent="0.25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5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5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5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5">
      <c r="A72" s="23"/>
      <c r="B72"/>
      <c r="I72" s="3"/>
      <c r="J72" s="3"/>
      <c r="K72" s="3"/>
      <c r="N72" s="3"/>
    </row>
    <row r="73" spans="1:14" x14ac:dyDescent="0.25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5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5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5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5">
      <c r="A77" s="23"/>
      <c r="B77"/>
      <c r="I77" s="3"/>
      <c r="J77" s="3"/>
      <c r="K77" s="3"/>
      <c r="M77" s="26"/>
      <c r="N77" s="3"/>
    </row>
    <row r="78" spans="1:14" x14ac:dyDescent="0.25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5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5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5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5">
      <c r="A82" s="32"/>
      <c r="B82"/>
      <c r="I82" s="3"/>
      <c r="J82" s="3"/>
      <c r="K82" s="3"/>
      <c r="M82" s="26"/>
      <c r="N82" s="3"/>
    </row>
    <row r="83" spans="1:14" x14ac:dyDescent="0.25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5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5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5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5">
      <c r="A87" s="32"/>
      <c r="B87"/>
      <c r="I87" s="3"/>
      <c r="J87" s="3"/>
      <c r="K87" s="3"/>
      <c r="M87" s="26"/>
      <c r="N87" s="3"/>
    </row>
    <row r="88" spans="1:14" x14ac:dyDescent="0.25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5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5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5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5">
      <c r="A92" s="32"/>
      <c r="B92"/>
      <c r="I92" s="3"/>
      <c r="J92" s="3"/>
      <c r="K92" s="3"/>
      <c r="M92" s="26"/>
      <c r="N92" s="3"/>
    </row>
    <row r="93" spans="1:14" x14ac:dyDescent="0.25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5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5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5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5">
      <c r="A97" s="32"/>
      <c r="B97"/>
      <c r="I97" s="3"/>
      <c r="J97" s="3"/>
      <c r="K97" s="3"/>
      <c r="L97" s="3"/>
      <c r="M97" s="26"/>
    </row>
    <row r="98" spans="1:13" x14ac:dyDescent="0.25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5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5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5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5">
      <c r="A102" s="32"/>
      <c r="B102"/>
      <c r="I102" s="3"/>
      <c r="J102" s="3"/>
      <c r="K102" s="65"/>
      <c r="L102" s="3"/>
      <c r="M102" s="26"/>
    </row>
    <row r="103" spans="1:13" x14ac:dyDescent="0.25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5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5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5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5">
      <c r="A107" s="32"/>
      <c r="B107"/>
      <c r="I107" s="3"/>
      <c r="J107" s="3"/>
      <c r="K107" s="3"/>
      <c r="L107" s="3"/>
      <c r="M107" s="26"/>
    </row>
    <row r="108" spans="1:13" x14ac:dyDescent="0.25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5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5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5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5">
      <c r="A112" s="32"/>
      <c r="B112"/>
      <c r="I112" s="3"/>
      <c r="J112" s="3"/>
      <c r="K112" s="3"/>
      <c r="L112" s="3"/>
      <c r="M112" s="26"/>
    </row>
    <row r="113" spans="1:13" x14ac:dyDescent="0.25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5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5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5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5">
      <c r="A117" s="32"/>
      <c r="B117"/>
      <c r="I117" s="3"/>
      <c r="J117" s="3"/>
      <c r="K117" s="3"/>
      <c r="L117" s="3"/>
      <c r="M117" s="26"/>
    </row>
    <row r="118" spans="1:13" s="57" customFormat="1" x14ac:dyDescent="0.25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5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5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5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5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5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5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5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5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5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5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5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5">
      <c r="A132" s="32"/>
      <c r="B132"/>
      <c r="I132" s="3"/>
      <c r="J132" s="3"/>
      <c r="K132" s="3"/>
      <c r="L132" s="3"/>
      <c r="M132" s="26"/>
    </row>
    <row r="133" spans="1:28" x14ac:dyDescent="0.25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5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5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5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5">
      <c r="A137" s="32"/>
      <c r="B137"/>
      <c r="I137" s="3"/>
      <c r="J137" s="3"/>
      <c r="K137" s="3"/>
      <c r="L137" s="3"/>
      <c r="M137" s="26"/>
    </row>
    <row r="138" spans="1:28" x14ac:dyDescent="0.25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5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5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5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5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5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5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5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5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5">
      <c r="A147" s="32"/>
      <c r="B147"/>
      <c r="I147" s="3"/>
      <c r="J147" s="3"/>
      <c r="K147" s="3"/>
      <c r="L147" s="3"/>
      <c r="M147" s="26"/>
    </row>
    <row r="148" spans="1:28" x14ac:dyDescent="0.25">
      <c r="A148" s="32" t="s">
        <v>280</v>
      </c>
      <c r="B148"/>
      <c r="I148" s="3"/>
      <c r="J148" s="3"/>
      <c r="K148" s="3">
        <f>SUM(K459:K461)</f>
        <v>62443.360710499983</v>
      </c>
      <c r="L148" s="3"/>
      <c r="M148" s="26" t="s">
        <v>284</v>
      </c>
    </row>
    <row r="149" spans="1:28" x14ac:dyDescent="0.25">
      <c r="A149" s="32" t="s">
        <v>281</v>
      </c>
      <c r="B149"/>
      <c r="I149" s="3"/>
      <c r="J149" s="3"/>
      <c r="K149" s="3">
        <f>SUM(K462:K464)</f>
        <v>69799.015738499991</v>
      </c>
      <c r="L149" s="3"/>
      <c r="M149" s="26" t="s">
        <v>285</v>
      </c>
    </row>
    <row r="150" spans="1:28" x14ac:dyDescent="0.25">
      <c r="A150" s="32" t="s">
        <v>282</v>
      </c>
      <c r="B150"/>
      <c r="I150" s="3"/>
      <c r="J150" s="3"/>
      <c r="K150" s="3">
        <f>SUM(K465:K467)</f>
        <v>68913.710792500002</v>
      </c>
      <c r="L150" s="3"/>
      <c r="M150" s="26" t="s">
        <v>286</v>
      </c>
    </row>
    <row r="151" spans="1:28" x14ac:dyDescent="0.25">
      <c r="A151" s="32" t="s">
        <v>283</v>
      </c>
      <c r="B151"/>
      <c r="I151" s="3"/>
      <c r="J151" s="3"/>
      <c r="K151" s="3">
        <f>SUM(K468:K470)</f>
        <v>66546.188598499983</v>
      </c>
      <c r="L151" s="3"/>
      <c r="M151" s="26" t="s">
        <v>287</v>
      </c>
    </row>
    <row r="152" spans="1:28" x14ac:dyDescent="0.25">
      <c r="A152" s="167"/>
      <c r="B152"/>
      <c r="I152" s="3"/>
      <c r="J152" s="3"/>
      <c r="K152" s="3"/>
      <c r="L152" s="3"/>
      <c r="M152" s="26"/>
    </row>
    <row r="153" spans="1:28" x14ac:dyDescent="0.25">
      <c r="A153" s="167" t="s">
        <v>296</v>
      </c>
      <c r="B153"/>
      <c r="I153" s="3"/>
      <c r="J153" s="3"/>
      <c r="K153" s="3">
        <f>SUM(K472:K474)</f>
        <v>59661.005348499995</v>
      </c>
      <c r="L153" s="3"/>
      <c r="M153" s="26" t="s">
        <v>300</v>
      </c>
    </row>
    <row r="154" spans="1:28" x14ac:dyDescent="0.25">
      <c r="A154" s="167" t="s">
        <v>297</v>
      </c>
      <c r="B154"/>
      <c r="I154" s="3"/>
      <c r="J154" s="3"/>
      <c r="K154" s="3">
        <f>SUM(K475:K477)</f>
        <v>64653.914280500001</v>
      </c>
      <c r="L154" s="3"/>
      <c r="M154" s="26" t="s">
        <v>301</v>
      </c>
    </row>
    <row r="155" spans="1:28" x14ac:dyDescent="0.25">
      <c r="A155" s="167" t="s">
        <v>298</v>
      </c>
      <c r="B155"/>
      <c r="I155" s="3"/>
      <c r="J155" s="3"/>
      <c r="K155" s="3">
        <f>SUM(K478:K480)</f>
        <v>66125.085892500007</v>
      </c>
      <c r="L155" s="3"/>
      <c r="M155" s="26" t="s">
        <v>302</v>
      </c>
    </row>
    <row r="156" spans="1:28" x14ac:dyDescent="0.25">
      <c r="A156" s="167" t="s">
        <v>299</v>
      </c>
      <c r="K156" s="3">
        <f>SUM(K481:K483)</f>
        <v>62209.435846499997</v>
      </c>
      <c r="M156" s="26" t="s">
        <v>303</v>
      </c>
    </row>
    <row r="157" spans="1:28" x14ac:dyDescent="0.25">
      <c r="A157" s="170"/>
      <c r="M157" s="26"/>
    </row>
    <row r="158" spans="1:28" ht="13.8" thickBot="1" x14ac:dyDescent="0.3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5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5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5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5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5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5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5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5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5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5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5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5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8" thickBot="1" x14ac:dyDescent="0.3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5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5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5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5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5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5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5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5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5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5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5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5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8" thickBot="1" x14ac:dyDescent="0.3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5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5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5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5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5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5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5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5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5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5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5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5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8" thickBot="1" x14ac:dyDescent="0.3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5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5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5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5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5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5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5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5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5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5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5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5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8" thickBot="1" x14ac:dyDescent="0.3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5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5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5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5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5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5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5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5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5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5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5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5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8" thickBot="1" x14ac:dyDescent="0.3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5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5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5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5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5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5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5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5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5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5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5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5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8" thickBot="1" x14ac:dyDescent="0.3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5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5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5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5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5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5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5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5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5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5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5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5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8" thickBot="1" x14ac:dyDescent="0.3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5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5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5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5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5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5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5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5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5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5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5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5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8" thickBot="1" x14ac:dyDescent="0.3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5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5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5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5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5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5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5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5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5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5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5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5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8" thickBot="1" x14ac:dyDescent="0.3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5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5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5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5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5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5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5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5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5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5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5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5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8" thickBot="1" x14ac:dyDescent="0.3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5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5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5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5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5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5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5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5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5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5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5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5">
      <c r="A300" s="33" t="s">
        <v>125</v>
      </c>
      <c r="B300" s="16"/>
      <c r="K300" s="16">
        <v>26641.994603166666</v>
      </c>
      <c r="M300" s="45" t="s">
        <v>125</v>
      </c>
    </row>
    <row r="301" spans="1:18" ht="13.8" thickBot="1" x14ac:dyDescent="0.3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5">
      <c r="A302" s="37">
        <v>2012</v>
      </c>
      <c r="B302" s="16"/>
      <c r="K302" s="3"/>
      <c r="M302" s="37">
        <v>2012</v>
      </c>
    </row>
    <row r="303" spans="1:18" x14ac:dyDescent="0.25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5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5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5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5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5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5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5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5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5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5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8" thickBot="1" x14ac:dyDescent="0.3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5">
      <c r="A315" s="37">
        <v>2013</v>
      </c>
      <c r="B315" s="16"/>
      <c r="K315" s="3"/>
      <c r="M315" s="37">
        <v>2013</v>
      </c>
    </row>
    <row r="316" spans="1:13" x14ac:dyDescent="0.25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5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5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5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5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5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5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5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5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5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5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8" thickBot="1" x14ac:dyDescent="0.3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5">
      <c r="A328" s="37">
        <v>2014</v>
      </c>
      <c r="B328" s="16"/>
      <c r="K328" s="16"/>
      <c r="L328" s="3"/>
      <c r="M328" s="37">
        <v>2014</v>
      </c>
    </row>
    <row r="329" spans="1:13" x14ac:dyDescent="0.25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5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5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5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5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5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5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5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5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5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5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8" thickBot="1" x14ac:dyDescent="0.3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5">
      <c r="A341" s="37">
        <v>2015</v>
      </c>
      <c r="B341" s="16"/>
      <c r="K341" s="16"/>
      <c r="L341" s="3"/>
      <c r="M341" s="37">
        <v>2015</v>
      </c>
    </row>
    <row r="342" spans="1:13" x14ac:dyDescent="0.25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5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5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5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5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5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5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5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5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5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5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8" thickBot="1" x14ac:dyDescent="0.3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5">
      <c r="A354" s="37">
        <v>2016</v>
      </c>
      <c r="B354" s="16"/>
      <c r="K354" s="16"/>
      <c r="L354" s="3"/>
      <c r="M354" s="37">
        <v>2016</v>
      </c>
    </row>
    <row r="355" spans="1:13" x14ac:dyDescent="0.25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5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5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5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5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5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5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5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5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5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5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8" thickBot="1" x14ac:dyDescent="0.3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5">
      <c r="A367" s="37">
        <v>2017</v>
      </c>
      <c r="B367" s="16"/>
      <c r="K367" s="16"/>
      <c r="L367" s="3"/>
      <c r="M367" s="37">
        <v>2017</v>
      </c>
    </row>
    <row r="368" spans="1:13" x14ac:dyDescent="0.25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5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5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5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5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5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5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5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5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5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5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8" thickBot="1" x14ac:dyDescent="0.3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5">
      <c r="A380" s="37">
        <v>2018</v>
      </c>
      <c r="B380" s="16"/>
      <c r="K380" s="16"/>
      <c r="L380" s="3"/>
      <c r="M380" s="37">
        <v>2018</v>
      </c>
    </row>
    <row r="381" spans="1:13" x14ac:dyDescent="0.25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5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5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5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5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5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5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5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5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5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5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8" thickBot="1" x14ac:dyDescent="0.3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5">
      <c r="A393" s="37">
        <v>2019</v>
      </c>
      <c r="B393" s="16"/>
      <c r="K393" s="16"/>
      <c r="L393" s="3"/>
      <c r="M393" s="37">
        <v>2019</v>
      </c>
    </row>
    <row r="394" spans="1:13" x14ac:dyDescent="0.25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5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5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5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5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5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5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5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5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5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5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8" thickBot="1" x14ac:dyDescent="0.3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5">
      <c r="A406" s="37">
        <v>2020</v>
      </c>
      <c r="B406" s="16"/>
      <c r="K406" s="16"/>
      <c r="L406" s="3"/>
      <c r="M406" s="37">
        <v>2020</v>
      </c>
    </row>
    <row r="407" spans="1:13" x14ac:dyDescent="0.25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5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5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5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5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5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5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5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5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5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5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8" thickBot="1" x14ac:dyDescent="0.3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5">
      <c r="A419" s="37">
        <v>2021</v>
      </c>
      <c r="B419" s="16"/>
      <c r="K419" s="16"/>
      <c r="L419" s="3"/>
      <c r="M419" s="37">
        <v>2021</v>
      </c>
    </row>
    <row r="420" spans="1:13" x14ac:dyDescent="0.25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5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5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5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5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5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5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5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5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5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5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8" thickBot="1" x14ac:dyDescent="0.3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5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5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5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5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5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5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5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5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5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5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5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5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8" thickBot="1" x14ac:dyDescent="0.3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5">
      <c r="A445" s="37">
        <v>2023</v>
      </c>
      <c r="K445" s="16"/>
      <c r="L445" s="15"/>
      <c r="M445" s="37">
        <v>2023</v>
      </c>
    </row>
    <row r="446" spans="1:22" x14ac:dyDescent="0.25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5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5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5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5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5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5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5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5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5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5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8" thickBot="1" x14ac:dyDescent="0.3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5">
      <c r="A458" s="37">
        <v>2024</v>
      </c>
      <c r="K458" s="16"/>
      <c r="L458" s="15"/>
      <c r="M458" s="37">
        <v>2024</v>
      </c>
    </row>
    <row r="459" spans="1:13" x14ac:dyDescent="0.25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21051.443975499995</v>
      </c>
      <c r="M459" s="55" t="s">
        <v>115</v>
      </c>
    </row>
    <row r="460" spans="1:13" x14ac:dyDescent="0.25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19446.597535499994</v>
      </c>
      <c r="M460" s="55" t="s">
        <v>116</v>
      </c>
    </row>
    <row r="461" spans="1:13" x14ac:dyDescent="0.25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21945.319199499998</v>
      </c>
      <c r="M461" s="55" t="s">
        <v>117</v>
      </c>
    </row>
    <row r="462" spans="1:13" x14ac:dyDescent="0.25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22786.193859499999</v>
      </c>
      <c r="M462" s="55" t="s">
        <v>118</v>
      </c>
    </row>
    <row r="463" spans="1:13" x14ac:dyDescent="0.25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25192.775627499999</v>
      </c>
      <c r="M463" s="55" t="s">
        <v>137</v>
      </c>
    </row>
    <row r="464" spans="1:13" x14ac:dyDescent="0.25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21820.046251499996</v>
      </c>
      <c r="M464" s="80" t="s">
        <v>120</v>
      </c>
    </row>
    <row r="465" spans="1:13" x14ac:dyDescent="0.25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21642.025955500001</v>
      </c>
      <c r="M465" s="80" t="s">
        <v>121</v>
      </c>
    </row>
    <row r="466" spans="1:13" x14ac:dyDescent="0.25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24707.5702695</v>
      </c>
      <c r="M466" s="80" t="s">
        <v>122</v>
      </c>
    </row>
    <row r="467" spans="1:13" x14ac:dyDescent="0.25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22564.114567499997</v>
      </c>
      <c r="M467" s="80" t="s">
        <v>123</v>
      </c>
    </row>
    <row r="468" spans="1:13" x14ac:dyDescent="0.25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23784.090361499999</v>
      </c>
      <c r="M468" s="80" t="s">
        <v>124</v>
      </c>
    </row>
    <row r="469" spans="1:13" x14ac:dyDescent="0.25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21251.093259499998</v>
      </c>
      <c r="M469" s="117" t="s">
        <v>125</v>
      </c>
    </row>
    <row r="470" spans="1:13" ht="13.8" thickBot="1" x14ac:dyDescent="0.3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21511.004977499993</v>
      </c>
      <c r="M470" s="118" t="s">
        <v>113</v>
      </c>
    </row>
    <row r="471" spans="1:13" x14ac:dyDescent="0.25">
      <c r="A471" s="37">
        <v>2025</v>
      </c>
      <c r="K471" s="16"/>
      <c r="L471" s="15"/>
      <c r="M471" s="37">
        <v>2025</v>
      </c>
    </row>
    <row r="472" spans="1:13" x14ac:dyDescent="0.25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19021.911005500006</v>
      </c>
      <c r="M472" s="55" t="s">
        <v>115</v>
      </c>
    </row>
    <row r="473" spans="1:13" x14ac:dyDescent="0.25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19093.153705499997</v>
      </c>
      <c r="M473" s="55" t="s">
        <v>116</v>
      </c>
    </row>
    <row r="474" spans="1:13" x14ac:dyDescent="0.25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21545.940637499996</v>
      </c>
      <c r="M474" s="55" t="s">
        <v>117</v>
      </c>
    </row>
    <row r="475" spans="1:13" x14ac:dyDescent="0.25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21050.405487500004</v>
      </c>
      <c r="M475" s="55" t="s">
        <v>118</v>
      </c>
    </row>
    <row r="476" spans="1:13" x14ac:dyDescent="0.25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21621.534919499994</v>
      </c>
      <c r="M476" s="55" t="s">
        <v>119</v>
      </c>
    </row>
    <row r="477" spans="1:13" x14ac:dyDescent="0.25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21981.973873499996</v>
      </c>
      <c r="M477" s="55" t="s">
        <v>120</v>
      </c>
    </row>
    <row r="478" spans="1:13" x14ac:dyDescent="0.25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21400.318553500005</v>
      </c>
      <c r="M478" s="55" t="s">
        <v>121</v>
      </c>
    </row>
    <row r="479" spans="1:13" x14ac:dyDescent="0.25">
      <c r="A479" s="50" t="s">
        <v>122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22643.255269500001</v>
      </c>
      <c r="M479" s="80" t="s">
        <v>122</v>
      </c>
    </row>
    <row r="480" spans="1:13" x14ac:dyDescent="0.25">
      <c r="A480" s="50" t="s">
        <v>123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22081.512069499997</v>
      </c>
      <c r="M480" s="80" t="s">
        <v>123</v>
      </c>
    </row>
    <row r="481" spans="1:13" x14ac:dyDescent="0.25">
      <c r="A481" s="50" t="s">
        <v>131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23173.892997499999</v>
      </c>
      <c r="M481" s="80" t="s">
        <v>124</v>
      </c>
    </row>
    <row r="482" spans="1:13" x14ac:dyDescent="0.25">
      <c r="A482" s="50" t="s">
        <v>125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19804.362217499998</v>
      </c>
      <c r="M482" s="117" t="s">
        <v>125</v>
      </c>
    </row>
    <row r="483" spans="1:13" x14ac:dyDescent="0.25">
      <c r="A483" s="50" t="s">
        <v>113</v>
      </c>
      <c r="K483" s="16">
        <f>Motorbenzin!L483+Flybenzin!L483+'Gas-dieselolie'!L483+Petroleum!L483+'JP1'!L483+Fuelolie!L483+Raffinaderigas!L483+LPG!L483+LVN!L483+Petroleumskoks!L483+Orimulsion!I483+Bitumen!L483+Spildol_Smøreolie_MinTerpentin!N483+Spildol_Smøreolie_MinTerpentin!P483+Spildol_Smøreolie_MinTerpentin!R483</f>
        <v>19231.180631499996</v>
      </c>
      <c r="M483" s="117" t="s">
        <v>113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83"/>
  <sheetViews>
    <sheetView zoomScale="80" zoomScaleNormal="80" workbookViewId="0">
      <pane xSplit="2" ySplit="5" topLeftCell="C451" activePane="bottomRight" state="frozen"/>
      <selection pane="topRight" activeCell="C1" sqref="C1"/>
      <selection pane="bottomLeft" activeCell="A6" sqref="A6"/>
      <selection pane="bottomRight" activeCell="L486" sqref="L48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5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5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5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5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5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5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5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5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301334</v>
      </c>
      <c r="D27" s="3">
        <f t="shared" ref="D27:L27" si="11">SUM(D472:D483)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304410</v>
      </c>
      <c r="I27" s="3">
        <f>I483</f>
        <v>0</v>
      </c>
      <c r="J27" s="3"/>
      <c r="K27" s="3"/>
      <c r="L27" s="3">
        <f t="shared" si="11"/>
        <v>15829.32</v>
      </c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295136</v>
      </c>
      <c r="D30" s="3">
        <f t="shared" si="12"/>
        <v>0</v>
      </c>
      <c r="E30" s="3">
        <f t="shared" si="12"/>
        <v>0</v>
      </c>
      <c r="F30" s="3">
        <f t="shared" si="12"/>
        <v>0</v>
      </c>
      <c r="G30" s="3">
        <f t="shared" si="12"/>
        <v>0</v>
      </c>
      <c r="H30" s="3">
        <f t="shared" si="12"/>
        <v>295136</v>
      </c>
      <c r="I30" s="3">
        <f>I223</f>
        <v>0</v>
      </c>
      <c r="J30" s="3"/>
      <c r="K30" s="3"/>
      <c r="L30" s="3">
        <f>SUM(L212:L223)</f>
        <v>15679.976000000001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309916</v>
      </c>
      <c r="D31" s="3">
        <f t="shared" si="13"/>
        <v>0</v>
      </c>
      <c r="E31" s="3">
        <f t="shared" si="13"/>
        <v>0</v>
      </c>
      <c r="F31" s="3">
        <f t="shared" si="13"/>
        <v>0</v>
      </c>
      <c r="G31" s="3">
        <f t="shared" si="13"/>
        <v>0</v>
      </c>
      <c r="H31" s="3">
        <f t="shared" si="13"/>
        <v>309916</v>
      </c>
      <c r="I31" s="3">
        <f>I236</f>
        <v>0</v>
      </c>
      <c r="J31" s="3"/>
      <c r="K31" s="3"/>
      <c r="L31" s="3">
        <f>SUM(L225:L236)</f>
        <v>16115.632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306082</v>
      </c>
      <c r="D32" s="3">
        <f t="shared" si="14"/>
        <v>0</v>
      </c>
      <c r="E32" s="3">
        <f t="shared" si="14"/>
        <v>0</v>
      </c>
      <c r="F32" s="3">
        <f t="shared" si="14"/>
        <v>0</v>
      </c>
      <c r="G32" s="3">
        <f t="shared" si="14"/>
        <v>0</v>
      </c>
      <c r="H32" s="3">
        <f t="shared" si="14"/>
        <v>306082</v>
      </c>
      <c r="I32" s="3">
        <f>I249</f>
        <v>0</v>
      </c>
      <c r="J32" s="3"/>
      <c r="K32" s="3"/>
      <c r="L32" s="3">
        <f>SUM(L238:L249)</f>
        <v>15916.263999999997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284274</v>
      </c>
      <c r="D33" s="3">
        <f t="shared" si="15"/>
        <v>0</v>
      </c>
      <c r="E33" s="3">
        <f t="shared" si="15"/>
        <v>0</v>
      </c>
      <c r="F33" s="3">
        <f t="shared" si="15"/>
        <v>0</v>
      </c>
      <c r="G33" s="3">
        <f t="shared" si="15"/>
        <v>0</v>
      </c>
      <c r="H33" s="3">
        <f t="shared" si="15"/>
        <v>284274</v>
      </c>
      <c r="I33" s="3">
        <f>I262</f>
        <v>0</v>
      </c>
      <c r="J33" s="3"/>
      <c r="K33" s="3"/>
      <c r="L33" s="3">
        <f>SUM(L251:L262)</f>
        <v>14782.248000000001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296526</v>
      </c>
      <c r="D34" s="3">
        <f t="shared" si="16"/>
        <v>0</v>
      </c>
      <c r="E34" s="3">
        <f t="shared" si="16"/>
        <v>0</v>
      </c>
      <c r="F34" s="3">
        <f t="shared" si="16"/>
        <v>0</v>
      </c>
      <c r="G34" s="3">
        <f t="shared" si="16"/>
        <v>0</v>
      </c>
      <c r="H34" s="3">
        <f t="shared" si="16"/>
        <v>296526</v>
      </c>
      <c r="I34" s="3">
        <f>I275</f>
        <v>0</v>
      </c>
      <c r="J34" s="3"/>
      <c r="K34" s="3"/>
      <c r="L34" s="3">
        <f>SUM(L264:L275)</f>
        <v>15419.351999999999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246452</v>
      </c>
      <c r="D35" s="3">
        <f t="shared" si="17"/>
        <v>0</v>
      </c>
      <c r="E35" s="3">
        <f t="shared" si="17"/>
        <v>0</v>
      </c>
      <c r="F35" s="3">
        <f t="shared" si="17"/>
        <v>0</v>
      </c>
      <c r="G35" s="3">
        <f t="shared" si="17"/>
        <v>0</v>
      </c>
      <c r="H35" s="3">
        <f t="shared" si="17"/>
        <v>263073</v>
      </c>
      <c r="I35" s="3">
        <f>I288</f>
        <v>0</v>
      </c>
      <c r="J35" s="3"/>
      <c r="K35" s="3"/>
      <c r="L35" s="3">
        <f>SUM(L277:L288)</f>
        <v>13679.796000000002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278463</v>
      </c>
      <c r="D36" s="3">
        <f t="shared" si="18"/>
        <v>0</v>
      </c>
      <c r="E36" s="3">
        <f t="shared" si="18"/>
        <v>0</v>
      </c>
      <c r="F36" s="3">
        <f t="shared" si="18"/>
        <v>0</v>
      </c>
      <c r="G36" s="3">
        <f t="shared" si="18"/>
        <v>0</v>
      </c>
      <c r="H36" s="3">
        <f t="shared" si="18"/>
        <v>287646</v>
      </c>
      <c r="I36" s="3">
        <f>I301</f>
        <v>0</v>
      </c>
      <c r="J36" s="3"/>
      <c r="K36" s="3"/>
      <c r="L36" s="3">
        <f>SUM(L290:L301)</f>
        <v>14957.592000000002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300625</v>
      </c>
      <c r="D37" s="3">
        <f t="shared" si="19"/>
        <v>0</v>
      </c>
      <c r="E37" s="3">
        <f t="shared" si="19"/>
        <v>0</v>
      </c>
      <c r="F37" s="3">
        <f t="shared" si="19"/>
        <v>0</v>
      </c>
      <c r="G37" s="3">
        <f t="shared" si="19"/>
        <v>0</v>
      </c>
      <c r="H37" s="3">
        <f t="shared" si="19"/>
        <v>308150</v>
      </c>
      <c r="I37" s="3">
        <f>I314</f>
        <v>0</v>
      </c>
      <c r="J37" s="3"/>
      <c r="K37" s="3"/>
      <c r="L37" s="3">
        <f>SUM(L303:L314)</f>
        <v>16023.8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20">SUM(C316:C327)</f>
        <v>296530</v>
      </c>
      <c r="D38" s="3">
        <f t="shared" si="20"/>
        <v>0</v>
      </c>
      <c r="E38" s="3">
        <f t="shared" si="20"/>
        <v>0</v>
      </c>
      <c r="F38" s="3">
        <f t="shared" si="20"/>
        <v>0</v>
      </c>
      <c r="G38" s="3">
        <f t="shared" si="20"/>
        <v>0</v>
      </c>
      <c r="H38" s="3">
        <f t="shared" si="20"/>
        <v>300439</v>
      </c>
      <c r="I38" s="3">
        <f>I327</f>
        <v>0</v>
      </c>
      <c r="J38" s="3"/>
      <c r="K38" s="3"/>
      <c r="L38" s="3">
        <f>SUM(L316:L327)</f>
        <v>15622.828000000001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298536</v>
      </c>
      <c r="D39" s="3">
        <f t="shared" si="21"/>
        <v>0</v>
      </c>
      <c r="E39" s="3">
        <f t="shared" si="21"/>
        <v>0</v>
      </c>
      <c r="F39" s="3">
        <f t="shared" si="21"/>
        <v>0</v>
      </c>
      <c r="G39" s="3">
        <f t="shared" si="21"/>
        <v>0</v>
      </c>
      <c r="H39" s="3">
        <f t="shared" si="21"/>
        <v>304413</v>
      </c>
      <c r="I39" s="3">
        <f>I340</f>
        <v>0</v>
      </c>
      <c r="J39" s="3"/>
      <c r="K39" s="3"/>
      <c r="L39" s="3">
        <f>SUM(L329:L340)</f>
        <v>15829.476000000001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318854</v>
      </c>
      <c r="D40" s="3">
        <f t="shared" si="22"/>
        <v>0</v>
      </c>
      <c r="E40" s="3">
        <f t="shared" si="22"/>
        <v>0</v>
      </c>
      <c r="F40" s="3">
        <f t="shared" si="22"/>
        <v>0</v>
      </c>
      <c r="G40" s="3">
        <f t="shared" si="22"/>
        <v>0</v>
      </c>
      <c r="H40" s="3">
        <f t="shared" si="22"/>
        <v>319769</v>
      </c>
      <c r="I40" s="3">
        <f>I353</f>
        <v>0</v>
      </c>
      <c r="J40" s="3"/>
      <c r="K40" s="3"/>
      <c r="L40" s="3">
        <f>SUM(L342:L353)</f>
        <v>16627.987999999998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286852</v>
      </c>
      <c r="D41" s="3">
        <f t="shared" si="23"/>
        <v>0</v>
      </c>
      <c r="E41" s="3">
        <f t="shared" si="23"/>
        <v>0</v>
      </c>
      <c r="F41" s="3">
        <f t="shared" si="23"/>
        <v>0</v>
      </c>
      <c r="G41" s="3">
        <f t="shared" si="23"/>
        <v>0</v>
      </c>
      <c r="H41" s="3">
        <f t="shared" si="23"/>
        <v>290673</v>
      </c>
      <c r="I41" s="3">
        <f>I366</f>
        <v>0</v>
      </c>
      <c r="J41" s="3"/>
      <c r="K41" s="3"/>
      <c r="L41" s="3">
        <f>SUM(L355:L366)</f>
        <v>15114.995999999999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306313</v>
      </c>
      <c r="D42" s="3">
        <f t="shared" si="24"/>
        <v>0</v>
      </c>
      <c r="E42" s="3">
        <f t="shared" si="24"/>
        <v>0</v>
      </c>
      <c r="F42" s="3">
        <f t="shared" si="24"/>
        <v>0</v>
      </c>
      <c r="G42" s="3">
        <f t="shared" si="24"/>
        <v>0</v>
      </c>
      <c r="H42" s="3">
        <f t="shared" si="24"/>
        <v>318166</v>
      </c>
      <c r="I42" s="3">
        <f>I379</f>
        <v>0</v>
      </c>
      <c r="J42" s="3"/>
      <c r="K42" s="3"/>
      <c r="L42" s="3">
        <f>SUM(L368:L379)</f>
        <v>16544.632000000001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299682</v>
      </c>
      <c r="D43" s="3">
        <f t="shared" si="25"/>
        <v>0</v>
      </c>
      <c r="E43" s="3">
        <f t="shared" si="25"/>
        <v>0</v>
      </c>
      <c r="F43" s="3">
        <f t="shared" si="25"/>
        <v>0</v>
      </c>
      <c r="G43" s="3">
        <f t="shared" si="25"/>
        <v>0</v>
      </c>
      <c r="H43" s="3">
        <f t="shared" si="25"/>
        <v>309358</v>
      </c>
      <c r="I43" s="3">
        <f>I392</f>
        <v>0</v>
      </c>
      <c r="J43" s="3"/>
      <c r="K43" s="3"/>
      <c r="L43" s="3">
        <f>SUM(L381:L392)</f>
        <v>16086.616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319624</v>
      </c>
      <c r="D44" s="3">
        <f t="shared" si="26"/>
        <v>0</v>
      </c>
      <c r="E44" s="3">
        <f t="shared" si="26"/>
        <v>0</v>
      </c>
      <c r="F44" s="3">
        <f t="shared" si="26"/>
        <v>0</v>
      </c>
      <c r="G44" s="3">
        <f t="shared" si="26"/>
        <v>0</v>
      </c>
      <c r="H44" s="3">
        <f t="shared" si="26"/>
        <v>334818</v>
      </c>
      <c r="I44" s="3">
        <f>I405</f>
        <v>0</v>
      </c>
      <c r="J44" s="3"/>
      <c r="K44" s="3"/>
      <c r="L44" s="3">
        <f>SUM(L394:L405)</f>
        <v>17410.535999999996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307818</v>
      </c>
      <c r="D45" s="3">
        <f t="shared" si="27"/>
        <v>0</v>
      </c>
      <c r="E45" s="3">
        <f t="shared" si="27"/>
        <v>0</v>
      </c>
      <c r="F45" s="3">
        <f t="shared" si="27"/>
        <v>0</v>
      </c>
      <c r="G45" s="3">
        <f t="shared" si="27"/>
        <v>0</v>
      </c>
      <c r="H45" s="3">
        <f t="shared" si="27"/>
        <v>320628</v>
      </c>
      <c r="I45" s="3">
        <f>I418</f>
        <v>0</v>
      </c>
      <c r="J45" s="3"/>
      <c r="K45" s="3"/>
      <c r="L45" s="3">
        <f>SUM(L407:L418)</f>
        <v>16672.655999999999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325749</v>
      </c>
      <c r="D46" s="3">
        <f t="shared" si="28"/>
        <v>0</v>
      </c>
      <c r="E46" s="3">
        <f t="shared" si="28"/>
        <v>0</v>
      </c>
      <c r="F46" s="3">
        <f t="shared" si="28"/>
        <v>0</v>
      </c>
      <c r="G46" s="3">
        <f t="shared" si="28"/>
        <v>0</v>
      </c>
      <c r="H46" s="3">
        <f t="shared" si="28"/>
        <v>333120</v>
      </c>
      <c r="I46" s="3">
        <f>I431</f>
        <v>0</v>
      </c>
      <c r="J46" s="3"/>
      <c r="K46" s="3"/>
      <c r="L46" s="3">
        <f>SUM(L420:L431)</f>
        <v>17322.240000000002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317595</v>
      </c>
      <c r="D47" s="3">
        <f t="shared" si="29"/>
        <v>0</v>
      </c>
      <c r="E47" s="3">
        <f t="shared" si="29"/>
        <v>0</v>
      </c>
      <c r="F47" s="3">
        <f t="shared" si="29"/>
        <v>0</v>
      </c>
      <c r="G47" s="3">
        <f t="shared" si="29"/>
        <v>0</v>
      </c>
      <c r="H47" s="3">
        <f t="shared" si="29"/>
        <v>321587</v>
      </c>
      <c r="I47" s="3">
        <f>I444</f>
        <v>0</v>
      </c>
      <c r="J47" s="3"/>
      <c r="K47" s="3"/>
      <c r="L47" s="3">
        <f>SUM(L433:L444)</f>
        <v>16722.523999999998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317375</v>
      </c>
      <c r="D48" s="3">
        <f t="shared" si="30"/>
        <v>0</v>
      </c>
      <c r="E48" s="3">
        <f t="shared" si="30"/>
        <v>0</v>
      </c>
      <c r="F48" s="3">
        <f t="shared" si="30"/>
        <v>0</v>
      </c>
      <c r="G48" s="3">
        <f t="shared" si="30"/>
        <v>0</v>
      </c>
      <c r="H48" s="3">
        <f t="shared" si="30"/>
        <v>321813</v>
      </c>
      <c r="I48" s="3">
        <f>I457</f>
        <v>0</v>
      </c>
      <c r="J48" s="3"/>
      <c r="K48" s="3"/>
      <c r="L48" s="3">
        <f>SUM(L446:L457)</f>
        <v>16734.276000000002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289943</v>
      </c>
      <c r="D49" s="3">
        <f t="shared" si="31"/>
        <v>0</v>
      </c>
      <c r="E49" s="3">
        <f t="shared" si="31"/>
        <v>0</v>
      </c>
      <c r="F49" s="3">
        <f t="shared" si="31"/>
        <v>0</v>
      </c>
      <c r="G49" s="3">
        <f t="shared" si="31"/>
        <v>0</v>
      </c>
      <c r="H49" s="3">
        <f t="shared" si="31"/>
        <v>293613</v>
      </c>
      <c r="I49" s="3">
        <f>I470</f>
        <v>0</v>
      </c>
      <c r="J49" s="3"/>
      <c r="K49" s="3"/>
      <c r="L49" s="3">
        <f>SUM(L459:L470)</f>
        <v>15267.876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301334</v>
      </c>
      <c r="D50" s="3">
        <f t="shared" si="32"/>
        <v>0</v>
      </c>
      <c r="E50" s="3">
        <f t="shared" si="32"/>
        <v>0</v>
      </c>
      <c r="F50" s="3">
        <f t="shared" si="32"/>
        <v>0</v>
      </c>
      <c r="G50" s="3">
        <f t="shared" si="32"/>
        <v>0</v>
      </c>
      <c r="H50" s="3">
        <f t="shared" si="32"/>
        <v>304410</v>
      </c>
      <c r="I50" s="3">
        <f>I483</f>
        <v>0</v>
      </c>
      <c r="J50" s="3"/>
      <c r="K50" s="3"/>
      <c r="L50" s="3">
        <f>SUM(L472:L483)</f>
        <v>15829.32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5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5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5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5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5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5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5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5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5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5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5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5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5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5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5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5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5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5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5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5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5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5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5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5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5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5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5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5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76227</v>
      </c>
      <c r="D98" s="3">
        <f t="shared" si="33"/>
        <v>0</v>
      </c>
      <c r="E98" s="3">
        <f t="shared" si="33"/>
        <v>0</v>
      </c>
      <c r="F98" s="3">
        <f t="shared" si="33"/>
        <v>0</v>
      </c>
      <c r="G98" s="3">
        <f t="shared" si="33"/>
        <v>0</v>
      </c>
      <c r="H98" s="3">
        <f t="shared" si="33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80340</v>
      </c>
      <c r="D99" s="3">
        <f t="shared" si="34"/>
        <v>0</v>
      </c>
      <c r="E99" s="3">
        <f t="shared" si="34"/>
        <v>0</v>
      </c>
      <c r="F99" s="3">
        <f t="shared" si="34"/>
        <v>0</v>
      </c>
      <c r="G99" s="3">
        <f t="shared" si="34"/>
        <v>0</v>
      </c>
      <c r="H99" s="3">
        <f t="shared" si="34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73494</v>
      </c>
      <c r="D100" s="3">
        <f t="shared" si="35"/>
        <v>0</v>
      </c>
      <c r="E100" s="3">
        <f t="shared" si="35"/>
        <v>0</v>
      </c>
      <c r="F100" s="3">
        <f t="shared" si="35"/>
        <v>0</v>
      </c>
      <c r="G100" s="3">
        <f t="shared" si="35"/>
        <v>0</v>
      </c>
      <c r="H100" s="3">
        <f t="shared" si="35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68475</v>
      </c>
      <c r="D101" s="3">
        <f t="shared" si="36"/>
        <v>0</v>
      </c>
      <c r="E101" s="3">
        <f t="shared" si="36"/>
        <v>0</v>
      </c>
      <c r="F101" s="3">
        <f t="shared" si="36"/>
        <v>0</v>
      </c>
      <c r="G101" s="3">
        <f t="shared" si="36"/>
        <v>0</v>
      </c>
      <c r="H101" s="3">
        <f t="shared" si="36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80834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82962</v>
      </c>
      <c r="D104" s="3">
        <f t="shared" si="38"/>
        <v>0</v>
      </c>
      <c r="E104" s="3">
        <f t="shared" si="38"/>
        <v>0</v>
      </c>
      <c r="F104" s="3">
        <f t="shared" si="38"/>
        <v>0</v>
      </c>
      <c r="G104" s="3">
        <f t="shared" si="38"/>
        <v>0</v>
      </c>
      <c r="H104" s="3">
        <f t="shared" si="38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73907</v>
      </c>
      <c r="D105" s="3">
        <f t="shared" si="39"/>
        <v>0</v>
      </c>
      <c r="E105" s="3">
        <f t="shared" si="39"/>
        <v>0</v>
      </c>
      <c r="F105" s="3">
        <f t="shared" si="39"/>
        <v>0</v>
      </c>
      <c r="G105" s="3">
        <f t="shared" si="39"/>
        <v>0</v>
      </c>
      <c r="H105" s="3">
        <f t="shared" si="39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81151</v>
      </c>
      <c r="D106" s="3">
        <f t="shared" si="40"/>
        <v>0</v>
      </c>
      <c r="E106" s="3">
        <f t="shared" si="40"/>
        <v>0</v>
      </c>
      <c r="F106" s="3">
        <f t="shared" si="40"/>
        <v>0</v>
      </c>
      <c r="G106" s="3">
        <f t="shared" si="40"/>
        <v>0</v>
      </c>
      <c r="H106" s="3">
        <f t="shared" si="40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83267</v>
      </c>
      <c r="D108" s="3">
        <f t="shared" ref="D108:L108" si="41">SUM(D355:D357)</f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83293</v>
      </c>
      <c r="I108" s="3">
        <f>I357</f>
        <v>0</v>
      </c>
      <c r="J108" s="3"/>
      <c r="K108" s="3"/>
      <c r="L108" s="3">
        <f t="shared" si="41"/>
        <v>4331.2359999999999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50816</v>
      </c>
      <c r="D109" s="3">
        <f t="shared" si="42"/>
        <v>0</v>
      </c>
      <c r="E109" s="3">
        <f t="shared" si="42"/>
        <v>0</v>
      </c>
      <c r="F109" s="3">
        <f t="shared" si="42"/>
        <v>0</v>
      </c>
      <c r="G109" s="3">
        <f t="shared" si="42"/>
        <v>0</v>
      </c>
      <c r="H109" s="3">
        <f t="shared" si="42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3">SUM(C361:C363)</f>
        <v>75317</v>
      </c>
      <c r="D110" s="3">
        <f t="shared" si="43"/>
        <v>0</v>
      </c>
      <c r="E110" s="3">
        <f t="shared" si="43"/>
        <v>0</v>
      </c>
      <c r="F110" s="3">
        <f t="shared" si="43"/>
        <v>0</v>
      </c>
      <c r="G110" s="3">
        <f t="shared" si="43"/>
        <v>0</v>
      </c>
      <c r="H110" s="3">
        <f t="shared" si="43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77452</v>
      </c>
      <c r="D111" s="3">
        <f t="shared" ref="D111:L111" si="44">SUM(D364:D366)</f>
        <v>0</v>
      </c>
      <c r="E111" s="3">
        <f t="shared" si="44"/>
        <v>0</v>
      </c>
      <c r="F111" s="3">
        <f t="shared" si="44"/>
        <v>0</v>
      </c>
      <c r="G111" s="3">
        <f t="shared" si="44"/>
        <v>0</v>
      </c>
      <c r="H111" s="3">
        <f t="shared" si="44"/>
        <v>79897</v>
      </c>
      <c r="I111" s="3">
        <f>I366</f>
        <v>0</v>
      </c>
      <c r="J111" s="3"/>
      <c r="K111" s="3"/>
      <c r="L111" s="3">
        <f t="shared" si="44"/>
        <v>4154.6440000000002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83890</v>
      </c>
      <c r="D113" s="3">
        <f t="shared" si="45"/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84239</v>
      </c>
      <c r="D114" s="3">
        <f t="shared" si="46"/>
        <v>0</v>
      </c>
      <c r="E114" s="3">
        <f t="shared" si="46"/>
        <v>0</v>
      </c>
      <c r="F114" s="3">
        <f t="shared" si="46"/>
        <v>0</v>
      </c>
      <c r="G114" s="3">
        <f t="shared" si="46"/>
        <v>0</v>
      </c>
      <c r="H114" s="3">
        <f t="shared" si="46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66033</v>
      </c>
      <c r="D115" s="3">
        <f t="shared" ref="D115:L115" si="47">SUM(D374:D376)</f>
        <v>0</v>
      </c>
      <c r="E115" s="3">
        <f t="shared" si="47"/>
        <v>0</v>
      </c>
      <c r="F115" s="3">
        <f t="shared" si="47"/>
        <v>0</v>
      </c>
      <c r="G115" s="3">
        <f t="shared" si="47"/>
        <v>0</v>
      </c>
      <c r="H115" s="3">
        <f t="shared" si="47"/>
        <v>68570</v>
      </c>
      <c r="I115" s="3">
        <f>I376</f>
        <v>0</v>
      </c>
      <c r="J115" s="3"/>
      <c r="K115" s="3"/>
      <c r="L115" s="3">
        <f t="shared" si="47"/>
        <v>3565.64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72151</v>
      </c>
      <c r="D116" s="3">
        <f t="shared" si="48"/>
        <v>0</v>
      </c>
      <c r="E116" s="3">
        <f t="shared" si="48"/>
        <v>0</v>
      </c>
      <c r="F116" s="3">
        <f t="shared" si="48"/>
        <v>0</v>
      </c>
      <c r="G116" s="3">
        <f t="shared" si="48"/>
        <v>0</v>
      </c>
      <c r="H116" s="3">
        <f t="shared" si="48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77482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71676</v>
      </c>
      <c r="D119" s="3">
        <f t="shared" ref="D119:L119" si="50">SUM(D384:D386)</f>
        <v>0</v>
      </c>
      <c r="E119" s="3">
        <f t="shared" si="50"/>
        <v>0</v>
      </c>
      <c r="F119" s="3">
        <f t="shared" si="50"/>
        <v>0</v>
      </c>
      <c r="G119" s="3">
        <f t="shared" si="50"/>
        <v>0</v>
      </c>
      <c r="H119" s="3">
        <f t="shared" si="50"/>
        <v>73231</v>
      </c>
      <c r="I119" s="3">
        <f>I386</f>
        <v>0</v>
      </c>
      <c r="J119" s="3"/>
      <c r="K119" s="3"/>
      <c r="L119" s="3">
        <f t="shared" si="50"/>
        <v>3808.0120000000002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>SUM(C387:C389)</f>
        <v>70726</v>
      </c>
      <c r="D120" s="3">
        <f t="shared" ref="D120:L120" si="51">SUM(D387:D389)</f>
        <v>0</v>
      </c>
      <c r="E120" s="3">
        <f t="shared" si="51"/>
        <v>0</v>
      </c>
      <c r="F120" s="3">
        <f t="shared" si="51"/>
        <v>0</v>
      </c>
      <c r="G120" s="3">
        <f t="shared" si="51"/>
        <v>0</v>
      </c>
      <c r="H120" s="3">
        <f t="shared" si="51"/>
        <v>73206</v>
      </c>
      <c r="I120" s="3">
        <f>I389</f>
        <v>0</v>
      </c>
      <c r="J120" s="3"/>
      <c r="L120" s="3">
        <f t="shared" si="51"/>
        <v>3806.712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79798</v>
      </c>
      <c r="D121" s="3">
        <f t="shared" si="52"/>
        <v>0</v>
      </c>
      <c r="E121" s="3">
        <f t="shared" si="52"/>
        <v>0</v>
      </c>
      <c r="F121" s="3">
        <f t="shared" si="52"/>
        <v>0</v>
      </c>
      <c r="G121" s="3">
        <f t="shared" si="52"/>
        <v>0</v>
      </c>
      <c r="H121" s="3">
        <f t="shared" si="52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85196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79757</v>
      </c>
      <c r="D124" s="3">
        <f t="shared" si="54"/>
        <v>0</v>
      </c>
      <c r="E124" s="3">
        <f t="shared" si="54"/>
        <v>0</v>
      </c>
      <c r="F124" s="3">
        <f t="shared" si="54"/>
        <v>0</v>
      </c>
      <c r="G124" s="3">
        <f t="shared" si="54"/>
        <v>0</v>
      </c>
      <c r="H124" s="3">
        <f t="shared" si="54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70922</v>
      </c>
      <c r="D125" s="3">
        <f t="shared" si="55"/>
        <v>0</v>
      </c>
      <c r="E125" s="3">
        <f t="shared" si="55"/>
        <v>0</v>
      </c>
      <c r="F125" s="3">
        <f t="shared" si="55"/>
        <v>0</v>
      </c>
      <c r="G125" s="3">
        <f t="shared" si="55"/>
        <v>0</v>
      </c>
      <c r="H125" s="3">
        <f t="shared" si="55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83749</v>
      </c>
      <c r="D126" s="3">
        <f t="shared" si="56"/>
        <v>0</v>
      </c>
      <c r="E126" s="3">
        <f t="shared" si="56"/>
        <v>0</v>
      </c>
      <c r="F126" s="3">
        <f t="shared" si="56"/>
        <v>0</v>
      </c>
      <c r="G126" s="3">
        <f t="shared" si="56"/>
        <v>0</v>
      </c>
      <c r="H126" s="3">
        <f t="shared" si="56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81839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81053</v>
      </c>
      <c r="D129" s="3">
        <f t="shared" si="58"/>
        <v>0</v>
      </c>
      <c r="E129" s="3">
        <f t="shared" si="58"/>
        <v>0</v>
      </c>
      <c r="F129" s="3">
        <f t="shared" si="58"/>
        <v>0</v>
      </c>
      <c r="G129" s="3">
        <f t="shared" si="58"/>
        <v>0</v>
      </c>
      <c r="H129" s="3">
        <f t="shared" si="58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67547</v>
      </c>
      <c r="D130" s="3">
        <f t="shared" si="59"/>
        <v>0</v>
      </c>
      <c r="E130" s="3">
        <f t="shared" si="59"/>
        <v>0</v>
      </c>
      <c r="F130" s="3">
        <f t="shared" si="59"/>
        <v>0</v>
      </c>
      <c r="G130" s="3">
        <f t="shared" si="59"/>
        <v>0</v>
      </c>
      <c r="H130" s="3">
        <f t="shared" si="59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77379</v>
      </c>
      <c r="D131" s="3">
        <f t="shared" si="60"/>
        <v>0</v>
      </c>
      <c r="E131" s="3">
        <f t="shared" si="60"/>
        <v>0</v>
      </c>
      <c r="F131" s="3">
        <f t="shared" si="60"/>
        <v>0</v>
      </c>
      <c r="G131" s="3">
        <f t="shared" si="60"/>
        <v>0</v>
      </c>
      <c r="H131" s="3">
        <f t="shared" si="60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83260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80355</v>
      </c>
      <c r="D134" s="3">
        <f t="shared" si="62"/>
        <v>0</v>
      </c>
      <c r="E134" s="3">
        <f t="shared" si="62"/>
        <v>0</v>
      </c>
      <c r="F134" s="3">
        <f t="shared" si="62"/>
        <v>0</v>
      </c>
      <c r="G134" s="3">
        <f t="shared" si="62"/>
        <v>0</v>
      </c>
      <c r="H134" s="3">
        <f t="shared" si="62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76739</v>
      </c>
      <c r="D135" s="3">
        <f t="shared" si="63"/>
        <v>0</v>
      </c>
      <c r="E135" s="3">
        <f t="shared" si="63"/>
        <v>0</v>
      </c>
      <c r="F135" s="3">
        <f t="shared" si="63"/>
        <v>0</v>
      </c>
      <c r="G135" s="3">
        <f t="shared" si="63"/>
        <v>0</v>
      </c>
      <c r="H135" s="3">
        <f t="shared" si="63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85395</v>
      </c>
      <c r="D136" s="3">
        <f t="shared" si="64"/>
        <v>0</v>
      </c>
      <c r="E136" s="3">
        <f t="shared" si="64"/>
        <v>0</v>
      </c>
      <c r="F136" s="3">
        <f t="shared" si="64"/>
        <v>0</v>
      </c>
      <c r="G136" s="3">
        <f t="shared" si="64"/>
        <v>0</v>
      </c>
      <c r="H136" s="3">
        <f t="shared" si="64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74554</v>
      </c>
      <c r="D138" s="3">
        <f t="shared" ref="D138:H138" si="65">SUM(D433:D435)</f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85772</v>
      </c>
      <c r="D139" s="3">
        <f t="shared" ref="D139:L139" si="66">SUM(D436:D438)</f>
        <v>0</v>
      </c>
      <c r="E139" s="3">
        <f t="shared" si="66"/>
        <v>0</v>
      </c>
      <c r="F139" s="3">
        <f t="shared" si="66"/>
        <v>0</v>
      </c>
      <c r="G139" s="3">
        <f t="shared" si="66"/>
        <v>0</v>
      </c>
      <c r="H139" s="3">
        <f t="shared" si="66"/>
        <v>86637</v>
      </c>
      <c r="I139" s="3">
        <f>SUM(I438)</f>
        <v>0</v>
      </c>
      <c r="J139" s="3"/>
      <c r="K139" s="3"/>
      <c r="L139" s="3">
        <f t="shared" si="66"/>
        <v>4505.1239999999998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83812</v>
      </c>
      <c r="D140" s="3">
        <f t="shared" ref="D140:L140" si="67">SUM(D439:D441)</f>
        <v>0</v>
      </c>
      <c r="E140" s="3">
        <f t="shared" si="67"/>
        <v>0</v>
      </c>
      <c r="F140" s="3">
        <f t="shared" si="67"/>
        <v>0</v>
      </c>
      <c r="G140" s="3">
        <f t="shared" si="67"/>
        <v>0</v>
      </c>
      <c r="H140" s="3">
        <f t="shared" si="67"/>
        <v>84912</v>
      </c>
      <c r="I140" s="3">
        <f>SUM(I441)</f>
        <v>0</v>
      </c>
      <c r="J140" s="3"/>
      <c r="K140" s="3"/>
      <c r="L140" s="3">
        <f t="shared" si="67"/>
        <v>4415.424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73457</v>
      </c>
      <c r="D141" s="3">
        <f t="shared" si="68"/>
        <v>0</v>
      </c>
      <c r="E141" s="3">
        <f t="shared" si="68"/>
        <v>0</v>
      </c>
      <c r="F141" s="3">
        <f t="shared" si="68"/>
        <v>0</v>
      </c>
      <c r="G141" s="3">
        <f t="shared" si="68"/>
        <v>0</v>
      </c>
      <c r="H141" s="3">
        <f t="shared" si="68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74839</v>
      </c>
      <c r="D143" s="3">
        <f t="shared" ref="D143:L143" si="69">SUM(D446:D448)</f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76504</v>
      </c>
      <c r="I143" s="3">
        <f>SUM(I448)</f>
        <v>0</v>
      </c>
      <c r="J143" s="3"/>
      <c r="K143" s="3"/>
      <c r="L143" s="3">
        <f t="shared" si="69"/>
        <v>3978.2079999999996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79159</v>
      </c>
      <c r="D144" s="3">
        <f t="shared" si="70"/>
        <v>0</v>
      </c>
      <c r="E144" s="3">
        <f t="shared" si="70"/>
        <v>0</v>
      </c>
      <c r="F144" s="3">
        <f t="shared" si="70"/>
        <v>0</v>
      </c>
      <c r="G144" s="3">
        <f t="shared" si="70"/>
        <v>0</v>
      </c>
      <c r="H144" s="3">
        <f t="shared" si="70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76984</v>
      </c>
      <c r="D145" s="3">
        <f t="shared" ref="D145:L145" si="71">SUM(D452:D454)</f>
        <v>0</v>
      </c>
      <c r="E145" s="3">
        <f t="shared" si="71"/>
        <v>0</v>
      </c>
      <c r="F145" s="3">
        <f t="shared" si="71"/>
        <v>0</v>
      </c>
      <c r="G145" s="3">
        <f t="shared" si="71"/>
        <v>0</v>
      </c>
      <c r="H145" s="3">
        <f t="shared" si="71"/>
        <v>78482</v>
      </c>
      <c r="I145" s="3">
        <f>SUM(I454)</f>
        <v>0</v>
      </c>
      <c r="J145" s="3"/>
      <c r="K145" s="3"/>
      <c r="L145" s="3">
        <f t="shared" si="71"/>
        <v>4081.0640000000003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86393</v>
      </c>
      <c r="D146" s="3">
        <f t="shared" ref="D146:L146" si="72">SUM(D455:D457)</f>
        <v>0</v>
      </c>
      <c r="E146" s="3">
        <f t="shared" si="72"/>
        <v>0</v>
      </c>
      <c r="F146" s="3">
        <f t="shared" si="72"/>
        <v>0</v>
      </c>
      <c r="G146" s="3">
        <f t="shared" si="72"/>
        <v>0</v>
      </c>
      <c r="H146" s="3">
        <f t="shared" si="72"/>
        <v>86480</v>
      </c>
      <c r="I146" s="3">
        <f>SUM(I457)</f>
        <v>0</v>
      </c>
      <c r="J146" s="3"/>
      <c r="K146" s="3"/>
      <c r="L146" s="3">
        <f t="shared" si="72"/>
        <v>4496.96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74674</v>
      </c>
      <c r="D148" s="3">
        <f t="shared" si="73"/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74511</v>
      </c>
      <c r="D149" s="3">
        <f t="shared" ref="D149:L149" si="74">SUM(D462:D464)</f>
        <v>0</v>
      </c>
      <c r="E149" s="3">
        <f t="shared" si="74"/>
        <v>0</v>
      </c>
      <c r="F149" s="3">
        <f t="shared" si="74"/>
        <v>0</v>
      </c>
      <c r="G149" s="3">
        <f t="shared" si="74"/>
        <v>0</v>
      </c>
      <c r="H149" s="3">
        <f t="shared" si="74"/>
        <v>74875</v>
      </c>
      <c r="I149" s="3">
        <f>SUM(I464)</f>
        <v>0</v>
      </c>
      <c r="J149" s="3"/>
      <c r="K149" s="3"/>
      <c r="L149" s="3">
        <f t="shared" si="74"/>
        <v>3893.5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58781</v>
      </c>
      <c r="D150" s="3">
        <f t="shared" ref="D150:L150" si="75">SUM(D465:D467)</f>
        <v>0</v>
      </c>
      <c r="E150" s="3">
        <f t="shared" si="75"/>
        <v>0</v>
      </c>
      <c r="F150" s="3">
        <f t="shared" si="75"/>
        <v>0</v>
      </c>
      <c r="G150" s="3">
        <f t="shared" si="75"/>
        <v>0</v>
      </c>
      <c r="H150" s="3">
        <f t="shared" si="75"/>
        <v>59425</v>
      </c>
      <c r="I150" s="3">
        <f>I467</f>
        <v>0</v>
      </c>
      <c r="J150" s="3"/>
      <c r="K150" s="3"/>
      <c r="L150" s="3">
        <f t="shared" si="75"/>
        <v>3090.1000000000004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81977</v>
      </c>
      <c r="D151" s="3">
        <f t="shared" ref="D151:H151" si="76">SUM(D468:D470)</f>
        <v>0</v>
      </c>
      <c r="E151" s="3">
        <f t="shared" si="76"/>
        <v>0</v>
      </c>
      <c r="F151" s="3">
        <f t="shared" si="76"/>
        <v>0</v>
      </c>
      <c r="G151" s="3">
        <f t="shared" si="76"/>
        <v>0</v>
      </c>
      <c r="H151" s="3">
        <f t="shared" si="76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66679</v>
      </c>
      <c r="D153" s="3">
        <f t="shared" ref="D153:L153" si="77">SUM(D472:D474)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67396</v>
      </c>
      <c r="I153" s="3">
        <f>I474</f>
        <v>0</v>
      </c>
      <c r="J153" s="3"/>
      <c r="K153" s="3"/>
      <c r="L153" s="3">
        <f t="shared" si="77"/>
        <v>3504.5919999999996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79815</v>
      </c>
      <c r="D154" s="3">
        <f t="shared" ref="D154:H154" si="78">SUM(D475:D477)</f>
        <v>0</v>
      </c>
      <c r="E154" s="3">
        <f t="shared" si="78"/>
        <v>0</v>
      </c>
      <c r="F154" s="3">
        <f t="shared" si="78"/>
        <v>0</v>
      </c>
      <c r="G154" s="3">
        <f t="shared" si="78"/>
        <v>0</v>
      </c>
      <c r="H154" s="3">
        <f t="shared" si="78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73414</v>
      </c>
      <c r="D155" s="3">
        <f t="shared" ref="D155:L155" si="79">SUM(D478:D480)</f>
        <v>0</v>
      </c>
      <c r="E155" s="3">
        <f t="shared" si="79"/>
        <v>0</v>
      </c>
      <c r="F155" s="3">
        <f t="shared" si="79"/>
        <v>0</v>
      </c>
      <c r="G155" s="3">
        <f t="shared" si="79"/>
        <v>0</v>
      </c>
      <c r="H155" s="3">
        <f t="shared" si="79"/>
        <v>74083</v>
      </c>
      <c r="I155" s="3">
        <f>I480</f>
        <v>0</v>
      </c>
      <c r="J155" s="3"/>
      <c r="K155" s="3"/>
      <c r="L155" s="3">
        <f t="shared" si="79"/>
        <v>3852.3159999999998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81426</v>
      </c>
      <c r="D156" s="3">
        <f t="shared" ref="D156:H156" si="80">SUM(D481:D483)</f>
        <v>0</v>
      </c>
      <c r="E156" s="3">
        <f t="shared" si="80"/>
        <v>0</v>
      </c>
      <c r="F156" s="3">
        <f t="shared" si="80"/>
        <v>0</v>
      </c>
      <c r="G156" s="3">
        <f t="shared" si="80"/>
        <v>0</v>
      </c>
      <c r="H156" s="3">
        <f t="shared" si="80"/>
        <v>83082</v>
      </c>
      <c r="I156" s="3">
        <f>I483</f>
        <v>0</v>
      </c>
      <c r="J156"/>
      <c r="K156"/>
      <c r="L156" s="3">
        <f t="shared" ref="L156" si="81">SUM(L481:L483)</f>
        <v>4320.2640000000001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5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5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5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5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5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5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5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5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5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5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8" thickBot="1" x14ac:dyDescent="0.3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5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5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5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5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5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5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5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5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5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5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8" thickBot="1" x14ac:dyDescent="0.3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5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5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5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5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5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5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5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8" thickBot="1" x14ac:dyDescent="0.3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5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5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5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5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5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5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5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5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5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5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8" thickBot="1" x14ac:dyDescent="0.3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5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5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5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5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8" thickBot="1" x14ac:dyDescent="0.3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5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5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5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5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5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5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5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5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5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5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8" thickBot="1" x14ac:dyDescent="0.3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5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5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5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5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5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5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5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5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5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5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8" thickBot="1" x14ac:dyDescent="0.3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5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5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5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5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5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5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5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5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5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5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8" thickBot="1" x14ac:dyDescent="0.3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5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5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5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5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5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5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5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5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5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5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8" thickBot="1" x14ac:dyDescent="0.3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82">H342*52/1000</f>
        <v>1420.38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83">I342-I343</f>
        <v>0</v>
      </c>
      <c r="H343" s="67">
        <v>25709</v>
      </c>
      <c r="I343" s="67">
        <v>0</v>
      </c>
      <c r="J343" s="15"/>
      <c r="K343" s="15"/>
      <c r="L343" s="16">
        <f t="shared" si="82"/>
        <v>1336.8679999999999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83"/>
        <v>0</v>
      </c>
      <c r="H344" s="67">
        <v>27810</v>
      </c>
      <c r="I344" s="67">
        <v>0</v>
      </c>
      <c r="J344" s="15"/>
      <c r="K344" s="15"/>
      <c r="L344" s="16">
        <f t="shared" si="82"/>
        <v>1446.12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83"/>
        <v>0</v>
      </c>
      <c r="H345" s="67">
        <v>26327</v>
      </c>
      <c r="I345" s="67">
        <v>0</v>
      </c>
      <c r="L345" s="16">
        <f t="shared" si="82"/>
        <v>1369.0039999999999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83"/>
        <v>0</v>
      </c>
      <c r="H346" s="67">
        <v>28640</v>
      </c>
      <c r="I346" s="67">
        <v>0</v>
      </c>
      <c r="L346" s="16">
        <f t="shared" si="82"/>
        <v>1489.28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83"/>
        <v>0</v>
      </c>
      <c r="H347" s="67">
        <v>27995</v>
      </c>
      <c r="I347" s="67">
        <v>0</v>
      </c>
      <c r="L347" s="16">
        <f t="shared" si="82"/>
        <v>1455.74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83"/>
        <v>0</v>
      </c>
      <c r="H348" s="67">
        <v>28853</v>
      </c>
      <c r="I348" s="67">
        <v>0</v>
      </c>
      <c r="J348" s="15"/>
      <c r="K348" s="15"/>
      <c r="L348" s="16">
        <f t="shared" si="82"/>
        <v>1500.356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82"/>
        <v>1448.8240000000001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82"/>
        <v>928.46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82"/>
        <v>1306.0319999999999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82"/>
        <v>1421.472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82"/>
        <v>1505.452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4">H368*52/1000</f>
        <v>1564.3679999999999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5">I368-I369</f>
        <v>0</v>
      </c>
      <c r="H369" s="16">
        <v>27038</v>
      </c>
      <c r="I369" s="16">
        <v>0</v>
      </c>
      <c r="J369" s="15"/>
      <c r="K369" s="15"/>
      <c r="L369" s="14">
        <f t="shared" si="84"/>
        <v>1405.9760000000001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5"/>
        <v>0</v>
      </c>
      <c r="H370" s="16">
        <v>28106</v>
      </c>
      <c r="I370" s="16">
        <v>0</v>
      </c>
      <c r="J370" s="15"/>
      <c r="K370" s="15"/>
      <c r="L370" s="14">
        <f t="shared" si="84"/>
        <v>1461.5119999999999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5"/>
        <v>0</v>
      </c>
      <c r="H371" s="16">
        <v>28468</v>
      </c>
      <c r="I371" s="16">
        <v>0</v>
      </c>
      <c r="J371" s="15"/>
      <c r="K371" s="15"/>
      <c r="L371" s="14">
        <f t="shared" si="84"/>
        <v>1480.336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5"/>
        <v>0</v>
      </c>
      <c r="H372" s="16">
        <v>30047</v>
      </c>
      <c r="I372" s="16">
        <v>0</v>
      </c>
      <c r="J372" s="15"/>
      <c r="K372" s="15"/>
      <c r="L372" s="14">
        <f t="shared" si="84"/>
        <v>1562.444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5"/>
        <v>0</v>
      </c>
      <c r="H373" s="16">
        <v>27322</v>
      </c>
      <c r="I373" s="16">
        <v>0</v>
      </c>
      <c r="J373" s="15"/>
      <c r="K373" s="15"/>
      <c r="L373" s="14">
        <f t="shared" si="84"/>
        <v>1420.7439999999999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5"/>
        <v>0</v>
      </c>
      <c r="H374" s="16">
        <v>26741</v>
      </c>
      <c r="I374" s="16">
        <v>0</v>
      </c>
      <c r="J374" s="15"/>
      <c r="K374" s="15"/>
      <c r="L374" s="14">
        <f t="shared" si="84"/>
        <v>1390.5319999999999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4"/>
        <v>1367.3920000000001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4"/>
        <v>807.71600000000001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4"/>
        <v>1182.8440000000001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4"/>
        <v>1481.3240000000001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4"/>
        <v>1419.444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6">H381*52/1000</f>
        <v>1546.376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7">I381-I382</f>
        <v>0</v>
      </c>
      <c r="H382" s="16">
        <v>24987</v>
      </c>
      <c r="I382" s="16">
        <v>0</v>
      </c>
      <c r="J382" s="15"/>
      <c r="K382" s="15"/>
      <c r="L382" s="14">
        <f t="shared" si="86"/>
        <v>1299.3240000000001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7"/>
        <v>0</v>
      </c>
      <c r="H383" s="16">
        <v>26636</v>
      </c>
      <c r="I383" s="16">
        <v>0</v>
      </c>
      <c r="J383" s="15"/>
      <c r="K383" s="15"/>
      <c r="L383" s="14">
        <f t="shared" si="86"/>
        <v>1385.0719999999999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7"/>
        <v>0</v>
      </c>
      <c r="H384" s="16">
        <v>24085</v>
      </c>
      <c r="I384" s="16">
        <v>0</v>
      </c>
      <c r="J384" s="15"/>
      <c r="K384" s="15"/>
      <c r="L384" s="14">
        <f t="shared" si="86"/>
        <v>1252.42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7"/>
        <v>0</v>
      </c>
      <c r="H385" s="16">
        <v>24085</v>
      </c>
      <c r="I385" s="16">
        <v>0</v>
      </c>
      <c r="J385" s="15"/>
      <c r="K385" s="15"/>
      <c r="L385" s="14">
        <f t="shared" si="86"/>
        <v>1252.42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7"/>
        <v>0</v>
      </c>
      <c r="H386" s="16">
        <v>25061</v>
      </c>
      <c r="I386" s="16">
        <v>0</v>
      </c>
      <c r="J386" s="15"/>
      <c r="K386" s="15"/>
      <c r="L386" s="14">
        <f t="shared" si="86"/>
        <v>1303.172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7"/>
        <v>0</v>
      </c>
      <c r="H387" s="16">
        <v>27011</v>
      </c>
      <c r="I387" s="16">
        <v>0</v>
      </c>
      <c r="J387" s="15"/>
      <c r="K387" s="15"/>
      <c r="L387" s="14">
        <f t="shared" si="86"/>
        <v>1404.5719999999999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6"/>
        <v>1387.412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6"/>
        <v>1014.728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6"/>
        <v>1158.768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6"/>
        <v>1493.8040000000001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6"/>
        <v>1588.548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8">H394*52/1000</f>
        <v>1582.412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9">I394-I395</f>
        <v>0</v>
      </c>
      <c r="H395" s="16">
        <v>27912</v>
      </c>
      <c r="I395" s="16">
        <v>0</v>
      </c>
      <c r="J395" s="15"/>
      <c r="K395" s="15"/>
      <c r="L395" s="14">
        <f t="shared" si="88"/>
        <v>1451.424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9"/>
        <v>0</v>
      </c>
      <c r="H396" s="16">
        <v>29820</v>
      </c>
      <c r="I396" s="16">
        <v>0</v>
      </c>
      <c r="J396" s="15"/>
      <c r="K396" s="15"/>
      <c r="L396" s="14">
        <f t="shared" si="88"/>
        <v>1550.64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9"/>
        <v>0</v>
      </c>
      <c r="H397" s="16">
        <v>28572</v>
      </c>
      <c r="I397" s="16">
        <v>0</v>
      </c>
      <c r="J397" s="15"/>
      <c r="K397" s="15"/>
      <c r="L397" s="14">
        <f t="shared" si="88"/>
        <v>1485.7439999999999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9"/>
        <v>0</v>
      </c>
      <c r="H398" s="16">
        <v>29480</v>
      </c>
      <c r="I398" s="16">
        <v>0</v>
      </c>
      <c r="J398" s="15"/>
      <c r="K398" s="15"/>
      <c r="L398" s="14">
        <f t="shared" si="88"/>
        <v>1532.96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9"/>
        <v>0</v>
      </c>
      <c r="H399" s="16">
        <v>25650</v>
      </c>
      <c r="I399" s="16">
        <v>0</v>
      </c>
      <c r="J399" s="15"/>
      <c r="K399" s="15"/>
      <c r="L399" s="14">
        <f t="shared" si="88"/>
        <v>1333.8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9"/>
        <v>0</v>
      </c>
      <c r="H400" s="16">
        <v>28049</v>
      </c>
      <c r="I400" s="16">
        <v>0</v>
      </c>
      <c r="J400" s="15"/>
      <c r="K400" s="15"/>
      <c r="L400" s="14">
        <f t="shared" si="88"/>
        <v>1458.548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8"/>
        <v>1427.5039999999999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8"/>
        <v>955.65599999999995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8"/>
        <v>1471.184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8"/>
        <v>1524.2760000000001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8"/>
        <v>1636.3879999999999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90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90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90"/>
        <v>0</v>
      </c>
      <c r="H412" s="16">
        <v>27571</v>
      </c>
      <c r="I412" s="16">
        <v>0</v>
      </c>
      <c r="J412" s="15"/>
      <c r="K412" s="15"/>
      <c r="L412" s="14">
        <f t="shared" ref="L412:L418" si="91">H412*52/1000</f>
        <v>1433.692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90"/>
        <v>0</v>
      </c>
      <c r="H413" s="16">
        <v>28836</v>
      </c>
      <c r="I413" s="16">
        <v>0</v>
      </c>
      <c r="J413" s="15"/>
      <c r="K413" s="15"/>
      <c r="L413" s="14">
        <f t="shared" si="91"/>
        <v>1499.472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90"/>
        <v>0</v>
      </c>
      <c r="H414" s="16">
        <v>26531</v>
      </c>
      <c r="I414" s="16">
        <v>0</v>
      </c>
      <c r="L414" s="14">
        <f t="shared" si="91"/>
        <v>1379.6120000000001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90"/>
        <v>0</v>
      </c>
      <c r="H415" s="16">
        <v>15383</v>
      </c>
      <c r="I415" s="16">
        <v>0</v>
      </c>
      <c r="L415" s="14">
        <f t="shared" si="91"/>
        <v>799.91600000000005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91"/>
        <v>1348.048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91"/>
        <v>1372.384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91"/>
        <v>1472.64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92">H420*52/1000</f>
        <v>1501.6559999999999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92"/>
        <v>1373.84</v>
      </c>
      <c r="N421" s="23" t="str">
        <f>'Olieforbrug, TJ'!M421</f>
        <v>February</v>
      </c>
    </row>
    <row r="422" spans="1:14" ht="12" customHeight="1" x14ac:dyDescent="0.25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92"/>
        <v>1519.596</v>
      </c>
      <c r="N422" s="23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92"/>
        <v>1446.848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92"/>
        <v>1485.4839999999999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93">I424-I425</f>
        <v>0</v>
      </c>
      <c r="H425" s="16">
        <v>26754</v>
      </c>
      <c r="I425" s="16">
        <v>0</v>
      </c>
      <c r="J425" s="15"/>
      <c r="K425" s="15"/>
      <c r="L425" s="14">
        <f t="shared" si="92"/>
        <v>1391.2080000000001</v>
      </c>
      <c r="N425" s="23" t="str">
        <f>'Olieforbrug, TJ'!M425</f>
        <v>June</v>
      </c>
    </row>
    <row r="426" spans="1:14" ht="11.4" customHeight="1" x14ac:dyDescent="0.25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93"/>
        <v>0</v>
      </c>
      <c r="H426" s="16">
        <v>26276</v>
      </c>
      <c r="I426" s="16">
        <v>0</v>
      </c>
      <c r="J426" s="15"/>
      <c r="K426" s="15"/>
      <c r="L426" s="14">
        <f t="shared" si="92"/>
        <v>1366.3520000000001</v>
      </c>
      <c r="N426" s="23" t="str">
        <f>'Olieforbrug, TJ'!M426</f>
        <v>July</v>
      </c>
    </row>
    <row r="427" spans="1:14" ht="15" customHeight="1" x14ac:dyDescent="0.25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93"/>
        <v>0</v>
      </c>
      <c r="H427" s="16">
        <v>28310</v>
      </c>
      <c r="I427" s="16">
        <v>0</v>
      </c>
      <c r="J427" s="15"/>
      <c r="K427" s="15"/>
      <c r="L427" s="14">
        <f t="shared" si="92"/>
        <v>1472.12</v>
      </c>
      <c r="N427" s="23" t="str">
        <f>'Olieforbrug, TJ'!M427</f>
        <v>August</v>
      </c>
    </row>
    <row r="428" spans="1:14" ht="15" customHeight="1" x14ac:dyDescent="0.25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93"/>
        <v>0</v>
      </c>
      <c r="H428" s="16">
        <v>23701</v>
      </c>
      <c r="I428" s="16">
        <v>0</v>
      </c>
      <c r="J428" s="15"/>
      <c r="K428" s="15"/>
      <c r="L428" s="14">
        <f t="shared" si="92"/>
        <v>1232.452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93"/>
        <v>0</v>
      </c>
      <c r="H429" s="16">
        <v>28118</v>
      </c>
      <c r="I429" s="16">
        <v>0</v>
      </c>
      <c r="J429" s="15"/>
      <c r="K429" s="15"/>
      <c r="L429" s="14">
        <f t="shared" si="92"/>
        <v>1462.136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93"/>
        <v>0</v>
      </c>
      <c r="H430" s="16">
        <v>29048</v>
      </c>
      <c r="I430" s="16">
        <v>0</v>
      </c>
      <c r="J430" s="15"/>
      <c r="K430" s="15"/>
      <c r="L430" s="14">
        <f t="shared" si="92"/>
        <v>1510.4960000000001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92"/>
        <v>1560.0519999999999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4">I432-I433</f>
        <v>0</v>
      </c>
      <c r="H433" s="16">
        <v>29451</v>
      </c>
      <c r="I433" s="16">
        <v>0</v>
      </c>
      <c r="J433" s="15"/>
      <c r="K433" s="15"/>
      <c r="L433" s="14">
        <f t="shared" ref="L433:L438" si="95">H433*52/1000</f>
        <v>1531.452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4"/>
        <v>0</v>
      </c>
      <c r="H434" s="16">
        <v>27104</v>
      </c>
      <c r="I434" s="16">
        <v>0</v>
      </c>
      <c r="J434" s="15"/>
      <c r="K434" s="15"/>
      <c r="L434" s="14">
        <f t="shared" si="95"/>
        <v>1409.4079999999999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4"/>
        <v>0</v>
      </c>
      <c r="H435" s="16">
        <v>19474</v>
      </c>
      <c r="I435" s="16">
        <v>0</v>
      </c>
      <c r="J435" s="15"/>
      <c r="K435" s="15"/>
      <c r="L435" s="14">
        <f t="shared" si="95"/>
        <v>1012.648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4"/>
        <v>0</v>
      </c>
      <c r="H436" s="16">
        <v>28268</v>
      </c>
      <c r="I436" s="16">
        <v>0</v>
      </c>
      <c r="J436" s="15"/>
      <c r="K436" s="15"/>
      <c r="L436" s="14">
        <f t="shared" si="95"/>
        <v>1469.9359999999999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4"/>
        <v>0</v>
      </c>
      <c r="H437" s="16">
        <v>29751</v>
      </c>
      <c r="I437" s="16">
        <v>0</v>
      </c>
      <c r="J437" s="15"/>
      <c r="K437" s="15"/>
      <c r="L437" s="14">
        <f t="shared" si="95"/>
        <v>1547.0519999999999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4"/>
        <v>0</v>
      </c>
      <c r="H438" s="16">
        <v>28618</v>
      </c>
      <c r="I438" s="16">
        <v>0</v>
      </c>
      <c r="J438" s="15"/>
      <c r="K438" s="15"/>
      <c r="L438" s="14">
        <f t="shared" si="95"/>
        <v>1488.136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6">I438-I439</f>
        <v>0</v>
      </c>
      <c r="H439" s="16">
        <v>29108</v>
      </c>
      <c r="I439" s="16">
        <v>0</v>
      </c>
      <c r="J439" s="15"/>
      <c r="K439" s="15"/>
      <c r="L439" s="14">
        <f t="shared" ref="L439" si="97">H439*52/1000</f>
        <v>1513.616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8">I439-I440</f>
        <v>0</v>
      </c>
      <c r="H440" s="16">
        <v>28951</v>
      </c>
      <c r="I440" s="16">
        <v>0</v>
      </c>
      <c r="J440" s="15"/>
      <c r="K440" s="15"/>
      <c r="L440" s="14">
        <f t="shared" ref="L440" si="99">H440*52/1000</f>
        <v>1505.452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100">I440-I441</f>
        <v>0</v>
      </c>
      <c r="H441" s="16">
        <v>26853</v>
      </c>
      <c r="I441" s="16">
        <v>0</v>
      </c>
      <c r="J441" s="15"/>
      <c r="K441" s="15"/>
      <c r="L441" s="14">
        <f t="shared" ref="L441" si="101">H441*52/1000</f>
        <v>1396.356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102">I441-I442</f>
        <v>0</v>
      </c>
      <c r="H442" s="16">
        <v>18616</v>
      </c>
      <c r="I442" s="16">
        <v>0</v>
      </c>
      <c r="J442" s="15"/>
      <c r="K442" s="15"/>
      <c r="L442" s="14">
        <f t="shared" ref="L442" si="103">H442*52/1000</f>
        <v>968.03200000000004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4">I442-I443</f>
        <v>0</v>
      </c>
      <c r="H443" s="16">
        <v>28525</v>
      </c>
      <c r="I443" s="16">
        <v>0</v>
      </c>
      <c r="J443" s="15"/>
      <c r="K443" s="15"/>
      <c r="L443" s="14">
        <f t="shared" ref="L443" si="105">H443*52/1000</f>
        <v>1483.3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6">I443-I444</f>
        <v>0</v>
      </c>
      <c r="H444" s="42">
        <v>26868</v>
      </c>
      <c r="I444" s="42">
        <v>0</v>
      </c>
      <c r="J444" s="2"/>
      <c r="K444" s="2"/>
      <c r="L444" s="54">
        <f t="shared" ref="L444" si="107">H444*52/1000</f>
        <v>1397.136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8">H446*52/1000</f>
        <v>1348.4639999999999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9">I446-I447</f>
        <v>0</v>
      </c>
      <c r="H447" s="16">
        <v>23736</v>
      </c>
      <c r="I447" s="16">
        <v>0</v>
      </c>
      <c r="J447" s="15"/>
      <c r="K447" s="15"/>
      <c r="L447" s="14">
        <f t="shared" ref="L447" si="110">H447*52/1000</f>
        <v>1234.2719999999999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9"/>
        <v>0</v>
      </c>
      <c r="H448" s="16">
        <v>26836</v>
      </c>
      <c r="I448" s="16">
        <v>0</v>
      </c>
      <c r="J448" s="15"/>
      <c r="K448" s="15"/>
      <c r="L448" s="14">
        <f t="shared" ref="L448" si="111">H448*52/1000</f>
        <v>1395.472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9"/>
        <v>0</v>
      </c>
      <c r="H449" s="16">
        <v>25696</v>
      </c>
      <c r="I449" s="16">
        <v>0</v>
      </c>
      <c r="J449" s="15"/>
      <c r="K449" s="15"/>
      <c r="L449" s="14">
        <f t="shared" ref="L449" si="112">H449*52/1000</f>
        <v>1336.192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9"/>
        <v>0</v>
      </c>
      <c r="H450" s="16">
        <v>29355</v>
      </c>
      <c r="I450" s="16">
        <v>0</v>
      </c>
      <c r="J450" s="15"/>
      <c r="K450" s="15"/>
      <c r="L450" s="14">
        <f t="shared" ref="L450" si="113">H450*52/1000</f>
        <v>1526.46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9"/>
        <v>0</v>
      </c>
      <c r="H451" s="16">
        <v>25296</v>
      </c>
      <c r="I451" s="16">
        <v>0</v>
      </c>
      <c r="J451" s="15"/>
      <c r="K451" s="15"/>
      <c r="L451" s="14">
        <f t="shared" ref="L451" si="114">H451*52/1000</f>
        <v>1315.3920000000001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9"/>
        <v>0</v>
      </c>
      <c r="H452" s="16">
        <v>28348</v>
      </c>
      <c r="I452" s="16">
        <v>0</v>
      </c>
      <c r="J452" s="15"/>
      <c r="K452" s="15"/>
      <c r="L452" s="14">
        <f t="shared" ref="L452" si="115">H452*52/1000</f>
        <v>1474.096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6">I452-I453</f>
        <v>0</v>
      </c>
      <c r="H453" s="16">
        <v>22821</v>
      </c>
      <c r="I453" s="16">
        <v>0</v>
      </c>
      <c r="J453" s="15"/>
      <c r="K453" s="15"/>
      <c r="L453" s="14">
        <f t="shared" ref="L453" si="117">H453*52/1000</f>
        <v>1186.692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8">I453-I454</f>
        <v>0</v>
      </c>
      <c r="H454" s="16">
        <v>27313</v>
      </c>
      <c r="I454" s="16">
        <v>0</v>
      </c>
      <c r="J454" s="15"/>
      <c r="K454" s="15"/>
      <c r="L454" s="14">
        <f t="shared" ref="L454" si="119">H454*52/1000</f>
        <v>1420.2760000000001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20">I454-I455</f>
        <v>0</v>
      </c>
      <c r="H455" s="16">
        <v>29242</v>
      </c>
      <c r="I455" s="16">
        <v>0</v>
      </c>
      <c r="J455" s="15"/>
      <c r="K455" s="15"/>
      <c r="L455" s="14">
        <f t="shared" ref="L455" si="121">H455*52/1000</f>
        <v>1520.5840000000001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22">I455-I456</f>
        <v>0</v>
      </c>
      <c r="H456" s="16">
        <v>26942</v>
      </c>
      <c r="I456" s="16">
        <v>0</v>
      </c>
      <c r="J456" s="15"/>
      <c r="K456" s="15"/>
      <c r="L456" s="14">
        <f t="shared" ref="L456" si="123">H456*52/1000</f>
        <v>1400.9839999999999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4">I456-I457</f>
        <v>0</v>
      </c>
      <c r="H457" s="72">
        <v>30296</v>
      </c>
      <c r="I457" s="72">
        <v>0</v>
      </c>
      <c r="J457" s="66"/>
      <c r="K457" s="66"/>
      <c r="L457" s="72">
        <f t="shared" ref="L457" si="125">H457*52/1000</f>
        <v>1575.3920000000001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6">H459*52/1000</f>
        <v>1238.7439999999999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7">I459-I460</f>
        <v>0</v>
      </c>
      <c r="H460" s="16">
        <v>19437</v>
      </c>
      <c r="I460" s="16">
        <v>0</v>
      </c>
      <c r="J460" s="15"/>
      <c r="K460" s="15"/>
      <c r="L460" s="14">
        <f t="shared" ref="L460" si="128">H460*52/1000</f>
        <v>1010.724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7"/>
        <v>0</v>
      </c>
      <c r="H461" s="16">
        <v>32382</v>
      </c>
      <c r="I461" s="16">
        <v>0</v>
      </c>
      <c r="J461" s="15"/>
      <c r="K461" s="15"/>
      <c r="L461" s="14">
        <f t="shared" ref="L461" si="129">H461*52/1000</f>
        <v>1683.864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7"/>
        <v>0</v>
      </c>
      <c r="H462" s="16">
        <v>20700</v>
      </c>
      <c r="I462" s="16">
        <v>0</v>
      </c>
      <c r="J462" s="15"/>
      <c r="K462" s="15"/>
      <c r="L462" s="14">
        <f t="shared" ref="L462" si="130">H462*52/1000</f>
        <v>1076.4000000000001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7"/>
        <v>0</v>
      </c>
      <c r="H463" s="16">
        <v>27926</v>
      </c>
      <c r="I463" s="16">
        <v>0</v>
      </c>
      <c r="J463" s="15"/>
      <c r="K463" s="15"/>
      <c r="L463" s="14">
        <f t="shared" ref="L463" si="131">H463*52/1000</f>
        <v>1452.152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7"/>
        <v>0</v>
      </c>
      <c r="H464" s="16">
        <v>26249</v>
      </c>
      <c r="I464" s="16">
        <v>0</v>
      </c>
      <c r="J464" s="15"/>
      <c r="K464" s="15"/>
      <c r="L464" s="14">
        <f t="shared" ref="L464" si="132">H464*52/1000</f>
        <v>1364.9480000000001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7"/>
        <v>0</v>
      </c>
      <c r="H465" s="16">
        <v>18088</v>
      </c>
      <c r="I465" s="16">
        <v>0</v>
      </c>
      <c r="J465" s="15"/>
      <c r="K465" s="15"/>
      <c r="L465" s="14">
        <f t="shared" ref="L465" si="133">H465*52/1000</f>
        <v>940.57600000000002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4">I465-I466</f>
        <v>0</v>
      </c>
      <c r="H466" s="16">
        <v>27971</v>
      </c>
      <c r="I466" s="16">
        <v>0</v>
      </c>
      <c r="J466" s="15"/>
      <c r="K466" s="15"/>
      <c r="L466" s="14">
        <f t="shared" ref="L466" si="135">H466*52/1000</f>
        <v>1454.492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6">I466-I467</f>
        <v>0</v>
      </c>
      <c r="H467" s="16">
        <v>13366</v>
      </c>
      <c r="I467" s="16">
        <v>0</v>
      </c>
      <c r="J467" s="15"/>
      <c r="K467" s="15"/>
      <c r="L467" s="14">
        <f t="shared" ref="L467" si="137">H467*52/1000</f>
        <v>695.03200000000004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8">I467-I468</f>
        <v>0</v>
      </c>
      <c r="H468" s="16">
        <v>29691</v>
      </c>
      <c r="I468" s="16">
        <v>0</v>
      </c>
      <c r="J468" s="15"/>
      <c r="K468" s="15"/>
      <c r="L468" s="14">
        <f t="shared" ref="L468" si="139">H468*52/1000</f>
        <v>1543.932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40">I468-I469</f>
        <v>0</v>
      </c>
      <c r="H469" s="16">
        <v>24887</v>
      </c>
      <c r="I469" s="16">
        <v>0</v>
      </c>
      <c r="J469" s="15"/>
      <c r="K469" s="15"/>
      <c r="L469" s="14">
        <f t="shared" ref="L469" si="141">H469*52/1000</f>
        <v>1294.124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42">I469-I470</f>
        <v>0</v>
      </c>
      <c r="H470" s="42">
        <v>29094</v>
      </c>
      <c r="I470" s="42">
        <v>0</v>
      </c>
      <c r="J470" s="2"/>
      <c r="K470" s="2"/>
      <c r="L470" s="54">
        <f t="shared" ref="L470" si="143">H470*52/1000</f>
        <v>1512.8879999999999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4">H472*52/1000</f>
        <v>1237.912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5">I472-I473</f>
        <v>0</v>
      </c>
      <c r="H473" s="16">
        <v>23829</v>
      </c>
      <c r="I473" s="16">
        <v>0</v>
      </c>
      <c r="J473" s="15"/>
      <c r="K473" s="15"/>
      <c r="L473" s="14">
        <f t="shared" ref="L473" si="146">H473*52/1000</f>
        <v>1239.1079999999999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5"/>
        <v>0</v>
      </c>
      <c r="H474" s="16">
        <v>19761</v>
      </c>
      <c r="I474" s="16">
        <v>0</v>
      </c>
      <c r="J474" s="15"/>
      <c r="K474" s="15"/>
      <c r="L474" s="14">
        <f t="shared" ref="L474" si="147">H474*52/1000</f>
        <v>1027.5719999999999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5"/>
        <v>0</v>
      </c>
      <c r="H475" s="16">
        <v>22870</v>
      </c>
      <c r="I475" s="16">
        <v>0</v>
      </c>
      <c r="J475" s="15"/>
      <c r="K475" s="15"/>
      <c r="L475" s="14">
        <f t="shared" ref="L475" si="148">H475*52/1000</f>
        <v>1189.24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5"/>
        <v>0</v>
      </c>
      <c r="H476" s="16">
        <v>24920</v>
      </c>
      <c r="I476" s="16">
        <v>0</v>
      </c>
      <c r="J476" s="15"/>
      <c r="K476" s="15"/>
      <c r="L476" s="14">
        <f t="shared" ref="L476" si="149">H476*52/1000</f>
        <v>1295.8399999999999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5"/>
        <v>0</v>
      </c>
      <c r="H477" s="16">
        <v>32059</v>
      </c>
      <c r="I477" s="16">
        <v>0</v>
      </c>
      <c r="J477" s="15"/>
      <c r="K477" s="15"/>
      <c r="L477" s="14">
        <f t="shared" ref="L477" si="150">H477*52/1000</f>
        <v>1667.068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5"/>
        <v>0</v>
      </c>
      <c r="H478" s="16">
        <v>26886</v>
      </c>
      <c r="I478" s="16">
        <v>0</v>
      </c>
      <c r="J478" s="15"/>
      <c r="K478" s="15"/>
      <c r="L478" s="14">
        <f t="shared" ref="L478" si="151">H478*52/1000</f>
        <v>1398.0719999999999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20678</v>
      </c>
      <c r="D479" s="16">
        <v>0</v>
      </c>
      <c r="E479" s="16">
        <v>0</v>
      </c>
      <c r="F479" s="16">
        <v>0</v>
      </c>
      <c r="G479" s="69">
        <f t="shared" ref="G479" si="152">I478-I479</f>
        <v>0</v>
      </c>
      <c r="H479" s="16">
        <v>20678</v>
      </c>
      <c r="I479" s="16">
        <v>0</v>
      </c>
      <c r="J479" s="15"/>
      <c r="K479" s="15"/>
      <c r="L479" s="14">
        <f t="shared" ref="L479" si="153">H479*52/1000</f>
        <v>1075.2560000000001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25850</v>
      </c>
      <c r="D480" s="16">
        <v>0</v>
      </c>
      <c r="E480" s="16">
        <v>0</v>
      </c>
      <c r="F480" s="16">
        <v>0</v>
      </c>
      <c r="G480" s="69">
        <f t="shared" ref="G480" si="154">I479-I480</f>
        <v>0</v>
      </c>
      <c r="H480" s="16">
        <v>26519</v>
      </c>
      <c r="I480" s="16">
        <v>0</v>
      </c>
      <c r="J480" s="15"/>
      <c r="K480" s="15"/>
      <c r="L480" s="14">
        <f t="shared" ref="L480" si="155">H480*52/1000</f>
        <v>1378.9880000000001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32986</v>
      </c>
      <c r="D481" s="16">
        <v>0</v>
      </c>
      <c r="E481" s="16">
        <v>0</v>
      </c>
      <c r="F481" s="16">
        <v>0</v>
      </c>
      <c r="G481" s="69">
        <f t="shared" ref="G481" si="156">I480-I481</f>
        <v>0</v>
      </c>
      <c r="H481" s="16">
        <v>34193</v>
      </c>
      <c r="I481" s="16">
        <v>0</v>
      </c>
      <c r="J481" s="15"/>
      <c r="K481" s="15"/>
      <c r="L481" s="14">
        <f t="shared" ref="L481" si="157">H481*52/1000</f>
        <v>1778.0360000000001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20130</v>
      </c>
      <c r="D482" s="16">
        <v>0</v>
      </c>
      <c r="E482" s="16">
        <v>0</v>
      </c>
      <c r="F482" s="16">
        <v>0</v>
      </c>
      <c r="G482" s="69">
        <f t="shared" ref="G482" si="158">I481-I482</f>
        <v>0</v>
      </c>
      <c r="H482" s="16">
        <v>20367</v>
      </c>
      <c r="I482" s="16">
        <v>0</v>
      </c>
      <c r="J482" s="15"/>
      <c r="K482" s="15"/>
      <c r="L482" s="14">
        <f t="shared" ref="L482" si="159">H482*52/1000</f>
        <v>1059.0840000000001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28310</v>
      </c>
      <c r="D483" s="16">
        <v>0</v>
      </c>
      <c r="E483" s="16">
        <v>0</v>
      </c>
      <c r="F483" s="16">
        <v>0</v>
      </c>
      <c r="G483" s="69">
        <f t="shared" ref="G483" si="160">I482-I483</f>
        <v>0</v>
      </c>
      <c r="H483" s="16">
        <v>28522</v>
      </c>
      <c r="I483" s="16">
        <v>0</v>
      </c>
      <c r="J483" s="15"/>
      <c r="K483" s="15"/>
      <c r="L483" s="14">
        <f t="shared" ref="L483" si="161">H483*52/1000</f>
        <v>1483.144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83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O483" sqref="O48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5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5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5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5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5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5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5">
      <c r="A27" s="22">
        <v>2025</v>
      </c>
      <c r="C27" s="3">
        <f>SUM(C472:C483)</f>
        <v>0</v>
      </c>
      <c r="D27" s="3">
        <f t="shared" ref="D27:L27" si="11">SUM(D472:D483)</f>
        <v>77432</v>
      </c>
      <c r="E27" s="3">
        <f t="shared" si="11"/>
        <v>3928</v>
      </c>
      <c r="F27" s="3">
        <f t="shared" si="11"/>
        <v>0</v>
      </c>
      <c r="G27" s="3">
        <f t="shared" si="11"/>
        <v>39791</v>
      </c>
      <c r="H27" s="3">
        <f t="shared" si="11"/>
        <v>113396</v>
      </c>
      <c r="I27" s="3">
        <f>I483</f>
        <v>6597</v>
      </c>
      <c r="J27" s="3"/>
      <c r="K27" s="3"/>
      <c r="L27" s="3">
        <f t="shared" si="11"/>
        <v>3560.6343999999995</v>
      </c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0</v>
      </c>
      <c r="D30" s="3">
        <f t="shared" si="12"/>
        <v>297594</v>
      </c>
      <c r="E30" s="3">
        <f t="shared" si="12"/>
        <v>20199</v>
      </c>
      <c r="F30" s="3">
        <f t="shared" si="12"/>
        <v>0</v>
      </c>
      <c r="G30" s="3">
        <f t="shared" si="12"/>
        <v>-27248</v>
      </c>
      <c r="H30" s="3">
        <f t="shared" si="12"/>
        <v>257477</v>
      </c>
      <c r="I30" s="3">
        <f>I223</f>
        <v>108204</v>
      </c>
      <c r="J30" s="3"/>
      <c r="K30" s="3"/>
      <c r="L30" s="3">
        <f>SUM(L212:L223)</f>
        <v>8238.732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0</v>
      </c>
      <c r="D31" s="3">
        <f t="shared" si="13"/>
        <v>240491</v>
      </c>
      <c r="E31" s="3">
        <f t="shared" si="13"/>
        <v>15567</v>
      </c>
      <c r="F31" s="3">
        <f t="shared" si="13"/>
        <v>0</v>
      </c>
      <c r="G31" s="3">
        <f t="shared" si="13"/>
        <v>44700</v>
      </c>
      <c r="H31" s="3">
        <f t="shared" si="13"/>
        <v>269541</v>
      </c>
      <c r="I31" s="3">
        <f>I236</f>
        <v>63504</v>
      </c>
      <c r="J31" s="3"/>
      <c r="K31" s="3"/>
      <c r="L31" s="3">
        <f>SUM(L225:L236)</f>
        <v>8463.5874000000003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0</v>
      </c>
      <c r="D32" s="3">
        <f t="shared" si="14"/>
        <v>326712</v>
      </c>
      <c r="E32" s="3">
        <f t="shared" si="14"/>
        <v>13030</v>
      </c>
      <c r="F32" s="3">
        <f t="shared" si="14"/>
        <v>0</v>
      </c>
      <c r="G32" s="3">
        <f t="shared" si="14"/>
        <v>-21784</v>
      </c>
      <c r="H32" s="3">
        <f t="shared" si="14"/>
        <v>291691</v>
      </c>
      <c r="I32" s="3">
        <f>I249</f>
        <v>85288</v>
      </c>
      <c r="J32" s="3"/>
      <c r="K32" s="3"/>
      <c r="L32" s="3">
        <f>SUM(L238:L249)</f>
        <v>9159.0973999999987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0</v>
      </c>
      <c r="D33" s="3">
        <f t="shared" si="15"/>
        <v>294306</v>
      </c>
      <c r="E33" s="3">
        <f t="shared" si="15"/>
        <v>15482</v>
      </c>
      <c r="F33" s="3">
        <f t="shared" si="15"/>
        <v>0</v>
      </c>
      <c r="G33" s="3">
        <f t="shared" si="15"/>
        <v>-57469</v>
      </c>
      <c r="H33" s="3">
        <f t="shared" si="15"/>
        <v>220312</v>
      </c>
      <c r="I33" s="3">
        <f>I262</f>
        <v>142757</v>
      </c>
      <c r="J33" s="3"/>
      <c r="K33" s="3"/>
      <c r="L33" s="3">
        <f>SUM(L251:L262)</f>
        <v>6917.7967999999992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0</v>
      </c>
      <c r="D34" s="3">
        <f t="shared" si="16"/>
        <v>163807</v>
      </c>
      <c r="E34" s="3">
        <f t="shared" si="16"/>
        <v>11969</v>
      </c>
      <c r="F34" s="3">
        <f t="shared" si="16"/>
        <v>0</v>
      </c>
      <c r="G34" s="3">
        <f t="shared" si="16"/>
        <v>33096</v>
      </c>
      <c r="H34" s="3">
        <f t="shared" si="16"/>
        <v>185337</v>
      </c>
      <c r="I34" s="3">
        <f>I275</f>
        <v>109661</v>
      </c>
      <c r="J34" s="3"/>
      <c r="K34" s="3"/>
      <c r="L34" s="3">
        <f>SUM(L264:L275)</f>
        <v>5819.5817999999999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0</v>
      </c>
      <c r="D35" s="3">
        <f t="shared" si="17"/>
        <v>119257</v>
      </c>
      <c r="E35" s="3">
        <f t="shared" si="17"/>
        <v>12849</v>
      </c>
      <c r="F35" s="3">
        <f t="shared" si="17"/>
        <v>0</v>
      </c>
      <c r="G35" s="3">
        <f t="shared" si="17"/>
        <v>58512</v>
      </c>
      <c r="H35" s="3">
        <f t="shared" si="17"/>
        <v>164881</v>
      </c>
      <c r="I35" s="3">
        <f>I288</f>
        <v>51149</v>
      </c>
      <c r="J35" s="3"/>
      <c r="K35" s="3"/>
      <c r="L35" s="3">
        <f>SUM(L277:L288)</f>
        <v>5177.2633999999998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0</v>
      </c>
      <c r="D36" s="3">
        <f t="shared" si="18"/>
        <v>255236</v>
      </c>
      <c r="E36" s="3">
        <f t="shared" si="18"/>
        <v>10161</v>
      </c>
      <c r="F36" s="3">
        <f t="shared" si="18"/>
        <v>0</v>
      </c>
      <c r="G36" s="3">
        <f t="shared" si="18"/>
        <v>-38141</v>
      </c>
      <c r="H36" s="3">
        <f t="shared" si="18"/>
        <v>206675</v>
      </c>
      <c r="I36" s="3">
        <f>I301</f>
        <v>89290</v>
      </c>
      <c r="J36" s="3"/>
      <c r="K36" s="3"/>
      <c r="L36" s="3">
        <f>SUM(L290:L301)</f>
        <v>6489.5949999999993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0</v>
      </c>
      <c r="D37" s="3">
        <f t="shared" si="19"/>
        <v>196280</v>
      </c>
      <c r="E37" s="3">
        <f t="shared" si="19"/>
        <v>6952</v>
      </c>
      <c r="F37" s="3">
        <f t="shared" si="19"/>
        <v>0</v>
      </c>
      <c r="G37" s="3">
        <f t="shared" si="19"/>
        <v>24617</v>
      </c>
      <c r="H37" s="3">
        <f t="shared" si="19"/>
        <v>213779</v>
      </c>
      <c r="I37" s="3">
        <f>I314</f>
        <v>64673</v>
      </c>
      <c r="J37" s="3"/>
      <c r="K37" s="3"/>
      <c r="L37" s="3">
        <f>SUM(L303:L314)</f>
        <v>6712.6606000000002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20">SUM(C316:C327)</f>
        <v>0</v>
      </c>
      <c r="D38" s="3">
        <f t="shared" si="20"/>
        <v>179586</v>
      </c>
      <c r="E38" s="3">
        <f t="shared" si="20"/>
        <v>5534</v>
      </c>
      <c r="F38" s="3">
        <f t="shared" si="20"/>
        <v>0</v>
      </c>
      <c r="G38" s="3">
        <f t="shared" si="20"/>
        <v>12435</v>
      </c>
      <c r="H38" s="3">
        <f t="shared" si="20"/>
        <v>186854</v>
      </c>
      <c r="I38" s="3">
        <f>I327</f>
        <v>52238</v>
      </c>
      <c r="J38" s="3"/>
      <c r="K38" s="3"/>
      <c r="L38" s="3">
        <f>SUM(L316:L327)</f>
        <v>5867.2156000000004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0</v>
      </c>
      <c r="D39" s="3">
        <f t="shared" si="21"/>
        <v>289424</v>
      </c>
      <c r="E39" s="3">
        <f t="shared" si="21"/>
        <v>3504</v>
      </c>
      <c r="F39" s="3">
        <f t="shared" si="21"/>
        <v>0</v>
      </c>
      <c r="G39" s="3">
        <f t="shared" si="21"/>
        <v>-77165</v>
      </c>
      <c r="H39" s="3">
        <f t="shared" si="21"/>
        <v>209695</v>
      </c>
      <c r="I39" s="3">
        <f>I340</f>
        <v>129403</v>
      </c>
      <c r="J39" s="3"/>
      <c r="K39" s="3"/>
      <c r="L39" s="3">
        <f>SUM(L329:L340)</f>
        <v>6584.4229999999989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0</v>
      </c>
      <c r="D40" s="3">
        <f t="shared" si="22"/>
        <v>176569</v>
      </c>
      <c r="E40" s="3">
        <f t="shared" si="22"/>
        <v>2539</v>
      </c>
      <c r="F40" s="3">
        <f t="shared" si="22"/>
        <v>0</v>
      </c>
      <c r="G40" s="3">
        <f t="shared" si="22"/>
        <v>35457</v>
      </c>
      <c r="H40" s="3">
        <f t="shared" si="22"/>
        <v>209509</v>
      </c>
      <c r="I40" s="3">
        <f>I353</f>
        <v>93946</v>
      </c>
      <c r="J40" s="3"/>
      <c r="K40" s="3"/>
      <c r="L40" s="3">
        <f>SUM(L342:L353)</f>
        <v>6578.5825999999997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0</v>
      </c>
      <c r="D41" s="3">
        <f t="shared" si="23"/>
        <v>243972</v>
      </c>
      <c r="E41" s="3">
        <f t="shared" si="23"/>
        <v>1485</v>
      </c>
      <c r="F41" s="3">
        <f t="shared" si="23"/>
        <v>0</v>
      </c>
      <c r="G41" s="3">
        <f t="shared" si="23"/>
        <v>184</v>
      </c>
      <c r="H41" s="3">
        <f t="shared" si="23"/>
        <v>241554</v>
      </c>
      <c r="I41" s="3">
        <f>I366</f>
        <v>93762</v>
      </c>
      <c r="J41" s="3"/>
      <c r="K41" s="3"/>
      <c r="L41" s="3">
        <f>SUM(L355:L366)</f>
        <v>7584.7955999999995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0</v>
      </c>
      <c r="D42" s="3">
        <f t="shared" si="24"/>
        <v>228894</v>
      </c>
      <c r="E42" s="3">
        <f t="shared" si="24"/>
        <v>1842</v>
      </c>
      <c r="F42" s="3">
        <f t="shared" si="24"/>
        <v>0</v>
      </c>
      <c r="G42" s="3">
        <f t="shared" si="24"/>
        <v>26624</v>
      </c>
      <c r="H42" s="3">
        <f t="shared" si="24"/>
        <v>252192</v>
      </c>
      <c r="I42" s="3">
        <f>I379</f>
        <v>67138</v>
      </c>
      <c r="J42" s="3"/>
      <c r="K42" s="3"/>
      <c r="L42" s="3">
        <f>SUM(L368:L379)</f>
        <v>7918.8288000000011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0</v>
      </c>
      <c r="D43" s="3">
        <f t="shared" si="25"/>
        <v>123959</v>
      </c>
      <c r="E43" s="3">
        <f t="shared" si="25"/>
        <v>505</v>
      </c>
      <c r="F43" s="3">
        <f t="shared" si="25"/>
        <v>0</v>
      </c>
      <c r="G43" s="3">
        <f t="shared" si="25"/>
        <v>32894</v>
      </c>
      <c r="H43" s="3">
        <f t="shared" si="25"/>
        <v>225437</v>
      </c>
      <c r="I43" s="3">
        <f>I392</f>
        <v>34244</v>
      </c>
      <c r="J43" s="3"/>
      <c r="K43" s="3"/>
      <c r="L43" s="3">
        <f>SUM(L381:L392)</f>
        <v>7078.7218000000003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0</v>
      </c>
      <c r="D44" s="3">
        <f t="shared" si="26"/>
        <v>271918</v>
      </c>
      <c r="E44" s="3">
        <f t="shared" si="26"/>
        <v>0</v>
      </c>
      <c r="F44" s="3">
        <f t="shared" si="26"/>
        <v>0</v>
      </c>
      <c r="G44" s="3">
        <f t="shared" si="26"/>
        <v>-26123</v>
      </c>
      <c r="H44" s="3">
        <f t="shared" si="26"/>
        <v>245795</v>
      </c>
      <c r="I44" s="3">
        <f>I405</f>
        <v>60367</v>
      </c>
      <c r="J44" s="3"/>
      <c r="K44" s="3"/>
      <c r="L44" s="3">
        <f>SUM(L394:L405)</f>
        <v>7717.9629999999997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0</v>
      </c>
      <c r="D45" s="3">
        <f t="shared" si="27"/>
        <v>223986</v>
      </c>
      <c r="E45" s="3">
        <f t="shared" si="27"/>
        <v>9</v>
      </c>
      <c r="F45" s="3">
        <f t="shared" si="27"/>
        <v>0</v>
      </c>
      <c r="G45" s="3">
        <f t="shared" si="27"/>
        <v>26611</v>
      </c>
      <c r="H45" s="3">
        <f t="shared" si="27"/>
        <v>250626</v>
      </c>
      <c r="I45" s="3">
        <f>I418</f>
        <v>33756</v>
      </c>
      <c r="J45" s="3"/>
      <c r="K45" s="3"/>
      <c r="L45" s="3">
        <f>SUM(L407:L418)</f>
        <v>7869.656399999998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0</v>
      </c>
      <c r="D46" s="3">
        <f t="shared" si="28"/>
        <v>240033</v>
      </c>
      <c r="E46" s="3">
        <f t="shared" si="28"/>
        <v>0</v>
      </c>
      <c r="F46" s="3">
        <f t="shared" si="28"/>
        <v>0</v>
      </c>
      <c r="G46" s="3">
        <f t="shared" si="28"/>
        <v>-20793</v>
      </c>
      <c r="H46" s="3">
        <f t="shared" si="28"/>
        <v>219240</v>
      </c>
      <c r="I46" s="3">
        <f>I431</f>
        <v>54549</v>
      </c>
      <c r="J46" s="3"/>
      <c r="K46" s="3"/>
      <c r="L46" s="3">
        <f>SUM(L420:L431)</f>
        <v>6884.1359999999986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0</v>
      </c>
      <c r="D47" s="3">
        <f t="shared" si="29"/>
        <v>200911</v>
      </c>
      <c r="E47" s="3">
        <f t="shared" si="29"/>
        <v>0</v>
      </c>
      <c r="F47" s="3">
        <f t="shared" si="29"/>
        <v>0</v>
      </c>
      <c r="G47" s="3">
        <f t="shared" si="29"/>
        <v>30240</v>
      </c>
      <c r="H47" s="3">
        <f t="shared" si="29"/>
        <v>231150</v>
      </c>
      <c r="I47" s="3">
        <f>I444</f>
        <v>24309</v>
      </c>
      <c r="J47" s="3"/>
      <c r="K47" s="3"/>
      <c r="L47" s="3">
        <f>SUM(L433:L444)</f>
        <v>7258.1100000000015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0</v>
      </c>
      <c r="D48" s="3">
        <f t="shared" si="30"/>
        <v>145580</v>
      </c>
      <c r="E48" s="3">
        <f t="shared" si="30"/>
        <v>0</v>
      </c>
      <c r="F48" s="3">
        <f t="shared" si="30"/>
        <v>0</v>
      </c>
      <c r="G48" s="3">
        <f t="shared" si="30"/>
        <v>-2544</v>
      </c>
      <c r="H48" s="3">
        <f t="shared" si="30"/>
        <v>121889</v>
      </c>
      <c r="I48" s="3">
        <f>I457</f>
        <v>48000</v>
      </c>
      <c r="J48" s="3"/>
      <c r="K48" s="3"/>
      <c r="L48" s="3">
        <f>SUM(L446:L457)</f>
        <v>3827.3145999999992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0</v>
      </c>
      <c r="D49" s="3">
        <f t="shared" si="31"/>
        <v>138677</v>
      </c>
      <c r="E49" s="3">
        <f t="shared" si="31"/>
        <v>15533</v>
      </c>
      <c r="F49" s="3">
        <f t="shared" si="31"/>
        <v>0</v>
      </c>
      <c r="G49" s="3">
        <f t="shared" si="31"/>
        <v>1612</v>
      </c>
      <c r="H49" s="3">
        <f t="shared" si="31"/>
        <v>124756</v>
      </c>
      <c r="I49" s="3">
        <f>I470</f>
        <v>46388</v>
      </c>
      <c r="J49" s="3"/>
      <c r="K49" s="3"/>
      <c r="L49" s="3">
        <f>SUM(L459:L470)</f>
        <v>3917.3384000000005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0</v>
      </c>
      <c r="D50" s="3">
        <f t="shared" si="32"/>
        <v>77432</v>
      </c>
      <c r="E50" s="3">
        <f t="shared" si="32"/>
        <v>3928</v>
      </c>
      <c r="F50" s="3">
        <f t="shared" si="32"/>
        <v>0</v>
      </c>
      <c r="G50" s="3">
        <f t="shared" si="32"/>
        <v>39791</v>
      </c>
      <c r="H50" s="3">
        <f t="shared" si="32"/>
        <v>113396</v>
      </c>
      <c r="I50" s="3">
        <f>I483</f>
        <v>6597</v>
      </c>
      <c r="J50" s="3"/>
      <c r="K50" s="3"/>
      <c r="L50" s="3">
        <f>SUM(L472:L483)</f>
        <v>3560.6343999999995</v>
      </c>
      <c r="M50" s="3"/>
      <c r="N50" s="22">
        <f>'Olieforbrug, TJ'!M50</f>
        <v>2025</v>
      </c>
      <c r="P50" s="3"/>
    </row>
    <row r="51" spans="1:16" x14ac:dyDescent="0.25">
      <c r="A51" s="22"/>
      <c r="H51" s="51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0</v>
      </c>
      <c r="D98" s="3">
        <f t="shared" si="33"/>
        <v>90951</v>
      </c>
      <c r="E98" s="3">
        <f t="shared" si="33"/>
        <v>996</v>
      </c>
      <c r="F98" s="3">
        <f t="shared" si="33"/>
        <v>0</v>
      </c>
      <c r="G98" s="3">
        <f t="shared" si="33"/>
        <v>-48547</v>
      </c>
      <c r="H98" s="3">
        <f t="shared" si="33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0</v>
      </c>
      <c r="D99" s="3">
        <f t="shared" si="34"/>
        <v>57624</v>
      </c>
      <c r="E99" s="3">
        <f t="shared" si="34"/>
        <v>264</v>
      </c>
      <c r="F99" s="3">
        <f t="shared" si="34"/>
        <v>0</v>
      </c>
      <c r="G99" s="3">
        <f t="shared" si="34"/>
        <v>-7138</v>
      </c>
      <c r="H99" s="3">
        <f t="shared" si="34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0</v>
      </c>
      <c r="D100" s="3">
        <f t="shared" si="35"/>
        <v>54634</v>
      </c>
      <c r="E100" s="3">
        <f t="shared" si="35"/>
        <v>764</v>
      </c>
      <c r="F100" s="3">
        <f t="shared" si="35"/>
        <v>0</v>
      </c>
      <c r="G100" s="3">
        <f t="shared" si="35"/>
        <v>279</v>
      </c>
      <c r="H100" s="3">
        <f t="shared" si="35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0</v>
      </c>
      <c r="D101" s="3">
        <f t="shared" si="36"/>
        <v>86215</v>
      </c>
      <c r="E101" s="3">
        <f t="shared" si="36"/>
        <v>1480</v>
      </c>
      <c r="F101" s="3">
        <f t="shared" si="36"/>
        <v>0</v>
      </c>
      <c r="G101" s="3">
        <f t="shared" si="36"/>
        <v>-21759</v>
      </c>
      <c r="H101" s="3">
        <f t="shared" si="36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0</v>
      </c>
      <c r="D103" s="3">
        <f t="shared" si="37"/>
        <v>69242</v>
      </c>
      <c r="E103" s="3">
        <f t="shared" si="37"/>
        <v>656</v>
      </c>
      <c r="F103" s="3">
        <f t="shared" si="37"/>
        <v>0</v>
      </c>
      <c r="G103" s="3">
        <f t="shared" si="37"/>
        <v>-28310</v>
      </c>
      <c r="H103" s="3">
        <f t="shared" si="37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0</v>
      </c>
      <c r="D104" s="3">
        <f t="shared" si="38"/>
        <v>250</v>
      </c>
      <c r="E104" s="3">
        <f t="shared" si="38"/>
        <v>148</v>
      </c>
      <c r="F104" s="3">
        <f t="shared" si="38"/>
        <v>0</v>
      </c>
      <c r="G104" s="3">
        <f t="shared" si="38"/>
        <v>57124</v>
      </c>
      <c r="H104" s="3">
        <f t="shared" si="38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0</v>
      </c>
      <c r="D105" s="3">
        <f t="shared" si="39"/>
        <v>36098</v>
      </c>
      <c r="E105" s="3">
        <f t="shared" si="39"/>
        <v>592</v>
      </c>
      <c r="F105" s="3">
        <f t="shared" si="39"/>
        <v>0</v>
      </c>
      <c r="G105" s="3">
        <f t="shared" si="39"/>
        <v>18169</v>
      </c>
      <c r="H105" s="3">
        <f t="shared" si="39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0</v>
      </c>
      <c r="D106" s="3">
        <f t="shared" si="40"/>
        <v>70979</v>
      </c>
      <c r="E106" s="3">
        <f t="shared" si="40"/>
        <v>1143</v>
      </c>
      <c r="F106" s="3">
        <f t="shared" si="40"/>
        <v>0</v>
      </c>
      <c r="G106" s="3">
        <f t="shared" si="40"/>
        <v>-11526</v>
      </c>
      <c r="H106" s="3">
        <f t="shared" si="40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1">SUM(E355:E357)</f>
        <v>489</v>
      </c>
      <c r="F108" s="3">
        <f t="shared" si="41"/>
        <v>0</v>
      </c>
      <c r="G108" s="3">
        <f t="shared" si="41"/>
        <v>-24787</v>
      </c>
      <c r="H108" s="3">
        <f t="shared" si="41"/>
        <v>49993</v>
      </c>
      <c r="I108" s="3">
        <f>I357</f>
        <v>118733</v>
      </c>
      <c r="J108" s="3"/>
      <c r="K108" s="3"/>
      <c r="L108" s="3">
        <f t="shared" si="41"/>
        <v>1569.7801999999999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0</v>
      </c>
      <c r="D109" s="3">
        <f t="shared" si="42"/>
        <v>33374</v>
      </c>
      <c r="E109" s="3">
        <f t="shared" si="42"/>
        <v>69</v>
      </c>
      <c r="F109" s="3">
        <f t="shared" si="42"/>
        <v>0</v>
      </c>
      <c r="G109" s="3">
        <f t="shared" si="42"/>
        <v>23139</v>
      </c>
      <c r="H109" s="3">
        <f t="shared" si="42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3">SUM(C361:C363)</f>
        <v>0</v>
      </c>
      <c r="D110" s="3">
        <f t="shared" si="43"/>
        <v>68736</v>
      </c>
      <c r="E110" s="3">
        <f t="shared" si="43"/>
        <v>24</v>
      </c>
      <c r="F110" s="3">
        <f t="shared" si="43"/>
        <v>0</v>
      </c>
      <c r="G110" s="3">
        <f t="shared" si="43"/>
        <v>-619</v>
      </c>
      <c r="H110" s="3">
        <f t="shared" si="43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4">SUM(D364:D366)</f>
        <v>66590</v>
      </c>
      <c r="E111" s="3">
        <f t="shared" si="44"/>
        <v>903</v>
      </c>
      <c r="F111" s="3">
        <f t="shared" si="44"/>
        <v>0</v>
      </c>
      <c r="G111" s="3">
        <f t="shared" si="44"/>
        <v>2451</v>
      </c>
      <c r="H111" s="3">
        <f t="shared" si="44"/>
        <v>68672</v>
      </c>
      <c r="I111" s="3">
        <f>I366</f>
        <v>93762</v>
      </c>
      <c r="J111" s="3"/>
      <c r="K111" s="3"/>
      <c r="L111" s="3">
        <f t="shared" si="44"/>
        <v>2156.3008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0</v>
      </c>
      <c r="D113" s="3">
        <f t="shared" si="45"/>
        <v>58071</v>
      </c>
      <c r="E113" s="3">
        <f t="shared" si="45"/>
        <v>483</v>
      </c>
      <c r="F113" s="3">
        <f t="shared" si="45"/>
        <v>0</v>
      </c>
      <c r="G113" s="3">
        <f t="shared" si="45"/>
        <v>-1427</v>
      </c>
      <c r="H113" s="3">
        <f t="shared" si="45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0</v>
      </c>
      <c r="D114" s="3">
        <f>SUM(D371:D373)</f>
        <v>57352</v>
      </c>
      <c r="E114" s="3">
        <f t="shared" si="46"/>
        <v>151</v>
      </c>
      <c r="F114" s="3">
        <f t="shared" si="46"/>
        <v>0</v>
      </c>
      <c r="G114" s="3">
        <f t="shared" si="46"/>
        <v>7403</v>
      </c>
      <c r="H114" s="3">
        <f t="shared" si="46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7">SUM(D374:D376)</f>
        <v>77417</v>
      </c>
      <c r="E115" s="3">
        <f t="shared" si="47"/>
        <v>318</v>
      </c>
      <c r="F115" s="3">
        <f t="shared" si="47"/>
        <v>0</v>
      </c>
      <c r="G115" s="3">
        <f t="shared" si="47"/>
        <v>-9221</v>
      </c>
      <c r="H115" s="3">
        <f t="shared" si="47"/>
        <v>67878</v>
      </c>
      <c r="I115" s="3">
        <f>I376</f>
        <v>97007</v>
      </c>
      <c r="J115" s="3"/>
      <c r="K115" s="3"/>
      <c r="L115" s="3">
        <f t="shared" si="47"/>
        <v>2131.3692000000001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0</v>
      </c>
      <c r="D116" s="3">
        <f t="shared" si="48"/>
        <v>36054</v>
      </c>
      <c r="E116" s="3">
        <f t="shared" si="48"/>
        <v>890</v>
      </c>
      <c r="F116" s="3">
        <f t="shared" si="48"/>
        <v>0</v>
      </c>
      <c r="G116" s="3">
        <f t="shared" si="48"/>
        <v>29869</v>
      </c>
      <c r="H116" s="3">
        <f t="shared" si="48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0</v>
      </c>
      <c r="D118" s="3">
        <f t="shared" si="49"/>
        <v>58901</v>
      </c>
      <c r="E118" s="3">
        <f t="shared" si="49"/>
        <v>263</v>
      </c>
      <c r="F118" s="3">
        <f t="shared" si="49"/>
        <v>0</v>
      </c>
      <c r="G118" s="3">
        <f t="shared" si="49"/>
        <v>-16104</v>
      </c>
      <c r="H118" s="3">
        <f t="shared" si="49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50">SUM(C384:C386)</f>
        <v>0</v>
      </c>
      <c r="D119" s="3">
        <f t="shared" si="50"/>
        <v>0</v>
      </c>
      <c r="E119" s="3">
        <f t="shared" si="50"/>
        <v>50</v>
      </c>
      <c r="F119" s="3">
        <f t="shared" si="50"/>
        <v>0</v>
      </c>
      <c r="G119" s="3">
        <f t="shared" si="50"/>
        <v>-7395</v>
      </c>
      <c r="H119" s="3">
        <f t="shared" si="50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0</v>
      </c>
      <c r="D120" s="3">
        <f t="shared" si="51"/>
        <v>34228</v>
      </c>
      <c r="E120" s="3">
        <f t="shared" si="51"/>
        <v>192</v>
      </c>
      <c r="F120" s="3">
        <f t="shared" si="51"/>
        <v>0</v>
      </c>
      <c r="G120" s="3">
        <f t="shared" si="51"/>
        <v>26463</v>
      </c>
      <c r="H120" s="3">
        <f t="shared" si="51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0</v>
      </c>
      <c r="D121" s="3">
        <f t="shared" si="52"/>
        <v>30830</v>
      </c>
      <c r="E121" s="3">
        <f t="shared" si="52"/>
        <v>0</v>
      </c>
      <c r="F121" s="3">
        <f t="shared" si="52"/>
        <v>0</v>
      </c>
      <c r="G121" s="3">
        <f t="shared" si="52"/>
        <v>29930</v>
      </c>
      <c r="H121" s="3">
        <f t="shared" si="52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0</v>
      </c>
      <c r="D123" s="3">
        <f t="shared" si="53"/>
        <v>122550</v>
      </c>
      <c r="E123" s="3">
        <f t="shared" si="53"/>
        <v>0</v>
      </c>
      <c r="F123" s="3">
        <f t="shared" si="53"/>
        <v>0</v>
      </c>
      <c r="G123" s="3">
        <f t="shared" si="53"/>
        <v>-69943</v>
      </c>
      <c r="H123" s="3">
        <f t="shared" si="53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0</v>
      </c>
      <c r="D124" s="3">
        <f t="shared" si="54"/>
        <v>20651</v>
      </c>
      <c r="E124" s="3">
        <f t="shared" si="54"/>
        <v>0</v>
      </c>
      <c r="F124" s="3">
        <f t="shared" si="54"/>
        <v>0</v>
      </c>
      <c r="G124" s="3">
        <f t="shared" si="54"/>
        <v>38454</v>
      </c>
      <c r="H124" s="3">
        <f t="shared" si="54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0</v>
      </c>
      <c r="D125" s="3">
        <f t="shared" si="55"/>
        <v>84813</v>
      </c>
      <c r="E125" s="3">
        <f t="shared" si="55"/>
        <v>0</v>
      </c>
      <c r="F125" s="3">
        <f t="shared" si="55"/>
        <v>0</v>
      </c>
      <c r="G125" s="3">
        <f t="shared" si="55"/>
        <v>-20046</v>
      </c>
      <c r="H125" s="3">
        <f t="shared" si="55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0</v>
      </c>
      <c r="D126" s="3">
        <f t="shared" si="56"/>
        <v>43904</v>
      </c>
      <c r="E126" s="3">
        <f t="shared" si="56"/>
        <v>0</v>
      </c>
      <c r="F126" s="3">
        <f t="shared" si="56"/>
        <v>0</v>
      </c>
      <c r="G126" s="3">
        <f t="shared" si="56"/>
        <v>25412</v>
      </c>
      <c r="H126" s="3">
        <f t="shared" si="56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0</v>
      </c>
      <c r="D128" s="3">
        <f t="shared" si="57"/>
        <v>127630</v>
      </c>
      <c r="E128" s="3">
        <f t="shared" si="57"/>
        <v>9</v>
      </c>
      <c r="F128" s="3">
        <f t="shared" si="57"/>
        <v>0</v>
      </c>
      <c r="G128" s="3">
        <f t="shared" si="57"/>
        <v>-66513</v>
      </c>
      <c r="H128" s="3">
        <f t="shared" si="57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0</v>
      </c>
      <c r="D129" s="3">
        <f t="shared" si="58"/>
        <v>56470</v>
      </c>
      <c r="E129" s="3">
        <f t="shared" si="58"/>
        <v>0</v>
      </c>
      <c r="F129" s="3">
        <f t="shared" si="58"/>
        <v>0</v>
      </c>
      <c r="G129" s="3">
        <f t="shared" si="58"/>
        <v>8979</v>
      </c>
      <c r="H129" s="3">
        <f t="shared" si="58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0</v>
      </c>
      <c r="D130" s="3">
        <f t="shared" si="59"/>
        <v>20649</v>
      </c>
      <c r="E130" s="3">
        <f t="shared" si="59"/>
        <v>0</v>
      </c>
      <c r="F130" s="3">
        <f t="shared" si="59"/>
        <v>0</v>
      </c>
      <c r="G130" s="3">
        <f t="shared" si="59"/>
        <v>43389</v>
      </c>
      <c r="H130" s="3">
        <f t="shared" si="59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0</v>
      </c>
      <c r="D131" s="3">
        <f t="shared" si="60"/>
        <v>19237</v>
      </c>
      <c r="E131" s="3">
        <f t="shared" si="60"/>
        <v>0</v>
      </c>
      <c r="F131" s="3">
        <f t="shared" si="60"/>
        <v>0</v>
      </c>
      <c r="G131" s="3">
        <f t="shared" si="60"/>
        <v>40756</v>
      </c>
      <c r="H131" s="3">
        <f t="shared" si="60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0</v>
      </c>
      <c r="D133" s="3">
        <f t="shared" si="61"/>
        <v>76952</v>
      </c>
      <c r="E133" s="3">
        <f t="shared" si="61"/>
        <v>0</v>
      </c>
      <c r="F133" s="3">
        <f t="shared" si="61"/>
        <v>0</v>
      </c>
      <c r="G133" s="3">
        <f t="shared" si="61"/>
        <v>-24996</v>
      </c>
      <c r="H133" s="3">
        <f t="shared" si="61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0</v>
      </c>
      <c r="D134" s="3">
        <f t="shared" si="62"/>
        <v>38462</v>
      </c>
      <c r="E134" s="3">
        <f t="shared" si="62"/>
        <v>0</v>
      </c>
      <c r="F134" s="3">
        <f t="shared" si="62"/>
        <v>0</v>
      </c>
      <c r="G134" s="3">
        <f t="shared" si="62"/>
        <v>18691</v>
      </c>
      <c r="H134" s="3">
        <f t="shared" si="62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0</v>
      </c>
      <c r="D135" s="3">
        <f t="shared" si="63"/>
        <v>60032</v>
      </c>
      <c r="E135" s="3">
        <f t="shared" si="63"/>
        <v>0</v>
      </c>
      <c r="F135" s="3">
        <f t="shared" si="63"/>
        <v>0</v>
      </c>
      <c r="G135" s="3">
        <f t="shared" si="63"/>
        <v>-3802</v>
      </c>
      <c r="H135" s="3">
        <f t="shared" si="63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0</v>
      </c>
      <c r="D136" s="3">
        <f t="shared" si="64"/>
        <v>64587</v>
      </c>
      <c r="E136" s="3">
        <f t="shared" si="64"/>
        <v>0</v>
      </c>
      <c r="F136" s="3">
        <f t="shared" si="64"/>
        <v>0</v>
      </c>
      <c r="G136" s="3">
        <f t="shared" si="64"/>
        <v>-10686</v>
      </c>
      <c r="H136" s="3">
        <f t="shared" si="64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5">SUM(D433:D435)</f>
        <v>78127</v>
      </c>
      <c r="E138" s="3">
        <f t="shared" si="65"/>
        <v>0</v>
      </c>
      <c r="F138" s="3">
        <f t="shared" si="65"/>
        <v>0</v>
      </c>
      <c r="G138" s="3">
        <f t="shared" si="65"/>
        <v>-4792</v>
      </c>
      <c r="H138" s="3">
        <f t="shared" si="65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6">SUM(D436:D438)</f>
        <v>75719</v>
      </c>
      <c r="E139" s="3">
        <f t="shared" si="66"/>
        <v>0</v>
      </c>
      <c r="F139" s="3">
        <f t="shared" si="66"/>
        <v>0</v>
      </c>
      <c r="G139" s="3">
        <f t="shared" si="66"/>
        <v>-24872</v>
      </c>
      <c r="H139" s="3">
        <f t="shared" si="66"/>
        <v>50499</v>
      </c>
      <c r="I139" s="3">
        <f>SUM(I438)</f>
        <v>84213</v>
      </c>
      <c r="J139" s="3"/>
      <c r="K139" s="3"/>
      <c r="L139" s="3">
        <f t="shared" si="66"/>
        <v>1585.6686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7">SUM(D439:D441)</f>
        <v>21716</v>
      </c>
      <c r="E140" s="3">
        <f t="shared" si="67"/>
        <v>0</v>
      </c>
      <c r="F140" s="3">
        <f t="shared" si="67"/>
        <v>0</v>
      </c>
      <c r="G140" s="3">
        <f t="shared" si="67"/>
        <v>30974</v>
      </c>
      <c r="H140" s="3">
        <f t="shared" si="67"/>
        <v>53038</v>
      </c>
      <c r="I140" s="3">
        <f>SUM(I441)</f>
        <v>53239</v>
      </c>
      <c r="J140" s="3"/>
      <c r="K140" s="3"/>
      <c r="L140" s="3">
        <f t="shared" si="67"/>
        <v>1665.3932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0</v>
      </c>
      <c r="D141" s="3">
        <f t="shared" si="68"/>
        <v>25349</v>
      </c>
      <c r="E141" s="3">
        <f t="shared" si="68"/>
        <v>0</v>
      </c>
      <c r="F141" s="3">
        <f t="shared" si="68"/>
        <v>0</v>
      </c>
      <c r="G141" s="3">
        <f t="shared" si="68"/>
        <v>28930</v>
      </c>
      <c r="H141" s="3">
        <f t="shared" si="68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9">SUM(D446:D448)</f>
        <v>79938</v>
      </c>
      <c r="E143" s="3">
        <f t="shared" si="69"/>
        <v>0</v>
      </c>
      <c r="F143" s="3">
        <f t="shared" si="69"/>
        <v>0</v>
      </c>
      <c r="G143" s="3">
        <f t="shared" si="69"/>
        <v>-23169</v>
      </c>
      <c r="H143" s="3">
        <f t="shared" si="69"/>
        <v>35622</v>
      </c>
      <c r="I143" s="3">
        <f>SUM(I448)</f>
        <v>68625</v>
      </c>
      <c r="J143" s="3"/>
      <c r="K143" s="3"/>
      <c r="L143" s="3">
        <f t="shared" si="69"/>
        <v>1118.5308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0</v>
      </c>
      <c r="D144" s="3">
        <f t="shared" si="70"/>
        <v>33399</v>
      </c>
      <c r="E144" s="3">
        <f t="shared" si="70"/>
        <v>0</v>
      </c>
      <c r="F144" s="3">
        <f t="shared" si="70"/>
        <v>0</v>
      </c>
      <c r="G144" s="3">
        <f t="shared" si="70"/>
        <v>-3428</v>
      </c>
      <c r="H144" s="3">
        <f t="shared" si="70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1">SUM(D452:D454)</f>
        <v>22000</v>
      </c>
      <c r="E145" s="3">
        <f t="shared" si="71"/>
        <v>0</v>
      </c>
      <c r="F145" s="3">
        <f t="shared" si="71"/>
        <v>0</v>
      </c>
      <c r="G145" s="3">
        <f t="shared" si="71"/>
        <v>5521</v>
      </c>
      <c r="H145" s="3">
        <f t="shared" si="71"/>
        <v>27521</v>
      </c>
      <c r="I145" s="3">
        <f>SUM(I454)</f>
        <v>66532</v>
      </c>
      <c r="J145" s="3"/>
      <c r="K145" s="3"/>
      <c r="L145" s="3">
        <f t="shared" si="71"/>
        <v>864.15940000000001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2">SUM(D455:D457)</f>
        <v>10243</v>
      </c>
      <c r="E146" s="3">
        <f t="shared" si="72"/>
        <v>0</v>
      </c>
      <c r="F146" s="3">
        <f t="shared" si="72"/>
        <v>0</v>
      </c>
      <c r="G146" s="3">
        <f t="shared" si="72"/>
        <v>18532</v>
      </c>
      <c r="H146" s="3">
        <f t="shared" si="72"/>
        <v>28775</v>
      </c>
      <c r="I146" s="3">
        <f>SUM(I457)</f>
        <v>48000</v>
      </c>
      <c r="J146" s="3"/>
      <c r="K146" s="3"/>
      <c r="L146" s="3">
        <f t="shared" si="72"/>
        <v>903.53499999999997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0</v>
      </c>
      <c r="D148" s="3">
        <f t="shared" si="73"/>
        <v>33301</v>
      </c>
      <c r="E148" s="3">
        <f t="shared" si="73"/>
        <v>3898</v>
      </c>
      <c r="F148" s="3">
        <f t="shared" si="73"/>
        <v>0</v>
      </c>
      <c r="G148" s="3">
        <f t="shared" si="73"/>
        <v>-4521</v>
      </c>
      <c r="H148" s="3">
        <f t="shared" si="73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4">SUM(D462:D464)</f>
        <v>29466</v>
      </c>
      <c r="E149" s="3">
        <f t="shared" si="74"/>
        <v>3713</v>
      </c>
      <c r="F149" s="3">
        <f t="shared" si="74"/>
        <v>0</v>
      </c>
      <c r="G149" s="3">
        <f t="shared" si="74"/>
        <v>13438</v>
      </c>
      <c r="H149" s="3">
        <f t="shared" si="74"/>
        <v>39191</v>
      </c>
      <c r="I149" s="3">
        <f>SUM(I464)</f>
        <v>39083</v>
      </c>
      <c r="J149" s="3"/>
      <c r="K149" s="3"/>
      <c r="L149" s="3">
        <f t="shared" si="74"/>
        <v>1230.5973999999999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5">SUM(D465:D467)</f>
        <v>41988</v>
      </c>
      <c r="E150" s="3">
        <f t="shared" si="75"/>
        <v>3905</v>
      </c>
      <c r="F150" s="3">
        <f t="shared" si="75"/>
        <v>0</v>
      </c>
      <c r="G150" s="3">
        <f t="shared" si="75"/>
        <v>-7278</v>
      </c>
      <c r="H150" s="3">
        <f t="shared" si="75"/>
        <v>30805</v>
      </c>
      <c r="I150" s="3">
        <f>I467</f>
        <v>46361</v>
      </c>
      <c r="J150" s="3"/>
      <c r="K150" s="3"/>
      <c r="L150" s="3">
        <f t="shared" si="75"/>
        <v>967.27699999999993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6">SUM(D468:D470)</f>
        <v>33922</v>
      </c>
      <c r="E151" s="3">
        <f t="shared" si="76"/>
        <v>4017</v>
      </c>
      <c r="F151" s="3">
        <f t="shared" si="76"/>
        <v>0</v>
      </c>
      <c r="G151" s="3">
        <f t="shared" si="76"/>
        <v>-27</v>
      </c>
      <c r="H151" s="3">
        <f t="shared" si="76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L153" si="77">SUM(D472:D474)</f>
        <v>30557</v>
      </c>
      <c r="E153" s="3">
        <f t="shared" si="77"/>
        <v>3928</v>
      </c>
      <c r="F153" s="3">
        <f t="shared" si="77"/>
        <v>0</v>
      </c>
      <c r="G153" s="3">
        <f t="shared" si="77"/>
        <v>-8542</v>
      </c>
      <c r="H153" s="3">
        <f t="shared" si="77"/>
        <v>18188</v>
      </c>
      <c r="I153" s="3">
        <f>I474</f>
        <v>54930</v>
      </c>
      <c r="J153" s="3"/>
      <c r="K153" s="3"/>
      <c r="L153" s="3">
        <f t="shared" si="77"/>
        <v>571.10320000000002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78">SUM(D475:D477)</f>
        <v>23589</v>
      </c>
      <c r="E154" s="3">
        <f t="shared" si="78"/>
        <v>0</v>
      </c>
      <c r="F154" s="3">
        <f t="shared" si="78"/>
        <v>0</v>
      </c>
      <c r="G154" s="3">
        <f t="shared" si="78"/>
        <v>7543</v>
      </c>
      <c r="H154" s="3">
        <f t="shared" si="78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L155" si="79">SUM(D478:D480)</f>
        <v>23242</v>
      </c>
      <c r="E155" s="3">
        <f t="shared" si="79"/>
        <v>0</v>
      </c>
      <c r="F155" s="3">
        <f t="shared" si="79"/>
        <v>0</v>
      </c>
      <c r="G155" s="3">
        <f t="shared" si="79"/>
        <v>12149</v>
      </c>
      <c r="H155" s="3">
        <f t="shared" si="79"/>
        <v>35391</v>
      </c>
      <c r="I155" s="3">
        <f>I480</f>
        <v>35238</v>
      </c>
      <c r="J155" s="3"/>
      <c r="K155" s="3"/>
      <c r="L155" s="3">
        <f t="shared" si="79"/>
        <v>1111.2773999999999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80">SUM(D481:D483)</f>
        <v>44</v>
      </c>
      <c r="E156" s="3">
        <f t="shared" si="80"/>
        <v>0</v>
      </c>
      <c r="F156" s="3">
        <f t="shared" si="80"/>
        <v>0</v>
      </c>
      <c r="G156" s="3">
        <f t="shared" si="80"/>
        <v>28641</v>
      </c>
      <c r="H156" s="3">
        <f t="shared" si="80"/>
        <v>28685</v>
      </c>
      <c r="I156" s="3">
        <f>I483</f>
        <v>6597</v>
      </c>
      <c r="J156"/>
      <c r="K156"/>
      <c r="L156" s="3">
        <f t="shared" ref="L156" si="81">SUM(L481:L483)</f>
        <v>900.70899999999983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82">H342*31.4/1000</f>
        <v>449.74219999999997</v>
      </c>
      <c r="N342" s="23" t="s">
        <v>115</v>
      </c>
    </row>
    <row r="343" spans="1:14" x14ac:dyDescent="0.25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83">I342-I343</f>
        <v>9257</v>
      </c>
      <c r="H343" s="67">
        <v>12153</v>
      </c>
      <c r="I343" s="67">
        <v>136052</v>
      </c>
      <c r="J343" s="15"/>
      <c r="K343" s="15"/>
      <c r="L343" s="16">
        <f t="shared" si="82"/>
        <v>381.60419999999999</v>
      </c>
      <c r="N343" s="23" t="s">
        <v>116</v>
      </c>
    </row>
    <row r="344" spans="1:14" x14ac:dyDescent="0.25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83"/>
        <v>-21661</v>
      </c>
      <c r="H344" s="67">
        <v>13713</v>
      </c>
      <c r="I344" s="67">
        <v>157713</v>
      </c>
      <c r="J344" s="15"/>
      <c r="K344" s="15"/>
      <c r="L344" s="16">
        <f t="shared" si="82"/>
        <v>430.58819999999997</v>
      </c>
      <c r="N344" s="23" t="s">
        <v>117</v>
      </c>
    </row>
    <row r="345" spans="1:14" x14ac:dyDescent="0.25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83"/>
        <v>18997</v>
      </c>
      <c r="H345" s="67">
        <v>18903</v>
      </c>
      <c r="I345" s="67">
        <v>138716</v>
      </c>
      <c r="L345" s="16">
        <f t="shared" si="82"/>
        <v>593.55419999999992</v>
      </c>
      <c r="N345" s="23" t="s">
        <v>118</v>
      </c>
    </row>
    <row r="346" spans="1:14" x14ac:dyDescent="0.25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83"/>
        <v>20854</v>
      </c>
      <c r="H346" s="67">
        <v>20860</v>
      </c>
      <c r="I346" s="67">
        <v>117862</v>
      </c>
      <c r="L346" s="16">
        <f t="shared" si="82"/>
        <v>655.00400000000002</v>
      </c>
      <c r="N346" s="23" t="s">
        <v>119</v>
      </c>
    </row>
    <row r="347" spans="1:14" x14ac:dyDescent="0.25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83"/>
        <v>17273</v>
      </c>
      <c r="H347" s="67">
        <v>17426</v>
      </c>
      <c r="I347" s="67">
        <v>100589</v>
      </c>
      <c r="L347" s="16">
        <f t="shared" si="82"/>
        <v>547.17640000000006</v>
      </c>
      <c r="N347" s="23" t="s">
        <v>120</v>
      </c>
    </row>
    <row r="348" spans="1:14" x14ac:dyDescent="0.25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83"/>
        <v>-16773</v>
      </c>
      <c r="H348" s="67">
        <v>19149</v>
      </c>
      <c r="I348" s="67">
        <v>117362</v>
      </c>
      <c r="L348" s="16">
        <f t="shared" si="82"/>
        <v>601.27859999999998</v>
      </c>
      <c r="N348" s="23" t="s">
        <v>121</v>
      </c>
    </row>
    <row r="349" spans="1:14" x14ac:dyDescent="0.25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82"/>
        <v>584.22840000000008</v>
      </c>
      <c r="N349" s="23" t="s">
        <v>122</v>
      </c>
    </row>
    <row r="350" spans="1:14" x14ac:dyDescent="0.25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82"/>
        <v>499.00880000000001</v>
      </c>
      <c r="N350" s="23" t="s">
        <v>123</v>
      </c>
    </row>
    <row r="351" spans="1:14" x14ac:dyDescent="0.25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82"/>
        <v>700.25139999999999</v>
      </c>
      <c r="N351" s="23" t="s">
        <v>124</v>
      </c>
    </row>
    <row r="352" spans="1:14" x14ac:dyDescent="0.25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82"/>
        <v>548.90340000000003</v>
      </c>
      <c r="N352" s="23" t="s">
        <v>125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82"/>
        <v>587.24279999999987</v>
      </c>
      <c r="N353" s="43" t="s">
        <v>113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4">H368*31.4/1000</f>
        <v>712.81140000000005</v>
      </c>
      <c r="N368" s="23" t="str">
        <f>'Olieforbrug, TJ'!M368</f>
        <v>January</v>
      </c>
    </row>
    <row r="369" spans="1:14" x14ac:dyDescent="0.25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5">I368-I369</f>
        <v>11927</v>
      </c>
      <c r="H369" s="16">
        <v>14038</v>
      </c>
      <c r="I369" s="16">
        <v>79649</v>
      </c>
      <c r="J369" s="15"/>
      <c r="K369" s="15"/>
      <c r="L369" s="16">
        <f t="shared" si="84"/>
        <v>440.79319999999996</v>
      </c>
      <c r="N369" s="23" t="str">
        <f>'Olieforbrug, TJ'!M369</f>
        <v>February</v>
      </c>
    </row>
    <row r="370" spans="1:14" x14ac:dyDescent="0.25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5"/>
        <v>-15540</v>
      </c>
      <c r="H370" s="16">
        <v>19415</v>
      </c>
      <c r="I370" s="16">
        <v>95189</v>
      </c>
      <c r="J370" s="15"/>
      <c r="K370" s="15"/>
      <c r="L370" s="16">
        <f t="shared" si="84"/>
        <v>609.63099999999997</v>
      </c>
      <c r="N370" s="23" t="str">
        <f>'Olieforbrug, TJ'!M370</f>
        <v>March</v>
      </c>
    </row>
    <row r="371" spans="1:14" x14ac:dyDescent="0.25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5"/>
        <v>25083</v>
      </c>
      <c r="H371" s="16">
        <v>25185</v>
      </c>
      <c r="I371" s="16">
        <v>70106</v>
      </c>
      <c r="J371" s="15"/>
      <c r="K371" s="15"/>
      <c r="L371" s="16">
        <f t="shared" si="84"/>
        <v>790.80899999999997</v>
      </c>
      <c r="N371" s="23" t="str">
        <f>'Olieforbrug, TJ'!M371</f>
        <v>April</v>
      </c>
    </row>
    <row r="372" spans="1:14" x14ac:dyDescent="0.25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5"/>
        <v>-40289</v>
      </c>
      <c r="H372" s="16">
        <v>16720</v>
      </c>
      <c r="I372" s="16">
        <v>110395</v>
      </c>
      <c r="J372" s="15"/>
      <c r="K372" s="15"/>
      <c r="L372" s="16">
        <f t="shared" si="84"/>
        <v>525.00800000000004</v>
      </c>
      <c r="N372" s="23" t="str">
        <f>'Olieforbrug, TJ'!M372</f>
        <v>May</v>
      </c>
    </row>
    <row r="373" spans="1:14" x14ac:dyDescent="0.25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5"/>
        <v>22609</v>
      </c>
      <c r="H373" s="16">
        <v>22699</v>
      </c>
      <c r="I373" s="16">
        <v>87786</v>
      </c>
      <c r="J373" s="15"/>
      <c r="K373" s="15"/>
      <c r="L373" s="16">
        <f t="shared" si="84"/>
        <v>712.74860000000001</v>
      </c>
      <c r="N373" s="23" t="str">
        <f>'Olieforbrug, TJ'!M373</f>
        <v>June</v>
      </c>
    </row>
    <row r="374" spans="1:14" x14ac:dyDescent="0.25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5"/>
        <v>22431</v>
      </c>
      <c r="H374" s="16">
        <v>22584</v>
      </c>
      <c r="I374" s="16">
        <v>65355</v>
      </c>
      <c r="J374" s="15"/>
      <c r="K374" s="15"/>
      <c r="L374" s="16">
        <f t="shared" si="84"/>
        <v>709.13760000000002</v>
      </c>
      <c r="N374" s="23" t="str">
        <f>'Olieforbrug, TJ'!M374</f>
        <v>July</v>
      </c>
    </row>
    <row r="375" spans="1:14" x14ac:dyDescent="0.25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4"/>
        <v>671.14359999999999</v>
      </c>
      <c r="N375" s="23" t="str">
        <f>'Olieforbrug, TJ'!M375</f>
        <v>August</v>
      </c>
    </row>
    <row r="376" spans="1:14" x14ac:dyDescent="0.25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4"/>
        <v>751.08799999999997</v>
      </c>
      <c r="N376" s="23" t="str">
        <f>'Olieforbrug, TJ'!M376</f>
        <v>September</v>
      </c>
    </row>
    <row r="377" spans="1:14" x14ac:dyDescent="0.25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4"/>
        <v>742.82979999999998</v>
      </c>
      <c r="N377" s="23" t="str">
        <f>'Olieforbrug, TJ'!M377</f>
        <v>October</v>
      </c>
    </row>
    <row r="378" spans="1:14" x14ac:dyDescent="0.25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4"/>
        <v>627.37199999999996</v>
      </c>
      <c r="N378" s="23" t="str">
        <f>'Olieforbrug, TJ'!M378</f>
        <v>November</v>
      </c>
    </row>
    <row r="379" spans="1:14" ht="13.8" thickBot="1" x14ac:dyDescent="0.3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4"/>
        <v>625.45659999999998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6">H381*31.4/1000</f>
        <v>441.86079999999998</v>
      </c>
      <c r="N381" s="23" t="str">
        <f>'Olieforbrug, TJ'!M381</f>
        <v>January</v>
      </c>
    </row>
    <row r="382" spans="1:14" x14ac:dyDescent="0.25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7">I381-I382</f>
        <v>-12811</v>
      </c>
      <c r="H382" s="16">
        <v>14263</v>
      </c>
      <c r="I382" s="16">
        <v>97489</v>
      </c>
      <c r="J382" s="15"/>
      <c r="K382" s="15"/>
      <c r="L382" s="16">
        <f t="shared" si="86"/>
        <v>447.85819999999995</v>
      </c>
      <c r="N382" s="23" t="str">
        <f>'Olieforbrug, TJ'!M382</f>
        <v>February</v>
      </c>
    </row>
    <row r="383" spans="1:14" x14ac:dyDescent="0.25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7"/>
        <v>14247</v>
      </c>
      <c r="H383" s="16">
        <v>14199</v>
      </c>
      <c r="I383" s="16">
        <v>83242</v>
      </c>
      <c r="J383" s="15"/>
      <c r="K383" s="15"/>
      <c r="L383" s="16">
        <f t="shared" si="86"/>
        <v>445.84859999999998</v>
      </c>
      <c r="N383" s="23" t="str">
        <f>'Olieforbrug, TJ'!M383</f>
        <v>March</v>
      </c>
    </row>
    <row r="384" spans="1:14" x14ac:dyDescent="0.25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7"/>
        <v>21243</v>
      </c>
      <c r="H384" s="16">
        <v>21219</v>
      </c>
      <c r="I384" s="16">
        <v>61999</v>
      </c>
      <c r="J384" s="15"/>
      <c r="K384" s="15"/>
      <c r="L384" s="16">
        <f t="shared" si="86"/>
        <v>666.27660000000003</v>
      </c>
      <c r="N384" s="23" t="str">
        <f>'Olieforbrug, TJ'!M384</f>
        <v>April</v>
      </c>
    </row>
    <row r="385" spans="1:14" x14ac:dyDescent="0.25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7"/>
        <v>0</v>
      </c>
      <c r="H385" s="16">
        <v>21219</v>
      </c>
      <c r="I385" s="16">
        <v>61999</v>
      </c>
      <c r="J385" s="15"/>
      <c r="K385" s="15"/>
      <c r="L385" s="16">
        <f t="shared" si="86"/>
        <v>666.27660000000003</v>
      </c>
      <c r="N385" s="23" t="str">
        <f>'Olieforbrug, TJ'!M385</f>
        <v>May</v>
      </c>
    </row>
    <row r="386" spans="1:14" x14ac:dyDescent="0.25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7"/>
        <v>-28638</v>
      </c>
      <c r="H386" s="16">
        <v>19206</v>
      </c>
      <c r="I386" s="16">
        <v>90637</v>
      </c>
      <c r="J386" s="15"/>
      <c r="K386" s="15"/>
      <c r="L386" s="16">
        <f t="shared" si="86"/>
        <v>603.0684</v>
      </c>
      <c r="N386" s="23" t="str">
        <f>'Olieforbrug, TJ'!M386</f>
        <v>June</v>
      </c>
    </row>
    <row r="387" spans="1:14" x14ac:dyDescent="0.25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7"/>
        <v>22727</v>
      </c>
      <c r="H387" s="16">
        <v>22974</v>
      </c>
      <c r="I387" s="16">
        <v>67910</v>
      </c>
      <c r="J387" s="15"/>
      <c r="K387" s="15"/>
      <c r="L387" s="16">
        <f t="shared" si="86"/>
        <v>721.3836</v>
      </c>
      <c r="N387" s="23" t="str">
        <f>'Olieforbrug, TJ'!M387</f>
        <v>July</v>
      </c>
    </row>
    <row r="388" spans="1:14" x14ac:dyDescent="0.25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6"/>
        <v>591.82719999999995</v>
      </c>
      <c r="N388" s="23" t="str">
        <f>'Olieforbrug, TJ'!M388</f>
        <v>August</v>
      </c>
    </row>
    <row r="389" spans="1:14" x14ac:dyDescent="0.25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6"/>
        <v>586.45779999999991</v>
      </c>
      <c r="N389" s="23" t="str">
        <f>'Olieforbrug, TJ'!M389</f>
        <v>September</v>
      </c>
    </row>
    <row r="390" spans="1:14" x14ac:dyDescent="0.25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6"/>
        <v>677.73759999999993</v>
      </c>
      <c r="N390" s="23" t="str">
        <f>'Olieforbrug, TJ'!M390</f>
        <v>October</v>
      </c>
    </row>
    <row r="391" spans="1:14" ht="12.6" customHeight="1" x14ac:dyDescent="0.25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6"/>
        <v>576.03300000000002</v>
      </c>
      <c r="N391" s="23" t="str">
        <f>'Olieforbrug, TJ'!M391</f>
        <v>November</v>
      </c>
    </row>
    <row r="392" spans="1:14" ht="13.8" thickBot="1" x14ac:dyDescent="0.3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6"/>
        <v>654.09339999999997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8">H394*31.4/1000</f>
        <v>602.12639999999999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9">I394-I395</f>
        <v>-45336</v>
      </c>
      <c r="H395" s="16">
        <v>17381</v>
      </c>
      <c r="I395" s="16">
        <v>120237</v>
      </c>
      <c r="J395" s="15"/>
      <c r="K395" s="15"/>
      <c r="L395" s="16">
        <f t="shared" si="88"/>
        <v>545.76340000000005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9"/>
        <v>16050</v>
      </c>
      <c r="H396" s="16">
        <v>16050</v>
      </c>
      <c r="I396" s="16">
        <v>104187</v>
      </c>
      <c r="J396" s="15"/>
      <c r="K396" s="15"/>
      <c r="L396" s="16">
        <f t="shared" si="88"/>
        <v>503.97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9"/>
        <v>-2245</v>
      </c>
      <c r="H397" s="16">
        <v>16906</v>
      </c>
      <c r="I397" s="16">
        <v>106432</v>
      </c>
      <c r="J397" s="15"/>
      <c r="K397" s="15"/>
      <c r="L397" s="16">
        <f t="shared" si="88"/>
        <v>530.84839999999997</v>
      </c>
      <c r="N397" s="23" t="str">
        <f>'Olieforbrug, TJ'!M397</f>
        <v>April</v>
      </c>
    </row>
    <row r="398" spans="1:14" ht="14.1" customHeight="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9"/>
        <v>19125</v>
      </c>
      <c r="H398" s="16">
        <v>19125</v>
      </c>
      <c r="I398" s="16">
        <v>87307</v>
      </c>
      <c r="J398" s="15"/>
      <c r="K398" s="15"/>
      <c r="L398" s="16">
        <f t="shared" si="88"/>
        <v>600.52499999999998</v>
      </c>
      <c r="N398" s="23" t="str">
        <f>'Olieforbrug, TJ'!M398</f>
        <v>May</v>
      </c>
    </row>
    <row r="399" spans="1:14" ht="14.1" customHeight="1" x14ac:dyDescent="0.25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9"/>
        <v>21574</v>
      </c>
      <c r="H399" s="16">
        <v>23074</v>
      </c>
      <c r="I399" s="16">
        <v>65733</v>
      </c>
      <c r="J399" s="15"/>
      <c r="K399" s="15"/>
      <c r="L399" s="16">
        <f t="shared" si="88"/>
        <v>724.52359999999999</v>
      </c>
      <c r="N399" s="23" t="str">
        <f>'Olieforbrug, TJ'!M399</f>
        <v>June</v>
      </c>
    </row>
    <row r="400" spans="1:14" ht="14.1" customHeight="1" x14ac:dyDescent="0.25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9"/>
        <v>-3134</v>
      </c>
      <c r="H400" s="16">
        <v>22891</v>
      </c>
      <c r="I400" s="16">
        <v>68867</v>
      </c>
      <c r="J400" s="15"/>
      <c r="K400" s="15"/>
      <c r="L400" s="16">
        <f t="shared" si="88"/>
        <v>718.77740000000006</v>
      </c>
      <c r="N400" s="23" t="str">
        <f>'Olieforbrug, TJ'!M400</f>
        <v>July</v>
      </c>
    </row>
    <row r="401" spans="1:14" ht="14.1" customHeight="1" x14ac:dyDescent="0.25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8"/>
        <v>668.38040000000001</v>
      </c>
      <c r="N401" s="23" t="str">
        <f>'Olieforbrug, TJ'!M401</f>
        <v>August</v>
      </c>
    </row>
    <row r="402" spans="1:14" ht="14.1" customHeight="1" x14ac:dyDescent="0.25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8"/>
        <v>646.52599999999995</v>
      </c>
      <c r="N402" s="23" t="str">
        <f>'Olieforbrug, TJ'!M402</f>
        <v>September</v>
      </c>
    </row>
    <row r="403" spans="1:14" ht="13.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8"/>
        <v>749.95759999999996</v>
      </c>
      <c r="N403" s="23" t="str">
        <f>'Olieforbrug, TJ'!M403</f>
        <v>October</v>
      </c>
    </row>
    <row r="404" spans="1:14" ht="13.5" customHeight="1" x14ac:dyDescent="0.25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8"/>
        <v>646.84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8"/>
        <v>779.72479999999996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90">H407*31.4/1000</f>
        <v>665.74279999999987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91">I407-I408</f>
        <v>-42252</v>
      </c>
      <c r="H408" s="16">
        <v>21148</v>
      </c>
      <c r="I408" s="16">
        <v>113116</v>
      </c>
      <c r="J408" s="15"/>
      <c r="K408" s="15"/>
      <c r="L408" s="16">
        <f t="shared" si="90"/>
        <v>664.04719999999998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91"/>
        <v>-13764</v>
      </c>
      <c r="H409" s="16">
        <v>18758</v>
      </c>
      <c r="I409" s="16">
        <v>126880</v>
      </c>
      <c r="J409" s="15"/>
      <c r="K409" s="15"/>
      <c r="L409" s="16">
        <f t="shared" si="90"/>
        <v>589.00119999999993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91"/>
        <v>19253</v>
      </c>
      <c r="H410" s="16">
        <v>19253</v>
      </c>
      <c r="I410" s="16">
        <v>107627</v>
      </c>
      <c r="J410" s="15"/>
      <c r="K410" s="15"/>
      <c r="L410" s="16">
        <f t="shared" si="90"/>
        <v>604.54419999999993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91"/>
        <v>24570</v>
      </c>
      <c r="H411" s="16">
        <v>24594</v>
      </c>
      <c r="I411" s="16">
        <v>83057</v>
      </c>
      <c r="J411" s="15"/>
      <c r="K411" s="15"/>
      <c r="L411" s="16">
        <f t="shared" si="90"/>
        <v>772.25159999999994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91"/>
        <v>-34844</v>
      </c>
      <c r="H412" s="16">
        <v>20835</v>
      </c>
      <c r="I412" s="16">
        <v>117901</v>
      </c>
      <c r="J412" s="15"/>
      <c r="K412" s="15"/>
      <c r="L412" s="16">
        <f t="shared" si="90"/>
        <v>654.21900000000005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91"/>
        <v>21163</v>
      </c>
      <c r="H413" s="16">
        <v>23468</v>
      </c>
      <c r="I413" s="16">
        <v>96738</v>
      </c>
      <c r="J413" s="15"/>
      <c r="K413" s="15"/>
      <c r="L413" s="16">
        <f t="shared" si="90"/>
        <v>736.89519999999993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90"/>
        <v>608.62619999999993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90"/>
        <v>690.54879999999991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90"/>
        <v>731.99679999999989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90"/>
        <v>559.3596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90"/>
        <v>592.42379999999991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92">H420*31.4/1000</f>
        <v>568.02599999999995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93">I420-I421</f>
        <v>-13148</v>
      </c>
      <c r="H421" s="16">
        <v>16053</v>
      </c>
      <c r="I421" s="16">
        <v>76565</v>
      </c>
      <c r="J421" s="15"/>
      <c r="K421" s="15"/>
      <c r="L421" s="16">
        <f t="shared" si="92"/>
        <v>504.06419999999997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93"/>
        <v>17813</v>
      </c>
      <c r="H422" s="16">
        <v>17813</v>
      </c>
      <c r="I422" s="16">
        <v>58752</v>
      </c>
      <c r="J422" s="15"/>
      <c r="K422" s="15"/>
      <c r="L422" s="16">
        <f t="shared" si="92"/>
        <v>559.32819999999992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93"/>
        <v>-16536</v>
      </c>
      <c r="H423" s="16">
        <v>19863</v>
      </c>
      <c r="I423" s="16">
        <v>75288</v>
      </c>
      <c r="J423" s="15"/>
      <c r="K423" s="15"/>
      <c r="L423" s="16">
        <f t="shared" si="92"/>
        <v>623.69819999999993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93"/>
        <v>19172</v>
      </c>
      <c r="H424" s="16">
        <v>19172</v>
      </c>
      <c r="I424" s="16">
        <v>56116</v>
      </c>
      <c r="J424" s="15"/>
      <c r="K424" s="15"/>
      <c r="L424" s="16">
        <f t="shared" si="92"/>
        <v>602.00079999999991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93"/>
        <v>16055</v>
      </c>
      <c r="H425" s="16">
        <v>18118</v>
      </c>
      <c r="I425" s="16">
        <v>40061</v>
      </c>
      <c r="J425" s="15"/>
      <c r="K425" s="15"/>
      <c r="L425" s="16">
        <f t="shared" si="92"/>
        <v>568.90519999999992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93"/>
        <v>-12364</v>
      </c>
      <c r="H426" s="16">
        <v>17766</v>
      </c>
      <c r="I426" s="16">
        <v>52425</v>
      </c>
      <c r="J426" s="15"/>
      <c r="K426" s="15"/>
      <c r="L426" s="16">
        <f t="shared" si="92"/>
        <v>557.85239999999999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92"/>
        <v>711.96359999999993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92"/>
        <v>495.80599999999998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92"/>
        <v>588.40459999999996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92"/>
        <v>570.41240000000005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92"/>
        <v>533.67439999999999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4">H433*31.4/1000</f>
        <v>1383.9549999999999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5">I433-I434</f>
        <v>12818</v>
      </c>
      <c r="H434" s="16">
        <v>12818</v>
      </c>
      <c r="I434" s="16">
        <v>55783</v>
      </c>
      <c r="J434" s="15"/>
      <c r="K434" s="15"/>
      <c r="L434" s="16">
        <f t="shared" si="94"/>
        <v>402.48519999999996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5"/>
        <v>-3558</v>
      </c>
      <c r="H435" s="16">
        <v>16441</v>
      </c>
      <c r="I435" s="16">
        <v>59341</v>
      </c>
      <c r="J435" s="15"/>
      <c r="K435" s="15"/>
      <c r="L435" s="16">
        <f t="shared" si="94"/>
        <v>516.24739999999997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5"/>
        <v>-12484</v>
      </c>
      <c r="H436" s="16">
        <v>19116</v>
      </c>
      <c r="I436" s="16">
        <v>71825</v>
      </c>
      <c r="J436" s="15"/>
      <c r="K436" s="15"/>
      <c r="L436" s="16">
        <f t="shared" si="94"/>
        <v>600.24239999999998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5"/>
        <v>-28193</v>
      </c>
      <c r="H437" s="16">
        <v>15926</v>
      </c>
      <c r="I437" s="16">
        <v>100018</v>
      </c>
      <c r="J437" s="15"/>
      <c r="K437" s="15"/>
      <c r="L437" s="16">
        <f t="shared" si="94"/>
        <v>500.07639999999998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5"/>
        <v>15805</v>
      </c>
      <c r="H438" s="16">
        <v>15457</v>
      </c>
      <c r="I438" s="16">
        <v>84213</v>
      </c>
      <c r="J438" s="15"/>
      <c r="K438" s="15"/>
      <c r="L438" s="16">
        <f t="shared" si="94"/>
        <v>485.34980000000002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5"/>
        <v>21452</v>
      </c>
      <c r="H439" s="16">
        <v>21800</v>
      </c>
      <c r="I439" s="16">
        <v>62761</v>
      </c>
      <c r="J439" s="15"/>
      <c r="K439" s="15"/>
      <c r="L439" s="16">
        <f t="shared" ref="L439" si="96">H439*31.4/1000</f>
        <v>684.52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7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8">H440*31.4/1000</f>
        <v>518.53959999999995</v>
      </c>
      <c r="N440" s="23" t="str">
        <f>'Olieforbrug, TJ'!M440</f>
        <v>August</v>
      </c>
    </row>
    <row r="441" spans="1:14" s="107" customFormat="1" x14ac:dyDescent="0.25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9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100">H441*31.4/1000</f>
        <v>462.33359999999999</v>
      </c>
      <c r="N441" s="111" t="str">
        <f>'Olieforbrug, TJ'!M441</f>
        <v>September</v>
      </c>
    </row>
    <row r="442" spans="1:14" x14ac:dyDescent="0.25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101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102">H442*31.4/1000</f>
        <v>511.53739999999999</v>
      </c>
      <c r="M442" s="107"/>
      <c r="N442" s="111" t="str">
        <f>'Olieforbrug, TJ'!M442</f>
        <v>October</v>
      </c>
    </row>
    <row r="443" spans="1:14" x14ac:dyDescent="0.25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103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4">H443*31.4/1000</f>
        <v>602.81719999999996</v>
      </c>
      <c r="M443" s="107"/>
      <c r="N443" s="111" t="str">
        <f>'Olieforbrug, TJ'!M443</f>
        <v>November</v>
      </c>
    </row>
    <row r="444" spans="1:14" ht="13.8" thickBot="1" x14ac:dyDescent="0.3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5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6">H444*31.4/1000</f>
        <v>590.00599999999997</v>
      </c>
      <c r="M444" s="112"/>
      <c r="N444" s="122" t="str">
        <f>'Olieforbrug, TJ'!M444</f>
        <v>December</v>
      </c>
    </row>
    <row r="445" spans="1:14" x14ac:dyDescent="0.25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5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7">H446*31.4/1000</f>
        <v>313.93720000000002</v>
      </c>
      <c r="M446" s="111"/>
      <c r="N446" s="111" t="str">
        <f>'Olieforbrug, TJ'!M446</f>
        <v>January</v>
      </c>
    </row>
    <row r="447" spans="1:14" x14ac:dyDescent="0.25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8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9">H447*31.4/1000</f>
        <v>382.923</v>
      </c>
      <c r="M447" s="111"/>
      <c r="N447" s="111" t="str">
        <f>'Olieforbrug, TJ'!M447</f>
        <v>February</v>
      </c>
    </row>
    <row r="448" spans="1:14" x14ac:dyDescent="0.25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8"/>
        <v>-35364</v>
      </c>
      <c r="H448" s="77">
        <v>13429</v>
      </c>
      <c r="I448" s="77">
        <v>68625</v>
      </c>
      <c r="J448" s="112"/>
      <c r="K448" s="112"/>
      <c r="L448" s="77">
        <f t="shared" ref="L448" si="110">H448*31.4/1000</f>
        <v>421.67059999999998</v>
      </c>
      <c r="M448" s="111"/>
      <c r="N448" s="111" t="str">
        <f>'Olieforbrug, TJ'!M448</f>
        <v>March</v>
      </c>
    </row>
    <row r="449" spans="1:14" x14ac:dyDescent="0.25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8"/>
        <v>8207</v>
      </c>
      <c r="H449" s="77">
        <v>8207</v>
      </c>
      <c r="I449" s="77">
        <v>60418</v>
      </c>
      <c r="J449" s="112"/>
      <c r="K449" s="112"/>
      <c r="L449" s="77">
        <f t="shared" ref="L449" si="111">H449*31.4/1000</f>
        <v>257.69979999999998</v>
      </c>
      <c r="M449" s="111"/>
      <c r="N449" s="111" t="str">
        <f>'Olieforbrug, TJ'!M449</f>
        <v>April</v>
      </c>
    </row>
    <row r="450" spans="1:14" x14ac:dyDescent="0.25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8"/>
        <v>13162</v>
      </c>
      <c r="H450" s="77">
        <v>13162</v>
      </c>
      <c r="I450" s="77">
        <v>47256</v>
      </c>
      <c r="J450" s="112"/>
      <c r="K450" s="112"/>
      <c r="L450" s="77">
        <f t="shared" ref="L450" si="112">H450*31.4/1000</f>
        <v>413.28679999999997</v>
      </c>
      <c r="M450" s="111"/>
      <c r="N450" s="111" t="str">
        <f>'Olieforbrug, TJ'!M450</f>
        <v>May</v>
      </c>
    </row>
    <row r="451" spans="1:14" x14ac:dyDescent="0.25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8"/>
        <v>-24797</v>
      </c>
      <c r="H451" s="77">
        <v>8602</v>
      </c>
      <c r="I451" s="77">
        <v>72053</v>
      </c>
      <c r="J451" s="112"/>
      <c r="K451" s="112"/>
      <c r="L451" s="77">
        <f t="shared" ref="L451" si="113">H451*31.4/1000</f>
        <v>270.1028</v>
      </c>
      <c r="M451" s="111"/>
      <c r="N451" s="111" t="str">
        <f>'Olieforbrug, TJ'!M451</f>
        <v>June</v>
      </c>
    </row>
    <row r="452" spans="1:14" x14ac:dyDescent="0.25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8"/>
        <v>8847</v>
      </c>
      <c r="H452" s="77">
        <v>8847</v>
      </c>
      <c r="I452" s="77">
        <v>63206</v>
      </c>
      <c r="J452" s="112"/>
      <c r="K452" s="112"/>
      <c r="L452" s="77">
        <f t="shared" ref="L452" si="114">H452*31.4/1000</f>
        <v>277.79579999999999</v>
      </c>
      <c r="M452" s="111"/>
      <c r="N452" s="111" t="str">
        <f>'Olieforbrug, TJ'!M452</f>
        <v>July</v>
      </c>
    </row>
    <row r="453" spans="1:14" x14ac:dyDescent="0.25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5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6">H453*31.4/1000</f>
        <v>302.13079999999997</v>
      </c>
      <c r="M453" s="111"/>
      <c r="N453" s="111" t="str">
        <f>'Olieforbrug, TJ'!M453</f>
        <v>August</v>
      </c>
    </row>
    <row r="454" spans="1:14" x14ac:dyDescent="0.25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7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8">H454*31.4/1000</f>
        <v>284.2328</v>
      </c>
      <c r="M454" s="111"/>
      <c r="N454" s="111" t="str">
        <f>'Olieforbrug, TJ'!M454</f>
        <v>September</v>
      </c>
    </row>
    <row r="455" spans="1:14" x14ac:dyDescent="0.25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9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20">H455*31.4/1000</f>
        <v>264.6078</v>
      </c>
      <c r="M455" s="111"/>
      <c r="N455" s="111" t="str">
        <f>'Olieforbrug, TJ'!M455</f>
        <v>October</v>
      </c>
    </row>
    <row r="456" spans="1:14" x14ac:dyDescent="0.25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21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22">H456*31.4/1000</f>
        <v>364.61680000000001</v>
      </c>
      <c r="M456" s="111"/>
      <c r="N456" s="111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23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4">H457*31.4/1000</f>
        <v>274.31039999999996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5">H459*31.4/1000</f>
        <v>220.08259999999999</v>
      </c>
      <c r="M459" s="111"/>
      <c r="N459" s="111" t="str">
        <f>'Olieforbrug, TJ'!M459</f>
        <v>January</v>
      </c>
    </row>
    <row r="460" spans="1:14" x14ac:dyDescent="0.25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6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7">H460*31.4/1000</f>
        <v>250.82319999999999</v>
      </c>
      <c r="M460" s="111"/>
      <c r="N460" s="111" t="str">
        <f>'Olieforbrug, TJ'!M460</f>
        <v>February</v>
      </c>
    </row>
    <row r="461" spans="1:14" x14ac:dyDescent="0.25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6"/>
        <v>6213</v>
      </c>
      <c r="H461" s="77">
        <v>9885</v>
      </c>
      <c r="I461" s="77">
        <v>52521</v>
      </c>
      <c r="J461" s="112"/>
      <c r="K461" s="112"/>
      <c r="L461" s="77">
        <f t="shared" ref="L461" si="128">H461*31.4/1000</f>
        <v>310.38900000000001</v>
      </c>
      <c r="M461" s="111"/>
      <c r="N461" s="111" t="str">
        <f>'Olieforbrug, TJ'!M461</f>
        <v>March</v>
      </c>
    </row>
    <row r="462" spans="1:14" x14ac:dyDescent="0.25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6"/>
        <v>15182</v>
      </c>
      <c r="H462" s="77">
        <v>11469</v>
      </c>
      <c r="I462" s="77">
        <v>37339</v>
      </c>
      <c r="J462" s="112"/>
      <c r="K462" s="112"/>
      <c r="L462" s="77">
        <f t="shared" ref="L462" si="129">H462*31.4/1000</f>
        <v>360.1266</v>
      </c>
      <c r="M462" s="111"/>
      <c r="N462" s="111" t="str">
        <f>'Olieforbrug, TJ'!M462</f>
        <v>April</v>
      </c>
    </row>
    <row r="463" spans="1:14" x14ac:dyDescent="0.25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6"/>
        <v>-16115</v>
      </c>
      <c r="H463" s="77">
        <v>13326</v>
      </c>
      <c r="I463" s="77">
        <v>53454</v>
      </c>
      <c r="J463" s="112"/>
      <c r="K463" s="112"/>
      <c r="L463" s="77">
        <f t="shared" ref="L463" si="130">H463*31.4/1000</f>
        <v>418.43639999999999</v>
      </c>
      <c r="M463" s="111"/>
      <c r="N463" s="111" t="str">
        <f>'Olieforbrug, TJ'!M463</f>
        <v>Maj</v>
      </c>
    </row>
    <row r="464" spans="1:14" x14ac:dyDescent="0.25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6"/>
        <v>14371</v>
      </c>
      <c r="H464" s="77">
        <v>14396</v>
      </c>
      <c r="I464" s="77">
        <v>39083</v>
      </c>
      <c r="J464" s="112"/>
      <c r="K464" s="112"/>
      <c r="L464" s="77">
        <f t="shared" ref="L464" si="131">H464*31.4/1000</f>
        <v>452.03439999999995</v>
      </c>
      <c r="M464" s="111"/>
      <c r="N464" s="111" t="str">
        <f>'Olieforbrug, TJ'!M464</f>
        <v>June</v>
      </c>
    </row>
    <row r="465" spans="1:14" x14ac:dyDescent="0.25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6"/>
        <v>-7115</v>
      </c>
      <c r="H465" s="77">
        <v>10974</v>
      </c>
      <c r="I465" s="77">
        <v>46198</v>
      </c>
      <c r="J465" s="112"/>
      <c r="K465" s="112"/>
      <c r="L465" s="77">
        <f t="shared" ref="L465" si="132">H465*31.4/1000</f>
        <v>344.58359999999999</v>
      </c>
      <c r="M465" s="111"/>
      <c r="N465" s="111" t="str">
        <f>'Olieforbrug, TJ'!M465</f>
        <v>July</v>
      </c>
    </row>
    <row r="466" spans="1:14" x14ac:dyDescent="0.25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33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4">H466*31.4/1000</f>
        <v>293.24459999999999</v>
      </c>
      <c r="M466" s="111"/>
      <c r="N466" s="111" t="str">
        <f>'Olieforbrug, TJ'!M466</f>
        <v>August</v>
      </c>
    </row>
    <row r="467" spans="1:14" x14ac:dyDescent="0.25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5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6">H467*31.4/1000</f>
        <v>329.44880000000001</v>
      </c>
      <c r="M467" s="111"/>
      <c r="N467" s="111" t="str">
        <f>'Olieforbrug, TJ'!M467</f>
        <v>September</v>
      </c>
    </row>
    <row r="468" spans="1:14" x14ac:dyDescent="0.25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7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8">H468*31.4/1000</f>
        <v>302.1936</v>
      </c>
      <c r="M468" s="111"/>
      <c r="N468" s="111" t="str">
        <f>'Olieforbrug, TJ'!M468</f>
        <v>October</v>
      </c>
    </row>
    <row r="469" spans="1:14" x14ac:dyDescent="0.25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9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40">H469*31.4/1000</f>
        <v>316.3236</v>
      </c>
      <c r="M469" s="111"/>
      <c r="N469" s="111" t="str">
        <f>'Olieforbrug, TJ'!M469</f>
        <v>November</v>
      </c>
    </row>
    <row r="470" spans="1:14" ht="13.8" thickBot="1" x14ac:dyDescent="0.3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41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42">H470*31.4/1000</f>
        <v>319.65199999999999</v>
      </c>
      <c r="M470" s="111"/>
      <c r="N470" s="122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3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43">H472*31.4/1000</f>
        <v>178.76019999999997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3">
        <f t="shared" ref="G473:G478" si="144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5">H473*31.4/1000</f>
        <v>167.4562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3">
        <f t="shared" si="144"/>
        <v>7112</v>
      </c>
      <c r="H474" s="77">
        <v>7162</v>
      </c>
      <c r="I474" s="77">
        <v>54930</v>
      </c>
      <c r="J474" s="112"/>
      <c r="K474" s="112"/>
      <c r="L474" s="77">
        <f t="shared" ref="L474" si="146">H474*31.4/1000</f>
        <v>224.88679999999999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4"/>
        <v>7440</v>
      </c>
      <c r="H475" s="77">
        <v>7440</v>
      </c>
      <c r="I475" s="77">
        <v>47490</v>
      </c>
      <c r="J475" s="112"/>
      <c r="K475" s="112"/>
      <c r="L475" s="77">
        <f t="shared" ref="L475" si="147">H475*31.4/1000</f>
        <v>233.61600000000001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4"/>
        <v>10812</v>
      </c>
      <c r="H476" s="77">
        <v>10812</v>
      </c>
      <c r="I476" s="77">
        <v>36678</v>
      </c>
      <c r="J476" s="112"/>
      <c r="K476" s="112"/>
      <c r="L476" s="77">
        <f t="shared" ref="L476" si="148">H476*31.4/1000</f>
        <v>339.49680000000001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4"/>
        <v>-10709</v>
      </c>
      <c r="H477" s="77">
        <v>12880</v>
      </c>
      <c r="I477" s="77">
        <v>47387</v>
      </c>
      <c r="J477" s="112"/>
      <c r="K477" s="112"/>
      <c r="L477" s="77">
        <f t="shared" ref="L477" si="149">H477*31.4/1000</f>
        <v>404.43200000000002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4"/>
        <v>12951</v>
      </c>
      <c r="H478" s="77">
        <v>14948</v>
      </c>
      <c r="I478" s="77">
        <v>34436</v>
      </c>
      <c r="J478" s="112"/>
      <c r="K478" s="112"/>
      <c r="L478" s="77">
        <f t="shared" ref="L478" si="150">H478*31.4/1000</f>
        <v>469.36719999999997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77">
        <v>0</v>
      </c>
      <c r="D479" s="77">
        <v>21222</v>
      </c>
      <c r="E479" s="77">
        <v>0</v>
      </c>
      <c r="F479" s="77">
        <v>0</v>
      </c>
      <c r="G479" s="69">
        <f t="shared" ref="G479" si="151">I478-I479</f>
        <v>-8186</v>
      </c>
      <c r="H479" s="77">
        <v>13036</v>
      </c>
      <c r="I479" s="77">
        <v>42622</v>
      </c>
      <c r="J479" s="112"/>
      <c r="K479" s="112"/>
      <c r="L479" s="77">
        <f t="shared" ref="L479" si="152">H479*31.4/1000</f>
        <v>409.33039999999994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77">
        <v>0</v>
      </c>
      <c r="D480" s="77">
        <v>23</v>
      </c>
      <c r="E480" s="77">
        <v>0</v>
      </c>
      <c r="F480" s="77">
        <v>0</v>
      </c>
      <c r="G480" s="69">
        <f t="shared" ref="G480" si="153">I479-I480</f>
        <v>7384</v>
      </c>
      <c r="H480" s="77">
        <v>7407</v>
      </c>
      <c r="I480" s="77">
        <v>35238</v>
      </c>
      <c r="J480" s="112"/>
      <c r="K480" s="112"/>
      <c r="L480" s="77">
        <f t="shared" ref="L480" si="154">H480*31.4/1000</f>
        <v>232.57979999999998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77">
        <v>0</v>
      </c>
      <c r="D481" s="77">
        <v>22</v>
      </c>
      <c r="E481" s="77">
        <v>0</v>
      </c>
      <c r="F481" s="77">
        <v>0</v>
      </c>
      <c r="G481" s="69">
        <f t="shared" ref="G481" si="155">I480-I481</f>
        <v>8194</v>
      </c>
      <c r="H481" s="77">
        <v>8216</v>
      </c>
      <c r="I481" s="77">
        <v>27044</v>
      </c>
      <c r="J481" s="112"/>
      <c r="K481" s="112"/>
      <c r="L481" s="77">
        <f t="shared" ref="L481" si="156">H481*31.4/1000</f>
        <v>257.98239999999998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77">
        <v>0</v>
      </c>
      <c r="D482" s="77">
        <v>22</v>
      </c>
      <c r="E482" s="77">
        <v>0</v>
      </c>
      <c r="F482" s="77">
        <v>0</v>
      </c>
      <c r="G482" s="69">
        <f t="shared" ref="G482" si="157">I481-I482</f>
        <v>9485</v>
      </c>
      <c r="H482" s="77">
        <v>9507</v>
      </c>
      <c r="I482" s="77">
        <v>17559</v>
      </c>
      <c r="J482" s="112"/>
      <c r="K482" s="112"/>
      <c r="L482" s="77">
        <f t="shared" ref="L482" si="158">H482*31.4/1000</f>
        <v>298.51979999999998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77">
        <v>0</v>
      </c>
      <c r="D483" s="77">
        <v>0</v>
      </c>
      <c r="E483" s="77">
        <v>0</v>
      </c>
      <c r="F483" s="77">
        <v>0</v>
      </c>
      <c r="G483" s="69">
        <f t="shared" ref="G483" si="159">I482-I483</f>
        <v>10962</v>
      </c>
      <c r="H483" s="77">
        <v>10962</v>
      </c>
      <c r="I483" s="77">
        <v>6597</v>
      </c>
      <c r="J483" s="112"/>
      <c r="K483" s="112"/>
      <c r="L483" s="77">
        <f t="shared" ref="L483" si="160">H483*31.4/1000</f>
        <v>344.20679999999999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83"/>
  <sheetViews>
    <sheetView zoomScale="80" zoomScaleNormal="80" workbookViewId="0">
      <pane xSplit="2" ySplit="5" topLeftCell="C44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156" sqref="C156:L15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5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5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5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5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5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5">
      <c r="A23" s="22">
        <v>2021</v>
      </c>
      <c r="J23" s="3"/>
      <c r="L23" s="3"/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0</v>
      </c>
      <c r="D27" s="3">
        <f t="shared" ref="D27:L27" si="10">SUM(D472:D483)</f>
        <v>0</v>
      </c>
      <c r="E27" s="3">
        <f t="shared" si="10"/>
        <v>0</v>
      </c>
      <c r="F27" s="3">
        <f t="shared" si="10"/>
        <v>0</v>
      </c>
      <c r="G27" s="3">
        <f t="shared" si="10"/>
        <v>0</v>
      </c>
      <c r="H27" s="3">
        <f t="shared" si="10"/>
        <v>0</v>
      </c>
      <c r="I27" s="3">
        <f>I483</f>
        <v>0</v>
      </c>
      <c r="J27" s="3"/>
      <c r="K27" s="3"/>
      <c r="L27" s="3">
        <f t="shared" si="10"/>
        <v>0</v>
      </c>
      <c r="M27" s="57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1">SUM(C212:C223)</f>
        <v>3970</v>
      </c>
      <c r="D30" s="3">
        <f t="shared" si="11"/>
        <v>0</v>
      </c>
      <c r="E30" s="3">
        <f t="shared" si="11"/>
        <v>2846</v>
      </c>
      <c r="F30" s="3">
        <f t="shared" si="11"/>
        <v>0</v>
      </c>
      <c r="G30" s="3">
        <f t="shared" si="11"/>
        <v>-228</v>
      </c>
      <c r="H30" s="3">
        <f t="shared" si="11"/>
        <v>0</v>
      </c>
      <c r="I30" s="3">
        <f>I223</f>
        <v>3304</v>
      </c>
      <c r="J30" s="3"/>
      <c r="K30" s="3"/>
      <c r="L30" s="3">
        <f>SUM(L212:L223)</f>
        <v>0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2">SUM(C225:C236)</f>
        <v>12891</v>
      </c>
      <c r="D31" s="3">
        <f t="shared" si="12"/>
        <v>0</v>
      </c>
      <c r="E31" s="3">
        <f t="shared" si="12"/>
        <v>6701</v>
      </c>
      <c r="F31" s="3">
        <f t="shared" si="12"/>
        <v>0</v>
      </c>
      <c r="G31" s="3">
        <f t="shared" si="12"/>
        <v>-1093</v>
      </c>
      <c r="H31" s="3">
        <f t="shared" si="12"/>
        <v>4933</v>
      </c>
      <c r="I31" s="3">
        <f>I236</f>
        <v>4397</v>
      </c>
      <c r="J31" s="3"/>
      <c r="K31" s="3"/>
      <c r="L31" s="3">
        <f>SUM(L225:L236)</f>
        <v>219.51849999999999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3">SUM(C238:C249)</f>
        <v>40235</v>
      </c>
      <c r="D32" s="3">
        <f t="shared" si="13"/>
        <v>0</v>
      </c>
      <c r="E32" s="3">
        <f t="shared" si="13"/>
        <v>42498</v>
      </c>
      <c r="F32" s="3">
        <f t="shared" si="13"/>
        <v>0</v>
      </c>
      <c r="G32" s="3">
        <f t="shared" si="13"/>
        <v>2203</v>
      </c>
      <c r="H32" s="3">
        <f t="shared" si="13"/>
        <v>0</v>
      </c>
      <c r="I32" s="3">
        <f>I249</f>
        <v>2194</v>
      </c>
      <c r="J32" s="3"/>
      <c r="K32" s="3"/>
      <c r="L32" s="3">
        <f>SUM(L238:L249)</f>
        <v>0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4">SUM(C251:C262)</f>
        <v>27311</v>
      </c>
      <c r="D33" s="3">
        <f t="shared" si="14"/>
        <v>0</v>
      </c>
      <c r="E33" s="3">
        <f t="shared" si="14"/>
        <v>5058</v>
      </c>
      <c r="F33" s="3">
        <f t="shared" si="14"/>
        <v>0</v>
      </c>
      <c r="G33" s="3">
        <f t="shared" si="14"/>
        <v>-1380</v>
      </c>
      <c r="H33" s="3">
        <f t="shared" si="14"/>
        <v>0</v>
      </c>
      <c r="I33" s="3">
        <f>I262</f>
        <v>3574</v>
      </c>
      <c r="J33" s="3"/>
      <c r="K33" s="3"/>
      <c r="L33" s="3">
        <f>SUM(L251:L262)</f>
        <v>0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5">SUM(C264:C275)</f>
        <v>11826</v>
      </c>
      <c r="D34" s="3">
        <f t="shared" si="15"/>
        <v>0</v>
      </c>
      <c r="E34" s="3">
        <f t="shared" si="15"/>
        <v>10729</v>
      </c>
      <c r="F34" s="3">
        <f t="shared" si="15"/>
        <v>0</v>
      </c>
      <c r="G34" s="3">
        <f t="shared" si="15"/>
        <v>-1097</v>
      </c>
      <c r="H34" s="3">
        <f t="shared" si="15"/>
        <v>0</v>
      </c>
      <c r="I34" s="3">
        <f>I275</f>
        <v>4671</v>
      </c>
      <c r="J34" s="3"/>
      <c r="K34" s="3"/>
      <c r="L34" s="3">
        <f>SUM(L264:L275)</f>
        <v>0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6">SUM(C277:C288)</f>
        <v>40508</v>
      </c>
      <c r="D35" s="3">
        <f t="shared" si="16"/>
        <v>0</v>
      </c>
      <c r="E35" s="3">
        <f t="shared" si="16"/>
        <v>38666</v>
      </c>
      <c r="F35" s="3">
        <f t="shared" si="16"/>
        <v>0</v>
      </c>
      <c r="G35" s="3">
        <f t="shared" si="16"/>
        <v>-1840</v>
      </c>
      <c r="H35" s="3">
        <f t="shared" si="16"/>
        <v>0</v>
      </c>
      <c r="I35" s="3">
        <f>I288</f>
        <v>6511</v>
      </c>
      <c r="J35" s="3"/>
      <c r="K35" s="3"/>
      <c r="L35" s="3">
        <f>SUM(L277:L288)</f>
        <v>0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7">SUM(C290:C301)</f>
        <v>0</v>
      </c>
      <c r="D36" s="3">
        <f t="shared" si="17"/>
        <v>0</v>
      </c>
      <c r="E36" s="3">
        <f t="shared" si="17"/>
        <v>0</v>
      </c>
      <c r="F36" s="3">
        <f t="shared" si="17"/>
        <v>0</v>
      </c>
      <c r="G36" s="3">
        <f t="shared" si="17"/>
        <v>6511</v>
      </c>
      <c r="H36" s="3">
        <f t="shared" si="17"/>
        <v>0</v>
      </c>
      <c r="I36" s="3">
        <f>I301</f>
        <v>0</v>
      </c>
      <c r="J36" s="3"/>
      <c r="K36" s="3"/>
      <c r="L36" s="3">
        <f>SUM(L290:L301)</f>
        <v>0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8">SUM(C303:C314)</f>
        <v>0</v>
      </c>
      <c r="D37" s="3">
        <f t="shared" si="18"/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0</v>
      </c>
      <c r="I37" s="3">
        <f>I314</f>
        <v>0</v>
      </c>
      <c r="J37" s="3"/>
      <c r="K37" s="3"/>
      <c r="L37" s="3">
        <f>SUM(L303:L314)</f>
        <v>0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19">SUM(C316:C327)</f>
        <v>0</v>
      </c>
      <c r="D38" s="3">
        <f t="shared" si="19"/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0</v>
      </c>
      <c r="I38" s="3">
        <f>I327</f>
        <v>0</v>
      </c>
      <c r="J38" s="3"/>
      <c r="K38" s="3"/>
      <c r="L38" s="3">
        <f>SUM(L316:L327)</f>
        <v>0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0">SUM(C329:C340)</f>
        <v>0</v>
      </c>
      <c r="D39" s="3">
        <f t="shared" si="20"/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0</v>
      </c>
      <c r="I39" s="3">
        <f>I340</f>
        <v>0</v>
      </c>
      <c r="J39" s="3"/>
      <c r="K39" s="3"/>
      <c r="L39" s="3">
        <f>SUM(L329:L340)</f>
        <v>0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1">SUM(C342:C353)</f>
        <v>0</v>
      </c>
      <c r="D40" s="3">
        <f t="shared" si="21"/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0</v>
      </c>
      <c r="I40" s="3">
        <f>I353</f>
        <v>0</v>
      </c>
      <c r="J40" s="3"/>
      <c r="K40" s="3"/>
      <c r="L40" s="3">
        <f>SUM(L342:L353)</f>
        <v>0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2">SUM(C355:C366)</f>
        <v>0</v>
      </c>
      <c r="D41" s="3">
        <f t="shared" si="22"/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0</v>
      </c>
      <c r="I41" s="3">
        <f>I366</f>
        <v>0</v>
      </c>
      <c r="J41" s="3"/>
      <c r="K41" s="3"/>
      <c r="L41" s="3">
        <f>SUM(L355:L366)</f>
        <v>0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3">SUM(C368:C379)</f>
        <v>0</v>
      </c>
      <c r="D42" s="3">
        <f t="shared" si="23"/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0</v>
      </c>
      <c r="I42" s="3">
        <f>I379</f>
        <v>0</v>
      </c>
      <c r="J42" s="3"/>
      <c r="K42" s="3"/>
      <c r="L42" s="3">
        <f>SUM(L368:L379)</f>
        <v>0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4">SUM(C381:C392)</f>
        <v>0</v>
      </c>
      <c r="D43" s="3">
        <f t="shared" si="24"/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0</v>
      </c>
      <c r="I43" s="3">
        <f>I392</f>
        <v>0</v>
      </c>
      <c r="J43" s="3"/>
      <c r="K43" s="3"/>
      <c r="L43" s="3">
        <f>SUM(L381:L392)</f>
        <v>0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5">SUM(C394:C405)</f>
        <v>0</v>
      </c>
      <c r="D44" s="3">
        <f t="shared" si="25"/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0</v>
      </c>
      <c r="I44" s="3">
        <f>I405</f>
        <v>0</v>
      </c>
      <c r="J44" s="3"/>
      <c r="K44" s="3"/>
      <c r="L44" s="3">
        <f>SUM(L394:L405)</f>
        <v>0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6">SUM(C407:C418)</f>
        <v>0</v>
      </c>
      <c r="D45" s="3">
        <f t="shared" si="26"/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0</v>
      </c>
      <c r="I45" s="3">
        <f>I418</f>
        <v>0</v>
      </c>
      <c r="J45" s="3"/>
      <c r="K45" s="3"/>
      <c r="L45" s="3">
        <f>SUM(L407:L418)</f>
        <v>0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7">SUM(C420:C431)</f>
        <v>0</v>
      </c>
      <c r="D46" s="3">
        <f t="shared" si="27"/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0</v>
      </c>
      <c r="I46" s="3">
        <f>I431</f>
        <v>0</v>
      </c>
      <c r="J46" s="3"/>
      <c r="K46" s="3"/>
      <c r="L46" s="3">
        <f>SUM(L420:L431)</f>
        <v>0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8">SUM(C433:C444)</f>
        <v>0</v>
      </c>
      <c r="D47" s="3">
        <f t="shared" si="28"/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0</v>
      </c>
      <c r="I47" s="3">
        <f>I444</f>
        <v>0</v>
      </c>
      <c r="J47" s="3"/>
      <c r="K47" s="3"/>
      <c r="L47" s="3">
        <f>SUM(L433:L444)</f>
        <v>0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29">SUM(C446:C457)</f>
        <v>0</v>
      </c>
      <c r="D48" s="3">
        <f t="shared" si="29"/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0</v>
      </c>
      <c r="I48" s="3">
        <f>I457</f>
        <v>0</v>
      </c>
      <c r="J48" s="3"/>
      <c r="K48" s="3"/>
      <c r="L48" s="3">
        <f>SUM(L446:L457)</f>
        <v>0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0">SUM(C459:C470)</f>
        <v>0</v>
      </c>
      <c r="D49" s="3">
        <f t="shared" si="30"/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0</v>
      </c>
      <c r="I49" s="3">
        <f>I470</f>
        <v>0</v>
      </c>
      <c r="J49" s="3"/>
      <c r="K49" s="3"/>
      <c r="L49" s="3">
        <f>SUM(L459:L470)</f>
        <v>0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1">SUM(C472:C483)</f>
        <v>0</v>
      </c>
      <c r="D50" s="3">
        <f t="shared" si="31"/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I483</f>
        <v>0</v>
      </c>
      <c r="J50" s="3"/>
      <c r="K50" s="3"/>
      <c r="L50" s="3">
        <f>SUM(L472:L483)</f>
        <v>0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5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5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5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5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5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5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5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5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5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5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5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5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5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5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5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5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5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5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5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0</v>
      </c>
      <c r="I108" s="3">
        <f>I357</f>
        <v>0</v>
      </c>
      <c r="J108" s="3"/>
      <c r="K108" s="3"/>
      <c r="L108" s="3">
        <f t="shared" si="40"/>
        <v>0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 t="shared" ref="C110:H110" si="42">SUM(C361:C363)</f>
        <v>0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0</v>
      </c>
      <c r="I111" s="3">
        <f t="shared" si="43"/>
        <v>0</v>
      </c>
      <c r="J111" s="3"/>
      <c r="K111" s="3"/>
      <c r="L111" s="3">
        <f t="shared" si="43"/>
        <v>0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0</v>
      </c>
      <c r="I115" s="3">
        <f>I376</f>
        <v>0</v>
      </c>
      <c r="J115" s="3"/>
      <c r="K115" s="3"/>
      <c r="L115" s="3">
        <f t="shared" si="46"/>
        <v>0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0</v>
      </c>
      <c r="I119" s="3">
        <f>I386</f>
        <v>0</v>
      </c>
      <c r="J119" s="3"/>
      <c r="K119" s="3"/>
      <c r="L119" s="3">
        <f t="shared" si="49"/>
        <v>0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0</v>
      </c>
      <c r="I139" s="3">
        <f>SUM(I438)</f>
        <v>0</v>
      </c>
      <c r="J139" s="3"/>
      <c r="K139" s="3"/>
      <c r="L139" s="3">
        <f t="shared" si="65"/>
        <v>0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0</v>
      </c>
      <c r="I140" s="3">
        <f>SUM(I441)</f>
        <v>0</v>
      </c>
      <c r="J140" s="3"/>
      <c r="K140" s="3"/>
      <c r="L140" s="3">
        <f t="shared" si="66"/>
        <v>0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>
        <f t="shared" si="68"/>
        <v>0</v>
      </c>
      <c r="K143" s="3">
        <f t="shared" si="68"/>
        <v>0</v>
      </c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0</v>
      </c>
      <c r="I145" s="3">
        <f>SUM(I454)</f>
        <v>0</v>
      </c>
      <c r="J145" s="3"/>
      <c r="K145" s="3"/>
      <c r="L145" s="3">
        <f t="shared" si="70"/>
        <v>0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0</v>
      </c>
      <c r="I146" s="3">
        <f>SUM(I457)</f>
        <v>0</v>
      </c>
      <c r="J146" s="3"/>
      <c r="K146" s="3"/>
      <c r="L146" s="3">
        <f t="shared" si="71"/>
        <v>0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0</v>
      </c>
      <c r="I149" s="3">
        <f>SUM(I464)</f>
        <v>0</v>
      </c>
      <c r="J149" s="3"/>
      <c r="K149" s="3"/>
      <c r="L149" s="3">
        <f t="shared" si="73"/>
        <v>0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0</v>
      </c>
      <c r="I150" s="3">
        <f>I467</f>
        <v>0</v>
      </c>
      <c r="J150" s="3"/>
      <c r="K150" s="3"/>
      <c r="L150" s="3">
        <f t="shared" si="74"/>
        <v>0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I480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79">SUM(D481:D483)</f>
        <v>0</v>
      </c>
      <c r="E156" s="3">
        <f t="shared" si="79"/>
        <v>0</v>
      </c>
      <c r="F156" s="3">
        <f t="shared" si="79"/>
        <v>0</v>
      </c>
      <c r="G156" s="3">
        <f t="shared" si="79"/>
        <v>0</v>
      </c>
      <c r="H156" s="3">
        <f t="shared" si="79"/>
        <v>0</v>
      </c>
      <c r="I156" s="3">
        <f>I483</f>
        <v>0</v>
      </c>
      <c r="J156"/>
      <c r="K156"/>
      <c r="L156" s="3">
        <f t="shared" ref="L156" si="80">SUM(L481:L483)</f>
        <v>0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5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5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5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5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5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5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5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5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5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5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5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8" thickBot="1" x14ac:dyDescent="0.3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5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5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5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5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5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5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5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5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5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8" thickBot="1" x14ac:dyDescent="0.3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5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5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5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5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5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5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5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5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5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5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8" thickBot="1" x14ac:dyDescent="0.3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5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5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5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5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5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5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5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5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5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8" thickBot="1" x14ac:dyDescent="0.3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5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5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5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5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8" thickBot="1" x14ac:dyDescent="0.3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81">H342*44.5/1000</f>
        <v>0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82">I342-I343</f>
        <v>0</v>
      </c>
      <c r="H343" s="16">
        <v>0</v>
      </c>
      <c r="I343" s="16">
        <v>0</v>
      </c>
      <c r="J343" s="15"/>
      <c r="K343" s="15"/>
      <c r="L343" s="16">
        <f t="shared" si="81"/>
        <v>0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82"/>
        <v>0</v>
      </c>
      <c r="H344" s="16">
        <v>0</v>
      </c>
      <c r="I344" s="16">
        <v>0</v>
      </c>
      <c r="J344" s="15"/>
      <c r="K344" s="15"/>
      <c r="L344" s="16">
        <f t="shared" si="81"/>
        <v>0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82"/>
        <v>0</v>
      </c>
      <c r="H345" s="16">
        <v>0</v>
      </c>
      <c r="I345" s="16">
        <v>0</v>
      </c>
      <c r="L345" s="16">
        <f t="shared" si="81"/>
        <v>0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82"/>
        <v>0</v>
      </c>
      <c r="H346" s="16">
        <v>0</v>
      </c>
      <c r="I346" s="16">
        <v>0</v>
      </c>
      <c r="L346" s="16">
        <f t="shared" si="81"/>
        <v>0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82"/>
        <v>0</v>
      </c>
      <c r="H347" s="16">
        <v>0</v>
      </c>
      <c r="I347" s="16">
        <v>0</v>
      </c>
      <c r="L347" s="16">
        <f t="shared" si="81"/>
        <v>0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82"/>
        <v>0</v>
      </c>
      <c r="H348" s="16">
        <v>0</v>
      </c>
      <c r="I348" s="16">
        <v>0</v>
      </c>
      <c r="L348" s="16">
        <f t="shared" si="81"/>
        <v>0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82"/>
        <v>0</v>
      </c>
      <c r="H349" s="16">
        <v>0</v>
      </c>
      <c r="I349" s="16">
        <v>0</v>
      </c>
      <c r="L349" s="16">
        <f t="shared" si="81"/>
        <v>0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82"/>
        <v>0</v>
      </c>
      <c r="H350" s="16">
        <v>0</v>
      </c>
      <c r="I350" s="16">
        <v>0</v>
      </c>
      <c r="L350" s="16">
        <f t="shared" si="81"/>
        <v>0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82"/>
        <v>0</v>
      </c>
      <c r="H351" s="16">
        <v>0</v>
      </c>
      <c r="I351" s="16">
        <v>0</v>
      </c>
      <c r="L351" s="16">
        <f t="shared" si="81"/>
        <v>0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82"/>
        <v>0</v>
      </c>
      <c r="H352" s="16">
        <v>0</v>
      </c>
      <c r="I352" s="16">
        <v>0</v>
      </c>
      <c r="L352" s="16">
        <f t="shared" si="81"/>
        <v>0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82"/>
        <v>0</v>
      </c>
      <c r="H353" s="42">
        <v>0</v>
      </c>
      <c r="I353" s="42">
        <v>0</v>
      </c>
      <c r="J353" s="2"/>
      <c r="K353" s="2"/>
      <c r="L353" s="42">
        <f t="shared" si="81"/>
        <v>0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83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83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83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83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83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83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4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5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6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7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8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9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9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9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9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9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9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90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91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92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93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4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5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5"/>
        <v>0</v>
      </c>
      <c r="H474" s="16">
        <v>0</v>
      </c>
      <c r="I474" s="16">
        <v>0</v>
      </c>
      <c r="J474" s="16"/>
      <c r="K474" s="16"/>
      <c r="L474" s="16">
        <v>0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5"/>
        <v>0</v>
      </c>
      <c r="H475" s="16">
        <v>0</v>
      </c>
      <c r="I475" s="16">
        <v>0</v>
      </c>
      <c r="J475" s="16"/>
      <c r="K475" s="16"/>
      <c r="L475" s="16">
        <v>0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5"/>
        <v>0</v>
      </c>
      <c r="H476" s="16">
        <v>0</v>
      </c>
      <c r="I476" s="16">
        <v>0</v>
      </c>
      <c r="J476" s="16"/>
      <c r="K476" s="16"/>
      <c r="L476" s="16">
        <v>0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5"/>
        <v>0</v>
      </c>
      <c r="H477" s="16">
        <v>0</v>
      </c>
      <c r="I477" s="16">
        <v>0</v>
      </c>
      <c r="J477" s="16"/>
      <c r="K477" s="16"/>
      <c r="L477" s="16">
        <v>0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5"/>
        <v>0</v>
      </c>
      <c r="H478" s="16">
        <v>0</v>
      </c>
      <c r="I478" s="16">
        <v>0</v>
      </c>
      <c r="J478" s="16"/>
      <c r="K478" s="16"/>
      <c r="L478" s="16">
        <v>0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96">I478-I479</f>
        <v>0</v>
      </c>
      <c r="H479" s="16">
        <v>0</v>
      </c>
      <c r="I479" s="16">
        <v>0</v>
      </c>
      <c r="J479" s="16"/>
      <c r="K479" s="16"/>
      <c r="L479" s="16">
        <v>0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97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98">I480-I481</f>
        <v>0</v>
      </c>
      <c r="H481" s="16">
        <v>0</v>
      </c>
      <c r="I481" s="16">
        <v>0</v>
      </c>
      <c r="J481" s="16"/>
      <c r="K481" s="16"/>
      <c r="L481" s="16">
        <v>0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99">I481-I482</f>
        <v>0</v>
      </c>
      <c r="H482" s="16">
        <v>0</v>
      </c>
      <c r="I482" s="16">
        <v>0</v>
      </c>
      <c r="J482" s="16"/>
      <c r="K482" s="16"/>
      <c r="L482" s="16">
        <v>0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ref="G483" si="100">I482-I483</f>
        <v>0</v>
      </c>
      <c r="H483" s="16">
        <v>0</v>
      </c>
      <c r="I483" s="16">
        <v>0</v>
      </c>
      <c r="J483" s="16"/>
      <c r="K483" s="16"/>
      <c r="L483" s="16">
        <v>0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83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Q482" sqref="Q482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5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5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5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5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5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5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5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5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79966</v>
      </c>
      <c r="D27" s="3">
        <f t="shared" ref="D27:L27" si="11">SUM(D472:D483)</f>
        <v>32575</v>
      </c>
      <c r="E27" s="3">
        <f t="shared" si="11"/>
        <v>52934</v>
      </c>
      <c r="F27" s="3">
        <f t="shared" si="11"/>
        <v>0</v>
      </c>
      <c r="G27" s="3">
        <f t="shared" si="11"/>
        <v>-58</v>
      </c>
      <c r="H27" s="3">
        <f t="shared" si="11"/>
        <v>61037</v>
      </c>
      <c r="I27" s="3">
        <f>I483</f>
        <v>6851</v>
      </c>
      <c r="J27" s="3"/>
      <c r="K27" s="3"/>
      <c r="L27" s="3">
        <f t="shared" si="11"/>
        <v>2807.7019999999998</v>
      </c>
      <c r="M27" s="57"/>
      <c r="N27" s="22">
        <v>2025</v>
      </c>
    </row>
    <row r="28" spans="1:16" ht="12.75" customHeight="1" x14ac:dyDescent="0.25">
      <c r="A28" s="23"/>
      <c r="J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145396</v>
      </c>
      <c r="D30" s="3">
        <f t="shared" si="12"/>
        <v>5880</v>
      </c>
      <c r="E30" s="3">
        <f t="shared" si="12"/>
        <v>86569</v>
      </c>
      <c r="F30" s="3">
        <f t="shared" si="12"/>
        <v>0</v>
      </c>
      <c r="G30" s="3">
        <f t="shared" si="12"/>
        <v>-1855</v>
      </c>
      <c r="H30" s="3">
        <f t="shared" si="12"/>
        <v>70610</v>
      </c>
      <c r="I30" s="3">
        <f>I223</f>
        <v>6439</v>
      </c>
      <c r="J30" s="3"/>
      <c r="K30" s="3"/>
      <c r="L30" s="3">
        <f>SUM(L212:L223)</f>
        <v>3259.8820000000005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166310</v>
      </c>
      <c r="D31" s="3">
        <f t="shared" si="13"/>
        <v>4202</v>
      </c>
      <c r="E31" s="3">
        <f t="shared" si="13"/>
        <v>101608</v>
      </c>
      <c r="F31" s="3">
        <f t="shared" si="13"/>
        <v>0</v>
      </c>
      <c r="G31" s="3">
        <f t="shared" si="13"/>
        <v>-612</v>
      </c>
      <c r="H31" s="3">
        <f t="shared" si="13"/>
        <v>71655</v>
      </c>
      <c r="I31" s="3">
        <f>I236</f>
        <v>7051</v>
      </c>
      <c r="J31" s="3"/>
      <c r="K31" s="3"/>
      <c r="L31" s="3">
        <f>SUM(L225:L236)</f>
        <v>3296.13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159209</v>
      </c>
      <c r="D32" s="3">
        <f t="shared" si="14"/>
        <v>6060</v>
      </c>
      <c r="E32" s="3">
        <f t="shared" si="14"/>
        <v>102965</v>
      </c>
      <c r="F32" s="3">
        <f t="shared" si="14"/>
        <v>0</v>
      </c>
      <c r="G32" s="3">
        <f t="shared" si="14"/>
        <v>-641</v>
      </c>
      <c r="H32" s="3">
        <f t="shared" si="14"/>
        <v>64347</v>
      </c>
      <c r="I32" s="3">
        <f>I249</f>
        <v>7692</v>
      </c>
      <c r="J32" s="3"/>
      <c r="K32" s="3"/>
      <c r="L32" s="3">
        <f>SUM(L238:L249)</f>
        <v>2959.962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114205</v>
      </c>
      <c r="D33" s="3">
        <f t="shared" si="15"/>
        <v>14238</v>
      </c>
      <c r="E33" s="3">
        <f t="shared" si="15"/>
        <v>68921</v>
      </c>
      <c r="F33" s="3">
        <f t="shared" si="15"/>
        <v>0</v>
      </c>
      <c r="G33" s="3">
        <f t="shared" si="15"/>
        <v>-181</v>
      </c>
      <c r="H33" s="3">
        <f t="shared" si="15"/>
        <v>59053</v>
      </c>
      <c r="I33" s="3">
        <f>I262</f>
        <v>7873</v>
      </c>
      <c r="J33" s="3"/>
      <c r="K33" s="3"/>
      <c r="L33" s="3">
        <f>SUM(L251:L262)</f>
        <v>2716.4380000000001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140015</v>
      </c>
      <c r="D34" s="3">
        <f t="shared" si="16"/>
        <v>4542</v>
      </c>
      <c r="E34" s="3">
        <f t="shared" si="16"/>
        <v>97134</v>
      </c>
      <c r="F34" s="3">
        <f t="shared" si="16"/>
        <v>0</v>
      </c>
      <c r="G34" s="3">
        <f t="shared" si="16"/>
        <v>2876</v>
      </c>
      <c r="H34" s="3">
        <f t="shared" si="16"/>
        <v>50895</v>
      </c>
      <c r="I34" s="3">
        <f>I275</f>
        <v>4997</v>
      </c>
      <c r="J34" s="3"/>
      <c r="K34" s="3"/>
      <c r="L34" s="3">
        <f>SUM(L264:L275)</f>
        <v>2341.1699999999996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151679</v>
      </c>
      <c r="D35" s="3">
        <f t="shared" si="17"/>
        <v>7267</v>
      </c>
      <c r="E35" s="3">
        <f t="shared" si="17"/>
        <v>109303</v>
      </c>
      <c r="F35" s="3">
        <f t="shared" si="17"/>
        <v>0</v>
      </c>
      <c r="G35" s="3">
        <f t="shared" si="17"/>
        <v>742</v>
      </c>
      <c r="H35" s="3">
        <f t="shared" si="17"/>
        <v>52365</v>
      </c>
      <c r="I35" s="3">
        <f>I288</f>
        <v>4255</v>
      </c>
      <c r="J35" s="3"/>
      <c r="K35" s="3"/>
      <c r="L35" s="3">
        <f>SUM(L277:L288)</f>
        <v>2408.79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131802</v>
      </c>
      <c r="D36" s="3">
        <f t="shared" si="18"/>
        <v>7760</v>
      </c>
      <c r="E36" s="3">
        <f t="shared" si="18"/>
        <v>93041</v>
      </c>
      <c r="F36" s="3">
        <f t="shared" si="18"/>
        <v>0</v>
      </c>
      <c r="G36" s="3">
        <f t="shared" si="18"/>
        <v>283</v>
      </c>
      <c r="H36" s="3">
        <f t="shared" si="18"/>
        <v>50272</v>
      </c>
      <c r="I36" s="3">
        <f>I301</f>
        <v>3972</v>
      </c>
      <c r="J36" s="3"/>
      <c r="K36" s="3"/>
      <c r="L36" s="3">
        <f>SUM(L290:L301)</f>
        <v>2312.5120000000002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161861</v>
      </c>
      <c r="D37" s="3">
        <f t="shared" si="19"/>
        <v>4135</v>
      </c>
      <c r="E37" s="3">
        <f t="shared" si="19"/>
        <v>119082</v>
      </c>
      <c r="F37" s="3">
        <f t="shared" si="19"/>
        <v>0</v>
      </c>
      <c r="G37" s="3">
        <f t="shared" si="19"/>
        <v>-678</v>
      </c>
      <c r="H37" s="3">
        <f t="shared" si="19"/>
        <v>53695</v>
      </c>
      <c r="I37" s="3">
        <f>I314</f>
        <v>4650</v>
      </c>
      <c r="J37" s="3"/>
      <c r="K37" s="3"/>
      <c r="L37" s="3">
        <f>SUM(L303:L314)</f>
        <v>2469.9700000000003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20">SUM(C316:C327)</f>
        <v>103476</v>
      </c>
      <c r="D38" s="3">
        <f t="shared" si="20"/>
        <v>18209</v>
      </c>
      <c r="E38" s="3">
        <f t="shared" si="20"/>
        <v>73891</v>
      </c>
      <c r="F38" s="3">
        <f t="shared" si="20"/>
        <v>0</v>
      </c>
      <c r="G38" s="3">
        <f t="shared" si="20"/>
        <v>-3275</v>
      </c>
      <c r="H38" s="3">
        <f t="shared" si="20"/>
        <v>45027</v>
      </c>
      <c r="I38" s="3">
        <f>I327</f>
        <v>7925</v>
      </c>
      <c r="J38" s="3"/>
      <c r="K38" s="3"/>
      <c r="L38" s="3">
        <f>SUM(L316:L327)</f>
        <v>2071.2420000000002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118364</v>
      </c>
      <c r="D39" s="3">
        <f t="shared" si="21"/>
        <v>17940</v>
      </c>
      <c r="E39" s="3">
        <f t="shared" si="21"/>
        <v>97704</v>
      </c>
      <c r="F39" s="3">
        <f t="shared" si="21"/>
        <v>0</v>
      </c>
      <c r="G39" s="3">
        <f t="shared" si="21"/>
        <v>3693</v>
      </c>
      <c r="H39" s="3">
        <f t="shared" si="21"/>
        <v>45883</v>
      </c>
      <c r="I39" s="3">
        <f>I340</f>
        <v>4232</v>
      </c>
      <c r="J39" s="3"/>
      <c r="K39" s="3"/>
      <c r="L39" s="3">
        <f>SUM(L329:L340)</f>
        <v>2110.6179999999999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116121</v>
      </c>
      <c r="D40" s="3">
        <f t="shared" si="22"/>
        <v>25248</v>
      </c>
      <c r="E40" s="3">
        <f t="shared" si="22"/>
        <v>95226</v>
      </c>
      <c r="F40" s="3">
        <f t="shared" si="22"/>
        <v>0</v>
      </c>
      <c r="G40" s="3">
        <f t="shared" si="22"/>
        <v>-1299</v>
      </c>
      <c r="H40" s="3">
        <f t="shared" si="22"/>
        <v>49183</v>
      </c>
      <c r="I40" s="3">
        <f>I353</f>
        <v>5531</v>
      </c>
      <c r="J40" s="3"/>
      <c r="K40" s="3"/>
      <c r="L40" s="3">
        <f>SUM(L342:L353)</f>
        <v>2170.2339999999999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94204</v>
      </c>
      <c r="D41" s="3">
        <f t="shared" si="23"/>
        <v>31509</v>
      </c>
      <c r="E41" s="3">
        <f t="shared" si="23"/>
        <v>78059</v>
      </c>
      <c r="F41" s="3">
        <f t="shared" si="23"/>
        <v>0</v>
      </c>
      <c r="G41" s="3">
        <f t="shared" si="23"/>
        <v>2312</v>
      </c>
      <c r="H41" s="3">
        <f t="shared" si="23"/>
        <v>49920</v>
      </c>
      <c r="I41" s="3">
        <f>I366</f>
        <v>3219</v>
      </c>
      <c r="J41" s="3"/>
      <c r="K41" s="3"/>
      <c r="L41" s="3">
        <f>SUM(L355:L366)</f>
        <v>2296.3199999999997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105527</v>
      </c>
      <c r="D42" s="3">
        <f t="shared" si="24"/>
        <v>34801</v>
      </c>
      <c r="E42" s="3">
        <f t="shared" si="24"/>
        <v>84916</v>
      </c>
      <c r="F42" s="3">
        <f t="shared" si="24"/>
        <v>0</v>
      </c>
      <c r="G42" s="3">
        <f t="shared" si="24"/>
        <v>-3555</v>
      </c>
      <c r="H42" s="3">
        <f t="shared" si="24"/>
        <v>53506</v>
      </c>
      <c r="I42" s="3">
        <f>I379</f>
        <v>6774</v>
      </c>
      <c r="J42" s="3"/>
      <c r="K42" s="3"/>
      <c r="L42" s="3">
        <f>SUM(L368:L379)</f>
        <v>2461.2759999999998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118162</v>
      </c>
      <c r="D43" s="3">
        <f t="shared" si="25"/>
        <v>18698</v>
      </c>
      <c r="E43" s="3">
        <f t="shared" si="25"/>
        <v>84667</v>
      </c>
      <c r="F43" s="3">
        <f t="shared" si="25"/>
        <v>0</v>
      </c>
      <c r="G43" s="3">
        <f t="shared" si="25"/>
        <v>-46</v>
      </c>
      <c r="H43" s="3">
        <f t="shared" si="25"/>
        <v>52524</v>
      </c>
      <c r="I43" s="3">
        <f>I392</f>
        <v>6820</v>
      </c>
      <c r="J43" s="3"/>
      <c r="K43" s="3"/>
      <c r="L43" s="3">
        <f>SUM(L381:L392)</f>
        <v>2416.1040000000003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122245</v>
      </c>
      <c r="D44" s="3">
        <f t="shared" si="26"/>
        <v>16040</v>
      </c>
      <c r="E44" s="3">
        <f t="shared" si="26"/>
        <v>83814</v>
      </c>
      <c r="F44" s="3">
        <f t="shared" si="26"/>
        <v>0</v>
      </c>
      <c r="G44" s="3">
        <f t="shared" si="26"/>
        <v>1425</v>
      </c>
      <c r="H44" s="3">
        <f t="shared" si="26"/>
        <v>57317</v>
      </c>
      <c r="I44" s="3">
        <f>I405</f>
        <v>5395</v>
      </c>
      <c r="J44" s="3"/>
      <c r="K44" s="3"/>
      <c r="L44" s="3">
        <f>SUM(L394:L405)</f>
        <v>2636.5819999999999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111874</v>
      </c>
      <c r="D45" s="3">
        <f t="shared" si="27"/>
        <v>12171</v>
      </c>
      <c r="E45" s="3">
        <f t="shared" si="27"/>
        <v>66070</v>
      </c>
      <c r="F45" s="3">
        <f t="shared" si="27"/>
        <v>0</v>
      </c>
      <c r="G45" s="3">
        <f t="shared" si="27"/>
        <v>-2605</v>
      </c>
      <c r="H45" s="3">
        <f t="shared" si="27"/>
        <v>56458</v>
      </c>
      <c r="I45" s="3">
        <f>I418</f>
        <v>8000</v>
      </c>
      <c r="J45" s="3"/>
      <c r="K45" s="3"/>
      <c r="L45" s="3">
        <f>SUM(L407:L418)</f>
        <v>2597.0679999999998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86913</v>
      </c>
      <c r="D46" s="3">
        <f t="shared" si="28"/>
        <v>21687</v>
      </c>
      <c r="E46" s="3">
        <f t="shared" si="28"/>
        <v>50631</v>
      </c>
      <c r="F46" s="3">
        <f t="shared" si="28"/>
        <v>0</v>
      </c>
      <c r="G46" s="3">
        <f t="shared" si="28"/>
        <v>3038</v>
      </c>
      <c r="H46" s="3">
        <f t="shared" si="28"/>
        <v>62300</v>
      </c>
      <c r="I46" s="3">
        <f>I431</f>
        <v>4962</v>
      </c>
      <c r="J46" s="3"/>
      <c r="K46" s="3"/>
      <c r="L46" s="3">
        <f>SUM(L420:L431)</f>
        <v>2865.8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74132</v>
      </c>
      <c r="D47" s="3">
        <f t="shared" si="29"/>
        <v>38653</v>
      </c>
      <c r="E47" s="3">
        <f t="shared" si="29"/>
        <v>48253</v>
      </c>
      <c r="F47" s="3">
        <f t="shared" si="29"/>
        <v>0</v>
      </c>
      <c r="G47" s="3">
        <f t="shared" si="29"/>
        <v>-210</v>
      </c>
      <c r="H47" s="3">
        <f t="shared" si="29"/>
        <v>66580</v>
      </c>
      <c r="I47" s="3">
        <f>I444</f>
        <v>5172</v>
      </c>
      <c r="J47" s="3"/>
      <c r="K47" s="3"/>
      <c r="L47" s="3">
        <f>SUM(L433:L444)</f>
        <v>3062.68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67105</v>
      </c>
      <c r="D48" s="3">
        <f t="shared" si="30"/>
        <v>62952</v>
      </c>
      <c r="E48" s="3">
        <f t="shared" si="30"/>
        <v>47137</v>
      </c>
      <c r="F48" s="3">
        <f t="shared" si="30"/>
        <v>0</v>
      </c>
      <c r="G48" s="3">
        <f t="shared" si="30"/>
        <v>-2043</v>
      </c>
      <c r="H48" s="3">
        <f t="shared" si="30"/>
        <v>85272</v>
      </c>
      <c r="I48" s="3">
        <f>I457</f>
        <v>7215</v>
      </c>
      <c r="J48" s="3"/>
      <c r="K48" s="3"/>
      <c r="L48" s="3">
        <f>SUM(L446:L457)</f>
        <v>3922.5119999999997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50473</v>
      </c>
      <c r="D49" s="3">
        <f t="shared" si="31"/>
        <v>49297</v>
      </c>
      <c r="E49" s="3">
        <f t="shared" si="31"/>
        <v>31278</v>
      </c>
      <c r="F49" s="3">
        <f t="shared" si="31"/>
        <v>0</v>
      </c>
      <c r="G49" s="3">
        <f t="shared" si="31"/>
        <v>422</v>
      </c>
      <c r="H49" s="3">
        <f t="shared" si="31"/>
        <v>72161</v>
      </c>
      <c r="I49" s="3">
        <f>I470</f>
        <v>6793</v>
      </c>
      <c r="J49" s="3"/>
      <c r="K49" s="3"/>
      <c r="L49" s="3">
        <f>SUM(L459:L470)</f>
        <v>3319.4059999999999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79966</v>
      </c>
      <c r="D50" s="3">
        <f t="shared" si="32"/>
        <v>32575</v>
      </c>
      <c r="E50" s="3">
        <f t="shared" si="32"/>
        <v>52934</v>
      </c>
      <c r="F50" s="3">
        <f t="shared" si="32"/>
        <v>0</v>
      </c>
      <c r="G50" s="3">
        <f t="shared" si="32"/>
        <v>-58</v>
      </c>
      <c r="H50" s="3">
        <f t="shared" si="32"/>
        <v>61037</v>
      </c>
      <c r="I50" s="3">
        <f>I483</f>
        <v>6851</v>
      </c>
      <c r="J50" s="3"/>
      <c r="K50" s="3"/>
      <c r="L50" s="3">
        <f>SUM(L472:L483)</f>
        <v>2807.7019999999998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5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5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5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5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5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5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5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5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5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5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5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5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5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5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5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13505</v>
      </c>
      <c r="D98" s="3">
        <f t="shared" si="33"/>
        <v>4381</v>
      </c>
      <c r="E98" s="3">
        <f t="shared" si="33"/>
        <v>12676</v>
      </c>
      <c r="F98" s="3">
        <f t="shared" si="33"/>
        <v>0</v>
      </c>
      <c r="G98" s="3">
        <f t="shared" si="33"/>
        <v>2262</v>
      </c>
      <c r="H98" s="3">
        <f t="shared" si="33"/>
        <v>10444</v>
      </c>
      <c r="I98" s="3">
        <f>I331</f>
        <v>5663</v>
      </c>
      <c r="J98" s="3"/>
      <c r="K98" s="3"/>
      <c r="L98" s="3">
        <f t="shared" ref="L98" si="34">SUM(L329:L331)</f>
        <v>480.42399999999998</v>
      </c>
      <c r="N98" s="26" t="s">
        <v>174</v>
      </c>
    </row>
    <row r="99" spans="1:14" x14ac:dyDescent="0.25">
      <c r="A99" s="32" t="s">
        <v>175</v>
      </c>
      <c r="C99" s="3">
        <f t="shared" ref="C99:H99" si="35">SUM(C332:C334)</f>
        <v>45756</v>
      </c>
      <c r="D99" s="3">
        <f t="shared" si="35"/>
        <v>5333</v>
      </c>
      <c r="E99" s="3">
        <f t="shared" si="35"/>
        <v>37552</v>
      </c>
      <c r="F99" s="3">
        <f t="shared" si="35"/>
        <v>0</v>
      </c>
      <c r="G99" s="3">
        <f t="shared" si="35"/>
        <v>-799</v>
      </c>
      <c r="H99" s="3">
        <f t="shared" si="35"/>
        <v>12930</v>
      </c>
      <c r="I99" s="3">
        <f>I334</f>
        <v>6462</v>
      </c>
      <c r="J99" s="3"/>
      <c r="L99" s="3">
        <f t="shared" ref="L99" si="36">SUM(L332:L334)</f>
        <v>594.78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7">SUM(C335:C337)</f>
        <v>36159</v>
      </c>
      <c r="D100" s="3">
        <f t="shared" si="37"/>
        <v>3536</v>
      </c>
      <c r="E100" s="3">
        <f t="shared" si="37"/>
        <v>28579</v>
      </c>
      <c r="F100" s="3">
        <f t="shared" si="37"/>
        <v>0</v>
      </c>
      <c r="G100" s="3">
        <f t="shared" si="37"/>
        <v>753</v>
      </c>
      <c r="H100" s="3">
        <f t="shared" si="37"/>
        <v>12078</v>
      </c>
      <c r="I100" s="3">
        <f>I337</f>
        <v>5709</v>
      </c>
      <c r="J100" s="3"/>
      <c r="L100" s="3">
        <f t="shared" ref="L100" si="38">SUM(L335:L337)</f>
        <v>555.58799999999997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9">SUM(C338:C340)</f>
        <v>22944</v>
      </c>
      <c r="D101" s="3">
        <f t="shared" si="39"/>
        <v>4690</v>
      </c>
      <c r="E101" s="3">
        <f t="shared" si="39"/>
        <v>18897</v>
      </c>
      <c r="F101" s="3">
        <f t="shared" si="39"/>
        <v>0</v>
      </c>
      <c r="G101" s="3">
        <f t="shared" si="39"/>
        <v>1477</v>
      </c>
      <c r="H101" s="3">
        <f t="shared" si="39"/>
        <v>10431</v>
      </c>
      <c r="I101" s="3">
        <f>I340</f>
        <v>4232</v>
      </c>
      <c r="J101" s="3"/>
      <c r="L101" s="3">
        <f t="shared" ref="L101" si="40">SUM(L338:L340)</f>
        <v>479.82599999999991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1">SUM(C342:C344)</f>
        <v>28754</v>
      </c>
      <c r="D103" s="3">
        <f t="shared" si="41"/>
        <v>3519</v>
      </c>
      <c r="E103" s="3">
        <f t="shared" si="41"/>
        <v>20473</v>
      </c>
      <c r="F103" s="3">
        <f t="shared" si="41"/>
        <v>0</v>
      </c>
      <c r="G103" s="3">
        <f t="shared" si="41"/>
        <v>-2427</v>
      </c>
      <c r="H103" s="3">
        <f t="shared" si="41"/>
        <v>11185</v>
      </c>
      <c r="I103" s="3">
        <f>I344</f>
        <v>6659</v>
      </c>
      <c r="J103" s="65"/>
      <c r="L103" s="3">
        <f t="shared" ref="L103" si="42">SUM(L342:L344)</f>
        <v>514.37200000000007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3">SUM(C345:C347)</f>
        <v>46871</v>
      </c>
      <c r="D104" s="3">
        <f t="shared" si="43"/>
        <v>3626</v>
      </c>
      <c r="E104" s="3">
        <f t="shared" si="43"/>
        <v>39940</v>
      </c>
      <c r="F104" s="3">
        <f t="shared" si="43"/>
        <v>0</v>
      </c>
      <c r="G104" s="3">
        <f t="shared" si="43"/>
        <v>1060</v>
      </c>
      <c r="H104" s="3">
        <f t="shared" si="43"/>
        <v>13736</v>
      </c>
      <c r="I104" s="3">
        <f>I347</f>
        <v>5599</v>
      </c>
      <c r="J104" s="65"/>
      <c r="L104" s="3">
        <f t="shared" ref="L104" si="44">SUM(L345:L347)</f>
        <v>631.76400000000001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5">SUM(C348:C350)</f>
        <v>24848</v>
      </c>
      <c r="D105" s="3">
        <f t="shared" si="45"/>
        <v>10881</v>
      </c>
      <c r="E105" s="3">
        <f t="shared" si="45"/>
        <v>24087</v>
      </c>
      <c r="F105" s="3">
        <f t="shared" si="45"/>
        <v>0</v>
      </c>
      <c r="G105" s="3">
        <f t="shared" si="45"/>
        <v>1026</v>
      </c>
      <c r="H105" s="3">
        <f t="shared" si="45"/>
        <v>12892</v>
      </c>
      <c r="I105" s="3">
        <f>I350</f>
        <v>4573</v>
      </c>
      <c r="J105" s="65"/>
      <c r="L105" s="3">
        <f t="shared" ref="L105" si="46">SUM(L348:L350)</f>
        <v>521.548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7">SUM(C351:C353)</f>
        <v>15648</v>
      </c>
      <c r="D106" s="3">
        <f t="shared" si="47"/>
        <v>7222</v>
      </c>
      <c r="E106" s="3">
        <f t="shared" si="47"/>
        <v>10726</v>
      </c>
      <c r="F106" s="3">
        <f t="shared" si="47"/>
        <v>0</v>
      </c>
      <c r="G106" s="3">
        <f t="shared" si="47"/>
        <v>-958</v>
      </c>
      <c r="H106" s="3">
        <f t="shared" si="47"/>
        <v>11370</v>
      </c>
      <c r="I106" s="3">
        <f>I353</f>
        <v>5531</v>
      </c>
      <c r="J106" s="65"/>
      <c r="L106" s="3">
        <f t="shared" ref="L106" si="48">SUM(L351:L353)</f>
        <v>502.55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26689</v>
      </c>
      <c r="D108" s="3">
        <f t="shared" ref="D108:H108" si="49">SUM(D355:D357)</f>
        <v>2724</v>
      </c>
      <c r="E108" s="3">
        <f t="shared" si="49"/>
        <v>17642</v>
      </c>
      <c r="F108" s="3">
        <f t="shared" si="49"/>
        <v>0</v>
      </c>
      <c r="G108" s="3">
        <f t="shared" si="49"/>
        <v>-339</v>
      </c>
      <c r="H108" s="3">
        <f t="shared" si="49"/>
        <v>11674</v>
      </c>
      <c r="I108" s="3">
        <f>I357</f>
        <v>5870</v>
      </c>
      <c r="J108" s="3"/>
      <c r="K108" s="3"/>
      <c r="L108" s="3">
        <f t="shared" ref="L108" si="50">SUM(L355:L357)</f>
        <v>537.00400000000002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1">SUM(C358:C360)</f>
        <v>25351</v>
      </c>
      <c r="D109" s="3">
        <f t="shared" si="51"/>
        <v>8314</v>
      </c>
      <c r="E109" s="3">
        <f t="shared" si="51"/>
        <v>21602</v>
      </c>
      <c r="F109" s="3">
        <f t="shared" si="51"/>
        <v>0</v>
      </c>
      <c r="G109" s="3">
        <f t="shared" si="51"/>
        <v>1069</v>
      </c>
      <c r="H109" s="3">
        <f t="shared" si="51"/>
        <v>13047</v>
      </c>
      <c r="I109" s="3">
        <f>I360</f>
        <v>4801</v>
      </c>
      <c r="J109" s="3"/>
      <c r="K109" s="3"/>
      <c r="L109" s="3">
        <f t="shared" ref="L109" si="52">SUM(L358:L360)</f>
        <v>600.16199999999992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29432</v>
      </c>
      <c r="D110" s="3">
        <f t="shared" ref="D110:H110" si="53">SUM(D361:D363)</f>
        <v>10517</v>
      </c>
      <c r="E110" s="3">
        <f t="shared" si="53"/>
        <v>26443</v>
      </c>
      <c r="F110" s="3">
        <f t="shared" si="53"/>
        <v>0</v>
      </c>
      <c r="G110" s="3">
        <f t="shared" si="53"/>
        <v>-968</v>
      </c>
      <c r="H110" s="3">
        <f t="shared" si="53"/>
        <v>12292</v>
      </c>
      <c r="I110" s="3">
        <f>I363</f>
        <v>5769</v>
      </c>
      <c r="J110" s="3"/>
      <c r="K110" s="3"/>
      <c r="L110" s="3">
        <f t="shared" ref="L110" si="54">SUM(L361:L363)</f>
        <v>565.43200000000002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12732</v>
      </c>
      <c r="D111" s="3">
        <f t="shared" ref="D111:H111" si="55">SUM(D364:D366)</f>
        <v>9954</v>
      </c>
      <c r="E111" s="3">
        <f t="shared" si="55"/>
        <v>12372</v>
      </c>
      <c r="F111" s="3">
        <f t="shared" si="55"/>
        <v>0</v>
      </c>
      <c r="G111" s="3">
        <f t="shared" si="55"/>
        <v>2550</v>
      </c>
      <c r="H111" s="3">
        <f t="shared" si="55"/>
        <v>12907</v>
      </c>
      <c r="I111" s="3">
        <f>I366</f>
        <v>3219</v>
      </c>
      <c r="J111" s="3"/>
      <c r="K111" s="3"/>
      <c r="L111" s="3">
        <f t="shared" ref="L111" si="56">SUM(L364:L366)</f>
        <v>593.72199999999998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7">SUM(C368:C370)</f>
        <v>21620</v>
      </c>
      <c r="D113" s="3">
        <f t="shared" si="57"/>
        <v>7909</v>
      </c>
      <c r="E113" s="3">
        <f t="shared" si="57"/>
        <v>13966</v>
      </c>
      <c r="F113" s="3">
        <f t="shared" si="57"/>
        <v>0</v>
      </c>
      <c r="G113" s="3">
        <f t="shared" si="57"/>
        <v>-3832</v>
      </c>
      <c r="H113" s="3">
        <f t="shared" si="57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8">SUM(C371:C373)</f>
        <v>44329</v>
      </c>
      <c r="D114" s="3">
        <f t="shared" si="58"/>
        <v>7181</v>
      </c>
      <c r="E114" s="3">
        <f t="shared" si="58"/>
        <v>39415</v>
      </c>
      <c r="F114" s="3">
        <f t="shared" si="58"/>
        <v>0</v>
      </c>
      <c r="G114" s="3">
        <f t="shared" si="58"/>
        <v>2470</v>
      </c>
      <c r="H114" s="3">
        <f t="shared" si="58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19523</v>
      </c>
      <c r="D115" s="3">
        <f t="shared" ref="D115:L115" si="59">SUM(D374:D376)</f>
        <v>14282</v>
      </c>
      <c r="E115" s="3">
        <f t="shared" si="59"/>
        <v>19232</v>
      </c>
      <c r="F115" s="3">
        <f t="shared" si="59"/>
        <v>0</v>
      </c>
      <c r="G115" s="3">
        <f t="shared" si="59"/>
        <v>-925</v>
      </c>
      <c r="H115" s="3">
        <f t="shared" si="59"/>
        <v>13707</v>
      </c>
      <c r="I115" s="3">
        <f>I376</f>
        <v>5506</v>
      </c>
      <c r="J115" s="3"/>
      <c r="K115" s="3"/>
      <c r="L115" s="3">
        <f t="shared" si="59"/>
        <v>630.52199999999993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60">SUM(C377:C379)</f>
        <v>20055</v>
      </c>
      <c r="D116" s="3">
        <f t="shared" si="60"/>
        <v>5429</v>
      </c>
      <c r="E116" s="3">
        <f t="shared" si="60"/>
        <v>12303</v>
      </c>
      <c r="F116" s="3">
        <f t="shared" si="60"/>
        <v>0</v>
      </c>
      <c r="G116" s="3">
        <f t="shared" si="60"/>
        <v>-1268</v>
      </c>
      <c r="H116" s="3">
        <f t="shared" si="60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1">SUM(C381:C383)</f>
        <v>31019</v>
      </c>
      <c r="D118" s="3">
        <f t="shared" si="61"/>
        <v>5237</v>
      </c>
      <c r="E118" s="3">
        <f t="shared" si="61"/>
        <v>22147</v>
      </c>
      <c r="F118" s="3">
        <f t="shared" si="61"/>
        <v>0</v>
      </c>
      <c r="G118" s="3">
        <f t="shared" si="61"/>
        <v>-436</v>
      </c>
      <c r="H118" s="3">
        <f t="shared" si="61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34714</v>
      </c>
      <c r="D119" s="3">
        <f t="shared" ref="D119:L119" si="62">SUM(D384:D386)</f>
        <v>4907</v>
      </c>
      <c r="E119" s="3">
        <f t="shared" si="62"/>
        <v>26344</v>
      </c>
      <c r="F119" s="3">
        <f t="shared" si="62"/>
        <v>0</v>
      </c>
      <c r="G119" s="3">
        <f t="shared" si="62"/>
        <v>-578</v>
      </c>
      <c r="H119" s="3">
        <f t="shared" si="62"/>
        <v>12198</v>
      </c>
      <c r="I119" s="3">
        <f>I386</f>
        <v>7788</v>
      </c>
      <c r="J119" s="3"/>
      <c r="K119" s="3"/>
      <c r="L119" s="3">
        <f t="shared" si="62"/>
        <v>561.10799999999995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3">SUM(C387:C389)</f>
        <v>31796</v>
      </c>
      <c r="D120" s="3">
        <f t="shared" si="63"/>
        <v>3406</v>
      </c>
      <c r="E120" s="3">
        <f t="shared" si="63"/>
        <v>25476</v>
      </c>
      <c r="F120" s="3">
        <f t="shared" si="63"/>
        <v>0</v>
      </c>
      <c r="G120" s="3">
        <f t="shared" si="63"/>
        <v>3200</v>
      </c>
      <c r="H120" s="3">
        <f t="shared" si="63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4">SUM(C390:C392)</f>
        <v>20633</v>
      </c>
      <c r="D121" s="3">
        <f t="shared" si="64"/>
        <v>5148</v>
      </c>
      <c r="E121" s="3">
        <f t="shared" si="64"/>
        <v>10700</v>
      </c>
      <c r="F121" s="3">
        <f t="shared" si="64"/>
        <v>0</v>
      </c>
      <c r="G121" s="3">
        <f t="shared" si="64"/>
        <v>-2232</v>
      </c>
      <c r="H121" s="3">
        <f t="shared" si="64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65">SUM(C394:C396)</f>
        <v>26424</v>
      </c>
      <c r="D123" s="3">
        <f t="shared" si="65"/>
        <v>3567</v>
      </c>
      <c r="E123" s="3">
        <f t="shared" si="65"/>
        <v>16276</v>
      </c>
      <c r="F123" s="3">
        <f t="shared" si="65"/>
        <v>0</v>
      </c>
      <c r="G123" s="3">
        <f t="shared" si="65"/>
        <v>-748</v>
      </c>
      <c r="H123" s="3">
        <f t="shared" si="65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66">SUM(C397:C399)</f>
        <v>42151</v>
      </c>
      <c r="D124" s="3">
        <f t="shared" si="66"/>
        <v>3570</v>
      </c>
      <c r="E124" s="3">
        <f t="shared" si="66"/>
        <v>32648</v>
      </c>
      <c r="F124" s="3">
        <f t="shared" si="66"/>
        <v>0</v>
      </c>
      <c r="G124" s="3">
        <f t="shared" si="66"/>
        <v>2362</v>
      </c>
      <c r="H124" s="3">
        <f t="shared" si="66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67">SUM(C400:C402)</f>
        <v>33292</v>
      </c>
      <c r="D125" s="3">
        <f t="shared" si="67"/>
        <v>5280</v>
      </c>
      <c r="E125" s="3">
        <f t="shared" si="67"/>
        <v>25662</v>
      </c>
      <c r="F125" s="3">
        <f t="shared" si="67"/>
        <v>0</v>
      </c>
      <c r="G125" s="3">
        <f t="shared" si="67"/>
        <v>1507</v>
      </c>
      <c r="H125" s="3">
        <f t="shared" si="67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68">SUM(C403:C405)</f>
        <v>20378</v>
      </c>
      <c r="D126" s="3">
        <f t="shared" si="68"/>
        <v>3623</v>
      </c>
      <c r="E126" s="3">
        <f t="shared" si="68"/>
        <v>9228</v>
      </c>
      <c r="F126" s="3">
        <f t="shared" si="68"/>
        <v>0</v>
      </c>
      <c r="G126" s="3">
        <f t="shared" si="68"/>
        <v>-1696</v>
      </c>
      <c r="H126" s="3">
        <f t="shared" si="68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69">SUM(C407:C409)</f>
        <v>24948</v>
      </c>
      <c r="D128" s="3">
        <f t="shared" si="69"/>
        <v>1743</v>
      </c>
      <c r="E128" s="3">
        <f t="shared" si="69"/>
        <v>12949</v>
      </c>
      <c r="F128" s="3">
        <f t="shared" si="69"/>
        <v>0</v>
      </c>
      <c r="G128" s="3">
        <f t="shared" si="69"/>
        <v>-730</v>
      </c>
      <c r="H128" s="3">
        <f t="shared" si="69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70">SUM(C410:C412)</f>
        <v>42895</v>
      </c>
      <c r="D129" s="3">
        <f t="shared" si="70"/>
        <v>1761</v>
      </c>
      <c r="E129" s="3">
        <f t="shared" si="70"/>
        <v>30329</v>
      </c>
      <c r="F129" s="3">
        <f t="shared" si="70"/>
        <v>0</v>
      </c>
      <c r="G129" s="3">
        <f t="shared" si="70"/>
        <v>917</v>
      </c>
      <c r="H129" s="3">
        <f t="shared" si="70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71">SUM(C413:C415)</f>
        <v>33012</v>
      </c>
      <c r="D130" s="3">
        <f t="shared" si="71"/>
        <v>3571</v>
      </c>
      <c r="E130" s="3">
        <f t="shared" si="71"/>
        <v>22648</v>
      </c>
      <c r="F130" s="3">
        <f t="shared" si="71"/>
        <v>0</v>
      </c>
      <c r="G130" s="3">
        <f t="shared" si="71"/>
        <v>634</v>
      </c>
      <c r="H130" s="3">
        <f t="shared" si="71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72">SUM(C416:C418)</f>
        <v>11019</v>
      </c>
      <c r="D131" s="3">
        <f t="shared" si="72"/>
        <v>5096</v>
      </c>
      <c r="E131" s="3">
        <f t="shared" si="72"/>
        <v>144</v>
      </c>
      <c r="F131" s="3">
        <f t="shared" si="72"/>
        <v>0</v>
      </c>
      <c r="G131" s="3">
        <f t="shared" si="72"/>
        <v>-3426</v>
      </c>
      <c r="H131" s="3">
        <f t="shared" si="72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73">SUM(C420:C422)</f>
        <v>19429</v>
      </c>
      <c r="D133" s="3">
        <f t="shared" si="73"/>
        <v>5102</v>
      </c>
      <c r="E133" s="3">
        <f t="shared" si="73"/>
        <v>12614</v>
      </c>
      <c r="F133" s="3">
        <f t="shared" si="73"/>
        <v>0</v>
      </c>
      <c r="G133" s="3">
        <f t="shared" si="73"/>
        <v>2678</v>
      </c>
      <c r="H133" s="3">
        <f t="shared" si="73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74">SUM(C423:C425)</f>
        <v>34492</v>
      </c>
      <c r="D134" s="3">
        <f t="shared" si="74"/>
        <v>6694</v>
      </c>
      <c r="E134" s="3">
        <f t="shared" si="74"/>
        <v>24521</v>
      </c>
      <c r="F134" s="3">
        <f t="shared" si="74"/>
        <v>0</v>
      </c>
      <c r="G134" s="3">
        <f t="shared" si="74"/>
        <v>506</v>
      </c>
      <c r="H134" s="3">
        <f t="shared" si="74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75">SUM(C426:C428)</f>
        <v>22543</v>
      </c>
      <c r="D135" s="3">
        <f t="shared" si="75"/>
        <v>4993</v>
      </c>
      <c r="E135" s="3">
        <f t="shared" si="75"/>
        <v>13256</v>
      </c>
      <c r="F135" s="3">
        <f t="shared" si="75"/>
        <v>0</v>
      </c>
      <c r="G135" s="3">
        <f t="shared" si="75"/>
        <v>979</v>
      </c>
      <c r="H135" s="3">
        <f t="shared" si="75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76">SUM(C429:C431)</f>
        <v>10449</v>
      </c>
      <c r="D136" s="3">
        <f t="shared" si="76"/>
        <v>4898</v>
      </c>
      <c r="E136" s="3">
        <f t="shared" si="76"/>
        <v>240</v>
      </c>
      <c r="F136" s="3">
        <f t="shared" si="76"/>
        <v>0</v>
      </c>
      <c r="G136" s="3">
        <f t="shared" si="76"/>
        <v>-1125</v>
      </c>
      <c r="H136" s="3">
        <f t="shared" si="76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14600</v>
      </c>
      <c r="D138" s="3">
        <f t="shared" ref="D138:H138" si="77">SUM(D433:D435)</f>
        <v>6733</v>
      </c>
      <c r="E138" s="3">
        <f t="shared" si="77"/>
        <v>8071</v>
      </c>
      <c r="F138" s="3">
        <f t="shared" si="77"/>
        <v>0</v>
      </c>
      <c r="G138" s="3">
        <f t="shared" si="77"/>
        <v>165</v>
      </c>
      <c r="H138" s="3">
        <f t="shared" si="77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30539</v>
      </c>
      <c r="D139" s="3">
        <f t="shared" ref="D139:L139" si="78">SUM(D436:D438)</f>
        <v>6467</v>
      </c>
      <c r="E139" s="3">
        <f t="shared" si="78"/>
        <v>21160</v>
      </c>
      <c r="F139" s="3">
        <f t="shared" si="78"/>
        <v>0</v>
      </c>
      <c r="G139" s="3">
        <f t="shared" si="78"/>
        <v>304</v>
      </c>
      <c r="H139" s="3">
        <f t="shared" si="78"/>
        <v>16325</v>
      </c>
      <c r="I139" s="3">
        <f>SUM(I438)</f>
        <v>4493</v>
      </c>
      <c r="J139" s="3"/>
      <c r="K139" s="3"/>
      <c r="L139" s="3">
        <f t="shared" si="78"/>
        <v>750.95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24315</v>
      </c>
      <c r="D140" s="3">
        <f t="shared" ref="D140:L140" si="79">SUM(D439:D441)</f>
        <v>9410</v>
      </c>
      <c r="E140" s="3">
        <f t="shared" si="79"/>
        <v>17038</v>
      </c>
      <c r="F140" s="3">
        <f t="shared" si="79"/>
        <v>0</v>
      </c>
      <c r="G140" s="3">
        <f t="shared" si="79"/>
        <v>158</v>
      </c>
      <c r="H140" s="3">
        <f t="shared" si="79"/>
        <v>18584</v>
      </c>
      <c r="I140" s="3">
        <f>SUM(I441)</f>
        <v>4335</v>
      </c>
      <c r="J140" s="3"/>
      <c r="K140" s="3"/>
      <c r="L140" s="3">
        <f t="shared" si="79"/>
        <v>854.86400000000003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80">SUM(C442:C444)</f>
        <v>4678</v>
      </c>
      <c r="D141" s="3">
        <f t="shared" si="80"/>
        <v>16043</v>
      </c>
      <c r="E141" s="3">
        <f t="shared" si="80"/>
        <v>1984</v>
      </c>
      <c r="F141" s="3">
        <f t="shared" si="80"/>
        <v>0</v>
      </c>
      <c r="G141" s="3">
        <f t="shared" si="80"/>
        <v>-837</v>
      </c>
      <c r="H141" s="3">
        <f t="shared" si="80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6585</v>
      </c>
      <c r="D143" s="3">
        <f t="shared" ref="D143:L143" si="81">SUM(D446:D448)</f>
        <v>26015</v>
      </c>
      <c r="E143" s="3">
        <f t="shared" si="81"/>
        <v>8486</v>
      </c>
      <c r="F143" s="3">
        <f t="shared" si="81"/>
        <v>0</v>
      </c>
      <c r="G143" s="3">
        <f t="shared" si="81"/>
        <v>-627</v>
      </c>
      <c r="H143" s="3">
        <f t="shared" si="81"/>
        <v>24780</v>
      </c>
      <c r="I143" s="3">
        <f>SUM(I448)</f>
        <v>5799</v>
      </c>
      <c r="J143" s="3"/>
      <c r="K143" s="3"/>
      <c r="L143" s="3">
        <f t="shared" si="81"/>
        <v>1139.8800000000001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2">SUM(C449:C451)</f>
        <v>28447</v>
      </c>
      <c r="D144" s="3">
        <f t="shared" si="82"/>
        <v>13945</v>
      </c>
      <c r="E144" s="3">
        <f t="shared" si="82"/>
        <v>18686</v>
      </c>
      <c r="F144" s="3">
        <f t="shared" si="82"/>
        <v>0</v>
      </c>
      <c r="G144" s="3">
        <f t="shared" si="82"/>
        <v>-785</v>
      </c>
      <c r="H144" s="3">
        <f t="shared" si="82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22072</v>
      </c>
      <c r="D145" s="3">
        <f t="shared" ref="D145:L145" si="83">SUM(D452:D454)</f>
        <v>10941</v>
      </c>
      <c r="E145" s="3">
        <f t="shared" si="83"/>
        <v>17321</v>
      </c>
      <c r="F145" s="3">
        <f t="shared" si="83"/>
        <v>0</v>
      </c>
      <c r="G145" s="3">
        <f t="shared" si="83"/>
        <v>931</v>
      </c>
      <c r="H145" s="3">
        <f t="shared" si="83"/>
        <v>18902</v>
      </c>
      <c r="I145" s="3">
        <f>SUM(I454)</f>
        <v>5653</v>
      </c>
      <c r="J145" s="3"/>
      <c r="K145" s="3"/>
      <c r="L145" s="3">
        <f t="shared" si="83"/>
        <v>869.49200000000008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10001</v>
      </c>
      <c r="D146" s="3">
        <f t="shared" ref="D146:L146" si="84">SUM(D455:D457)</f>
        <v>12051</v>
      </c>
      <c r="E146" s="3">
        <f t="shared" si="84"/>
        <v>2644</v>
      </c>
      <c r="F146" s="3">
        <f t="shared" si="84"/>
        <v>0</v>
      </c>
      <c r="G146" s="3">
        <f t="shared" si="84"/>
        <v>-1562</v>
      </c>
      <c r="H146" s="3">
        <f t="shared" si="84"/>
        <v>18245</v>
      </c>
      <c r="I146" s="3">
        <f>SUM(I457)</f>
        <v>7215</v>
      </c>
      <c r="J146" s="3"/>
      <c r="K146" s="3"/>
      <c r="L146" s="3">
        <f t="shared" si="84"/>
        <v>839.27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5">SUM(C459:C461)</f>
        <v>11708</v>
      </c>
      <c r="D148" s="3">
        <f t="shared" si="85"/>
        <v>13158</v>
      </c>
      <c r="E148" s="3">
        <f t="shared" si="85"/>
        <v>6825</v>
      </c>
      <c r="F148" s="3">
        <f t="shared" si="85"/>
        <v>0</v>
      </c>
      <c r="G148" s="3">
        <f t="shared" si="85"/>
        <v>-954</v>
      </c>
      <c r="H148" s="3">
        <f t="shared" si="85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16010</v>
      </c>
      <c r="D149" s="3">
        <f t="shared" ref="D149:L149" si="86">SUM(D462:D464)</f>
        <v>12643</v>
      </c>
      <c r="E149" s="3">
        <f t="shared" si="86"/>
        <v>11791</v>
      </c>
      <c r="F149" s="3">
        <f t="shared" si="86"/>
        <v>0</v>
      </c>
      <c r="G149" s="3">
        <f t="shared" si="86"/>
        <v>2949</v>
      </c>
      <c r="H149" s="3">
        <f t="shared" si="86"/>
        <v>20347</v>
      </c>
      <c r="I149" s="3">
        <f>SUM(I464)</f>
        <v>5220</v>
      </c>
      <c r="J149" s="3"/>
      <c r="K149" s="3"/>
      <c r="L149" s="3">
        <f t="shared" si="86"/>
        <v>935.96199999999999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15006</v>
      </c>
      <c r="D150" s="3">
        <f t="shared" ref="D150:L150" si="87">SUM(D465:D467)</f>
        <v>11254</v>
      </c>
      <c r="E150" s="3">
        <f t="shared" si="87"/>
        <v>9767</v>
      </c>
      <c r="F150" s="3">
        <f t="shared" si="87"/>
        <v>0</v>
      </c>
      <c r="G150" s="3">
        <f t="shared" si="87"/>
        <v>122</v>
      </c>
      <c r="H150" s="3">
        <f t="shared" si="87"/>
        <v>16960</v>
      </c>
      <c r="I150" s="3">
        <f>I467</f>
        <v>5098</v>
      </c>
      <c r="J150" s="3"/>
      <c r="K150" s="3"/>
      <c r="L150" s="3">
        <f t="shared" si="87"/>
        <v>780.16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7749</v>
      </c>
      <c r="D151" s="3">
        <f t="shared" ref="D151:H151" si="88">SUM(D468:D470)</f>
        <v>12242</v>
      </c>
      <c r="E151" s="3">
        <f t="shared" si="88"/>
        <v>2895</v>
      </c>
      <c r="F151" s="3">
        <f t="shared" si="88"/>
        <v>0</v>
      </c>
      <c r="G151" s="3">
        <f t="shared" si="88"/>
        <v>-1695</v>
      </c>
      <c r="H151" s="3">
        <f t="shared" si="88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8620</v>
      </c>
      <c r="D153" s="3">
        <f t="shared" ref="D153:L153" si="89">SUM(D472:D474)</f>
        <v>12082</v>
      </c>
      <c r="E153" s="3">
        <f t="shared" si="89"/>
        <v>4011</v>
      </c>
      <c r="F153" s="3">
        <f t="shared" si="89"/>
        <v>0</v>
      </c>
      <c r="G153" s="3">
        <f t="shared" si="89"/>
        <v>-1153</v>
      </c>
      <c r="H153" s="3">
        <f t="shared" si="89"/>
        <v>15877</v>
      </c>
      <c r="I153" s="3">
        <f>I474</f>
        <v>7946</v>
      </c>
      <c r="J153" s="3"/>
      <c r="K153" s="3"/>
      <c r="L153" s="3">
        <f t="shared" si="89"/>
        <v>730.34199999999998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24565</v>
      </c>
      <c r="D154" s="3">
        <f t="shared" ref="D154:H154" si="90">SUM(D475:D477)</f>
        <v>8889</v>
      </c>
      <c r="E154" s="3">
        <f t="shared" si="90"/>
        <v>17439</v>
      </c>
      <c r="F154" s="3">
        <f t="shared" si="90"/>
        <v>0</v>
      </c>
      <c r="G154" s="3">
        <f t="shared" si="90"/>
        <v>62</v>
      </c>
      <c r="H154" s="3">
        <f t="shared" si="90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24069</v>
      </c>
      <c r="D155" s="3">
        <f t="shared" ref="D155:L155" si="91">SUM(D478:D480)</f>
        <v>5310</v>
      </c>
      <c r="E155" s="3">
        <f t="shared" si="91"/>
        <v>16751</v>
      </c>
      <c r="F155" s="3">
        <f t="shared" si="91"/>
        <v>0</v>
      </c>
      <c r="G155" s="3">
        <f t="shared" si="91"/>
        <v>1949</v>
      </c>
      <c r="H155" s="3">
        <f t="shared" si="91"/>
        <v>14929</v>
      </c>
      <c r="I155" s="3">
        <f>I480</f>
        <v>5935</v>
      </c>
      <c r="J155" s="3"/>
      <c r="K155" s="3"/>
      <c r="L155" s="3">
        <f t="shared" si="91"/>
        <v>686.73399999999992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22712</v>
      </c>
      <c r="D156" s="3">
        <f t="shared" ref="D156:H156" si="92">SUM(D481:D483)</f>
        <v>6294</v>
      </c>
      <c r="E156" s="3">
        <f t="shared" si="92"/>
        <v>14733</v>
      </c>
      <c r="F156" s="3">
        <f t="shared" si="92"/>
        <v>0</v>
      </c>
      <c r="G156" s="3">
        <f t="shared" si="92"/>
        <v>-916</v>
      </c>
      <c r="H156" s="3">
        <f t="shared" si="92"/>
        <v>13781</v>
      </c>
      <c r="I156" s="3">
        <f>I483</f>
        <v>6851</v>
      </c>
      <c r="J156"/>
      <c r="K156"/>
      <c r="L156" s="3">
        <f t="shared" ref="L156" si="93">SUM(L481:L483)</f>
        <v>633.92599999999993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5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5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5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5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5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5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5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5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5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5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5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8" thickBot="1" x14ac:dyDescent="0.3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5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5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5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5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5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5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5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5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5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5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8" thickBot="1" x14ac:dyDescent="0.3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5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5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5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5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5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5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5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5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5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5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8" thickBot="1" x14ac:dyDescent="0.3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5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5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5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5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5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5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5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5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5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5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8" thickBot="1" x14ac:dyDescent="0.3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5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5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5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5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8" thickBot="1" x14ac:dyDescent="0.3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5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5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5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5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5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5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5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5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5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5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8" thickBot="1" x14ac:dyDescent="0.3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5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5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5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5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5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5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5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5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5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5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8" thickBot="1" x14ac:dyDescent="0.3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5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5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7"/>
      <c r="S317" s="12"/>
      <c r="T317" s="12"/>
      <c r="U317" s="12"/>
    </row>
    <row r="318" spans="1:21" x14ac:dyDescent="0.25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7"/>
      <c r="S318" s="12"/>
      <c r="T318" s="12"/>
      <c r="U318" s="12"/>
    </row>
    <row r="319" spans="1:21" x14ac:dyDescent="0.25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7"/>
      <c r="S319" s="12"/>
      <c r="T319" s="12"/>
      <c r="U319" s="12"/>
    </row>
    <row r="320" spans="1:21" x14ac:dyDescent="0.25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7"/>
      <c r="S320" s="12"/>
      <c r="T320" s="12"/>
      <c r="U320" s="12"/>
    </row>
    <row r="321" spans="1:21" x14ac:dyDescent="0.25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7"/>
      <c r="S321" s="12"/>
      <c r="T321" s="12"/>
      <c r="U321" s="12"/>
    </row>
    <row r="322" spans="1:21" x14ac:dyDescent="0.25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7"/>
      <c r="S322" s="12"/>
      <c r="T322" s="12"/>
      <c r="U322" s="12"/>
    </row>
    <row r="323" spans="1:21" x14ac:dyDescent="0.25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7"/>
      <c r="S323" s="12"/>
      <c r="T323" s="12"/>
      <c r="U323" s="12"/>
    </row>
    <row r="324" spans="1:21" x14ac:dyDescent="0.25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7"/>
      <c r="S324" s="12"/>
      <c r="T324" s="12"/>
      <c r="U324" s="12"/>
    </row>
    <row r="325" spans="1:21" x14ac:dyDescent="0.25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7"/>
      <c r="S325" s="12"/>
      <c r="T325" s="12"/>
      <c r="U325" s="12"/>
    </row>
    <row r="326" spans="1:21" x14ac:dyDescent="0.25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7"/>
      <c r="S326" s="12"/>
      <c r="T326" s="12"/>
      <c r="U326" s="12"/>
    </row>
    <row r="327" spans="1:21" ht="13.8" thickBot="1" x14ac:dyDescent="0.3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7"/>
      <c r="S327" s="12"/>
      <c r="T327" s="12"/>
      <c r="U327" s="12"/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5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5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5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5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7"/>
      <c r="S333" s="12"/>
      <c r="T333" s="12"/>
      <c r="U333" s="12"/>
    </row>
    <row r="334" spans="1:21" x14ac:dyDescent="0.25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7"/>
      <c r="S334" s="12"/>
      <c r="T334" s="12"/>
      <c r="U334" s="12"/>
    </row>
    <row r="335" spans="1:21" x14ac:dyDescent="0.25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7"/>
      <c r="S335" s="12"/>
      <c r="T335" s="12"/>
      <c r="U335" s="12"/>
    </row>
    <row r="336" spans="1:21" x14ac:dyDescent="0.25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7"/>
      <c r="S336" s="12"/>
      <c r="T336" s="12"/>
      <c r="U336" s="12"/>
    </row>
    <row r="337" spans="1:21" x14ac:dyDescent="0.25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7"/>
      <c r="S337" s="12"/>
      <c r="T337" s="12"/>
      <c r="U337" s="12"/>
    </row>
    <row r="338" spans="1:21" x14ac:dyDescent="0.25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7"/>
      <c r="S338" s="12"/>
      <c r="T338" s="12"/>
      <c r="U338" s="12"/>
    </row>
    <row r="339" spans="1:21" x14ac:dyDescent="0.25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7"/>
      <c r="S339" s="12"/>
      <c r="T339" s="12"/>
      <c r="U339" s="12"/>
    </row>
    <row r="340" spans="1:21" ht="13.8" thickBot="1" x14ac:dyDescent="0.3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7"/>
      <c r="S340" s="12"/>
      <c r="T340" s="12"/>
      <c r="U340" s="12"/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5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4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7"/>
      <c r="S343" s="12"/>
      <c r="T343" s="12"/>
      <c r="U343" s="12"/>
    </row>
    <row r="344" spans="1:21" x14ac:dyDescent="0.25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4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7"/>
      <c r="S344" s="12"/>
      <c r="T344" s="12"/>
      <c r="U344" s="12"/>
    </row>
    <row r="345" spans="1:21" x14ac:dyDescent="0.25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4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7"/>
      <c r="S345" s="12"/>
      <c r="T345" s="12"/>
      <c r="U345" s="12"/>
    </row>
    <row r="346" spans="1:21" x14ac:dyDescent="0.25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4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7"/>
      <c r="S346" s="12"/>
      <c r="T346" s="12"/>
      <c r="U346" s="12"/>
    </row>
    <row r="347" spans="1:21" x14ac:dyDescent="0.25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4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7"/>
      <c r="S347" s="12"/>
      <c r="T347" s="12"/>
      <c r="U347" s="12"/>
    </row>
    <row r="348" spans="1:21" x14ac:dyDescent="0.25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4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7"/>
      <c r="S348" s="12"/>
      <c r="T348" s="12"/>
      <c r="U348" s="12"/>
    </row>
    <row r="349" spans="1:21" x14ac:dyDescent="0.25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7"/>
      <c r="S349" s="12"/>
      <c r="T349" s="12"/>
      <c r="U349" s="12"/>
    </row>
    <row r="350" spans="1:21" x14ac:dyDescent="0.25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7"/>
      <c r="S350" s="12"/>
      <c r="T350" s="12"/>
      <c r="U350" s="12"/>
    </row>
    <row r="351" spans="1:21" x14ac:dyDescent="0.25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7"/>
      <c r="S351" s="12"/>
      <c r="T351" s="12"/>
      <c r="U351" s="12"/>
    </row>
    <row r="352" spans="1:21" x14ac:dyDescent="0.25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7"/>
      <c r="S352" s="12"/>
      <c r="T352" s="12"/>
      <c r="U352" s="12"/>
    </row>
    <row r="353" spans="1:21" ht="13.8" thickBot="1" x14ac:dyDescent="0.3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7"/>
      <c r="S353" s="12"/>
      <c r="T353" s="12"/>
      <c r="U353" s="12"/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5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5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7"/>
      <c r="S357" s="12"/>
      <c r="T357" s="12"/>
      <c r="U357" s="12"/>
    </row>
    <row r="358" spans="1:21" x14ac:dyDescent="0.25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7"/>
      <c r="S358" s="12"/>
      <c r="T358" s="12"/>
      <c r="U358" s="12"/>
    </row>
    <row r="359" spans="1:21" x14ac:dyDescent="0.25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7"/>
      <c r="S359" s="12"/>
      <c r="T359" s="12"/>
      <c r="U359" s="12"/>
    </row>
    <row r="360" spans="1:21" ht="14.1" customHeight="1" x14ac:dyDescent="0.25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7"/>
      <c r="S360" s="12"/>
      <c r="T360" s="12"/>
      <c r="U360" s="12"/>
    </row>
    <row r="361" spans="1:21" x14ac:dyDescent="0.25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7"/>
      <c r="S361" s="12"/>
      <c r="T361" s="12"/>
      <c r="U361" s="12"/>
    </row>
    <row r="362" spans="1:21" x14ac:dyDescent="0.25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7"/>
      <c r="S362" s="12"/>
      <c r="T362" s="12"/>
      <c r="U362" s="12"/>
    </row>
    <row r="363" spans="1:21" x14ac:dyDescent="0.25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7"/>
      <c r="S363" s="12"/>
      <c r="T363" s="12"/>
      <c r="U363" s="12"/>
    </row>
    <row r="364" spans="1:21" x14ac:dyDescent="0.25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7"/>
      <c r="S364" s="12"/>
      <c r="T364" s="12"/>
      <c r="U364" s="12"/>
    </row>
    <row r="365" spans="1:21" x14ac:dyDescent="0.25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7"/>
      <c r="S365" s="12"/>
      <c r="T365" s="12"/>
      <c r="U365" s="12"/>
    </row>
    <row r="366" spans="1:21" ht="13.8" thickBot="1" x14ac:dyDescent="0.3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7"/>
      <c r="S366" s="12"/>
      <c r="T366" s="12"/>
      <c r="U366" s="12"/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5">H368*46/1000</f>
        <v>192.97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6">I368-I369</f>
        <v>-926</v>
      </c>
      <c r="H369" s="16">
        <v>3857</v>
      </c>
      <c r="I369" s="16">
        <v>5607</v>
      </c>
      <c r="J369" s="15"/>
      <c r="K369" s="15"/>
      <c r="L369" s="16">
        <f t="shared" si="95"/>
        <v>177.422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6"/>
        <v>-1444</v>
      </c>
      <c r="H370" s="16">
        <v>4425</v>
      </c>
      <c r="I370" s="16">
        <v>7051</v>
      </c>
      <c r="J370" s="15"/>
      <c r="K370" s="15"/>
      <c r="L370" s="16">
        <f t="shared" si="95"/>
        <v>203.55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6"/>
        <v>760</v>
      </c>
      <c r="H371" s="16">
        <v>4344</v>
      </c>
      <c r="I371" s="16">
        <v>6291</v>
      </c>
      <c r="J371" s="15"/>
      <c r="K371" s="15"/>
      <c r="L371" s="16">
        <f t="shared" si="95"/>
        <v>199.82400000000001</v>
      </c>
      <c r="N371" s="23" t="s">
        <v>118</v>
      </c>
    </row>
    <row r="372" spans="1:14" x14ac:dyDescent="0.25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6"/>
        <v>-600</v>
      </c>
      <c r="H372" s="16">
        <v>5607</v>
      </c>
      <c r="I372" s="16">
        <v>6891</v>
      </c>
      <c r="J372" s="15"/>
      <c r="K372" s="15"/>
      <c r="L372" s="16">
        <f t="shared" si="95"/>
        <v>257.92200000000003</v>
      </c>
      <c r="N372" s="23" t="s">
        <v>137</v>
      </c>
    </row>
    <row r="373" spans="1:14" x14ac:dyDescent="0.25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6"/>
        <v>2310</v>
      </c>
      <c r="H373" s="16">
        <v>4957</v>
      </c>
      <c r="I373" s="16">
        <v>4581</v>
      </c>
      <c r="J373" s="15"/>
      <c r="K373" s="15"/>
      <c r="L373" s="16">
        <f t="shared" si="95"/>
        <v>228.02199999999999</v>
      </c>
      <c r="N373" s="23" t="s">
        <v>138</v>
      </c>
    </row>
    <row r="374" spans="1:14" x14ac:dyDescent="0.25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6"/>
        <v>-3553</v>
      </c>
      <c r="H374" s="16">
        <v>3749</v>
      </c>
      <c r="I374" s="16">
        <v>8134</v>
      </c>
      <c r="J374" s="15"/>
      <c r="K374" s="15"/>
      <c r="L374" s="16">
        <f t="shared" si="95"/>
        <v>172.45400000000001</v>
      </c>
      <c r="N374" s="23" t="s">
        <v>129</v>
      </c>
    </row>
    <row r="375" spans="1:14" x14ac:dyDescent="0.25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5"/>
        <v>262.56799999999998</v>
      </c>
      <c r="N375" s="23" t="s">
        <v>122</v>
      </c>
    </row>
    <row r="376" spans="1:14" x14ac:dyDescent="0.25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5"/>
        <v>195.5</v>
      </c>
      <c r="N376" s="23" t="s">
        <v>123</v>
      </c>
    </row>
    <row r="377" spans="1:14" x14ac:dyDescent="0.25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5"/>
        <v>142.46199999999999</v>
      </c>
      <c r="N377" s="23" t="s">
        <v>131</v>
      </c>
    </row>
    <row r="378" spans="1:14" x14ac:dyDescent="0.25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5"/>
        <v>234.14</v>
      </c>
      <c r="N378" s="23" t="s">
        <v>125</v>
      </c>
    </row>
    <row r="379" spans="1:14" ht="13.8" thickBot="1" x14ac:dyDescent="0.3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5"/>
        <v>194.44200000000001</v>
      </c>
      <c r="N379" s="43" t="s">
        <v>113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7">H381*46/1000</f>
        <v>213.67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8">I381-I382</f>
        <v>2453</v>
      </c>
      <c r="H382" s="16">
        <v>4230</v>
      </c>
      <c r="I382" s="16">
        <v>5143</v>
      </c>
      <c r="J382" s="15"/>
      <c r="K382" s="15"/>
      <c r="L382" s="16">
        <f t="shared" si="97"/>
        <v>194.58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8"/>
        <v>-2067</v>
      </c>
      <c r="H383" s="16">
        <v>4896</v>
      </c>
      <c r="I383" s="16">
        <v>7210</v>
      </c>
      <c r="J383" s="15"/>
      <c r="K383" s="15"/>
      <c r="L383" s="16">
        <f t="shared" si="97"/>
        <v>225.21600000000001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8"/>
        <v>408</v>
      </c>
      <c r="H384" s="16">
        <v>3727</v>
      </c>
      <c r="I384" s="16">
        <v>6802</v>
      </c>
      <c r="J384" s="15"/>
      <c r="K384" s="15"/>
      <c r="L384" s="16">
        <f t="shared" si="97"/>
        <v>171.44200000000001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8"/>
        <v>0</v>
      </c>
      <c r="H385" s="16">
        <v>3727</v>
      </c>
      <c r="I385" s="16">
        <v>6802</v>
      </c>
      <c r="J385" s="15"/>
      <c r="K385" s="15"/>
      <c r="L385" s="16">
        <f t="shared" si="97"/>
        <v>171.44200000000001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8"/>
        <v>-986</v>
      </c>
      <c r="H386" s="16">
        <v>4744</v>
      </c>
      <c r="I386" s="16">
        <v>7788</v>
      </c>
      <c r="J386" s="15"/>
      <c r="K386" s="15"/>
      <c r="L386" s="16">
        <f t="shared" si="97"/>
        <v>218.22399999999999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8"/>
        <v>269</v>
      </c>
      <c r="H387" s="16">
        <v>4672</v>
      </c>
      <c r="I387" s="16">
        <v>7519</v>
      </c>
      <c r="J387" s="15"/>
      <c r="K387" s="15"/>
      <c r="L387" s="16">
        <f t="shared" si="97"/>
        <v>214.91200000000001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8"/>
        <v>1541</v>
      </c>
      <c r="H388" s="16">
        <v>4633</v>
      </c>
      <c r="I388" s="16">
        <v>5978</v>
      </c>
      <c r="J388" s="15"/>
      <c r="K388" s="15"/>
      <c r="L388" s="16">
        <f t="shared" si="97"/>
        <v>213.11799999999999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8"/>
        <v>1390</v>
      </c>
      <c r="H389" s="16">
        <v>4087</v>
      </c>
      <c r="I389" s="16">
        <v>4588</v>
      </c>
      <c r="J389" s="15"/>
      <c r="K389" s="15"/>
      <c r="L389" s="16">
        <f t="shared" si="97"/>
        <v>188.00200000000001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8"/>
        <v>-445</v>
      </c>
      <c r="H390" s="16">
        <v>4153</v>
      </c>
      <c r="I390" s="16">
        <v>5033</v>
      </c>
      <c r="J390" s="15"/>
      <c r="K390" s="15"/>
      <c r="L390" s="16">
        <f t="shared" si="97"/>
        <v>191.03800000000001</v>
      </c>
      <c r="N390" s="23" t="str">
        <f>'Olieforbrug, TJ'!M390</f>
        <v>October</v>
      </c>
    </row>
    <row r="391" spans="1:14" ht="15" customHeight="1" x14ac:dyDescent="0.25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8"/>
        <v>2</v>
      </c>
      <c r="H391" s="16">
        <v>4932</v>
      </c>
      <c r="I391" s="16">
        <v>5031</v>
      </c>
      <c r="J391" s="15"/>
      <c r="K391" s="15"/>
      <c r="L391" s="16">
        <f t="shared" si="97"/>
        <v>226.87200000000001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8"/>
        <v>-1789</v>
      </c>
      <c r="H392" s="42">
        <v>4078</v>
      </c>
      <c r="I392" s="42">
        <v>6820</v>
      </c>
      <c r="J392" s="2"/>
      <c r="K392" s="2"/>
      <c r="L392" s="42">
        <f t="shared" si="97"/>
        <v>187.58799999999999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9">H394*46/1000</f>
        <v>223.69800000000001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100">I394-I395</f>
        <v>-3674</v>
      </c>
      <c r="H395" s="16">
        <v>4312</v>
      </c>
      <c r="I395" s="16">
        <v>8380</v>
      </c>
      <c r="J395" s="15"/>
      <c r="K395" s="15"/>
      <c r="L395" s="16">
        <f t="shared" si="99"/>
        <v>198.352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100"/>
        <v>812</v>
      </c>
      <c r="H396" s="16">
        <v>4095</v>
      </c>
      <c r="I396" s="16">
        <v>7568</v>
      </c>
      <c r="J396" s="15"/>
      <c r="K396" s="15"/>
      <c r="L396" s="16">
        <f t="shared" si="99"/>
        <v>188.37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100"/>
        <v>2238</v>
      </c>
      <c r="H397" s="16">
        <v>5116</v>
      </c>
      <c r="I397" s="16">
        <v>5330</v>
      </c>
      <c r="J397" s="15"/>
      <c r="K397" s="15"/>
      <c r="L397" s="16">
        <f t="shared" si="99"/>
        <v>235.33600000000001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100"/>
        <v>-655</v>
      </c>
      <c r="H398" s="16">
        <v>5565</v>
      </c>
      <c r="I398" s="16">
        <v>5985</v>
      </c>
      <c r="J398" s="15"/>
      <c r="K398" s="15"/>
      <c r="L398" s="16">
        <f t="shared" si="99"/>
        <v>255.99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100"/>
        <v>779</v>
      </c>
      <c r="H399" s="16">
        <v>5112</v>
      </c>
      <c r="I399" s="16">
        <v>5206</v>
      </c>
      <c r="J399" s="15"/>
      <c r="K399" s="15"/>
      <c r="L399" s="16">
        <f t="shared" si="99"/>
        <v>235.15199999999999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100"/>
        <v>-1555</v>
      </c>
      <c r="H400" s="16">
        <v>5396</v>
      </c>
      <c r="I400" s="16">
        <v>6761</v>
      </c>
      <c r="J400" s="15"/>
      <c r="K400" s="15"/>
      <c r="L400" s="16">
        <f t="shared" si="99"/>
        <v>248.21600000000001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9"/>
        <v>278.43799999999999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9"/>
        <v>157.68799999999999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9"/>
        <v>202.21600000000001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9"/>
        <v>221.44399999999999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9"/>
        <v>191.68199999999999</v>
      </c>
      <c r="N405" s="43" t="str">
        <f>'Olieforbrug, TJ'!M405</f>
        <v>December</v>
      </c>
    </row>
    <row r="406" spans="1:14" x14ac:dyDescent="0.25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5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101">H407*46/1000</f>
        <v>213.762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102">I407-I408</f>
        <v>-753</v>
      </c>
      <c r="H408" s="16">
        <v>3994</v>
      </c>
      <c r="I408" s="16">
        <v>7161</v>
      </c>
      <c r="J408" s="15"/>
      <c r="K408" s="15"/>
      <c r="L408" s="16">
        <f t="shared" si="101"/>
        <v>183.72399999999999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102"/>
        <v>1036</v>
      </c>
      <c r="H409" s="16">
        <v>4535</v>
      </c>
      <c r="I409" s="16">
        <v>6125</v>
      </c>
      <c r="J409" s="15"/>
      <c r="K409" s="15"/>
      <c r="L409" s="16">
        <f t="shared" si="101"/>
        <v>208.61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102"/>
        <v>941</v>
      </c>
      <c r="H410" s="16">
        <v>5403</v>
      </c>
      <c r="I410" s="16">
        <v>5184</v>
      </c>
      <c r="J410" s="15"/>
      <c r="K410" s="15"/>
      <c r="L410" s="16">
        <f t="shared" si="101"/>
        <v>248.53800000000001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102"/>
        <v>-90</v>
      </c>
      <c r="H411" s="16">
        <v>5413</v>
      </c>
      <c r="I411" s="16">
        <v>5274</v>
      </c>
      <c r="J411" s="15"/>
      <c r="K411" s="15"/>
      <c r="L411" s="16">
        <f t="shared" si="101"/>
        <v>248.99799999999999</v>
      </c>
      <c r="N411" s="23" t="str">
        <f>'Olieforbrug, TJ'!M411</f>
        <v>May</v>
      </c>
    </row>
    <row r="412" spans="1:14" ht="12" customHeight="1" x14ac:dyDescent="0.25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102"/>
        <v>66</v>
      </c>
      <c r="H412" s="16">
        <v>4819</v>
      </c>
      <c r="I412" s="16">
        <v>5208</v>
      </c>
      <c r="J412" s="15"/>
      <c r="K412" s="15"/>
      <c r="L412" s="16">
        <f t="shared" si="101"/>
        <v>221.67400000000001</v>
      </c>
      <c r="N412" s="23" t="str">
        <f>'Olieforbrug, TJ'!M412</f>
        <v>June</v>
      </c>
    </row>
    <row r="413" spans="1:14" ht="12" customHeight="1" x14ac:dyDescent="0.25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102"/>
        <v>-663</v>
      </c>
      <c r="H413" s="16">
        <v>5226</v>
      </c>
      <c r="I413" s="16">
        <v>5871</v>
      </c>
      <c r="J413" s="15"/>
      <c r="K413" s="15"/>
      <c r="L413" s="16">
        <f t="shared" si="101"/>
        <v>240.39599999999999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101"/>
        <v>225.63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101"/>
        <v>218.63800000000001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101"/>
        <v>192.74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101"/>
        <v>192.23400000000001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101"/>
        <v>202.124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103">H420*46/1000</f>
        <v>202.30799999999999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4">I420-I421</f>
        <v>-609</v>
      </c>
      <c r="H421" s="16">
        <v>4465</v>
      </c>
      <c r="I421" s="16">
        <v>6588</v>
      </c>
      <c r="J421" s="15"/>
      <c r="K421" s="15"/>
      <c r="L421" s="16">
        <f t="shared" si="103"/>
        <v>205.39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4"/>
        <v>1266</v>
      </c>
      <c r="H422" s="16">
        <v>5874</v>
      </c>
      <c r="I422" s="16">
        <v>5322</v>
      </c>
      <c r="J422" s="15"/>
      <c r="K422" s="15"/>
      <c r="L422" s="16">
        <f t="shared" si="103"/>
        <v>270.20400000000001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4"/>
        <v>1328</v>
      </c>
      <c r="H423" s="16">
        <v>5236</v>
      </c>
      <c r="I423" s="16">
        <v>3994</v>
      </c>
      <c r="J423" s="15"/>
      <c r="K423" s="15"/>
      <c r="L423" s="16">
        <f t="shared" si="103"/>
        <v>240.85599999999999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4"/>
        <v>-1970</v>
      </c>
      <c r="H424" s="16">
        <v>5630</v>
      </c>
      <c r="I424" s="16">
        <v>5964</v>
      </c>
      <c r="J424" s="15"/>
      <c r="K424" s="15"/>
      <c r="L424" s="16">
        <f t="shared" si="103"/>
        <v>258.98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4"/>
        <v>1148</v>
      </c>
      <c r="H425" s="16">
        <v>6610</v>
      </c>
      <c r="I425" s="16">
        <v>4816</v>
      </c>
      <c r="J425" s="15"/>
      <c r="K425" s="15"/>
      <c r="L425" s="16">
        <f t="shared" si="103"/>
        <v>304.06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4"/>
        <v>-933</v>
      </c>
      <c r="H426" s="16">
        <v>5346</v>
      </c>
      <c r="I426" s="16">
        <v>5749</v>
      </c>
      <c r="J426" s="15"/>
      <c r="K426" s="15"/>
      <c r="L426" s="16">
        <f t="shared" si="103"/>
        <v>245.916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4"/>
        <v>827</v>
      </c>
      <c r="H427" s="16">
        <v>5978</v>
      </c>
      <c r="I427" s="16">
        <v>4922</v>
      </c>
      <c r="J427" s="15"/>
      <c r="K427" s="15"/>
      <c r="L427" s="16">
        <f t="shared" si="103"/>
        <v>274.988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4"/>
        <v>1085</v>
      </c>
      <c r="H428" s="16">
        <v>4125</v>
      </c>
      <c r="I428" s="16">
        <v>3837</v>
      </c>
      <c r="J428" s="15"/>
      <c r="K428" s="15"/>
      <c r="L428" s="16">
        <f t="shared" si="103"/>
        <v>189.75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4"/>
        <v>-2135</v>
      </c>
      <c r="H429" s="16">
        <v>4669</v>
      </c>
      <c r="I429" s="16">
        <v>5972</v>
      </c>
      <c r="J429" s="15"/>
      <c r="K429" s="15"/>
      <c r="L429" s="16">
        <f t="shared" si="103"/>
        <v>214.774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4"/>
        <v>-657</v>
      </c>
      <c r="H430" s="16">
        <v>4916</v>
      </c>
      <c r="I430" s="16">
        <v>6629</v>
      </c>
      <c r="J430" s="15"/>
      <c r="K430" s="15"/>
      <c r="L430" s="16">
        <f t="shared" si="103"/>
        <v>226.136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4"/>
        <v>1667</v>
      </c>
      <c r="H431" s="42">
        <v>5053</v>
      </c>
      <c r="I431" s="42">
        <v>4962</v>
      </c>
      <c r="J431" s="2"/>
      <c r="K431" s="2"/>
      <c r="L431" s="42">
        <f t="shared" si="103"/>
        <v>232.43799999999999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5">H433*46/1000</f>
        <v>214.36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6">I433-I434</f>
        <v>-3087</v>
      </c>
      <c r="H434" s="16">
        <v>4359</v>
      </c>
      <c r="I434" s="16">
        <v>8868</v>
      </c>
      <c r="J434" s="15"/>
      <c r="K434" s="15"/>
      <c r="L434" s="16">
        <f t="shared" si="105"/>
        <v>200.51400000000001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6"/>
        <v>4071</v>
      </c>
      <c r="H435" s="16">
        <v>4316</v>
      </c>
      <c r="I435" s="16">
        <v>4797</v>
      </c>
      <c r="J435" s="15"/>
      <c r="K435" s="15"/>
      <c r="L435" s="16">
        <f t="shared" si="105"/>
        <v>198.536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6"/>
        <v>-1202</v>
      </c>
      <c r="H436" s="16">
        <v>4426</v>
      </c>
      <c r="I436" s="16">
        <v>5999</v>
      </c>
      <c r="J436" s="15"/>
      <c r="K436" s="15"/>
      <c r="L436" s="16">
        <f t="shared" si="105"/>
        <v>203.596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6"/>
        <v>-734</v>
      </c>
      <c r="H437" s="16">
        <v>5874</v>
      </c>
      <c r="I437" s="16">
        <v>6733</v>
      </c>
      <c r="J437" s="15"/>
      <c r="K437" s="15"/>
      <c r="L437" s="16">
        <f t="shared" si="105"/>
        <v>270.20400000000001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6"/>
        <v>2240</v>
      </c>
      <c r="H438" s="16">
        <v>6025</v>
      </c>
      <c r="I438" s="16">
        <v>4493</v>
      </c>
      <c r="J438" s="15"/>
      <c r="K438" s="15"/>
      <c r="L438" s="16">
        <f t="shared" si="105"/>
        <v>277.14999999999998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6"/>
        <v>-1941</v>
      </c>
      <c r="H439" s="16">
        <v>4756</v>
      </c>
      <c r="I439" s="16">
        <v>6434</v>
      </c>
      <c r="J439" s="15"/>
      <c r="K439" s="15"/>
      <c r="L439" s="16">
        <f t="shared" ref="L439" si="107">H439*46/1000</f>
        <v>218.77600000000001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8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9">H440*46/1000</f>
        <v>303.27800000000002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10">I440-I441</f>
        <v>1001</v>
      </c>
      <c r="H441" s="16">
        <v>7235</v>
      </c>
      <c r="I441" s="16">
        <v>4335</v>
      </c>
      <c r="J441" s="15"/>
      <c r="K441" s="15"/>
      <c r="L441" s="16">
        <f t="shared" ref="L441" si="111">H441*46/1000</f>
        <v>332.81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12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13">H442*46/1000</f>
        <v>283.17599999999999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4">I442-I443</f>
        <v>74</v>
      </c>
      <c r="H443" s="16">
        <v>6151</v>
      </c>
      <c r="I443" s="16">
        <v>5881</v>
      </c>
      <c r="J443" s="15"/>
      <c r="K443" s="15"/>
      <c r="L443" s="16">
        <f t="shared" ref="L443" si="115">H443*46/1000</f>
        <v>282.94600000000003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6">I443-I444</f>
        <v>709</v>
      </c>
      <c r="H444" s="42">
        <v>6029</v>
      </c>
      <c r="I444" s="42">
        <v>5172</v>
      </c>
      <c r="J444" s="2"/>
      <c r="K444" s="2"/>
      <c r="L444" s="42">
        <f t="shared" ref="L444" si="117">H444*46/1000</f>
        <v>277.334</v>
      </c>
      <c r="N444" s="43" t="str">
        <f>'Olieforbrug, TJ'!M444</f>
        <v>December</v>
      </c>
    </row>
    <row r="445" spans="1:14" x14ac:dyDescent="0.25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8">H446*46/1000</f>
        <v>388.976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9">I446-I447</f>
        <v>414</v>
      </c>
      <c r="H447" s="16">
        <v>7740</v>
      </c>
      <c r="I447" s="16">
        <v>4326</v>
      </c>
      <c r="J447" s="15"/>
      <c r="K447" s="15"/>
      <c r="L447" s="16">
        <f t="shared" ref="L447" si="120">H447*46/1000</f>
        <v>356.04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9"/>
        <v>-1473</v>
      </c>
      <c r="H448" s="16">
        <v>8584</v>
      </c>
      <c r="I448" s="16">
        <v>5799</v>
      </c>
      <c r="J448" s="15"/>
      <c r="K448" s="15"/>
      <c r="L448" s="16">
        <f t="shared" ref="L448" si="121">H448*46/1000</f>
        <v>394.86399999999998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9"/>
        <v>-83</v>
      </c>
      <c r="H449" s="16">
        <v>7099</v>
      </c>
      <c r="I449" s="16">
        <v>5882</v>
      </c>
      <c r="J449" s="15"/>
      <c r="K449" s="15"/>
      <c r="L449" s="16">
        <f t="shared" ref="L449" si="122">H449*46/1000</f>
        <v>326.55399999999997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9"/>
        <v>-1315</v>
      </c>
      <c r="H450" s="16">
        <v>8679</v>
      </c>
      <c r="I450" s="16">
        <v>7197</v>
      </c>
      <c r="J450" s="15"/>
      <c r="K450" s="15"/>
      <c r="L450" s="16">
        <f t="shared" ref="L450" si="123">H450*46/1000</f>
        <v>399.23399999999998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9"/>
        <v>613</v>
      </c>
      <c r="H451" s="16">
        <v>7567</v>
      </c>
      <c r="I451" s="16">
        <v>6584</v>
      </c>
      <c r="J451" s="15"/>
      <c r="K451" s="15"/>
      <c r="L451" s="16">
        <f t="shared" ref="L451" si="124">H451*46/1000</f>
        <v>348.08199999999999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9"/>
        <v>-1377</v>
      </c>
      <c r="H452" s="16">
        <v>5337</v>
      </c>
      <c r="I452" s="16">
        <v>7961</v>
      </c>
      <c r="J452" s="15"/>
      <c r="K452" s="15"/>
      <c r="L452" s="16">
        <f t="shared" ref="L452" si="125">H452*46/1000</f>
        <v>245.50200000000001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6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7">H453*46/1000</f>
        <v>340.44600000000003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8">I453-I454</f>
        <v>653</v>
      </c>
      <c r="H454" s="16">
        <v>6164</v>
      </c>
      <c r="I454" s="16">
        <v>5653</v>
      </c>
      <c r="J454" s="15"/>
      <c r="K454" s="15"/>
      <c r="L454" s="16">
        <f t="shared" ref="L454" si="129">H454*46/1000</f>
        <v>283.54399999999998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30">I454-I455</f>
        <v>661</v>
      </c>
      <c r="H455" s="16">
        <v>6427</v>
      </c>
      <c r="I455" s="16">
        <v>4992</v>
      </c>
      <c r="J455" s="15"/>
      <c r="K455" s="15"/>
      <c r="L455" s="16">
        <f t="shared" ref="L455" si="131">H455*46/1000</f>
        <v>295.642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32">I455-I456</f>
        <v>-573</v>
      </c>
      <c r="H456" s="16">
        <v>6234</v>
      </c>
      <c r="I456" s="16">
        <v>5565</v>
      </c>
      <c r="J456" s="15"/>
      <c r="K456" s="15"/>
      <c r="L456" s="16">
        <f t="shared" ref="L456" si="133">H456*46/1000</f>
        <v>286.76400000000001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4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5">H457*46/1000</f>
        <v>256.86399999999998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6">H459*46/1000</f>
        <v>277.88600000000002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7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8">H460*46/1000</f>
        <v>249.41200000000001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7"/>
        <v>-2398</v>
      </c>
      <c r="H461" s="3">
        <v>5949</v>
      </c>
      <c r="I461" s="16">
        <v>8169</v>
      </c>
      <c r="J461" s="15"/>
      <c r="K461" s="15"/>
      <c r="L461" s="16">
        <f t="shared" ref="L461" si="139">H461*46/1000</f>
        <v>273.654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7"/>
        <v>1900</v>
      </c>
      <c r="H462" s="3">
        <v>6272</v>
      </c>
      <c r="I462" s="16">
        <v>6269</v>
      </c>
      <c r="J462" s="15"/>
      <c r="K462" s="15"/>
      <c r="L462" s="16">
        <f t="shared" ref="L462" si="140">H462*46/1000</f>
        <v>288.512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7"/>
        <v>843</v>
      </c>
      <c r="H463" s="3">
        <v>7242</v>
      </c>
      <c r="I463" s="16">
        <v>5426</v>
      </c>
      <c r="J463" s="15"/>
      <c r="K463" s="15"/>
      <c r="L463" s="16">
        <f t="shared" ref="L463" si="141">H463*46/1000</f>
        <v>333.13200000000001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7"/>
        <v>206</v>
      </c>
      <c r="H464" s="3">
        <v>6833</v>
      </c>
      <c r="I464" s="16">
        <v>5220</v>
      </c>
      <c r="J464" s="15"/>
      <c r="K464" s="15"/>
      <c r="L464" s="16">
        <f t="shared" ref="L464" si="142">H464*46/1000</f>
        <v>314.31799999999998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7"/>
        <v>-1079</v>
      </c>
      <c r="H465" s="3">
        <v>5431</v>
      </c>
      <c r="I465" s="16">
        <v>6299</v>
      </c>
      <c r="J465" s="15"/>
      <c r="K465" s="15"/>
      <c r="L465" s="16">
        <f t="shared" ref="L465" si="143">H465*46/1000</f>
        <v>249.82599999999999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4">I465-I466</f>
        <v>-604</v>
      </c>
      <c r="H466" s="3">
        <v>6242</v>
      </c>
      <c r="I466" s="16">
        <v>6903</v>
      </c>
      <c r="J466" s="15"/>
      <c r="K466" s="15"/>
      <c r="L466" s="16">
        <f t="shared" ref="L466" si="145">H466*46/1000</f>
        <v>287.13200000000001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6">I466-I467</f>
        <v>1805</v>
      </c>
      <c r="H467" s="3">
        <v>5287</v>
      </c>
      <c r="I467" s="16">
        <v>5098</v>
      </c>
      <c r="J467" s="15"/>
      <c r="K467" s="15"/>
      <c r="L467" s="16">
        <f t="shared" ref="L467" si="147">H467*46/1000</f>
        <v>243.202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8">I467-I468</f>
        <v>-965</v>
      </c>
      <c r="H468" s="3">
        <v>5599</v>
      </c>
      <c r="I468" s="16">
        <v>6063</v>
      </c>
      <c r="J468" s="15"/>
      <c r="K468" s="15"/>
      <c r="L468" s="16">
        <f t="shared" ref="L468" si="149">H468*46/1000</f>
        <v>257.55399999999997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50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51">H469*46/1000</f>
        <v>327.98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52">I469-I470</f>
        <v>303</v>
      </c>
      <c r="H470" s="42">
        <v>4713</v>
      </c>
      <c r="I470" s="42">
        <v>6793</v>
      </c>
      <c r="J470" s="2"/>
      <c r="K470" s="2"/>
      <c r="L470" s="42">
        <f t="shared" ref="L470" si="153">H470*46/1000</f>
        <v>216.798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4">H472*46/1000</f>
        <v>240.81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5">I472-I473</f>
        <v>251</v>
      </c>
      <c r="H473" s="16">
        <v>5102</v>
      </c>
      <c r="I473" s="16">
        <v>6011</v>
      </c>
      <c r="J473" s="15"/>
      <c r="K473" s="15"/>
      <c r="L473" s="16">
        <f t="shared" ref="L473" si="156">H473*46/1000</f>
        <v>234.69200000000001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5"/>
        <v>-1935</v>
      </c>
      <c r="H474" s="16">
        <v>5540</v>
      </c>
      <c r="I474" s="16">
        <v>7946</v>
      </c>
      <c r="J474" s="15"/>
      <c r="K474" s="15"/>
      <c r="L474" s="16">
        <f t="shared" ref="L474" si="157">H474*46/1000</f>
        <v>254.84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5"/>
        <v>2019</v>
      </c>
      <c r="H475" s="16">
        <v>5638</v>
      </c>
      <c r="I475" s="16">
        <v>5927</v>
      </c>
      <c r="J475" s="15"/>
      <c r="K475" s="15"/>
      <c r="L475" s="16">
        <f t="shared" ref="L475" si="158">H475*46/1000</f>
        <v>259.34800000000001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5"/>
        <v>-1094</v>
      </c>
      <c r="H476" s="16">
        <v>5347</v>
      </c>
      <c r="I476" s="16">
        <v>7021</v>
      </c>
      <c r="J476" s="15"/>
      <c r="K476" s="15"/>
      <c r="L476" s="16">
        <f t="shared" ref="L476" si="159">H476*46/1000</f>
        <v>245.96199999999999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5"/>
        <v>-863</v>
      </c>
      <c r="H477" s="16">
        <v>5465</v>
      </c>
      <c r="I477" s="16">
        <v>7884</v>
      </c>
      <c r="J477" s="15"/>
      <c r="K477" s="15"/>
      <c r="L477" s="16">
        <f t="shared" ref="L477" si="160">H477*46/1000</f>
        <v>251.39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5"/>
        <v>362</v>
      </c>
      <c r="H478" s="16">
        <v>4877</v>
      </c>
      <c r="I478" s="16">
        <v>7522</v>
      </c>
      <c r="J478" s="15"/>
      <c r="K478" s="15"/>
      <c r="L478" s="16">
        <f t="shared" ref="L478" si="161">H478*46/1000</f>
        <v>224.34200000000001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10154</v>
      </c>
      <c r="D479" s="16">
        <v>1735</v>
      </c>
      <c r="E479" s="16">
        <v>5606</v>
      </c>
      <c r="F479" s="16">
        <v>0</v>
      </c>
      <c r="G479" s="69">
        <f t="shared" ref="G479" si="162">I478-I479</f>
        <v>-1191</v>
      </c>
      <c r="H479" s="16">
        <v>5523</v>
      </c>
      <c r="I479" s="16">
        <v>8713</v>
      </c>
      <c r="J479" s="15"/>
      <c r="K479" s="15"/>
      <c r="L479" s="16">
        <f t="shared" ref="L479" si="163">H479*46/1000</f>
        <v>254.05799999999999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4138</v>
      </c>
      <c r="D480" s="16">
        <v>1791</v>
      </c>
      <c r="E480" s="16">
        <v>3979</v>
      </c>
      <c r="F480" s="16">
        <v>0</v>
      </c>
      <c r="G480" s="69">
        <f t="shared" ref="G480" si="164">I479-I480</f>
        <v>2778</v>
      </c>
      <c r="H480" s="16">
        <v>4529</v>
      </c>
      <c r="I480" s="16">
        <v>5935</v>
      </c>
      <c r="J480" s="15"/>
      <c r="K480" s="15"/>
      <c r="L480" s="16">
        <f t="shared" ref="L480" si="165">H480*46/1000</f>
        <v>208.334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6627</v>
      </c>
      <c r="D481" s="16">
        <v>2784</v>
      </c>
      <c r="E481" s="16">
        <v>1950</v>
      </c>
      <c r="F481" s="16">
        <v>0</v>
      </c>
      <c r="G481" s="69">
        <f t="shared" ref="G481" si="166">I480-I481</f>
        <v>-2393</v>
      </c>
      <c r="H481" s="16">
        <v>5215</v>
      </c>
      <c r="I481" s="16">
        <v>8328</v>
      </c>
      <c r="J481" s="15"/>
      <c r="K481" s="15"/>
      <c r="L481" s="16">
        <f t="shared" ref="L481" si="167">H481*46/1000</f>
        <v>239.89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6895</v>
      </c>
      <c r="D482" s="16">
        <v>1744</v>
      </c>
      <c r="E482" s="16">
        <v>5509</v>
      </c>
      <c r="F482" s="16">
        <v>0</v>
      </c>
      <c r="G482" s="69">
        <f t="shared" ref="G482" si="168">I481-I482</f>
        <v>1083</v>
      </c>
      <c r="H482" s="16">
        <v>4315</v>
      </c>
      <c r="I482" s="16">
        <v>7245</v>
      </c>
      <c r="J482" s="15"/>
      <c r="K482" s="15"/>
      <c r="L482" s="16">
        <f t="shared" ref="L482" si="169">H482*46/1000</f>
        <v>198.49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9190</v>
      </c>
      <c r="D483" s="16">
        <v>1766</v>
      </c>
      <c r="E483" s="16">
        <v>7274</v>
      </c>
      <c r="F483" s="16">
        <v>0</v>
      </c>
      <c r="G483" s="69">
        <f t="shared" ref="G483" si="170">I482-I483</f>
        <v>394</v>
      </c>
      <c r="H483" s="16">
        <v>4251</v>
      </c>
      <c r="I483" s="16">
        <v>6851</v>
      </c>
      <c r="J483" s="15"/>
      <c r="K483" s="15"/>
      <c r="L483" s="16">
        <f t="shared" ref="L483" si="171">H483*46/1000</f>
        <v>195.54599999999999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83"/>
  <sheetViews>
    <sheetView zoomScale="80" zoomScaleNormal="80" workbookViewId="0">
      <pane xSplit="2" ySplit="5" topLeftCell="C44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I483" sqref="I483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2" x14ac:dyDescent="0.25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5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5">
      <c r="A6" s="21"/>
      <c r="C6" s="10"/>
      <c r="D6" s="10"/>
      <c r="E6" s="10"/>
      <c r="F6" s="10"/>
      <c r="G6" s="10"/>
      <c r="H6" s="10"/>
      <c r="I6" s="10"/>
    </row>
    <row r="7" spans="1:12" x14ac:dyDescent="0.25">
      <c r="A7" s="22">
        <v>2005</v>
      </c>
      <c r="J7" s="3"/>
      <c r="K7" s="22">
        <v>2005</v>
      </c>
    </row>
    <row r="8" spans="1:12" x14ac:dyDescent="0.25">
      <c r="A8" s="22">
        <v>2006</v>
      </c>
      <c r="J8" s="3"/>
      <c r="K8" s="22">
        <v>2006</v>
      </c>
    </row>
    <row r="9" spans="1:12" x14ac:dyDescent="0.25">
      <c r="A9" s="22">
        <v>2007</v>
      </c>
      <c r="J9" s="3"/>
      <c r="K9" s="22">
        <v>2007</v>
      </c>
    </row>
    <row r="10" spans="1:12" x14ac:dyDescent="0.25">
      <c r="A10" s="22">
        <v>2008</v>
      </c>
      <c r="J10" s="3"/>
      <c r="K10" s="22">
        <v>2008</v>
      </c>
    </row>
    <row r="11" spans="1:12" x14ac:dyDescent="0.25">
      <c r="A11" s="22">
        <v>2009</v>
      </c>
      <c r="J11" s="3"/>
      <c r="K11" s="22">
        <v>2009</v>
      </c>
    </row>
    <row r="12" spans="1:12" x14ac:dyDescent="0.25">
      <c r="A12" s="22">
        <v>2010</v>
      </c>
      <c r="J12" s="3"/>
      <c r="K12" s="22">
        <v>2010</v>
      </c>
    </row>
    <row r="13" spans="1:12" x14ac:dyDescent="0.25">
      <c r="A13" s="22">
        <v>2011</v>
      </c>
      <c r="J13" s="3"/>
      <c r="K13" s="22">
        <v>2011</v>
      </c>
    </row>
    <row r="14" spans="1:12" x14ac:dyDescent="0.25">
      <c r="A14" s="22">
        <v>2012</v>
      </c>
      <c r="J14" s="3"/>
      <c r="K14" s="22">
        <v>2012</v>
      </c>
    </row>
    <row r="15" spans="1:12" ht="12.75" customHeight="1" x14ac:dyDescent="0.25">
      <c r="A15" s="22">
        <v>2013</v>
      </c>
      <c r="J15" s="3"/>
      <c r="K15" s="22">
        <v>2013</v>
      </c>
    </row>
    <row r="16" spans="1:12" ht="12.75" customHeight="1" x14ac:dyDescent="0.25">
      <c r="A16" s="22">
        <v>2014</v>
      </c>
      <c r="J16" s="3"/>
      <c r="K16" s="22">
        <v>2014</v>
      </c>
    </row>
    <row r="17" spans="1:13" x14ac:dyDescent="0.25">
      <c r="A17" s="22">
        <v>2015</v>
      </c>
      <c r="J17" s="3"/>
      <c r="K17" s="22">
        <v>2015</v>
      </c>
      <c r="M17" s="3"/>
    </row>
    <row r="18" spans="1:13" x14ac:dyDescent="0.25">
      <c r="A18" s="22">
        <v>2016</v>
      </c>
      <c r="J18" s="3"/>
      <c r="K18" s="22">
        <v>2016</v>
      </c>
      <c r="M18" s="3"/>
    </row>
    <row r="19" spans="1:13" x14ac:dyDescent="0.25">
      <c r="A19" s="22">
        <v>2017</v>
      </c>
      <c r="J19" s="3"/>
      <c r="K19" s="22">
        <v>2017</v>
      </c>
      <c r="L19" s="3"/>
      <c r="M19" s="57"/>
    </row>
    <row r="20" spans="1:13" x14ac:dyDescent="0.25">
      <c r="A20" s="22">
        <v>2018</v>
      </c>
      <c r="J20" s="3"/>
      <c r="K20" s="22">
        <v>2018</v>
      </c>
      <c r="L20" s="3"/>
      <c r="M20" s="57"/>
    </row>
    <row r="21" spans="1:13" x14ac:dyDescent="0.25">
      <c r="A21" s="22">
        <v>2019</v>
      </c>
      <c r="J21" s="3"/>
      <c r="K21" s="22">
        <v>2019</v>
      </c>
      <c r="L21" s="3"/>
      <c r="M21" s="57"/>
    </row>
    <row r="22" spans="1:13" x14ac:dyDescent="0.25">
      <c r="A22" s="22">
        <v>2020</v>
      </c>
      <c r="J22" s="3"/>
      <c r="K22" s="22">
        <v>2020</v>
      </c>
      <c r="L22" s="3"/>
      <c r="M22" s="57"/>
    </row>
    <row r="23" spans="1:13" x14ac:dyDescent="0.25">
      <c r="A23" s="22">
        <v>2021</v>
      </c>
      <c r="J23" s="3"/>
      <c r="K23" s="22">
        <v>2021</v>
      </c>
      <c r="L23" s="3"/>
      <c r="M23" s="57"/>
    </row>
    <row r="24" spans="1:13" x14ac:dyDescent="0.25">
      <c r="A24" s="22">
        <v>2022</v>
      </c>
      <c r="J24" s="3"/>
      <c r="K24" s="22">
        <v>2022</v>
      </c>
      <c r="L24" s="3"/>
      <c r="M24" s="57"/>
    </row>
    <row r="25" spans="1:13" x14ac:dyDescent="0.25">
      <c r="A25" s="22">
        <v>2023</v>
      </c>
      <c r="J25" s="3"/>
      <c r="K25" s="22">
        <v>2023</v>
      </c>
      <c r="L25" s="3"/>
      <c r="M25" s="57"/>
    </row>
    <row r="26" spans="1:13" x14ac:dyDescent="0.25">
      <c r="A26" s="22">
        <v>2024</v>
      </c>
      <c r="J26" s="3"/>
      <c r="K26" s="22">
        <v>2024</v>
      </c>
      <c r="L26" s="3"/>
      <c r="M26" s="57"/>
    </row>
    <row r="27" spans="1:13" x14ac:dyDescent="0.25">
      <c r="A27" s="22">
        <v>2025</v>
      </c>
      <c r="J27" s="3"/>
      <c r="K27" s="22">
        <v>2025</v>
      </c>
      <c r="L27" s="3"/>
      <c r="M27" s="57"/>
    </row>
    <row r="28" spans="1:13" ht="12.75" customHeight="1" x14ac:dyDescent="0.25">
      <c r="A28" s="22"/>
      <c r="J28" s="3"/>
      <c r="K28" s="22"/>
    </row>
    <row r="29" spans="1:13" x14ac:dyDescent="0.25">
      <c r="A29" s="22" t="str">
        <f>'Olieforbrug, TJ'!A29</f>
        <v>Januar - December</v>
      </c>
      <c r="J29" s="3"/>
      <c r="K29" s="22" t="str">
        <f>'Olieforbrug, TJ'!M29</f>
        <v>January - December</v>
      </c>
    </row>
    <row r="30" spans="1:13" x14ac:dyDescent="0.25">
      <c r="A30" s="22">
        <f>'Olieforbrug, TJ'!A30</f>
        <v>2005</v>
      </c>
      <c r="J30" s="3"/>
      <c r="K30" s="22">
        <v>2005</v>
      </c>
      <c r="M30" s="3"/>
    </row>
    <row r="31" spans="1:13" x14ac:dyDescent="0.25">
      <c r="A31" s="22">
        <f>'Olieforbrug, TJ'!A31</f>
        <v>2006</v>
      </c>
      <c r="J31" s="3"/>
      <c r="K31" s="22">
        <v>2006</v>
      </c>
      <c r="M31" s="3"/>
    </row>
    <row r="32" spans="1:13" x14ac:dyDescent="0.25">
      <c r="A32" s="22">
        <f>'Olieforbrug, TJ'!A32</f>
        <v>2007</v>
      </c>
      <c r="J32" s="3"/>
      <c r="K32" s="22">
        <v>2007</v>
      </c>
      <c r="M32" s="3"/>
    </row>
    <row r="33" spans="1:13" x14ac:dyDescent="0.25">
      <c r="A33" s="22">
        <f>'Olieforbrug, TJ'!A33</f>
        <v>2008</v>
      </c>
      <c r="J33" s="3"/>
      <c r="K33" s="22">
        <v>2008</v>
      </c>
      <c r="M33" s="3"/>
    </row>
    <row r="34" spans="1:13" x14ac:dyDescent="0.25">
      <c r="A34" s="22">
        <f>'Olieforbrug, TJ'!A34</f>
        <v>2009</v>
      </c>
      <c r="J34" s="3"/>
      <c r="K34" s="22">
        <v>2009</v>
      </c>
      <c r="M34" s="3"/>
    </row>
    <row r="35" spans="1:13" x14ac:dyDescent="0.25">
      <c r="A35" s="22">
        <f>'Olieforbrug, TJ'!A35</f>
        <v>2010</v>
      </c>
      <c r="J35" s="3"/>
      <c r="K35" s="22">
        <v>2010</v>
      </c>
      <c r="M35" s="3"/>
    </row>
    <row r="36" spans="1:13" x14ac:dyDescent="0.25">
      <c r="A36" s="22">
        <f>'Olieforbrug, TJ'!A36</f>
        <v>2011</v>
      </c>
      <c r="J36" s="3"/>
      <c r="K36" s="22">
        <v>2011</v>
      </c>
      <c r="M36" s="3"/>
    </row>
    <row r="37" spans="1:13" x14ac:dyDescent="0.25">
      <c r="A37" s="22">
        <f>'Olieforbrug, TJ'!A37</f>
        <v>2012</v>
      </c>
      <c r="J37" s="3"/>
      <c r="K37" s="22">
        <v>2012</v>
      </c>
      <c r="M37" s="3"/>
    </row>
    <row r="38" spans="1:13" x14ac:dyDescent="0.25">
      <c r="A38" s="22">
        <f>'Olieforbrug, TJ'!A38</f>
        <v>2013</v>
      </c>
      <c r="J38" s="3"/>
      <c r="K38" s="22">
        <v>2013</v>
      </c>
      <c r="M38" s="3"/>
    </row>
    <row r="39" spans="1:13" x14ac:dyDescent="0.25">
      <c r="A39" s="22">
        <f>'Olieforbrug, TJ'!A39</f>
        <v>2014</v>
      </c>
      <c r="J39" s="3"/>
      <c r="K39" s="22">
        <v>2014</v>
      </c>
      <c r="M39" s="3"/>
    </row>
    <row r="40" spans="1:13" x14ac:dyDescent="0.25">
      <c r="A40" s="22">
        <f>'Olieforbrug, TJ'!A40</f>
        <v>2015</v>
      </c>
      <c r="J40" s="3"/>
      <c r="K40" s="22">
        <v>2015</v>
      </c>
      <c r="M40" s="3"/>
    </row>
    <row r="41" spans="1:13" x14ac:dyDescent="0.25">
      <c r="A41" s="22">
        <f>'Olieforbrug, TJ'!A41</f>
        <v>2016</v>
      </c>
      <c r="J41" s="3"/>
      <c r="K41" s="22">
        <v>2016</v>
      </c>
      <c r="M41" s="3"/>
    </row>
    <row r="42" spans="1:13" x14ac:dyDescent="0.25">
      <c r="A42" s="22">
        <f>'Olieforbrug, TJ'!A42</f>
        <v>2017</v>
      </c>
      <c r="J42" s="3"/>
      <c r="K42" s="22">
        <v>2017</v>
      </c>
      <c r="M42" s="3"/>
    </row>
    <row r="43" spans="1:13" x14ac:dyDescent="0.25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5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5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5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5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5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5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5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5">
      <c r="A51" s="22"/>
      <c r="J51" s="51"/>
      <c r="K51" s="22"/>
    </row>
    <row r="52" spans="1:13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5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5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5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5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5">
      <c r="A57" s="23"/>
      <c r="J57" s="3"/>
    </row>
    <row r="58" spans="1:13" x14ac:dyDescent="0.25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5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5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5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5">
      <c r="A62" s="23"/>
      <c r="J62" s="3"/>
    </row>
    <row r="63" spans="1:13" x14ac:dyDescent="0.25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5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5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5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5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5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5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5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5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5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5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5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5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5">
      <c r="A82" s="32"/>
      <c r="J82" s="3"/>
      <c r="K82" s="26"/>
    </row>
    <row r="83" spans="1:11" ht="12.75" customHeight="1" x14ac:dyDescent="0.25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5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5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5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5">
      <c r="A87" s="32"/>
      <c r="J87" s="3"/>
      <c r="K87" s="26"/>
    </row>
    <row r="88" spans="1:11" ht="12.75" customHeight="1" x14ac:dyDescent="0.25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5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5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5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5">
      <c r="A92" s="32"/>
      <c r="J92" s="3"/>
      <c r="K92" s="26"/>
    </row>
    <row r="93" spans="1:11" x14ac:dyDescent="0.25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5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5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5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5">
      <c r="A97" s="32"/>
      <c r="J97" s="3"/>
      <c r="M97" s="26"/>
    </row>
    <row r="98" spans="1:22" x14ac:dyDescent="0.25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5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5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5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5">
      <c r="A102" s="32"/>
      <c r="J102" s="3"/>
      <c r="K102" s="26"/>
      <c r="L102" s="3"/>
      <c r="M102" s="3"/>
    </row>
    <row r="103" spans="1:22" s="57" customFormat="1" x14ac:dyDescent="0.25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5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5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5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5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5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5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5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5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5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5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5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5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5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5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5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5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5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5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5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5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5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5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5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5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5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5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5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5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5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5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5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5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5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5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5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5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5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5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5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5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5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5">
      <c r="A157" s="32"/>
      <c r="J157" s="3"/>
      <c r="K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5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5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5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5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5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5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5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5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5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5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5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5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5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5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5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5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8" thickBot="1" x14ac:dyDescent="0.3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5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5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5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5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5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5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5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5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5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5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5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5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5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5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5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5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5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5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5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5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5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5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5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5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8" thickBot="1" x14ac:dyDescent="0.3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4"/>
      <c r="K472" s="180" t="str">
        <f>'Olieforbrug, TJ'!M472</f>
        <v>January</v>
      </c>
      <c r="L472" s="173"/>
      <c r="M472" s="174"/>
    </row>
    <row r="473" spans="1:13" x14ac:dyDescent="0.25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4"/>
      <c r="K473" s="180" t="str">
        <f>'Olieforbrug, TJ'!M473</f>
        <v>February</v>
      </c>
    </row>
    <row r="474" spans="1:13" x14ac:dyDescent="0.25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4"/>
      <c r="K474" s="180" t="str">
        <f>'Olieforbrug, TJ'!M474</f>
        <v>March</v>
      </c>
    </row>
    <row r="475" spans="1:13" x14ac:dyDescent="0.25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4"/>
      <c r="K475" s="180" t="str">
        <f>'Olieforbrug, TJ'!M475</f>
        <v>April</v>
      </c>
    </row>
    <row r="476" spans="1:13" x14ac:dyDescent="0.25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4"/>
      <c r="K476" s="180" t="str">
        <f>'Olieforbrug, TJ'!M476</f>
        <v>May</v>
      </c>
    </row>
    <row r="477" spans="1:13" x14ac:dyDescent="0.25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4"/>
      <c r="K477" s="180" t="str">
        <f>'Olieforbrug, TJ'!M477</f>
        <v>June</v>
      </c>
    </row>
    <row r="478" spans="1:13" x14ac:dyDescent="0.25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4"/>
      <c r="K478" s="180" t="str">
        <f>'Olieforbrug, TJ'!M478</f>
        <v>July</v>
      </c>
    </row>
    <row r="479" spans="1:13" x14ac:dyDescent="0.25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82">I478-I479</f>
        <v>0</v>
      </c>
      <c r="H479" s="16">
        <v>0</v>
      </c>
      <c r="I479" s="16">
        <v>0</v>
      </c>
      <c r="J479" s="174"/>
      <c r="K479" s="180" t="str">
        <f>'Olieforbrug, TJ'!M479</f>
        <v>August</v>
      </c>
    </row>
    <row r="480" spans="1:13" x14ac:dyDescent="0.25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83">I479-I480</f>
        <v>0</v>
      </c>
      <c r="H480" s="16">
        <v>0</v>
      </c>
      <c r="I480" s="16">
        <v>0</v>
      </c>
      <c r="J480" s="174"/>
      <c r="K480" s="180" t="str">
        <f>'Olieforbrug, TJ'!M480</f>
        <v>September</v>
      </c>
    </row>
    <row r="481" spans="1:11" x14ac:dyDescent="0.25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84">I480-I481</f>
        <v>0</v>
      </c>
      <c r="H481" s="16">
        <v>0</v>
      </c>
      <c r="I481" s="16">
        <v>0</v>
      </c>
      <c r="J481" s="174"/>
      <c r="K481" s="180" t="str">
        <f>'Olieforbrug, TJ'!M481</f>
        <v>October</v>
      </c>
    </row>
    <row r="482" spans="1:11" x14ac:dyDescent="0.25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85">I481-I482</f>
        <v>0</v>
      </c>
      <c r="H482" s="16">
        <v>0</v>
      </c>
      <c r="I482" s="16">
        <v>0</v>
      </c>
      <c r="J482" s="174"/>
      <c r="K482" s="180" t="str">
        <f>'Olieforbrug, TJ'!M482</f>
        <v>November</v>
      </c>
    </row>
    <row r="483" spans="1:11" x14ac:dyDescent="0.25">
      <c r="A483" s="179" t="str">
        <f>'Olieforbrug, TJ'!A483</f>
        <v>December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ref="G483" si="86">I482-I483</f>
        <v>0</v>
      </c>
      <c r="H483" s="16">
        <v>0</v>
      </c>
      <c r="I483" s="16">
        <v>0</v>
      </c>
      <c r="J483" s="174"/>
      <c r="K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83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P481" sqref="P481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.44140625" customWidth="1"/>
    <col min="17" max="17" width="22.5546875" customWidth="1"/>
    <col min="18" max="18" width="10.109375" customWidth="1"/>
  </cols>
  <sheetData>
    <row r="1" spans="1:16" x14ac:dyDescent="0.25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5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5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5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5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5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5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5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5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5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5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5">
      <c r="A27" s="22">
        <v>2025</v>
      </c>
      <c r="C27" s="3">
        <f>SUM(C472:C483)</f>
        <v>0</v>
      </c>
      <c r="D27" s="3">
        <f t="shared" ref="D27:L27" si="11">SUM(D472:D483)</f>
        <v>158880</v>
      </c>
      <c r="E27" s="3">
        <f t="shared" si="11"/>
        <v>0</v>
      </c>
      <c r="F27" s="3">
        <f t="shared" si="11"/>
        <v>0</v>
      </c>
      <c r="G27" s="3">
        <f t="shared" si="11"/>
        <v>-2476</v>
      </c>
      <c r="H27" s="3">
        <f t="shared" si="11"/>
        <v>155178</v>
      </c>
      <c r="I27" s="3">
        <f>I483</f>
        <v>12870</v>
      </c>
      <c r="J27" s="3"/>
      <c r="K27" s="3"/>
      <c r="L27" s="3">
        <f t="shared" si="11"/>
        <v>6176.0843999999997</v>
      </c>
      <c r="M27" s="3"/>
      <c r="N27" s="22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0</v>
      </c>
      <c r="D30" s="3">
        <f t="shared" si="12"/>
        <v>227158</v>
      </c>
      <c r="E30" s="3">
        <f t="shared" si="12"/>
        <v>911</v>
      </c>
      <c r="F30" s="3">
        <f t="shared" si="12"/>
        <v>0</v>
      </c>
      <c r="G30" s="3">
        <f t="shared" si="12"/>
        <v>-12084</v>
      </c>
      <c r="H30" s="3">
        <f t="shared" si="12"/>
        <v>218014</v>
      </c>
      <c r="I30" s="3">
        <f>I223</f>
        <v>24254</v>
      </c>
      <c r="J30" s="3"/>
      <c r="K30" s="3"/>
      <c r="L30" s="3">
        <f>SUM(L212:L223)</f>
        <v>8025.112799999999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0</v>
      </c>
      <c r="D31" s="3">
        <f t="shared" si="13"/>
        <v>224224</v>
      </c>
      <c r="E31" s="3">
        <f t="shared" si="13"/>
        <v>3095</v>
      </c>
      <c r="F31" s="3">
        <f t="shared" si="13"/>
        <v>0</v>
      </c>
      <c r="G31" s="3">
        <f t="shared" si="13"/>
        <v>6178</v>
      </c>
      <c r="H31" s="3">
        <f t="shared" si="13"/>
        <v>230688</v>
      </c>
      <c r="I31" s="3">
        <f>I236</f>
        <v>18076</v>
      </c>
      <c r="J31" s="3"/>
      <c r="K31" s="3"/>
      <c r="L31" s="3">
        <f>SUM(L225:L236)</f>
        <v>9181.3823999999986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0</v>
      </c>
      <c r="D32" s="3">
        <f t="shared" si="14"/>
        <v>265854</v>
      </c>
      <c r="E32" s="3">
        <f t="shared" si="14"/>
        <v>5604</v>
      </c>
      <c r="F32" s="3">
        <f t="shared" si="14"/>
        <v>0</v>
      </c>
      <c r="G32" s="3">
        <f t="shared" si="14"/>
        <v>-9339</v>
      </c>
      <c r="H32" s="3">
        <f t="shared" si="14"/>
        <v>252569</v>
      </c>
      <c r="I32" s="3">
        <f>I249</f>
        <v>27415</v>
      </c>
      <c r="J32" s="3"/>
      <c r="K32" s="3"/>
      <c r="L32" s="3">
        <f>SUM(L238:L249)</f>
        <v>10052.246199999998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0</v>
      </c>
      <c r="D33" s="3">
        <f t="shared" si="15"/>
        <v>209079</v>
      </c>
      <c r="E33" s="3">
        <f t="shared" si="15"/>
        <v>7852</v>
      </c>
      <c r="F33" s="3">
        <f t="shared" si="15"/>
        <v>0</v>
      </c>
      <c r="G33" s="3">
        <f t="shared" si="15"/>
        <v>8198</v>
      </c>
      <c r="H33" s="3">
        <f t="shared" si="15"/>
        <v>210435</v>
      </c>
      <c r="I33" s="3">
        <f>I262</f>
        <v>19217</v>
      </c>
      <c r="J33" s="3"/>
      <c r="K33" s="3"/>
      <c r="L33" s="3">
        <f>SUM(L251:L262)</f>
        <v>8375.3129999999983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0</v>
      </c>
      <c r="D34" s="3">
        <f t="shared" si="16"/>
        <v>205536</v>
      </c>
      <c r="E34" s="3">
        <f t="shared" si="16"/>
        <v>4187</v>
      </c>
      <c r="F34" s="3">
        <f t="shared" si="16"/>
        <v>0</v>
      </c>
      <c r="G34" s="3">
        <f t="shared" si="16"/>
        <v>3723</v>
      </c>
      <c r="H34" s="3">
        <f t="shared" si="16"/>
        <v>200378</v>
      </c>
      <c r="I34" s="3">
        <f>I275</f>
        <v>15494</v>
      </c>
      <c r="J34" s="3"/>
      <c r="K34" s="3"/>
      <c r="L34" s="3">
        <f>SUM(L264:L275)</f>
        <v>7975.0443999999998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0</v>
      </c>
      <c r="D35" s="3">
        <f t="shared" si="17"/>
        <v>222064</v>
      </c>
      <c r="E35" s="3">
        <f t="shared" si="17"/>
        <v>3165</v>
      </c>
      <c r="F35" s="3">
        <f t="shared" si="17"/>
        <v>0</v>
      </c>
      <c r="G35" s="3">
        <f t="shared" si="17"/>
        <v>-5271</v>
      </c>
      <c r="H35" s="3">
        <f t="shared" si="17"/>
        <v>213409</v>
      </c>
      <c r="I35" s="3">
        <f>I288</f>
        <v>20765</v>
      </c>
      <c r="J35" s="3"/>
      <c r="K35" s="3"/>
      <c r="L35" s="3">
        <f>SUM(L277:L288)</f>
        <v>8493.6781999999985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0</v>
      </c>
      <c r="D36" s="3">
        <f t="shared" si="18"/>
        <v>247716</v>
      </c>
      <c r="E36" s="3">
        <f t="shared" si="18"/>
        <v>4908</v>
      </c>
      <c r="F36" s="3">
        <f t="shared" si="18"/>
        <v>0</v>
      </c>
      <c r="G36" s="3">
        <f t="shared" si="18"/>
        <v>4224</v>
      </c>
      <c r="H36" s="3">
        <f t="shared" si="18"/>
        <v>247245</v>
      </c>
      <c r="I36" s="3">
        <f>I301</f>
        <v>16541</v>
      </c>
      <c r="J36" s="3"/>
      <c r="K36" s="3"/>
      <c r="L36" s="3">
        <f>SUM(L290:L301)</f>
        <v>9840.3509999999987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0</v>
      </c>
      <c r="D37" s="3">
        <f t="shared" si="19"/>
        <v>228273</v>
      </c>
      <c r="E37" s="3">
        <f t="shared" si="19"/>
        <v>5074</v>
      </c>
      <c r="F37" s="3">
        <f t="shared" si="19"/>
        <v>0</v>
      </c>
      <c r="G37" s="3">
        <f t="shared" si="19"/>
        <v>1588</v>
      </c>
      <c r="H37" s="3">
        <f t="shared" si="19"/>
        <v>225183</v>
      </c>
      <c r="I37" s="3">
        <f>I314</f>
        <v>14953</v>
      </c>
      <c r="J37" s="3"/>
      <c r="K37" s="3"/>
      <c r="L37" s="3">
        <f>SUM(L303:L314)</f>
        <v>8962.2833999999984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20">SUM(C316:C327)</f>
        <v>0</v>
      </c>
      <c r="D38" s="3">
        <f t="shared" si="20"/>
        <v>218067</v>
      </c>
      <c r="E38" s="3">
        <f t="shared" si="20"/>
        <v>2780</v>
      </c>
      <c r="F38" s="3">
        <f t="shared" si="20"/>
        <v>0</v>
      </c>
      <c r="G38" s="3">
        <f t="shared" si="20"/>
        <v>6218</v>
      </c>
      <c r="H38" s="3">
        <f t="shared" si="20"/>
        <v>168500</v>
      </c>
      <c r="I38" s="3">
        <f>I327</f>
        <v>8735</v>
      </c>
      <c r="J38" s="3"/>
      <c r="K38" s="3"/>
      <c r="L38" s="3">
        <f>SUM(L316:L327)</f>
        <v>6706.3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0</v>
      </c>
      <c r="D39" s="3">
        <f t="shared" si="21"/>
        <v>206590</v>
      </c>
      <c r="E39" s="3">
        <f t="shared" si="21"/>
        <v>760</v>
      </c>
      <c r="F39" s="3">
        <f t="shared" si="21"/>
        <v>0</v>
      </c>
      <c r="G39" s="3">
        <f t="shared" si="21"/>
        <v>-5248</v>
      </c>
      <c r="H39" s="3">
        <f t="shared" si="21"/>
        <v>154809</v>
      </c>
      <c r="I39" s="3">
        <f>I340</f>
        <v>13983</v>
      </c>
      <c r="J39" s="3"/>
      <c r="K39" s="3"/>
      <c r="L39" s="3">
        <f>SUM(L329:L340)</f>
        <v>6161.3981999999996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0</v>
      </c>
      <c r="D40" s="3">
        <f t="shared" si="22"/>
        <v>200056</v>
      </c>
      <c r="E40" s="3">
        <f t="shared" si="22"/>
        <v>0</v>
      </c>
      <c r="F40" s="3">
        <f t="shared" si="22"/>
        <v>0</v>
      </c>
      <c r="G40" s="3">
        <f t="shared" si="22"/>
        <v>2603</v>
      </c>
      <c r="H40" s="3">
        <f t="shared" si="22"/>
        <v>156118</v>
      </c>
      <c r="I40" s="3">
        <f>I353</f>
        <v>11380</v>
      </c>
      <c r="J40" s="3"/>
      <c r="K40" s="3"/>
      <c r="L40" s="3">
        <f>SUM(L342:L353)</f>
        <v>6213.4963999999991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0</v>
      </c>
      <c r="D41" s="3">
        <f t="shared" si="23"/>
        <v>200405</v>
      </c>
      <c r="E41" s="3">
        <f t="shared" si="23"/>
        <v>0</v>
      </c>
      <c r="F41" s="3">
        <f t="shared" si="23"/>
        <v>0</v>
      </c>
      <c r="G41" s="3">
        <f t="shared" si="23"/>
        <v>-295</v>
      </c>
      <c r="H41" s="3">
        <f t="shared" si="23"/>
        <v>154756</v>
      </c>
      <c r="I41" s="3">
        <f>I366</f>
        <v>11675</v>
      </c>
      <c r="J41" s="3"/>
      <c r="K41" s="3"/>
      <c r="L41" s="3">
        <f>SUM(L355:L366)</f>
        <v>6159.2887999999994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0</v>
      </c>
      <c r="D42" s="3">
        <f t="shared" si="24"/>
        <v>197817</v>
      </c>
      <c r="E42" s="3">
        <f t="shared" si="24"/>
        <v>0</v>
      </c>
      <c r="F42" s="3">
        <f t="shared" si="24"/>
        <v>0</v>
      </c>
      <c r="G42" s="3">
        <f t="shared" si="24"/>
        <v>1158</v>
      </c>
      <c r="H42" s="3">
        <f t="shared" si="24"/>
        <v>150577</v>
      </c>
      <c r="I42" s="3">
        <f>I379</f>
        <v>10517</v>
      </c>
      <c r="J42" s="3"/>
      <c r="K42" s="3"/>
      <c r="L42" s="3">
        <f>SUM(L368:L379)</f>
        <v>5992.9645999999984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0</v>
      </c>
      <c r="D43" s="3">
        <f t="shared" si="25"/>
        <v>187022</v>
      </c>
      <c r="E43" s="3">
        <f t="shared" si="25"/>
        <v>0</v>
      </c>
      <c r="F43" s="3">
        <f t="shared" si="25"/>
        <v>0</v>
      </c>
      <c r="G43" s="3">
        <f t="shared" si="25"/>
        <v>3282</v>
      </c>
      <c r="H43" s="3">
        <f t="shared" si="25"/>
        <v>142066</v>
      </c>
      <c r="I43" s="3">
        <f>I392</f>
        <v>7235</v>
      </c>
      <c r="J43" s="3"/>
      <c r="K43" s="3"/>
      <c r="L43" s="3">
        <f>SUM(L381:L392)</f>
        <v>5654.2267999999995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0</v>
      </c>
      <c r="D44" s="3">
        <f t="shared" si="26"/>
        <v>156774</v>
      </c>
      <c r="E44" s="3">
        <f t="shared" si="26"/>
        <v>0</v>
      </c>
      <c r="F44" s="3">
        <f t="shared" si="26"/>
        <v>0</v>
      </c>
      <c r="G44" s="3">
        <f t="shared" si="26"/>
        <v>-6541</v>
      </c>
      <c r="H44" s="3">
        <f t="shared" si="26"/>
        <v>111721</v>
      </c>
      <c r="I44" s="3">
        <f>I405</f>
        <v>13776</v>
      </c>
      <c r="J44" s="3"/>
      <c r="K44" s="3"/>
      <c r="L44" s="3">
        <f>SUM(L394:L405)</f>
        <v>4446.4958000000006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0</v>
      </c>
      <c r="D45" s="3">
        <f t="shared" si="27"/>
        <v>175715</v>
      </c>
      <c r="E45" s="3">
        <f t="shared" si="27"/>
        <v>0</v>
      </c>
      <c r="F45" s="3">
        <f t="shared" si="27"/>
        <v>0</v>
      </c>
      <c r="G45" s="3">
        <f t="shared" si="27"/>
        <v>-874</v>
      </c>
      <c r="H45" s="3">
        <f t="shared" si="27"/>
        <v>131435</v>
      </c>
      <c r="I45" s="3">
        <f>I418</f>
        <v>14650</v>
      </c>
      <c r="J45" s="3"/>
      <c r="K45" s="3"/>
      <c r="L45" s="3">
        <f>SUM(L407:L418)</f>
        <v>5231.1130000000003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0</v>
      </c>
      <c r="D46" s="3">
        <f t="shared" si="28"/>
        <v>168839</v>
      </c>
      <c r="E46" s="3">
        <f t="shared" si="28"/>
        <v>0</v>
      </c>
      <c r="F46" s="3">
        <f t="shared" si="28"/>
        <v>0</v>
      </c>
      <c r="G46" s="3">
        <f t="shared" si="28"/>
        <v>3283</v>
      </c>
      <c r="H46" s="3">
        <f t="shared" si="28"/>
        <v>137323</v>
      </c>
      <c r="I46" s="3">
        <f>I431</f>
        <v>11367</v>
      </c>
      <c r="J46" s="3"/>
      <c r="K46" s="3"/>
      <c r="L46" s="3">
        <f>SUM(L420:L431)</f>
        <v>5465.4553999999989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0</v>
      </c>
      <c r="D47" s="3">
        <f t="shared" si="29"/>
        <v>161256</v>
      </c>
      <c r="E47" s="3">
        <f t="shared" si="29"/>
        <v>0</v>
      </c>
      <c r="F47" s="3">
        <f t="shared" si="29"/>
        <v>0</v>
      </c>
      <c r="G47" s="3">
        <f t="shared" si="29"/>
        <v>-2119</v>
      </c>
      <c r="H47" s="3">
        <f t="shared" si="29"/>
        <v>150406</v>
      </c>
      <c r="I47" s="3">
        <f>I444</f>
        <v>13486</v>
      </c>
      <c r="J47" s="3"/>
      <c r="K47" s="3"/>
      <c r="L47" s="3">
        <f>SUM(L433:L444)</f>
        <v>5986.1588000000002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0</v>
      </c>
      <c r="D48" s="3">
        <f t="shared" si="30"/>
        <v>141215</v>
      </c>
      <c r="E48" s="3">
        <f t="shared" si="30"/>
        <v>0</v>
      </c>
      <c r="F48" s="3">
        <f t="shared" si="30"/>
        <v>0</v>
      </c>
      <c r="G48" s="3">
        <f t="shared" si="30"/>
        <v>-4856</v>
      </c>
      <c r="H48" s="3">
        <f t="shared" si="30"/>
        <v>132933</v>
      </c>
      <c r="I48" s="3">
        <f>I457</f>
        <v>18342</v>
      </c>
      <c r="J48" s="3"/>
      <c r="K48" s="3"/>
      <c r="L48" s="3">
        <f>SUM(L446:L457)</f>
        <v>5290.7333999999992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0</v>
      </c>
      <c r="D49" s="3">
        <f t="shared" si="31"/>
        <v>151508</v>
      </c>
      <c r="E49" s="3">
        <f t="shared" si="31"/>
        <v>0</v>
      </c>
      <c r="F49" s="3">
        <f t="shared" si="31"/>
        <v>0</v>
      </c>
      <c r="G49" s="3">
        <f t="shared" si="31"/>
        <v>7948</v>
      </c>
      <c r="H49" s="3">
        <f t="shared" si="31"/>
        <v>159005</v>
      </c>
      <c r="I49" s="3">
        <f>I470</f>
        <v>10394</v>
      </c>
      <c r="J49" s="3"/>
      <c r="K49" s="3"/>
      <c r="L49" s="3">
        <f>SUM(L459:L470)</f>
        <v>6328.3989999999994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0</v>
      </c>
      <c r="D50" s="3">
        <f t="shared" si="32"/>
        <v>158880</v>
      </c>
      <c r="E50" s="3">
        <f t="shared" si="32"/>
        <v>0</v>
      </c>
      <c r="F50" s="3">
        <f t="shared" si="32"/>
        <v>0</v>
      </c>
      <c r="G50" s="3">
        <f t="shared" si="32"/>
        <v>-2476</v>
      </c>
      <c r="H50" s="3">
        <f t="shared" si="32"/>
        <v>155178</v>
      </c>
      <c r="I50" s="3">
        <f>I483</f>
        <v>12870</v>
      </c>
      <c r="J50" s="3"/>
      <c r="K50" s="3"/>
      <c r="L50" s="3">
        <f>SUM(L472:L483)</f>
        <v>6176.0843999999997</v>
      </c>
      <c r="M50" s="3"/>
      <c r="N50" s="22">
        <f>'Olieforbrug, TJ'!M50</f>
        <v>2025</v>
      </c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5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5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5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5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5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5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5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5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5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5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5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5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5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5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5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5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0</v>
      </c>
      <c r="D98" s="3">
        <f t="shared" si="33"/>
        <v>16823</v>
      </c>
      <c r="E98" s="3">
        <f t="shared" si="33"/>
        <v>447</v>
      </c>
      <c r="F98" s="3">
        <f t="shared" si="33"/>
        <v>0</v>
      </c>
      <c r="G98" s="3">
        <f t="shared" si="33"/>
        <v>-408</v>
      </c>
      <c r="H98" s="3">
        <f t="shared" si="33"/>
        <v>13421</v>
      </c>
      <c r="I98" s="3">
        <f>I331</f>
        <v>9143</v>
      </c>
      <c r="J98" s="3"/>
      <c r="K98" s="3"/>
      <c r="L98" s="3">
        <f t="shared" ref="L98" si="34">SUM(L329:L331)</f>
        <v>534.1558</v>
      </c>
      <c r="N98" s="26" t="s">
        <v>174</v>
      </c>
    </row>
    <row r="99" spans="1:14" x14ac:dyDescent="0.25">
      <c r="A99" s="32" t="s">
        <v>175</v>
      </c>
      <c r="C99" s="3">
        <f t="shared" ref="C99:H99" si="35">SUM(C332:C334)</f>
        <v>0</v>
      </c>
      <c r="D99" s="3">
        <f t="shared" si="35"/>
        <v>60943</v>
      </c>
      <c r="E99" s="3">
        <f t="shared" si="35"/>
        <v>313</v>
      </c>
      <c r="F99" s="3">
        <f t="shared" si="35"/>
        <v>0</v>
      </c>
      <c r="G99" s="3">
        <f t="shared" si="35"/>
        <v>-5701</v>
      </c>
      <c r="H99" s="3">
        <f t="shared" si="35"/>
        <v>38918</v>
      </c>
      <c r="I99" s="3">
        <f>I334</f>
        <v>14844</v>
      </c>
      <c r="J99" s="3"/>
      <c r="L99" s="3">
        <f t="shared" ref="L99" si="36">SUM(L332:L334)</f>
        <v>1548.9363999999998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7">SUM(C335:C337)</f>
        <v>0</v>
      </c>
      <c r="D100" s="3">
        <f t="shared" si="37"/>
        <v>78870</v>
      </c>
      <c r="E100" s="3">
        <f t="shared" si="37"/>
        <v>0</v>
      </c>
      <c r="F100" s="3">
        <f t="shared" si="37"/>
        <v>0</v>
      </c>
      <c r="G100" s="3">
        <f t="shared" si="37"/>
        <v>241</v>
      </c>
      <c r="H100" s="3">
        <f t="shared" si="37"/>
        <v>60830</v>
      </c>
      <c r="I100" s="3">
        <f>I337</f>
        <v>14603</v>
      </c>
      <c r="J100" s="3"/>
      <c r="L100" s="3">
        <f t="shared" ref="L100" si="38">SUM(L335:L337)</f>
        <v>2421.0339999999997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9">SUM(C338:C340)</f>
        <v>0</v>
      </c>
      <c r="D101" s="3">
        <f t="shared" si="39"/>
        <v>49954</v>
      </c>
      <c r="E101" s="3">
        <f t="shared" si="39"/>
        <v>0</v>
      </c>
      <c r="F101" s="3">
        <f t="shared" si="39"/>
        <v>0</v>
      </c>
      <c r="G101" s="3">
        <f t="shared" si="39"/>
        <v>620</v>
      </c>
      <c r="H101" s="3">
        <f t="shared" si="39"/>
        <v>41640</v>
      </c>
      <c r="I101" s="3">
        <f>I340</f>
        <v>13983</v>
      </c>
      <c r="J101" s="3"/>
      <c r="L101" s="3">
        <f t="shared" ref="L101" si="40">SUM(L338:L340)</f>
        <v>1657.2719999999999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41">SUM(C342:C344)</f>
        <v>0</v>
      </c>
      <c r="D103" s="3">
        <f t="shared" si="41"/>
        <v>15840</v>
      </c>
      <c r="E103" s="3">
        <f t="shared" si="41"/>
        <v>0</v>
      </c>
      <c r="F103" s="3">
        <f t="shared" si="41"/>
        <v>0</v>
      </c>
      <c r="G103" s="3">
        <f t="shared" si="41"/>
        <v>585</v>
      </c>
      <c r="H103" s="3">
        <f t="shared" si="41"/>
        <v>16190</v>
      </c>
      <c r="I103" s="3">
        <f>I344</f>
        <v>13398</v>
      </c>
      <c r="J103" s="65"/>
      <c r="L103" s="3">
        <f t="shared" ref="L103" si="42">SUM(L342:L344)</f>
        <v>644.36199999999997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43">SUM(C345:C347)</f>
        <v>0</v>
      </c>
      <c r="D104" s="3">
        <f t="shared" si="43"/>
        <v>68772</v>
      </c>
      <c r="E104" s="3">
        <f t="shared" si="43"/>
        <v>0</v>
      </c>
      <c r="F104" s="3">
        <f t="shared" si="43"/>
        <v>0</v>
      </c>
      <c r="G104" s="3">
        <f t="shared" si="43"/>
        <v>-1300</v>
      </c>
      <c r="H104" s="3">
        <f t="shared" si="43"/>
        <v>43005</v>
      </c>
      <c r="I104" s="3">
        <f>I347</f>
        <v>14698</v>
      </c>
      <c r="J104" s="65"/>
      <c r="L104" s="3">
        <f t="shared" ref="L104" si="44">SUM(L345:L347)</f>
        <v>1711.5989999999997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45">SUM(C348:C350)</f>
        <v>0</v>
      </c>
      <c r="D105" s="3">
        <f t="shared" si="45"/>
        <v>71293</v>
      </c>
      <c r="E105" s="3">
        <f t="shared" si="45"/>
        <v>0</v>
      </c>
      <c r="F105" s="3">
        <f t="shared" si="45"/>
        <v>0</v>
      </c>
      <c r="G105" s="3">
        <f t="shared" si="45"/>
        <v>-123</v>
      </c>
      <c r="H105" s="3">
        <f t="shared" si="45"/>
        <v>62673</v>
      </c>
      <c r="I105" s="3">
        <f>I350</f>
        <v>14821</v>
      </c>
      <c r="J105" s="65"/>
      <c r="L105" s="3">
        <f t="shared" ref="L105" si="46">SUM(L348:L350)</f>
        <v>2494.3854000000001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7">SUM(C351:C353)</f>
        <v>0</v>
      </c>
      <c r="D106" s="3">
        <f t="shared" si="47"/>
        <v>44151</v>
      </c>
      <c r="E106" s="3">
        <f t="shared" si="47"/>
        <v>0</v>
      </c>
      <c r="F106" s="3">
        <f t="shared" si="47"/>
        <v>0</v>
      </c>
      <c r="G106" s="3">
        <f t="shared" si="47"/>
        <v>3441</v>
      </c>
      <c r="H106" s="3">
        <f t="shared" si="47"/>
        <v>34250</v>
      </c>
      <c r="I106" s="3">
        <f>I353</f>
        <v>11380</v>
      </c>
      <c r="J106" s="65"/>
      <c r="L106" s="3">
        <f t="shared" ref="L106" si="48">SUM(L351:L353)</f>
        <v>1363.15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H108" si="49">SUM(D355:D357)</f>
        <v>15760</v>
      </c>
      <c r="E108" s="3">
        <f t="shared" si="49"/>
        <v>0</v>
      </c>
      <c r="F108" s="3">
        <f t="shared" si="49"/>
        <v>0</v>
      </c>
      <c r="G108" s="3">
        <f t="shared" si="49"/>
        <v>-79</v>
      </c>
      <c r="H108" s="3">
        <f t="shared" si="49"/>
        <v>15059</v>
      </c>
      <c r="I108" s="3">
        <f>I357</f>
        <v>11459</v>
      </c>
      <c r="J108" s="3"/>
      <c r="K108" s="3"/>
      <c r="L108" s="3">
        <f t="shared" ref="L108" si="50">SUM(L355:L357)</f>
        <v>599.34819999999991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51">SUM(C358:C360)</f>
        <v>0</v>
      </c>
      <c r="D109" s="3">
        <f t="shared" si="51"/>
        <v>60766</v>
      </c>
      <c r="E109" s="3">
        <f t="shared" si="51"/>
        <v>0</v>
      </c>
      <c r="F109" s="3">
        <f t="shared" si="51"/>
        <v>0</v>
      </c>
      <c r="G109" s="3">
        <f t="shared" si="51"/>
        <v>1147</v>
      </c>
      <c r="H109" s="3">
        <f t="shared" si="51"/>
        <v>47364</v>
      </c>
      <c r="I109" s="3">
        <f>I360</f>
        <v>10312</v>
      </c>
      <c r="J109" s="3"/>
      <c r="K109" s="3"/>
      <c r="L109" s="3">
        <f t="shared" ref="L109" si="52">SUM(L358:L360)</f>
        <v>1885.0871999999997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H110" si="53">SUM(D361:D363)</f>
        <v>71048</v>
      </c>
      <c r="E110" s="3">
        <f t="shared" si="53"/>
        <v>0</v>
      </c>
      <c r="F110" s="3">
        <f t="shared" si="53"/>
        <v>0</v>
      </c>
      <c r="G110" s="3">
        <f t="shared" si="53"/>
        <v>-1868</v>
      </c>
      <c r="H110" s="3">
        <f t="shared" si="53"/>
        <v>50494</v>
      </c>
      <c r="I110" s="3">
        <f>I363</f>
        <v>12180</v>
      </c>
      <c r="J110" s="3"/>
      <c r="K110" s="3"/>
      <c r="L110" s="3">
        <f t="shared" ref="L110" si="54">SUM(L361:L363)</f>
        <v>2009.6612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H111" si="55">SUM(D364:D366)</f>
        <v>52831</v>
      </c>
      <c r="E111" s="3">
        <f t="shared" si="55"/>
        <v>0</v>
      </c>
      <c r="F111" s="3">
        <f t="shared" si="55"/>
        <v>0</v>
      </c>
      <c r="G111" s="3">
        <f t="shared" si="55"/>
        <v>505</v>
      </c>
      <c r="H111" s="3">
        <f t="shared" si="55"/>
        <v>41839</v>
      </c>
      <c r="I111" s="3">
        <f>I366</f>
        <v>11675</v>
      </c>
      <c r="J111" s="3"/>
      <c r="K111" s="3"/>
      <c r="L111" s="3">
        <f t="shared" ref="L111" si="56">SUM(L364:L366)</f>
        <v>1665.1922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57">SUM(C368:C370)</f>
        <v>0</v>
      </c>
      <c r="D113" s="3">
        <f t="shared" si="57"/>
        <v>23461</v>
      </c>
      <c r="E113" s="3">
        <f t="shared" si="57"/>
        <v>0</v>
      </c>
      <c r="F113" s="3">
        <f t="shared" si="57"/>
        <v>0</v>
      </c>
      <c r="G113" s="3">
        <f t="shared" si="57"/>
        <v>-4739</v>
      </c>
      <c r="H113" s="3">
        <f t="shared" si="57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58">SUM(C371:C373)</f>
        <v>0</v>
      </c>
      <c r="D114" s="3">
        <f t="shared" si="58"/>
        <v>61392</v>
      </c>
      <c r="E114" s="3">
        <f t="shared" si="58"/>
        <v>0</v>
      </c>
      <c r="F114" s="3">
        <f t="shared" si="58"/>
        <v>0</v>
      </c>
      <c r="G114" s="3">
        <f t="shared" si="58"/>
        <v>948</v>
      </c>
      <c r="H114" s="3">
        <f t="shared" si="58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59">SUM(D374:D376)</f>
        <v>60815</v>
      </c>
      <c r="E115" s="3">
        <f t="shared" si="59"/>
        <v>0</v>
      </c>
      <c r="F115" s="3">
        <f t="shared" si="59"/>
        <v>0</v>
      </c>
      <c r="G115" s="3">
        <f t="shared" si="59"/>
        <v>3583</v>
      </c>
      <c r="H115" s="3">
        <f t="shared" si="59"/>
        <v>52954</v>
      </c>
      <c r="I115" s="3">
        <f>I376</f>
        <v>11883</v>
      </c>
      <c r="J115" s="3"/>
      <c r="K115" s="3"/>
      <c r="L115" s="3">
        <f t="shared" si="59"/>
        <v>2107.5691999999999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60">SUM(C377:C379)</f>
        <v>0</v>
      </c>
      <c r="D116" s="3">
        <f t="shared" si="60"/>
        <v>52149</v>
      </c>
      <c r="E116" s="3">
        <f t="shared" si="60"/>
        <v>0</v>
      </c>
      <c r="F116" s="3">
        <f t="shared" si="60"/>
        <v>0</v>
      </c>
      <c r="G116" s="3">
        <f t="shared" si="60"/>
        <v>1366</v>
      </c>
      <c r="H116" s="3">
        <f t="shared" si="60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61">SUM(C381:C383)</f>
        <v>0</v>
      </c>
      <c r="D118" s="3">
        <f t="shared" si="61"/>
        <v>24899</v>
      </c>
      <c r="E118" s="3">
        <f t="shared" si="61"/>
        <v>0</v>
      </c>
      <c r="F118" s="3">
        <f t="shared" si="61"/>
        <v>0</v>
      </c>
      <c r="G118" s="3">
        <f t="shared" si="61"/>
        <v>-12156</v>
      </c>
      <c r="H118" s="3">
        <f t="shared" si="61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2">SUM(E384:E386)</f>
        <v>0</v>
      </c>
      <c r="F119" s="3">
        <f t="shared" si="62"/>
        <v>0</v>
      </c>
      <c r="G119" s="3">
        <f t="shared" si="62"/>
        <v>8238</v>
      </c>
      <c r="H119" s="3">
        <f t="shared" si="62"/>
        <v>45198</v>
      </c>
      <c r="I119" s="3">
        <f>I386</f>
        <v>14435</v>
      </c>
      <c r="J119" s="3"/>
      <c r="K119" s="3"/>
      <c r="L119" s="3">
        <f t="shared" si="62"/>
        <v>1798.8803999999998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63">SUM(C387:C389)</f>
        <v>0</v>
      </c>
      <c r="D120" s="3">
        <f t="shared" si="63"/>
        <v>59062</v>
      </c>
      <c r="E120" s="3">
        <f t="shared" si="63"/>
        <v>0</v>
      </c>
      <c r="F120" s="3">
        <f t="shared" si="63"/>
        <v>0</v>
      </c>
      <c r="G120" s="3">
        <f t="shared" si="63"/>
        <v>5790</v>
      </c>
      <c r="H120" s="3">
        <f t="shared" si="63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64">SUM(C390:C392)</f>
        <v>0</v>
      </c>
      <c r="D121" s="3">
        <f t="shared" si="64"/>
        <v>52153</v>
      </c>
      <c r="E121" s="3">
        <f t="shared" si="64"/>
        <v>0</v>
      </c>
      <c r="F121" s="3">
        <f t="shared" si="64"/>
        <v>0</v>
      </c>
      <c r="G121" s="3">
        <f t="shared" si="64"/>
        <v>1410</v>
      </c>
      <c r="H121" s="3">
        <f t="shared" si="64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5">
      <c r="A122" s="32"/>
      <c r="J122" s="3"/>
      <c r="K122" s="3"/>
      <c r="L122" s="3"/>
      <c r="M122" s="3"/>
      <c r="N122" s="26"/>
    </row>
    <row r="123" spans="1:14" x14ac:dyDescent="0.25">
      <c r="A123" s="32" t="str">
        <f>'Olieforbrug, TJ'!A123</f>
        <v>1. kvartal 2019</v>
      </c>
      <c r="C123" s="3">
        <f t="shared" ref="C123:H123" si="65">SUM(C394:C396)</f>
        <v>0</v>
      </c>
      <c r="D123" s="3">
        <f t="shared" si="65"/>
        <v>15878</v>
      </c>
      <c r="E123" s="3">
        <f t="shared" si="65"/>
        <v>0</v>
      </c>
      <c r="F123" s="3">
        <f t="shared" si="65"/>
        <v>0</v>
      </c>
      <c r="G123" s="3">
        <f t="shared" si="65"/>
        <v>926</v>
      </c>
      <c r="H123" s="3">
        <f t="shared" si="65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5">
      <c r="A124" s="32" t="str">
        <f>'Olieforbrug, TJ'!A124</f>
        <v>2. kvartal 2019</v>
      </c>
      <c r="C124" s="3">
        <f t="shared" ref="C124:H124" si="66">SUM(C397:C399)</f>
        <v>0</v>
      </c>
      <c r="D124" s="3">
        <f t="shared" si="66"/>
        <v>54952</v>
      </c>
      <c r="E124" s="3">
        <f t="shared" si="66"/>
        <v>0</v>
      </c>
      <c r="F124" s="3">
        <f t="shared" si="66"/>
        <v>0</v>
      </c>
      <c r="G124" s="3">
        <f t="shared" si="66"/>
        <v>-10411</v>
      </c>
      <c r="H124" s="3">
        <f t="shared" si="66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5">
      <c r="A125" s="32" t="str">
        <f>'Olieforbrug, TJ'!A125</f>
        <v>3. kvartal 2019</v>
      </c>
      <c r="C125" s="3">
        <f t="shared" ref="C125:H125" si="67">SUM(C400:C402)</f>
        <v>0</v>
      </c>
      <c r="D125" s="3">
        <f t="shared" si="67"/>
        <v>41358</v>
      </c>
      <c r="E125" s="3">
        <f t="shared" si="67"/>
        <v>0</v>
      </c>
      <c r="F125" s="3">
        <f t="shared" si="67"/>
        <v>0</v>
      </c>
      <c r="G125" s="3">
        <f t="shared" si="67"/>
        <v>5255</v>
      </c>
      <c r="H125" s="3">
        <f t="shared" si="67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5">
      <c r="A126" s="32" t="str">
        <f>'Olieforbrug, TJ'!A126</f>
        <v>4. kvartal 2019</v>
      </c>
      <c r="C126" s="3">
        <f t="shared" ref="C126:H126" si="68">SUM(C403:C405)</f>
        <v>0</v>
      </c>
      <c r="D126" s="3">
        <f t="shared" si="68"/>
        <v>44586</v>
      </c>
      <c r="E126" s="3">
        <f t="shared" si="68"/>
        <v>0</v>
      </c>
      <c r="F126" s="3">
        <f t="shared" si="68"/>
        <v>0</v>
      </c>
      <c r="G126" s="3">
        <f t="shared" si="68"/>
        <v>-2311</v>
      </c>
      <c r="H126" s="3">
        <f t="shared" si="68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5">
      <c r="A127" s="32"/>
      <c r="J127" s="3"/>
      <c r="K127" s="57"/>
      <c r="L127" s="3"/>
      <c r="M127" s="3"/>
      <c r="N127" s="26"/>
    </row>
    <row r="128" spans="1:14" x14ac:dyDescent="0.25">
      <c r="A128" s="32" t="str">
        <f>'Olieforbrug, TJ'!A128</f>
        <v>1. kvartal 2020</v>
      </c>
      <c r="C128" s="3">
        <f t="shared" ref="C128:H128" si="69">SUM(C407:C409)</f>
        <v>0</v>
      </c>
      <c r="D128" s="3">
        <f t="shared" si="69"/>
        <v>20766</v>
      </c>
      <c r="E128" s="3">
        <f t="shared" si="69"/>
        <v>0</v>
      </c>
      <c r="F128" s="3">
        <f t="shared" si="69"/>
        <v>0</v>
      </c>
      <c r="G128" s="3">
        <f t="shared" si="69"/>
        <v>-6455</v>
      </c>
      <c r="H128" s="3">
        <f t="shared" si="69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70">SUM(C410:C412)</f>
        <v>0</v>
      </c>
      <c r="D129" s="3">
        <f t="shared" si="70"/>
        <v>50907</v>
      </c>
      <c r="E129" s="3">
        <f t="shared" si="70"/>
        <v>0</v>
      </c>
      <c r="F129" s="3">
        <f t="shared" si="70"/>
        <v>0</v>
      </c>
      <c r="G129" s="3">
        <f t="shared" si="70"/>
        <v>4276</v>
      </c>
      <c r="H129" s="3">
        <f t="shared" si="70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71">SUM(C413:C415)</f>
        <v>0</v>
      </c>
      <c r="D130" s="3">
        <f t="shared" si="71"/>
        <v>54944</v>
      </c>
      <c r="E130" s="3">
        <f t="shared" si="71"/>
        <v>0</v>
      </c>
      <c r="F130" s="3">
        <f t="shared" si="71"/>
        <v>0</v>
      </c>
      <c r="G130" s="3">
        <f t="shared" si="71"/>
        <v>1291</v>
      </c>
      <c r="H130" s="3">
        <f t="shared" si="71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72">SUM(C416:C418)</f>
        <v>0</v>
      </c>
      <c r="D131" s="3">
        <f t="shared" si="72"/>
        <v>49098</v>
      </c>
      <c r="E131" s="3">
        <f t="shared" si="72"/>
        <v>0</v>
      </c>
      <c r="F131" s="3">
        <f t="shared" si="72"/>
        <v>0</v>
      </c>
      <c r="G131" s="3">
        <f t="shared" si="72"/>
        <v>14</v>
      </c>
      <c r="H131" s="3">
        <f t="shared" si="72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5">
      <c r="A132" s="32"/>
      <c r="J132" s="3"/>
      <c r="K132" s="57"/>
      <c r="L132" s="3"/>
      <c r="M132" s="3"/>
      <c r="N132" s="26"/>
    </row>
    <row r="133" spans="1:14" x14ac:dyDescent="0.25">
      <c r="A133" s="32" t="str">
        <f>'Olieforbrug, TJ'!A133</f>
        <v>1. kvartal 2021</v>
      </c>
      <c r="C133" s="3">
        <f t="shared" ref="C133:H133" si="73">SUM(C420:C422)</f>
        <v>0</v>
      </c>
      <c r="D133" s="3">
        <f t="shared" si="73"/>
        <v>26830</v>
      </c>
      <c r="E133" s="3">
        <f t="shared" si="73"/>
        <v>0</v>
      </c>
      <c r="F133" s="3">
        <f t="shared" si="73"/>
        <v>0</v>
      </c>
      <c r="G133" s="3">
        <f t="shared" si="73"/>
        <v>-4124</v>
      </c>
      <c r="H133" s="3">
        <f t="shared" si="73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74">SUM(C423:C425)</f>
        <v>0</v>
      </c>
      <c r="D134" s="3">
        <f t="shared" si="74"/>
        <v>49073</v>
      </c>
      <c r="E134" s="3">
        <f t="shared" si="74"/>
        <v>0</v>
      </c>
      <c r="F134" s="3">
        <f t="shared" si="74"/>
        <v>0</v>
      </c>
      <c r="G134" s="3">
        <f t="shared" si="74"/>
        <v>3190</v>
      </c>
      <c r="H134" s="3">
        <f t="shared" si="74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75">SUM(C426:C428)</f>
        <v>0</v>
      </c>
      <c r="D135" s="3">
        <f t="shared" si="75"/>
        <v>52293</v>
      </c>
      <c r="E135" s="3">
        <f t="shared" si="75"/>
        <v>0</v>
      </c>
      <c r="F135" s="3">
        <f t="shared" si="75"/>
        <v>0</v>
      </c>
      <c r="G135" s="3">
        <f t="shared" si="75"/>
        <v>2400</v>
      </c>
      <c r="H135" s="3">
        <f t="shared" si="75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76">SUM(C429:C431)</f>
        <v>0</v>
      </c>
      <c r="D136" s="3">
        <f t="shared" si="76"/>
        <v>40643</v>
      </c>
      <c r="E136" s="3">
        <f t="shared" si="76"/>
        <v>0</v>
      </c>
      <c r="F136" s="3">
        <f t="shared" si="76"/>
        <v>0</v>
      </c>
      <c r="G136" s="3">
        <f t="shared" si="76"/>
        <v>1817</v>
      </c>
      <c r="H136" s="3">
        <f t="shared" si="76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5">
      <c r="A137" s="32"/>
      <c r="J137" s="3"/>
      <c r="K137" s="57"/>
      <c r="L137" s="3"/>
      <c r="M137" s="3"/>
      <c r="N137" s="26"/>
    </row>
    <row r="138" spans="1:14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77">SUM(D433:D435)</f>
        <v>21005</v>
      </c>
      <c r="E138" s="3">
        <f t="shared" si="77"/>
        <v>0</v>
      </c>
      <c r="F138" s="3">
        <f t="shared" si="77"/>
        <v>0</v>
      </c>
      <c r="G138" s="3">
        <f t="shared" si="77"/>
        <v>-3014</v>
      </c>
      <c r="H138" s="3">
        <f t="shared" si="77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78">SUM(D436:D438)</f>
        <v>51317</v>
      </c>
      <c r="E139" s="3">
        <f t="shared" si="78"/>
        <v>0</v>
      </c>
      <c r="F139" s="3">
        <f t="shared" si="78"/>
        <v>0</v>
      </c>
      <c r="G139" s="3">
        <f t="shared" si="78"/>
        <v>1420</v>
      </c>
      <c r="H139" s="3">
        <f t="shared" si="78"/>
        <v>49693</v>
      </c>
      <c r="I139" s="3">
        <f>SUM(I438)</f>
        <v>12961</v>
      </c>
      <c r="J139" s="3"/>
      <c r="K139" s="3"/>
      <c r="L139" s="3">
        <f t="shared" si="78"/>
        <v>1977.7813999999998</v>
      </c>
      <c r="M139" s="3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79">SUM(D439:D441)</f>
        <v>56659</v>
      </c>
      <c r="E140" s="3">
        <f t="shared" si="79"/>
        <v>0</v>
      </c>
      <c r="F140" s="3">
        <f t="shared" si="79"/>
        <v>0</v>
      </c>
      <c r="G140" s="3">
        <f t="shared" si="79"/>
        <v>-6977</v>
      </c>
      <c r="H140" s="3">
        <f t="shared" si="79"/>
        <v>48737</v>
      </c>
      <c r="I140" s="3">
        <f>SUM(I441)</f>
        <v>19938</v>
      </c>
      <c r="J140" s="3"/>
      <c r="K140" s="3"/>
      <c r="L140" s="3">
        <f t="shared" si="79"/>
        <v>1939.7325999999998</v>
      </c>
      <c r="M140" s="3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80">SUM(C442:C444)</f>
        <v>0</v>
      </c>
      <c r="D141" s="3">
        <f t="shared" si="80"/>
        <v>32275</v>
      </c>
      <c r="E141" s="3">
        <f t="shared" si="80"/>
        <v>0</v>
      </c>
      <c r="F141" s="3">
        <f t="shared" si="80"/>
        <v>0</v>
      </c>
      <c r="G141" s="3">
        <f t="shared" si="80"/>
        <v>6452</v>
      </c>
      <c r="H141" s="3">
        <f t="shared" si="80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81">SUM(D446:D448)</f>
        <v>18993</v>
      </c>
      <c r="E143" s="3">
        <f t="shared" si="81"/>
        <v>0</v>
      </c>
      <c r="F143" s="3">
        <f t="shared" si="81"/>
        <v>0</v>
      </c>
      <c r="G143" s="3">
        <f t="shared" si="81"/>
        <v>-3178</v>
      </c>
      <c r="H143" s="3">
        <f t="shared" si="81"/>
        <v>15798</v>
      </c>
      <c r="I143" s="3">
        <f>SUM(I448)</f>
        <v>16664</v>
      </c>
      <c r="J143" s="3"/>
      <c r="K143" s="3"/>
      <c r="L143" s="3">
        <f t="shared" si="81"/>
        <v>628.7604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82">SUM(C449:C451)</f>
        <v>0</v>
      </c>
      <c r="D144" s="3">
        <f t="shared" si="82"/>
        <v>42392</v>
      </c>
      <c r="E144" s="3">
        <f t="shared" si="82"/>
        <v>0</v>
      </c>
      <c r="F144" s="3">
        <f t="shared" si="82"/>
        <v>0</v>
      </c>
      <c r="G144" s="3">
        <f t="shared" si="82"/>
        <v>7646</v>
      </c>
      <c r="H144" s="3">
        <f t="shared" si="82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83">SUM(D452:D454)</f>
        <v>48299</v>
      </c>
      <c r="E145" s="3">
        <f t="shared" si="83"/>
        <v>0</v>
      </c>
      <c r="F145" s="3">
        <f t="shared" si="83"/>
        <v>0</v>
      </c>
      <c r="G145" s="3">
        <f t="shared" si="83"/>
        <v>-6420</v>
      </c>
      <c r="H145" s="3">
        <f t="shared" si="83"/>
        <v>40769</v>
      </c>
      <c r="I145" s="3">
        <f>SUM(I454)</f>
        <v>15438</v>
      </c>
      <c r="J145" s="3"/>
      <c r="K145" s="3"/>
      <c r="L145" s="3">
        <f t="shared" si="83"/>
        <v>1622.6061999999997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84">SUM(D455:D457)</f>
        <v>31531</v>
      </c>
      <c r="E146" s="3">
        <f t="shared" si="84"/>
        <v>0</v>
      </c>
      <c r="F146" s="3">
        <f t="shared" si="84"/>
        <v>0</v>
      </c>
      <c r="G146" s="3">
        <f t="shared" si="84"/>
        <v>-2904</v>
      </c>
      <c r="H146" s="3">
        <f t="shared" si="84"/>
        <v>28490</v>
      </c>
      <c r="I146" s="3">
        <f>SUM(I457)</f>
        <v>18342</v>
      </c>
      <c r="J146" s="3"/>
      <c r="K146" s="3"/>
      <c r="L146" s="3">
        <f t="shared" si="84"/>
        <v>1133.9019999999998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85">SUM(C459:C461)</f>
        <v>0</v>
      </c>
      <c r="D148" s="3">
        <f t="shared" si="85"/>
        <v>9575</v>
      </c>
      <c r="E148" s="3">
        <f t="shared" si="85"/>
        <v>0</v>
      </c>
      <c r="F148" s="3">
        <f t="shared" si="85"/>
        <v>0</v>
      </c>
      <c r="G148" s="3">
        <f t="shared" si="85"/>
        <v>3871</v>
      </c>
      <c r="H148" s="3">
        <f t="shared" si="85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86">SUM(D462:D464)</f>
        <v>53212</v>
      </c>
      <c r="E149" s="3">
        <f t="shared" si="86"/>
        <v>0</v>
      </c>
      <c r="F149" s="3">
        <f t="shared" si="86"/>
        <v>0</v>
      </c>
      <c r="G149" s="3">
        <f t="shared" si="86"/>
        <v>-1418</v>
      </c>
      <c r="H149" s="3">
        <f t="shared" si="86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87">SUM(D465:D467)</f>
        <v>53214</v>
      </c>
      <c r="E150" s="3">
        <f t="shared" si="87"/>
        <v>0</v>
      </c>
      <c r="F150" s="3">
        <f t="shared" si="87"/>
        <v>0</v>
      </c>
      <c r="G150" s="3">
        <f t="shared" si="87"/>
        <v>-2026</v>
      </c>
      <c r="H150" s="3">
        <f t="shared" si="87"/>
        <v>50964</v>
      </c>
      <c r="I150" s="3">
        <f>I467</f>
        <v>17915</v>
      </c>
      <c r="J150" s="3"/>
      <c r="K150" s="3"/>
      <c r="L150" s="3">
        <f t="shared" si="87"/>
        <v>2028.3671999999999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88">SUM(D468:D470)</f>
        <v>35507</v>
      </c>
      <c r="E151" s="3">
        <f t="shared" si="88"/>
        <v>0</v>
      </c>
      <c r="F151" s="3">
        <f t="shared" si="88"/>
        <v>0</v>
      </c>
      <c r="G151" s="3">
        <f t="shared" si="88"/>
        <v>7521</v>
      </c>
      <c r="H151" s="3">
        <f t="shared" si="88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L153" si="89">SUM(D472:D474)</f>
        <v>20792</v>
      </c>
      <c r="E153" s="3">
        <f t="shared" si="89"/>
        <v>0</v>
      </c>
      <c r="F153" s="3">
        <f t="shared" si="89"/>
        <v>0</v>
      </c>
      <c r="G153" s="3">
        <f t="shared" si="89"/>
        <v>-5784</v>
      </c>
      <c r="H153" s="3">
        <f t="shared" si="89"/>
        <v>15065</v>
      </c>
      <c r="I153" s="3">
        <f>I474</f>
        <v>16178</v>
      </c>
      <c r="J153" s="3"/>
      <c r="K153" s="3"/>
      <c r="L153" s="3">
        <f t="shared" si="89"/>
        <v>599.58699999999999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90">SUM(D475:D477)</f>
        <v>51083</v>
      </c>
      <c r="E154" s="3">
        <f t="shared" si="90"/>
        <v>0</v>
      </c>
      <c r="F154" s="3">
        <f t="shared" si="90"/>
        <v>0</v>
      </c>
      <c r="G154" s="3">
        <f t="shared" si="90"/>
        <v>4423</v>
      </c>
      <c r="H154" s="3">
        <f t="shared" si="90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L155" si="91">SUM(D478:D480)</f>
        <v>50145</v>
      </c>
      <c r="E155" s="3">
        <f t="shared" si="91"/>
        <v>0</v>
      </c>
      <c r="F155" s="3">
        <f t="shared" si="91"/>
        <v>0</v>
      </c>
      <c r="G155" s="3">
        <f t="shared" si="91"/>
        <v>-1247</v>
      </c>
      <c r="H155" s="3">
        <f t="shared" si="91"/>
        <v>48842</v>
      </c>
      <c r="I155" s="3">
        <f>I480</f>
        <v>13002</v>
      </c>
      <c r="J155" s="3"/>
      <c r="K155" s="3"/>
      <c r="L155" s="3">
        <f t="shared" si="91"/>
        <v>1943.9115999999999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92">SUM(D481:D483)</f>
        <v>36860</v>
      </c>
      <c r="E156" s="3">
        <f t="shared" si="92"/>
        <v>0</v>
      </c>
      <c r="F156" s="3">
        <f t="shared" si="92"/>
        <v>0</v>
      </c>
      <c r="G156" s="3">
        <f t="shared" si="92"/>
        <v>132</v>
      </c>
      <c r="H156" s="3">
        <f t="shared" si="92"/>
        <v>36885</v>
      </c>
      <c r="I156" s="3">
        <f>I483</f>
        <v>12870</v>
      </c>
      <c r="J156"/>
      <c r="K156"/>
      <c r="L156" s="3">
        <f t="shared" ref="L156" si="93">SUM(L481:L483)</f>
        <v>1468.0229999999999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5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5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5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5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5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5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5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5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5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5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8" thickBot="1" x14ac:dyDescent="0.3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5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5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5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5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5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5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5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5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5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5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8" thickBot="1" x14ac:dyDescent="0.3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4.4" x14ac:dyDescent="0.3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275</v>
      </c>
      <c r="P315" t="s">
        <v>276</v>
      </c>
      <c r="Q315" s="128" t="s">
        <v>274</v>
      </c>
      <c r="S315" t="s">
        <v>278</v>
      </c>
      <c r="T315" t="s">
        <v>279</v>
      </c>
      <c r="U315" t="s">
        <v>277</v>
      </c>
    </row>
    <row r="316" spans="1:21" x14ac:dyDescent="0.25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7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5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94">O317-Q317</f>
        <v>2851</v>
      </c>
      <c r="Q317" s="127">
        <v>472</v>
      </c>
      <c r="S317" s="12">
        <v>132.25539999999998</v>
      </c>
      <c r="T317" s="12">
        <f t="shared" ref="T317:T366" si="95">+S317-U317</f>
        <v>113.46979999999998</v>
      </c>
      <c r="U317" s="12">
        <f t="shared" ref="U317:U366" si="96">+Q317*39.8/1000</f>
        <v>18.785599999999999</v>
      </c>
    </row>
    <row r="318" spans="1:21" x14ac:dyDescent="0.25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94"/>
        <v>-407</v>
      </c>
      <c r="Q318" s="127">
        <v>4499</v>
      </c>
      <c r="S318" s="12">
        <v>162.86159999999998</v>
      </c>
      <c r="T318" s="12">
        <f t="shared" si="95"/>
        <v>-16.198599999999999</v>
      </c>
      <c r="U318" s="12">
        <f t="shared" si="96"/>
        <v>179.06019999999998</v>
      </c>
    </row>
    <row r="319" spans="1:21" x14ac:dyDescent="0.25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94"/>
        <v>14905</v>
      </c>
      <c r="Q319" s="127">
        <v>2589</v>
      </c>
      <c r="S319" s="12">
        <v>696.26119999999992</v>
      </c>
      <c r="T319" s="12">
        <f t="shared" si="95"/>
        <v>593.21899999999994</v>
      </c>
      <c r="U319" s="12">
        <f t="shared" si="96"/>
        <v>103.04219999999999</v>
      </c>
    </row>
    <row r="320" spans="1:21" x14ac:dyDescent="0.25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94"/>
        <v>17800</v>
      </c>
      <c r="Q320" s="127">
        <v>9552</v>
      </c>
      <c r="S320" s="12">
        <v>1088.6095999999998</v>
      </c>
      <c r="T320" s="12">
        <f t="shared" si="95"/>
        <v>708.43999999999983</v>
      </c>
      <c r="U320" s="12">
        <f t="shared" si="96"/>
        <v>380.1696</v>
      </c>
    </row>
    <row r="321" spans="1:21" x14ac:dyDescent="0.25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94"/>
        <v>21487</v>
      </c>
      <c r="Q321" s="127">
        <v>8803</v>
      </c>
      <c r="S321" s="12">
        <v>1205.5419999999999</v>
      </c>
      <c r="T321" s="12">
        <f t="shared" si="95"/>
        <v>855.18259999999998</v>
      </c>
      <c r="U321" s="12">
        <f t="shared" si="96"/>
        <v>350.35939999999994</v>
      </c>
    </row>
    <row r="322" spans="1:21" x14ac:dyDescent="0.25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94"/>
        <v>11995</v>
      </c>
      <c r="Q322" s="127">
        <v>8724</v>
      </c>
      <c r="S322" s="12">
        <v>824.61619999999994</v>
      </c>
      <c r="T322" s="12">
        <f t="shared" si="95"/>
        <v>477.40099999999995</v>
      </c>
      <c r="U322" s="12">
        <f t="shared" si="96"/>
        <v>347.21519999999998</v>
      </c>
    </row>
    <row r="323" spans="1:21" x14ac:dyDescent="0.25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94"/>
        <v>24405</v>
      </c>
      <c r="Q323" s="127">
        <v>5572</v>
      </c>
      <c r="S323" s="12">
        <v>1193.0845999999999</v>
      </c>
      <c r="T323" s="12">
        <f t="shared" si="95"/>
        <v>971.31899999999996</v>
      </c>
      <c r="U323" s="12">
        <f t="shared" si="96"/>
        <v>221.76559999999998</v>
      </c>
    </row>
    <row r="324" spans="1:21" x14ac:dyDescent="0.25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94"/>
        <v>29356</v>
      </c>
      <c r="Q324" s="127">
        <v>5163</v>
      </c>
      <c r="S324" s="12">
        <v>1373.8561999999999</v>
      </c>
      <c r="T324" s="12">
        <f t="shared" si="95"/>
        <v>1168.3688</v>
      </c>
      <c r="U324" s="12">
        <f t="shared" si="96"/>
        <v>205.48740000000001</v>
      </c>
    </row>
    <row r="325" spans="1:21" x14ac:dyDescent="0.25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94"/>
        <v>16936</v>
      </c>
      <c r="Q325" s="127">
        <v>10231</v>
      </c>
      <c r="S325" s="12">
        <v>1081.2465999999999</v>
      </c>
      <c r="T325" s="12">
        <f t="shared" si="95"/>
        <v>674.05279999999993</v>
      </c>
      <c r="U325" s="12">
        <f t="shared" si="96"/>
        <v>407.19380000000001</v>
      </c>
    </row>
    <row r="326" spans="1:21" x14ac:dyDescent="0.25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94"/>
        <v>19037</v>
      </c>
      <c r="Q326" s="127">
        <v>1466</v>
      </c>
      <c r="S326" s="12">
        <v>816.01939999999991</v>
      </c>
      <c r="T326" s="12">
        <f t="shared" si="95"/>
        <v>757.67259999999987</v>
      </c>
      <c r="U326" s="12">
        <f t="shared" si="96"/>
        <v>58.346799999999995</v>
      </c>
    </row>
    <row r="327" spans="1:21" ht="13.8" thickBot="1" x14ac:dyDescent="0.3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94"/>
        <v>6404</v>
      </c>
      <c r="Q327" s="127">
        <v>1344</v>
      </c>
      <c r="S327" s="12">
        <v>308.37039999999996</v>
      </c>
      <c r="T327" s="12">
        <f t="shared" si="95"/>
        <v>254.87919999999997</v>
      </c>
      <c r="U327" s="12">
        <f t="shared" si="96"/>
        <v>53.491199999999999</v>
      </c>
    </row>
    <row r="328" spans="1:2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5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94"/>
        <v>2566</v>
      </c>
      <c r="Q329" s="127">
        <v>347</v>
      </c>
      <c r="S329" s="12">
        <v>115.9374</v>
      </c>
      <c r="T329" s="12">
        <f t="shared" si="95"/>
        <v>102.1268</v>
      </c>
      <c r="U329" s="12">
        <f t="shared" si="96"/>
        <v>13.810599999999999</v>
      </c>
    </row>
    <row r="330" spans="1:21" x14ac:dyDescent="0.25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94"/>
        <v>3543</v>
      </c>
      <c r="Q330" s="127">
        <v>625</v>
      </c>
      <c r="S330" s="12">
        <v>165.88639999999998</v>
      </c>
      <c r="T330" s="12">
        <f t="shared" si="95"/>
        <v>141.01139999999998</v>
      </c>
      <c r="U330" s="12">
        <f t="shared" si="96"/>
        <v>24.875</v>
      </c>
    </row>
    <row r="331" spans="1:21" x14ac:dyDescent="0.25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94"/>
        <v>7312</v>
      </c>
      <c r="Q331" s="127">
        <v>1923</v>
      </c>
      <c r="S331" s="12">
        <v>367.553</v>
      </c>
      <c r="T331" s="12">
        <f t="shared" si="95"/>
        <v>291.01760000000002</v>
      </c>
      <c r="U331" s="12">
        <f t="shared" si="96"/>
        <v>76.535399999999996</v>
      </c>
    </row>
    <row r="332" spans="1:21" x14ac:dyDescent="0.25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94"/>
        <v>4944</v>
      </c>
      <c r="Q332" s="127">
        <v>12140</v>
      </c>
      <c r="S332" s="12">
        <v>679.94319999999993</v>
      </c>
      <c r="T332" s="12">
        <f t="shared" si="95"/>
        <v>196.77119999999996</v>
      </c>
      <c r="U332" s="12">
        <f t="shared" si="96"/>
        <v>483.17199999999997</v>
      </c>
    </row>
    <row r="333" spans="1:21" x14ac:dyDescent="0.25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94"/>
        <v>19963</v>
      </c>
      <c r="Q333" s="127">
        <v>6214</v>
      </c>
      <c r="S333" s="12">
        <v>1041.8445999999999</v>
      </c>
      <c r="T333" s="12">
        <f t="shared" si="95"/>
        <v>794.52739999999994</v>
      </c>
      <c r="U333" s="12">
        <f t="shared" si="96"/>
        <v>247.31719999999999</v>
      </c>
    </row>
    <row r="334" spans="1:21" x14ac:dyDescent="0.25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94"/>
        <v>14011</v>
      </c>
      <c r="Q334" s="127">
        <v>9738</v>
      </c>
      <c r="S334" s="12">
        <v>945.21019999999999</v>
      </c>
      <c r="T334" s="12">
        <f t="shared" si="95"/>
        <v>557.63779999999997</v>
      </c>
      <c r="U334" s="12">
        <f t="shared" si="96"/>
        <v>387.57239999999996</v>
      </c>
    </row>
    <row r="335" spans="1:21" x14ac:dyDescent="0.25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94"/>
        <v>11669</v>
      </c>
      <c r="Q335" s="127">
        <v>4409</v>
      </c>
      <c r="S335" s="12">
        <v>639.9043999999999</v>
      </c>
      <c r="T335" s="12">
        <f t="shared" si="95"/>
        <v>464.42619999999988</v>
      </c>
      <c r="U335" s="12">
        <f t="shared" si="96"/>
        <v>175.47819999999999</v>
      </c>
    </row>
    <row r="336" spans="1:21" x14ac:dyDescent="0.25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94"/>
        <v>24064</v>
      </c>
      <c r="Q336" s="127">
        <v>8402</v>
      </c>
      <c r="S336" s="12">
        <v>1292.1467999999998</v>
      </c>
      <c r="T336" s="12">
        <f t="shared" si="95"/>
        <v>957.74719999999979</v>
      </c>
      <c r="U336" s="12">
        <f t="shared" si="96"/>
        <v>334.39959999999996</v>
      </c>
    </row>
    <row r="337" spans="1:21" x14ac:dyDescent="0.25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94"/>
        <v>25097</v>
      </c>
      <c r="Q337" s="127">
        <v>8503</v>
      </c>
      <c r="S337" s="12">
        <v>1337.28</v>
      </c>
      <c r="T337" s="12">
        <f t="shared" si="95"/>
        <v>998.86059999999998</v>
      </c>
      <c r="U337" s="12">
        <f t="shared" si="96"/>
        <v>338.41939999999994</v>
      </c>
    </row>
    <row r="338" spans="1:21" x14ac:dyDescent="0.25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94"/>
        <v>19815</v>
      </c>
      <c r="Q338" s="127">
        <v>4146</v>
      </c>
      <c r="S338" s="12">
        <v>953.64779999999996</v>
      </c>
      <c r="T338" s="12">
        <f t="shared" si="95"/>
        <v>788.63699999999994</v>
      </c>
      <c r="U338" s="12">
        <f t="shared" si="96"/>
        <v>165.01079999999999</v>
      </c>
    </row>
    <row r="339" spans="1:21" x14ac:dyDescent="0.25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94"/>
        <v>12910</v>
      </c>
      <c r="Q339" s="127">
        <v>4772</v>
      </c>
      <c r="S339" s="12">
        <v>703.74360000000001</v>
      </c>
      <c r="T339" s="12">
        <f t="shared" si="95"/>
        <v>513.81799999999998</v>
      </c>
      <c r="U339" s="12">
        <f t="shared" si="96"/>
        <v>189.92559999999997</v>
      </c>
    </row>
    <row r="340" spans="1:21" ht="13.8" thickBot="1" x14ac:dyDescent="0.3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94"/>
        <v>8915</v>
      </c>
      <c r="Q340" s="127">
        <v>65</v>
      </c>
      <c r="S340" s="12">
        <v>357.404</v>
      </c>
      <c r="T340" s="12">
        <f t="shared" si="95"/>
        <v>354.81700000000001</v>
      </c>
      <c r="U340" s="12">
        <f t="shared" si="96"/>
        <v>2.5870000000000002</v>
      </c>
    </row>
    <row r="341" spans="1:21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5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94"/>
        <v>2923</v>
      </c>
      <c r="Q342" s="127">
        <v>62</v>
      </c>
      <c r="S342" s="12">
        <v>118.80299999999998</v>
      </c>
      <c r="T342" s="12">
        <f t="shared" si="95"/>
        <v>116.33539999999998</v>
      </c>
      <c r="U342" s="12">
        <f t="shared" si="96"/>
        <v>2.4676</v>
      </c>
    </row>
    <row r="343" spans="1:21" x14ac:dyDescent="0.25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7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94"/>
        <v>4321</v>
      </c>
      <c r="Q343" s="127">
        <v>130</v>
      </c>
      <c r="S343" s="12">
        <v>177.1498</v>
      </c>
      <c r="T343" s="12">
        <f t="shared" si="95"/>
        <v>171.97579999999999</v>
      </c>
      <c r="U343" s="12">
        <f t="shared" si="96"/>
        <v>5.1740000000000004</v>
      </c>
    </row>
    <row r="344" spans="1:21" x14ac:dyDescent="0.25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7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94"/>
        <v>8946</v>
      </c>
      <c r="Q344" s="127">
        <v>205</v>
      </c>
      <c r="S344" s="12">
        <v>364.20979999999997</v>
      </c>
      <c r="T344" s="12">
        <f t="shared" si="95"/>
        <v>356.05079999999998</v>
      </c>
      <c r="U344" s="12">
        <f t="shared" si="96"/>
        <v>8.1589999999999989</v>
      </c>
    </row>
    <row r="345" spans="1:21" x14ac:dyDescent="0.25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7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94"/>
        <v>6944</v>
      </c>
      <c r="Q345" s="127">
        <v>13696</v>
      </c>
      <c r="S345" s="12">
        <v>821.47199999999987</v>
      </c>
      <c r="T345" s="12">
        <f t="shared" si="95"/>
        <v>276.37119999999993</v>
      </c>
      <c r="U345" s="12">
        <f t="shared" si="96"/>
        <v>545.10079999999994</v>
      </c>
    </row>
    <row r="346" spans="1:21" x14ac:dyDescent="0.25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7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94"/>
        <v>18535</v>
      </c>
      <c r="Q346" s="127">
        <v>5883</v>
      </c>
      <c r="S346" s="12">
        <v>971.83639999999991</v>
      </c>
      <c r="T346" s="12">
        <f t="shared" si="95"/>
        <v>737.69299999999998</v>
      </c>
      <c r="U346" s="12">
        <f t="shared" si="96"/>
        <v>234.14339999999999</v>
      </c>
    </row>
    <row r="347" spans="1:21" x14ac:dyDescent="0.25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7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94"/>
        <v>17526</v>
      </c>
      <c r="Q347" s="127">
        <v>13142</v>
      </c>
      <c r="S347" s="12">
        <v>1220.5863999999999</v>
      </c>
      <c r="T347" s="12">
        <f t="shared" si="95"/>
        <v>697.5347999999999</v>
      </c>
      <c r="U347" s="12">
        <f t="shared" si="96"/>
        <v>523.05160000000001</v>
      </c>
    </row>
    <row r="348" spans="1:21" x14ac:dyDescent="0.25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7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94"/>
        <v>16201</v>
      </c>
      <c r="Q348" s="127">
        <v>1604</v>
      </c>
      <c r="S348" s="12">
        <v>708.63900000000001</v>
      </c>
      <c r="T348" s="12">
        <f t="shared" si="95"/>
        <v>644.7998</v>
      </c>
      <c r="U348" s="12">
        <f t="shared" si="96"/>
        <v>63.839199999999998</v>
      </c>
    </row>
    <row r="349" spans="1:21" x14ac:dyDescent="0.25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94"/>
        <v>26063</v>
      </c>
      <c r="Q349" s="127">
        <v>8060</v>
      </c>
      <c r="S349" s="12">
        <v>1358.0953999999999</v>
      </c>
      <c r="T349" s="12">
        <f t="shared" si="95"/>
        <v>1037.3073999999999</v>
      </c>
      <c r="U349" s="12">
        <f t="shared" si="96"/>
        <v>320.78800000000001</v>
      </c>
    </row>
    <row r="350" spans="1:21" x14ac:dyDescent="0.25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94"/>
        <v>20409</v>
      </c>
      <c r="Q350" s="127">
        <v>8040</v>
      </c>
      <c r="S350" s="12">
        <v>1132.2701999999999</v>
      </c>
      <c r="T350" s="12">
        <f t="shared" si="95"/>
        <v>812.27819999999997</v>
      </c>
      <c r="U350" s="12">
        <f t="shared" si="96"/>
        <v>319.99200000000002</v>
      </c>
    </row>
    <row r="351" spans="1:21" x14ac:dyDescent="0.25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94"/>
        <v>12407</v>
      </c>
      <c r="Q351" s="127">
        <v>11493</v>
      </c>
      <c r="S351" s="12">
        <v>951.21999999999991</v>
      </c>
      <c r="T351" s="12">
        <f t="shared" si="95"/>
        <v>493.79859999999996</v>
      </c>
      <c r="U351" s="12">
        <f t="shared" si="96"/>
        <v>457.42139999999995</v>
      </c>
    </row>
    <row r="352" spans="1:21" x14ac:dyDescent="0.25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94"/>
        <v>14896</v>
      </c>
      <c r="Q352" s="127">
        <v>547</v>
      </c>
      <c r="S352" s="12">
        <v>614.63139999999987</v>
      </c>
      <c r="T352" s="12">
        <f t="shared" si="95"/>
        <v>592.86079999999993</v>
      </c>
      <c r="U352" s="12">
        <f t="shared" si="96"/>
        <v>21.770599999999998</v>
      </c>
    </row>
    <row r="353" spans="1:21" ht="13.8" thickBot="1" x14ac:dyDescent="0.3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94"/>
        <v>6947</v>
      </c>
      <c r="Q353" s="127">
        <v>1868</v>
      </c>
      <c r="S353" s="12">
        <v>350.83699999999999</v>
      </c>
      <c r="T353" s="12">
        <f t="shared" si="95"/>
        <v>276.49059999999997</v>
      </c>
      <c r="U353" s="12">
        <f t="shared" si="96"/>
        <v>74.346399999999988</v>
      </c>
    </row>
    <row r="354" spans="1:21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5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94"/>
        <v>2502</v>
      </c>
      <c r="Q355" s="127">
        <v>148</v>
      </c>
      <c r="S355" s="12">
        <v>105.46999999999998</v>
      </c>
      <c r="T355" s="12">
        <f t="shared" si="95"/>
        <v>99.579599999999985</v>
      </c>
      <c r="U355" s="12">
        <f t="shared" si="96"/>
        <v>5.8903999999999996</v>
      </c>
    </row>
    <row r="356" spans="1:21" x14ac:dyDescent="0.25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94"/>
        <v>4583</v>
      </c>
      <c r="Q356" s="127">
        <v>121</v>
      </c>
      <c r="S356" s="12">
        <v>187.21919999999997</v>
      </c>
      <c r="T356" s="12">
        <f t="shared" si="95"/>
        <v>182.40339999999998</v>
      </c>
      <c r="U356" s="12">
        <f t="shared" si="96"/>
        <v>4.8157999999999994</v>
      </c>
    </row>
    <row r="357" spans="1:21" x14ac:dyDescent="0.25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94"/>
        <v>7974</v>
      </c>
      <c r="Q357" s="127">
        <v>614</v>
      </c>
      <c r="S357" s="12">
        <v>341.80239999999998</v>
      </c>
      <c r="T357" s="12">
        <f t="shared" si="95"/>
        <v>317.36519999999996</v>
      </c>
      <c r="U357" s="12">
        <f t="shared" si="96"/>
        <v>24.437199999999997</v>
      </c>
    </row>
    <row r="358" spans="1:21" x14ac:dyDescent="0.25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94"/>
        <v>4898</v>
      </c>
      <c r="Q358" s="127">
        <v>11637</v>
      </c>
      <c r="S358" s="12">
        <v>658.09299999999996</v>
      </c>
      <c r="T358" s="12">
        <f t="shared" si="95"/>
        <v>194.94040000000001</v>
      </c>
      <c r="U358" s="12">
        <f t="shared" si="96"/>
        <v>463.15259999999995</v>
      </c>
    </row>
    <row r="359" spans="1:21" x14ac:dyDescent="0.25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94"/>
        <v>21246</v>
      </c>
      <c r="Q359" s="127">
        <v>4403</v>
      </c>
      <c r="S359" s="12">
        <v>1020.8302</v>
      </c>
      <c r="T359" s="12">
        <f t="shared" si="95"/>
        <v>845.59079999999994</v>
      </c>
      <c r="U359" s="12">
        <f t="shared" si="96"/>
        <v>175.23939999999999</v>
      </c>
    </row>
    <row r="360" spans="1:21" x14ac:dyDescent="0.25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94"/>
        <v>21220</v>
      </c>
      <c r="Q360" s="127">
        <v>8932</v>
      </c>
      <c r="S360" s="12">
        <v>1200.0495999999998</v>
      </c>
      <c r="T360" s="12">
        <f t="shared" si="95"/>
        <v>844.55599999999981</v>
      </c>
      <c r="U360" s="12">
        <f t="shared" si="96"/>
        <v>355.49359999999996</v>
      </c>
    </row>
    <row r="361" spans="1:21" x14ac:dyDescent="0.25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94"/>
        <v>9904</v>
      </c>
      <c r="Q361" s="127">
        <v>4261</v>
      </c>
      <c r="S361" s="12">
        <v>563.76700000000005</v>
      </c>
      <c r="T361" s="12">
        <f t="shared" si="95"/>
        <v>394.17920000000004</v>
      </c>
      <c r="U361" s="12">
        <f t="shared" si="96"/>
        <v>169.58779999999999</v>
      </c>
    </row>
    <row r="362" spans="1:21" x14ac:dyDescent="0.25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94"/>
        <v>18225</v>
      </c>
      <c r="Q362" s="127">
        <v>8591</v>
      </c>
      <c r="S362" s="12">
        <v>1067.2767999999999</v>
      </c>
      <c r="T362" s="12">
        <f t="shared" si="95"/>
        <v>725.3549999999999</v>
      </c>
      <c r="U362" s="12">
        <f t="shared" si="96"/>
        <v>341.92179999999996</v>
      </c>
    </row>
    <row r="363" spans="1:21" x14ac:dyDescent="0.25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94"/>
        <v>22365</v>
      </c>
      <c r="Q363" s="127">
        <v>8106</v>
      </c>
      <c r="S363" s="12">
        <v>1212.7457999999999</v>
      </c>
      <c r="T363" s="12">
        <f t="shared" si="95"/>
        <v>890.12699999999995</v>
      </c>
      <c r="U363" s="12">
        <f t="shared" si="96"/>
        <v>322.61879999999996</v>
      </c>
    </row>
    <row r="364" spans="1:21" x14ac:dyDescent="0.25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94"/>
        <v>18460</v>
      </c>
      <c r="Q364" s="127">
        <v>4542</v>
      </c>
      <c r="S364" s="12">
        <v>915.4796</v>
      </c>
      <c r="T364" s="12">
        <f t="shared" si="95"/>
        <v>734.70800000000008</v>
      </c>
      <c r="U364" s="12">
        <f t="shared" si="96"/>
        <v>180.77159999999998</v>
      </c>
    </row>
    <row r="365" spans="1:21" x14ac:dyDescent="0.25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94"/>
        <v>11614</v>
      </c>
      <c r="Q365" s="127">
        <v>7672</v>
      </c>
      <c r="S365" s="12">
        <v>767.58279999999991</v>
      </c>
      <c r="T365" s="12">
        <f t="shared" si="95"/>
        <v>462.23719999999992</v>
      </c>
      <c r="U365" s="12">
        <f t="shared" si="96"/>
        <v>305.34559999999999</v>
      </c>
    </row>
    <row r="366" spans="1:21" ht="13.8" thickBot="1" x14ac:dyDescent="0.3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94"/>
        <v>11765</v>
      </c>
      <c r="Q366" s="127">
        <v>213</v>
      </c>
      <c r="S366" s="12">
        <v>476.72439999999995</v>
      </c>
      <c r="T366" s="12">
        <f t="shared" si="95"/>
        <v>468.24699999999996</v>
      </c>
      <c r="U366" s="12">
        <f t="shared" si="96"/>
        <v>8.4773999999999994</v>
      </c>
    </row>
    <row r="367" spans="1:21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5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8">H368*39.8/1000</f>
        <v>123.02179999999998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9">I368-I369</f>
        <v>-4127</v>
      </c>
      <c r="H369" s="16">
        <v>655</v>
      </c>
      <c r="I369" s="16">
        <v>20971</v>
      </c>
      <c r="J369" s="15"/>
      <c r="K369" s="15"/>
      <c r="L369" s="16">
        <f t="shared" si="98"/>
        <v>26.068999999999996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9"/>
        <v>4557</v>
      </c>
      <c r="H370" s="16">
        <v>11330</v>
      </c>
      <c r="I370" s="16">
        <v>16414</v>
      </c>
      <c r="J370" s="15"/>
      <c r="K370" s="15"/>
      <c r="L370" s="16">
        <f t="shared" si="98"/>
        <v>450.93399999999997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9"/>
        <v>-7903</v>
      </c>
      <c r="H371" s="16">
        <v>6516</v>
      </c>
      <c r="I371" s="16">
        <v>24317</v>
      </c>
      <c r="J371" s="15"/>
      <c r="K371" s="15"/>
      <c r="L371" s="16">
        <f t="shared" si="98"/>
        <v>259.33679999999998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9"/>
        <v>6279</v>
      </c>
      <c r="H372" s="16">
        <v>17958</v>
      </c>
      <c r="I372" s="16">
        <v>18038</v>
      </c>
      <c r="J372" s="15"/>
      <c r="K372" s="15"/>
      <c r="L372" s="16">
        <f t="shared" si="98"/>
        <v>714.72839999999985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9"/>
        <v>2572</v>
      </c>
      <c r="H373" s="16">
        <v>22428</v>
      </c>
      <c r="I373" s="16">
        <v>15466</v>
      </c>
      <c r="J373" s="15"/>
      <c r="K373" s="15"/>
      <c r="L373" s="16">
        <f t="shared" si="98"/>
        <v>892.63439999999991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9"/>
        <v>64</v>
      </c>
      <c r="H374" s="16">
        <v>13653</v>
      </c>
      <c r="I374" s="16">
        <v>15402</v>
      </c>
      <c r="J374" s="15"/>
      <c r="K374" s="15"/>
      <c r="L374" s="16">
        <f t="shared" si="98"/>
        <v>543.38939999999991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8"/>
        <v>595.52739999999994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8"/>
        <v>968.65239999999994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8"/>
        <v>480.54519999999997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8"/>
        <v>700.55959999999993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8"/>
        <v>237.56619999999998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100">H381*39.8/1000</f>
        <v>130.1858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101">I381-I382</f>
        <v>-8375</v>
      </c>
      <c r="H382" s="16">
        <v>265</v>
      </c>
      <c r="I382" s="16">
        <v>20962</v>
      </c>
      <c r="J382" s="15"/>
      <c r="K382" s="15"/>
      <c r="L382" s="16">
        <f t="shared" si="100"/>
        <v>10.547000000000001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101"/>
        <v>-1711</v>
      </c>
      <c r="H383" s="16">
        <v>1674</v>
      </c>
      <c r="I383" s="16">
        <v>22673</v>
      </c>
      <c r="J383" s="15"/>
      <c r="K383" s="15"/>
      <c r="L383" s="16">
        <f t="shared" si="100"/>
        <v>66.625199999999992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101"/>
        <v>1187</v>
      </c>
      <c r="H384" s="16">
        <v>12075</v>
      </c>
      <c r="I384" s="16">
        <v>21486</v>
      </c>
      <c r="J384" s="15"/>
      <c r="K384" s="15"/>
      <c r="L384" s="16">
        <f t="shared" si="100"/>
        <v>480.58499999999992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101"/>
        <v>0</v>
      </c>
      <c r="H385" s="16">
        <v>12075</v>
      </c>
      <c r="I385" s="16">
        <v>21486</v>
      </c>
      <c r="J385" s="15"/>
      <c r="K385" s="15"/>
      <c r="L385" s="16">
        <f t="shared" si="100"/>
        <v>480.58499999999992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101"/>
        <v>7051</v>
      </c>
      <c r="H386" s="16">
        <v>21048</v>
      </c>
      <c r="I386" s="16">
        <v>14435</v>
      </c>
      <c r="J386" s="15"/>
      <c r="K386" s="15"/>
      <c r="L386" s="16">
        <f t="shared" si="100"/>
        <v>837.71039999999994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101"/>
        <v>1701</v>
      </c>
      <c r="H387" s="16">
        <v>13360</v>
      </c>
      <c r="I387" s="16">
        <v>12734</v>
      </c>
      <c r="J387" s="15"/>
      <c r="K387" s="15"/>
      <c r="L387" s="16">
        <f t="shared" si="100"/>
        <v>531.72799999999995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100"/>
        <v>706.72860000000003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100"/>
        <v>820.67599999999993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100"/>
        <v>718.86759999999992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100"/>
        <v>431.39219999999995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100"/>
        <v>438.59599999999995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102">H394*39.8/1000</f>
        <v>106.26599999999999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103">I394-I395</f>
        <v>-1040</v>
      </c>
      <c r="H395" s="16">
        <v>1697</v>
      </c>
      <c r="I395" s="16">
        <v>10694</v>
      </c>
      <c r="J395" s="15"/>
      <c r="K395" s="15"/>
      <c r="L395" s="16">
        <f t="shared" si="102"/>
        <v>67.540599999999998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103"/>
        <v>4385</v>
      </c>
      <c r="H396" s="16">
        <v>8704</v>
      </c>
      <c r="I396" s="16">
        <v>6309</v>
      </c>
      <c r="J396" s="15"/>
      <c r="K396" s="15"/>
      <c r="L396" s="16">
        <f t="shared" si="102"/>
        <v>346.41919999999993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103"/>
        <v>-8519</v>
      </c>
      <c r="H397" s="16">
        <v>4597</v>
      </c>
      <c r="I397" s="16">
        <v>14828</v>
      </c>
      <c r="J397" s="15"/>
      <c r="K397" s="15"/>
      <c r="L397" s="16">
        <f t="shared" si="102"/>
        <v>182.96059999999997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103"/>
        <v>1424</v>
      </c>
      <c r="H398" s="16">
        <v>12427</v>
      </c>
      <c r="I398" s="16">
        <v>13404</v>
      </c>
      <c r="J398" s="15"/>
      <c r="K398" s="15"/>
      <c r="L398" s="16">
        <f t="shared" si="102"/>
        <v>494.59459999999996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103"/>
        <v>-3316</v>
      </c>
      <c r="H399" s="16">
        <v>10019</v>
      </c>
      <c r="I399" s="16">
        <v>16720</v>
      </c>
      <c r="J399" s="15"/>
      <c r="K399" s="15"/>
      <c r="L399" s="16">
        <f t="shared" si="102"/>
        <v>398.75619999999998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103"/>
        <v>1608</v>
      </c>
      <c r="H400" s="16">
        <v>9238</v>
      </c>
      <c r="I400" s="16">
        <v>15112</v>
      </c>
      <c r="J400" s="15"/>
      <c r="K400" s="15"/>
      <c r="L400" s="16">
        <f t="shared" si="102"/>
        <v>367.67239999999998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102"/>
        <v>520.82280000000003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102"/>
        <v>612.99959999999999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102"/>
        <v>500.7636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102"/>
        <v>509.87779999999998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102"/>
        <v>337.82239999999996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04">H407*39.8/1000</f>
        <v>106.06699999999998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05">I407-I408</f>
        <v>-5426</v>
      </c>
      <c r="H408" s="16">
        <v>-515</v>
      </c>
      <c r="I408" s="16">
        <v>17323</v>
      </c>
      <c r="J408" s="15"/>
      <c r="K408" s="15"/>
      <c r="L408" s="16">
        <f t="shared" si="104"/>
        <v>-20.497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05"/>
        <v>-2908</v>
      </c>
      <c r="H409" s="16">
        <v>4621</v>
      </c>
      <c r="I409" s="16">
        <v>20231</v>
      </c>
      <c r="J409" s="15"/>
      <c r="K409" s="15"/>
      <c r="L409" s="16">
        <f t="shared" si="104"/>
        <v>183.91579999999999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05"/>
        <v>1222</v>
      </c>
      <c r="H410" s="16">
        <v>14813</v>
      </c>
      <c r="I410" s="16">
        <v>19009</v>
      </c>
      <c r="J410" s="15"/>
      <c r="K410" s="15"/>
      <c r="L410" s="16">
        <f t="shared" si="104"/>
        <v>589.55739999999992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05"/>
        <v>-316</v>
      </c>
      <c r="H411" s="16">
        <v>13394</v>
      </c>
      <c r="I411" s="16">
        <v>19325</v>
      </c>
      <c r="J411" s="15"/>
      <c r="K411" s="15"/>
      <c r="L411" s="16">
        <f t="shared" si="104"/>
        <v>533.08119999999997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05"/>
        <v>3370</v>
      </c>
      <c r="H412" s="16">
        <v>16199</v>
      </c>
      <c r="I412" s="16">
        <v>15955</v>
      </c>
      <c r="J412" s="15"/>
      <c r="K412" s="15"/>
      <c r="L412" s="16">
        <f t="shared" si="104"/>
        <v>644.72019999999998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05"/>
        <v>2066</v>
      </c>
      <c r="H413" s="16">
        <v>9995</v>
      </c>
      <c r="I413" s="16">
        <v>13889</v>
      </c>
      <c r="J413" s="15"/>
      <c r="K413" s="15"/>
      <c r="L413" s="16">
        <f t="shared" si="104"/>
        <v>397.80099999999999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05"/>
        <v>439</v>
      </c>
      <c r="H414" s="16">
        <v>16367</v>
      </c>
      <c r="I414" s="16">
        <v>13450</v>
      </c>
      <c r="L414" s="16">
        <f t="shared" si="104"/>
        <v>651.40660000000003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05"/>
        <v>-1214</v>
      </c>
      <c r="H415" s="16">
        <v>19476</v>
      </c>
      <c r="I415" s="16">
        <v>14664</v>
      </c>
      <c r="L415" s="16">
        <f t="shared" si="104"/>
        <v>775.14479999999992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05"/>
        <v>3029</v>
      </c>
      <c r="H416" s="16">
        <v>15607</v>
      </c>
      <c r="I416" s="16">
        <v>11635</v>
      </c>
      <c r="L416" s="16">
        <f t="shared" si="104"/>
        <v>621.15859999999998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05"/>
        <v>-4817</v>
      </c>
      <c r="H417" s="16">
        <v>13164</v>
      </c>
      <c r="I417" s="16">
        <v>16452</v>
      </c>
      <c r="L417" s="16">
        <f t="shared" si="104"/>
        <v>523.92719999999997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05"/>
        <v>1802</v>
      </c>
      <c r="H418" s="42">
        <v>5649</v>
      </c>
      <c r="I418" s="42">
        <v>14650</v>
      </c>
      <c r="J418" s="2"/>
      <c r="K418" s="2"/>
      <c r="L418" s="42">
        <f t="shared" si="104"/>
        <v>224.83019999999999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6">H420*39.8/1000</f>
        <v>244.25259999999997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7">I420-I421</f>
        <v>-3678</v>
      </c>
      <c r="H421" s="16">
        <v>2997</v>
      </c>
      <c r="I421" s="16">
        <v>17225</v>
      </c>
      <c r="J421" s="15"/>
      <c r="K421" s="15"/>
      <c r="L421" s="16">
        <f t="shared" si="106"/>
        <v>119.28059999999999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7"/>
        <v>-1549</v>
      </c>
      <c r="H422" s="16">
        <v>5245</v>
      </c>
      <c r="I422" s="16">
        <v>18774</v>
      </c>
      <c r="J422" s="15"/>
      <c r="K422" s="15"/>
      <c r="L422" s="16">
        <f t="shared" si="106"/>
        <v>208.75099999999998</v>
      </c>
      <c r="N422" s="23" t="str">
        <f>'Olieforbrug, TJ'!M422</f>
        <v>March</v>
      </c>
    </row>
    <row r="423" spans="1:14" ht="12.9" customHeight="1" x14ac:dyDescent="0.25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7"/>
        <v>962</v>
      </c>
      <c r="H423" s="16">
        <v>12161</v>
      </c>
      <c r="I423" s="16">
        <v>17812</v>
      </c>
      <c r="J423" s="15"/>
      <c r="K423" s="15"/>
      <c r="L423" s="16">
        <f t="shared" si="106"/>
        <v>484.00779999999997</v>
      </c>
      <c r="N423" s="23" t="str">
        <f>'Olieforbrug, TJ'!M423</f>
        <v>April</v>
      </c>
    </row>
    <row r="424" spans="1:14" ht="12.9" customHeight="1" x14ac:dyDescent="0.25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7"/>
        <v>3753</v>
      </c>
      <c r="H424" s="16">
        <v>15688</v>
      </c>
      <c r="I424" s="16">
        <v>14059</v>
      </c>
      <c r="J424" s="15"/>
      <c r="K424" s="15"/>
      <c r="L424" s="16">
        <f t="shared" si="106"/>
        <v>624.38239999999996</v>
      </c>
      <c r="N424" s="23" t="str">
        <f>'Olieforbrug, TJ'!M424</f>
        <v>May</v>
      </c>
    </row>
    <row r="425" spans="1:14" ht="12.9" customHeight="1" x14ac:dyDescent="0.25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7"/>
        <v>-1525</v>
      </c>
      <c r="H425" s="16">
        <v>16794</v>
      </c>
      <c r="I425" s="16">
        <v>15584</v>
      </c>
      <c r="J425" s="15"/>
      <c r="K425" s="15"/>
      <c r="L425" s="16">
        <f t="shared" si="106"/>
        <v>668.4011999999999</v>
      </c>
      <c r="N425" s="23" t="str">
        <f>'Olieforbrug, TJ'!M425</f>
        <v>June</v>
      </c>
    </row>
    <row r="426" spans="1:14" ht="12.6" customHeight="1" x14ac:dyDescent="0.25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7"/>
        <v>-1342</v>
      </c>
      <c r="H426" s="16">
        <v>7563</v>
      </c>
      <c r="I426" s="16">
        <v>16926</v>
      </c>
      <c r="J426" s="15"/>
      <c r="K426" s="15"/>
      <c r="L426" s="16">
        <f t="shared" si="106"/>
        <v>301.00739999999996</v>
      </c>
      <c r="N426" s="23" t="str">
        <f>'Olieforbrug, TJ'!M426</f>
        <v>July</v>
      </c>
    </row>
    <row r="427" spans="1:14" ht="12.6" customHeight="1" x14ac:dyDescent="0.25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6"/>
        <v>761.73219999999992</v>
      </c>
      <c r="N427" s="23" t="str">
        <f>'Olieforbrug, TJ'!M427</f>
        <v>August</v>
      </c>
    </row>
    <row r="428" spans="1:14" ht="12.6" customHeight="1" x14ac:dyDescent="0.25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6"/>
        <v>692.52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6"/>
        <v>547.68779999999992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6"/>
        <v>494.07719999999995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6"/>
        <v>319.35519999999997</v>
      </c>
      <c r="M431" s="2"/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8">H433*39.8/1000</f>
        <v>123.02179999999998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9">I433-I434</f>
        <v>-5117</v>
      </c>
      <c r="H434" s="16">
        <v>4768</v>
      </c>
      <c r="I434" s="16">
        <v>15079</v>
      </c>
      <c r="J434" s="15"/>
      <c r="K434" s="15"/>
      <c r="L434" s="16">
        <f t="shared" si="108"/>
        <v>189.7664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9"/>
        <v>698</v>
      </c>
      <c r="H435" s="16">
        <v>6380</v>
      </c>
      <c r="I435" s="16">
        <v>14381</v>
      </c>
      <c r="J435" s="15"/>
      <c r="K435" s="15"/>
      <c r="L435" s="16">
        <f t="shared" si="108"/>
        <v>253.92399999999998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9"/>
        <v>284</v>
      </c>
      <c r="H436" s="16">
        <v>11573</v>
      </c>
      <c r="I436" s="16">
        <v>14097</v>
      </c>
      <c r="J436" s="15"/>
      <c r="K436" s="15"/>
      <c r="L436" s="16">
        <f t="shared" si="108"/>
        <v>460.60539999999997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9"/>
        <v>1981</v>
      </c>
      <c r="H437" s="16">
        <v>18856</v>
      </c>
      <c r="I437" s="16">
        <v>12116</v>
      </c>
      <c r="J437" s="15"/>
      <c r="K437" s="15"/>
      <c r="L437" s="16">
        <f t="shared" si="108"/>
        <v>750.46879999999987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9"/>
        <v>-845</v>
      </c>
      <c r="H438" s="16">
        <v>19264</v>
      </c>
      <c r="I438" s="16">
        <v>12961</v>
      </c>
      <c r="J438" s="15"/>
      <c r="K438" s="15"/>
      <c r="L438" s="16">
        <f t="shared" si="108"/>
        <v>766.70719999999994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9"/>
        <v>-1705</v>
      </c>
      <c r="H439" s="16">
        <v>10369</v>
      </c>
      <c r="I439" s="16">
        <v>14666</v>
      </c>
      <c r="J439" s="15"/>
      <c r="K439" s="15"/>
      <c r="L439" s="16">
        <f t="shared" ref="L439" si="110">H439*39.8/1000</f>
        <v>412.68619999999993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11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12">H440*39.8/1000</f>
        <v>779.80139999999994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13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14">H441*39.8/1000</f>
        <v>747.245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15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6">H442*39.8/1000</f>
        <v>649.73500000000001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7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8">H443*39.8/1000</f>
        <v>589.00019999999995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9">I443-I444</f>
        <v>-5550</v>
      </c>
      <c r="H444" s="42">
        <v>6613</v>
      </c>
      <c r="I444" s="42">
        <v>13486</v>
      </c>
      <c r="J444" s="2"/>
      <c r="K444" s="2"/>
      <c r="L444" s="54">
        <f t="shared" ref="L444" si="120">H444*39.8/1000</f>
        <v>263.19739999999996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21">H446*39.8/1000</f>
        <v>149.84700000000001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22">I446-I447</f>
        <v>536</v>
      </c>
      <c r="H447" s="16">
        <v>4302</v>
      </c>
      <c r="I447" s="16">
        <v>11049</v>
      </c>
      <c r="J447" s="15"/>
      <c r="K447" s="15"/>
      <c r="L447" s="14">
        <f t="shared" ref="L447" si="123">H447*39.8/1000</f>
        <v>171.21959999999999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22"/>
        <v>-5615</v>
      </c>
      <c r="H448" s="16">
        <v>7731</v>
      </c>
      <c r="I448" s="16">
        <v>16664</v>
      </c>
      <c r="J448" s="15"/>
      <c r="K448" s="15"/>
      <c r="L448" s="14">
        <f t="shared" ref="L448" si="124">H448*39.8/1000</f>
        <v>307.69380000000001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22"/>
        <v>-1758</v>
      </c>
      <c r="H449" s="16">
        <v>10782</v>
      </c>
      <c r="I449" s="16">
        <v>18422</v>
      </c>
      <c r="J449" s="15"/>
      <c r="K449" s="15"/>
      <c r="L449" s="14">
        <f t="shared" ref="L449" si="125">H449*39.8/1000</f>
        <v>429.12359999999995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22"/>
        <v>1257</v>
      </c>
      <c r="H450" s="16">
        <v>15563</v>
      </c>
      <c r="I450" s="16">
        <v>17165</v>
      </c>
      <c r="J450" s="15"/>
      <c r="K450" s="15"/>
      <c r="L450" s="14">
        <f t="shared" ref="L450" si="126">H450*39.8/1000</f>
        <v>619.40739999999994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22"/>
        <v>8147</v>
      </c>
      <c r="H451" s="16">
        <v>21531</v>
      </c>
      <c r="I451" s="16">
        <v>9018</v>
      </c>
      <c r="J451" s="15"/>
      <c r="K451" s="15"/>
      <c r="L451" s="14">
        <f t="shared" ref="L451" si="127">H451*39.8/1000</f>
        <v>856.93379999999991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22"/>
        <v>-4704</v>
      </c>
      <c r="H452" s="16">
        <v>7093</v>
      </c>
      <c r="I452" s="16">
        <v>13722</v>
      </c>
      <c r="J452" s="15"/>
      <c r="K452" s="15"/>
      <c r="L452" s="14">
        <f t="shared" ref="L452" si="128">H452*39.8/1000</f>
        <v>282.30139999999994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9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30">H453*39.8/1000</f>
        <v>677.83379999999988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31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32">H454*39.8/1000</f>
        <v>662.471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33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34">H455*39.8/1000</f>
        <v>569.10019999999997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35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6">H456*39.8/1000</f>
        <v>425.66099999999994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7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8">H457*39.8/1000</f>
        <v>139.14079999999998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9">H459*39.8/1000</f>
        <v>58.10799999999999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40">I459-I460</f>
        <v>93</v>
      </c>
      <c r="H460" s="77">
        <v>4820</v>
      </c>
      <c r="I460" s="16">
        <v>16876</v>
      </c>
      <c r="J460" s="15"/>
      <c r="K460" s="15"/>
      <c r="L460" s="14">
        <f t="shared" ref="L460" si="141">H460*39.8/1000</f>
        <v>191.83600000000001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40"/>
        <v>2405</v>
      </c>
      <c r="H461" s="77">
        <v>7037</v>
      </c>
      <c r="I461" s="16">
        <v>14471</v>
      </c>
      <c r="J461" s="15"/>
      <c r="K461" s="15"/>
      <c r="L461" s="14">
        <f t="shared" ref="L461" si="142">H461*39.8/1000</f>
        <v>280.07259999999997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40"/>
        <v>-7451</v>
      </c>
      <c r="H462" s="77">
        <v>14523</v>
      </c>
      <c r="I462" s="16">
        <v>21922</v>
      </c>
      <c r="J462" s="15"/>
      <c r="K462" s="15"/>
      <c r="L462" s="14">
        <f t="shared" ref="L462" si="143">H462*39.8/1000</f>
        <v>578.01539999999989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40"/>
        <v>3081</v>
      </c>
      <c r="H463" s="77">
        <v>18346</v>
      </c>
      <c r="I463" s="16">
        <v>18841</v>
      </c>
      <c r="J463" s="15"/>
      <c r="K463" s="15"/>
      <c r="L463" s="14">
        <f t="shared" ref="L463" si="144">H463*39.8/1000</f>
        <v>730.17079999999999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40"/>
        <v>2952</v>
      </c>
      <c r="H464" s="77">
        <v>18737</v>
      </c>
      <c r="I464" s="16">
        <v>15889</v>
      </c>
      <c r="J464" s="15"/>
      <c r="K464" s="15"/>
      <c r="L464" s="14">
        <f t="shared" ref="L464" si="145">H464*39.8/1000</f>
        <v>745.73259999999993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40"/>
        <v>5397</v>
      </c>
      <c r="H465" s="77">
        <v>11929</v>
      </c>
      <c r="I465" s="16">
        <v>10492</v>
      </c>
      <c r="J465" s="15"/>
      <c r="K465" s="15"/>
      <c r="L465" s="14">
        <f t="shared" ref="L465" si="146">H465*39.8/1000</f>
        <v>474.77419999999995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7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8">H466*39.8/1000</f>
        <v>749.39419999999996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9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50">H467*39.8/1000</f>
        <v>804.19879999999989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51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52">H468*39.8/1000</f>
        <v>739.24519999999995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53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54">H469*39.8/1000</f>
        <v>542.15559999999994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55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6">H470*39.8/1000</f>
        <v>434.69559999999996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7">H472*39.8/1000</f>
        <v>92.813599999999994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58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59">H473*39.8/1000</f>
        <v>137.78759999999997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58"/>
        <v>1519</v>
      </c>
      <c r="H474" s="77">
        <v>9271</v>
      </c>
      <c r="I474" s="16">
        <v>16178</v>
      </c>
      <c r="J474" s="15"/>
      <c r="K474" s="15"/>
      <c r="L474" s="14">
        <f t="shared" ref="L474" si="160">H474*39.8/1000</f>
        <v>368.98579999999998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58"/>
        <v>2244</v>
      </c>
      <c r="H475" s="77">
        <v>12531</v>
      </c>
      <c r="I475" s="16">
        <v>13934</v>
      </c>
      <c r="J475" s="15"/>
      <c r="K475" s="15"/>
      <c r="L475" s="14">
        <f t="shared" ref="L475" si="161">H475*39.8/1000</f>
        <v>498.73379999999997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58"/>
        <v>-354</v>
      </c>
      <c r="H476" s="77">
        <v>22134</v>
      </c>
      <c r="I476" s="16">
        <v>14288</v>
      </c>
      <c r="J476" s="15"/>
      <c r="K476" s="15"/>
      <c r="L476" s="14">
        <f t="shared" ref="L476" si="162">H476*39.8/1000</f>
        <v>880.93319999999994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58"/>
        <v>2533</v>
      </c>
      <c r="H477" s="77">
        <v>19721</v>
      </c>
      <c r="I477" s="16">
        <v>11755</v>
      </c>
      <c r="J477" s="15"/>
      <c r="K477" s="15"/>
      <c r="L477" s="14">
        <f t="shared" ref="L477" si="163">H477*39.8/1000</f>
        <v>784.89579999999989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58"/>
        <v>-6503</v>
      </c>
      <c r="H478" s="77">
        <v>9611</v>
      </c>
      <c r="I478" s="16">
        <v>18258</v>
      </c>
      <c r="J478" s="15"/>
      <c r="K478" s="15"/>
      <c r="L478" s="14">
        <f t="shared" ref="L478" si="164">H478*39.8/1000</f>
        <v>382.51779999999997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0</v>
      </c>
      <c r="D479" s="16">
        <v>14673</v>
      </c>
      <c r="E479" s="16">
        <v>0</v>
      </c>
      <c r="F479" s="16">
        <v>0</v>
      </c>
      <c r="G479" s="69">
        <f t="shared" ref="G479" si="165">I478-I479</f>
        <v>3679</v>
      </c>
      <c r="H479" s="77">
        <v>18307</v>
      </c>
      <c r="I479" s="16">
        <v>14579</v>
      </c>
      <c r="J479" s="15"/>
      <c r="K479" s="15"/>
      <c r="L479" s="14">
        <f t="shared" ref="L479" si="166">H479*39.8/1000</f>
        <v>728.61860000000001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0</v>
      </c>
      <c r="D480" s="16">
        <v>19259</v>
      </c>
      <c r="E480" s="16">
        <v>0</v>
      </c>
      <c r="F480" s="16">
        <v>0</v>
      </c>
      <c r="G480" s="69">
        <f t="shared" ref="G480" si="167">I479-I480</f>
        <v>1577</v>
      </c>
      <c r="H480" s="77">
        <v>20924</v>
      </c>
      <c r="I480" s="16">
        <v>13002</v>
      </c>
      <c r="J480" s="15"/>
      <c r="K480" s="15"/>
      <c r="L480" s="14">
        <f t="shared" ref="L480" si="168">H480*39.8/1000</f>
        <v>832.77519999999993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0</v>
      </c>
      <c r="D481" s="16">
        <v>15294</v>
      </c>
      <c r="E481" s="16">
        <v>0</v>
      </c>
      <c r="F481" s="16">
        <v>0</v>
      </c>
      <c r="G481" s="69">
        <f t="shared" ref="G481" si="169">I480-I481</f>
        <v>1951</v>
      </c>
      <c r="H481" s="77">
        <v>17234</v>
      </c>
      <c r="I481" s="16">
        <v>11051</v>
      </c>
      <c r="J481" s="15"/>
      <c r="K481" s="15"/>
      <c r="L481" s="14">
        <f t="shared" ref="L481" si="170">H481*39.8/1000</f>
        <v>685.91319999999996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0</v>
      </c>
      <c r="D482" s="16">
        <v>15280</v>
      </c>
      <c r="E482" s="16">
        <v>0</v>
      </c>
      <c r="F482" s="16">
        <v>0</v>
      </c>
      <c r="G482" s="69">
        <f t="shared" ref="G482" si="171">I481-I482</f>
        <v>-2724</v>
      </c>
      <c r="H482" s="77">
        <v>12502</v>
      </c>
      <c r="I482" s="16">
        <v>13775</v>
      </c>
      <c r="J482" s="15"/>
      <c r="K482" s="15"/>
      <c r="L482" s="14">
        <f t="shared" ref="L482" si="172">H482*39.8/1000</f>
        <v>497.57959999999997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0</v>
      </c>
      <c r="D483" s="16">
        <v>6286</v>
      </c>
      <c r="E483" s="16">
        <v>0</v>
      </c>
      <c r="F483" s="16">
        <v>0</v>
      </c>
      <c r="G483" s="69">
        <f t="shared" ref="G483" si="173">I482-I483</f>
        <v>905</v>
      </c>
      <c r="H483" s="77">
        <v>7149</v>
      </c>
      <c r="I483" s="16">
        <v>12870</v>
      </c>
      <c r="J483" s="15"/>
      <c r="K483" s="15"/>
      <c r="L483" s="14">
        <f t="shared" ref="L483" si="174">H483*39.8/1000</f>
        <v>284.53019999999998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83"/>
  <sheetViews>
    <sheetView zoomScale="80" zoomScaleNormal="80" workbookViewId="0">
      <pane xSplit="2" ySplit="5" topLeftCell="C448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R156" sqref="R15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4.44140625" style="3" customWidth="1"/>
    <col min="10" max="10" width="20.44140625" style="3" customWidth="1"/>
    <col min="11" max="11" width="8.5546875" style="3" customWidth="1"/>
    <col min="12" max="12" width="20.5546875" customWidth="1"/>
    <col min="13" max="13" width="5.109375" customWidth="1"/>
    <col min="14" max="14" width="17.88671875" bestFit="1" customWidth="1"/>
    <col min="15" max="15" width="6" customWidth="1"/>
    <col min="16" max="16" width="17.88671875" bestFit="1" customWidth="1"/>
    <col min="17" max="17" width="6.109375" customWidth="1"/>
    <col min="18" max="18" width="17.88671875" bestFit="1" customWidth="1"/>
  </cols>
  <sheetData>
    <row r="1" spans="1:20" x14ac:dyDescent="0.25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5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5">
      <c r="N3" s="13" t="s">
        <v>25</v>
      </c>
      <c r="O3" s="13"/>
      <c r="P3" s="13" t="s">
        <v>26</v>
      </c>
      <c r="Q3" s="11"/>
      <c r="R3" s="13" t="s">
        <v>27</v>
      </c>
    </row>
    <row r="4" spans="1:20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5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5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5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5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5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5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5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5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5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5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903.31299599999977</v>
      </c>
      <c r="Q26" s="3"/>
      <c r="R26" s="3">
        <f>SUM(R459:R470)</f>
        <v>1.5023900000000039</v>
      </c>
      <c r="T26" s="12"/>
    </row>
    <row r="27" spans="1:20" x14ac:dyDescent="0.25">
      <c r="A27" s="22">
        <v>2025</v>
      </c>
      <c r="C27" s="3">
        <f>SUM(C472:C483)</f>
        <v>0</v>
      </c>
      <c r="D27" s="3">
        <f t="shared" ref="D27:H27" si="17">SUM(D472:D483)</f>
        <v>0</v>
      </c>
      <c r="E27" s="3">
        <f t="shared" si="17"/>
        <v>0</v>
      </c>
      <c r="F27" s="3">
        <f t="shared" si="17"/>
        <v>0</v>
      </c>
      <c r="G27" s="3">
        <f t="shared" si="17"/>
        <v>0</v>
      </c>
      <c r="H27" s="3">
        <f t="shared" si="17"/>
        <v>0</v>
      </c>
      <c r="J27" s="3">
        <f>J483</f>
        <v>0</v>
      </c>
      <c r="K27"/>
      <c r="L27" s="22">
        <v>2025</v>
      </c>
      <c r="M27" s="57"/>
      <c r="N27" s="3">
        <f t="shared" ref="N27" si="18">SUM(N472:N483)</f>
        <v>2150.3079999999959</v>
      </c>
      <c r="O27" s="3"/>
      <c r="P27" s="3">
        <f t="shared" ref="P27" si="19">SUM(P472:P483)</f>
        <v>903.31299599999977</v>
      </c>
      <c r="Q27" s="3"/>
      <c r="R27" s="3">
        <f t="shared" ref="R27" si="20">SUM(R472:R483)</f>
        <v>1.5023900000000039</v>
      </c>
      <c r="T27" s="12"/>
    </row>
    <row r="28" spans="1:20" ht="12.75" customHeight="1" x14ac:dyDescent="0.25">
      <c r="A28" s="23"/>
      <c r="M28" s="3"/>
      <c r="N28" s="3"/>
      <c r="P28" s="3"/>
      <c r="R28" s="3"/>
    </row>
    <row r="29" spans="1:20" ht="12.75" customHeight="1" x14ac:dyDescent="0.25">
      <c r="A29" s="22" t="str">
        <f>'Olieforbrug, TJ'!A29</f>
        <v>Januar - December</v>
      </c>
      <c r="L29" s="22" t="str">
        <f>'Olieforbrug, TJ'!M29</f>
        <v>January - December</v>
      </c>
      <c r="M29" s="3"/>
      <c r="N29" s="3"/>
      <c r="P29" s="3"/>
      <c r="R29" s="3"/>
    </row>
    <row r="30" spans="1:20" x14ac:dyDescent="0.25">
      <c r="A30" s="22">
        <f>'Olieforbrug, TJ'!A30</f>
        <v>2005</v>
      </c>
      <c r="C30" s="3">
        <f t="shared" ref="C30:H30" si="21">SUM(C212:C223)</f>
        <v>0</v>
      </c>
      <c r="D30" s="3">
        <f t="shared" si="21"/>
        <v>36526</v>
      </c>
      <c r="E30" s="3">
        <f t="shared" si="21"/>
        <v>1886</v>
      </c>
      <c r="F30" s="3">
        <f t="shared" si="21"/>
        <v>2462</v>
      </c>
      <c r="G30" s="3">
        <f t="shared" si="21"/>
        <v>-4110</v>
      </c>
      <c r="H30" s="3">
        <f t="shared" si="21"/>
        <v>34964</v>
      </c>
      <c r="J30" s="3">
        <f>J223</f>
        <v>9793</v>
      </c>
      <c r="L30" s="22">
        <f>'Olieforbrug, TJ'!M30</f>
        <v>2005</v>
      </c>
      <c r="M30" s="3"/>
      <c r="N30" s="3">
        <f>SUM(N212:N223)</f>
        <v>2550.1387500000001</v>
      </c>
      <c r="O30" s="3"/>
      <c r="P30" s="3">
        <f>SUM(P212:P223)</f>
        <v>849.25050000000022</v>
      </c>
      <c r="R30" s="3">
        <f>SUM(R212:R223)</f>
        <v>304</v>
      </c>
    </row>
    <row r="31" spans="1:20" x14ac:dyDescent="0.25">
      <c r="A31" s="22">
        <f>'Olieforbrug, TJ'!A31</f>
        <v>2006</v>
      </c>
      <c r="C31" s="3">
        <f t="shared" ref="C31:H31" si="22">SUM(C225:C236)</f>
        <v>0</v>
      </c>
      <c r="D31" s="3">
        <f t="shared" si="22"/>
        <v>42255</v>
      </c>
      <c r="E31" s="3">
        <f t="shared" si="22"/>
        <v>0</v>
      </c>
      <c r="F31" s="3">
        <f t="shared" si="22"/>
        <v>3221</v>
      </c>
      <c r="G31" s="3">
        <f t="shared" si="22"/>
        <v>5683</v>
      </c>
      <c r="H31" s="3">
        <f t="shared" si="22"/>
        <v>39518</v>
      </c>
      <c r="J31" s="3">
        <f>J236</f>
        <v>4110</v>
      </c>
      <c r="L31" s="22">
        <f>'Olieforbrug, TJ'!M31</f>
        <v>2006</v>
      </c>
      <c r="M31" s="3"/>
      <c r="N31" s="3">
        <f>SUM(N225:N236)</f>
        <v>2543.7489999999998</v>
      </c>
      <c r="O31" s="3"/>
      <c r="P31" s="3">
        <f>SUM(P225:P236)</f>
        <v>492.99841950000013</v>
      </c>
      <c r="R31" s="3">
        <f>SUM(R225:R236)</f>
        <v>372.19838460000011</v>
      </c>
    </row>
    <row r="32" spans="1:20" x14ac:dyDescent="0.25">
      <c r="A32" s="22">
        <f>'Olieforbrug, TJ'!A32</f>
        <v>2007</v>
      </c>
      <c r="C32" s="3">
        <f t="shared" ref="C32:H32" si="23">SUM(C238:C249)</f>
        <v>0</v>
      </c>
      <c r="D32" s="3">
        <f t="shared" si="23"/>
        <v>38873</v>
      </c>
      <c r="E32" s="3">
        <f t="shared" si="23"/>
        <v>1539</v>
      </c>
      <c r="F32" s="3">
        <f t="shared" si="23"/>
        <v>2431</v>
      </c>
      <c r="G32" s="3">
        <f t="shared" si="23"/>
        <v>78</v>
      </c>
      <c r="H32" s="3">
        <f t="shared" si="23"/>
        <v>35369</v>
      </c>
      <c r="J32" s="3">
        <f>J249</f>
        <v>4032</v>
      </c>
      <c r="L32" s="22">
        <f>'Olieforbrug, TJ'!M32</f>
        <v>2007</v>
      </c>
      <c r="M32" s="3"/>
      <c r="N32" s="3">
        <f>SUM(N238:N249)</f>
        <v>2574.1600200000007</v>
      </c>
      <c r="O32" s="3"/>
      <c r="P32" s="3">
        <f>SUM(P238:P249)</f>
        <v>338.04511200000002</v>
      </c>
      <c r="R32" s="3">
        <f>SUM(R238:R249)</f>
        <v>147.14261009430075</v>
      </c>
    </row>
    <row r="33" spans="1:18" x14ac:dyDescent="0.25">
      <c r="A33" s="22">
        <f>'Olieforbrug, TJ'!A33</f>
        <v>2008</v>
      </c>
      <c r="C33" s="3">
        <f t="shared" ref="C33:H33" si="24">SUM(C251:C262)</f>
        <v>0</v>
      </c>
      <c r="D33" s="3">
        <f t="shared" si="24"/>
        <v>2632</v>
      </c>
      <c r="E33" s="3">
        <f t="shared" si="24"/>
        <v>0</v>
      </c>
      <c r="F33" s="3">
        <f t="shared" si="24"/>
        <v>355</v>
      </c>
      <c r="G33" s="3">
        <f t="shared" si="24"/>
        <v>4032</v>
      </c>
      <c r="H33" s="3">
        <f t="shared" si="24"/>
        <v>2216</v>
      </c>
      <c r="J33" s="3">
        <f>J262</f>
        <v>0</v>
      </c>
      <c r="L33" s="22">
        <f>'Olieforbrug, TJ'!M33</f>
        <v>2008</v>
      </c>
      <c r="M33" s="3"/>
      <c r="N33" s="3">
        <f>SUM(N251:N262)</f>
        <v>2307.1732200000001</v>
      </c>
      <c r="O33" s="3"/>
      <c r="P33" s="3">
        <f>SUM(P251:P262)</f>
        <v>351.47930400000001</v>
      </c>
      <c r="R33" s="3">
        <f>SUM(R251:R262)</f>
        <v>62.117490233333292</v>
      </c>
    </row>
    <row r="34" spans="1:18" x14ac:dyDescent="0.25">
      <c r="A34" s="22">
        <f>'Olieforbrug, TJ'!A34</f>
        <v>2009</v>
      </c>
      <c r="C34" s="3">
        <f t="shared" ref="C34:H34" si="25">SUM(C264:C275)</f>
        <v>0</v>
      </c>
      <c r="D34" s="3">
        <f t="shared" si="25"/>
        <v>0</v>
      </c>
      <c r="E34" s="3">
        <f t="shared" si="25"/>
        <v>0</v>
      </c>
      <c r="F34" s="3">
        <f t="shared" si="25"/>
        <v>0</v>
      </c>
      <c r="G34" s="3">
        <f t="shared" si="25"/>
        <v>0</v>
      </c>
      <c r="H34" s="3">
        <f t="shared" si="25"/>
        <v>0</v>
      </c>
      <c r="J34" s="3">
        <f>J275</f>
        <v>0</v>
      </c>
      <c r="L34" s="22">
        <f>'Olieforbrug, TJ'!M34</f>
        <v>2009</v>
      </c>
      <c r="M34" s="3"/>
      <c r="N34" s="3">
        <f>SUM(N264:N275)</f>
        <v>2115.9766477028193</v>
      </c>
      <c r="O34" s="3"/>
      <c r="P34" s="3">
        <f>SUM(P264:P275)</f>
        <v>406.86045900000005</v>
      </c>
      <c r="R34" s="3">
        <f>SUM(R264:R275)</f>
        <v>36.734951633333303</v>
      </c>
    </row>
    <row r="35" spans="1:18" x14ac:dyDescent="0.25">
      <c r="A35" s="22">
        <f>'Olieforbrug, TJ'!A35</f>
        <v>2010</v>
      </c>
      <c r="C35" s="3">
        <f t="shared" ref="C35:H35" si="26">SUM(C277:C288)</f>
        <v>0</v>
      </c>
      <c r="D35" s="3">
        <f t="shared" si="26"/>
        <v>0</v>
      </c>
      <c r="E35" s="3">
        <f t="shared" si="26"/>
        <v>0</v>
      </c>
      <c r="F35" s="3">
        <f t="shared" si="26"/>
        <v>0</v>
      </c>
      <c r="G35" s="3">
        <f t="shared" si="26"/>
        <v>0</v>
      </c>
      <c r="H35" s="3">
        <f t="shared" si="26"/>
        <v>0</v>
      </c>
      <c r="J35" s="3">
        <f>J288</f>
        <v>0</v>
      </c>
      <c r="L35" s="22">
        <f>'Olieforbrug, TJ'!M35</f>
        <v>2010</v>
      </c>
      <c r="M35" s="3"/>
      <c r="N35" s="3">
        <f>SUM(N277:N288)</f>
        <v>2150.3080000000004</v>
      </c>
      <c r="O35" s="3"/>
      <c r="P35" s="3">
        <f>SUM(P277:P288)</f>
        <v>382.34529449999997</v>
      </c>
      <c r="R35" s="3">
        <f>SUM(R277:R288)</f>
        <v>38.69419393333331</v>
      </c>
    </row>
    <row r="36" spans="1:18" x14ac:dyDescent="0.25">
      <c r="A36" s="22">
        <f>'Olieforbrug, TJ'!A36</f>
        <v>2011</v>
      </c>
      <c r="C36" s="3">
        <f t="shared" ref="C36:H36" si="27">SUM(C290:C301)</f>
        <v>0</v>
      </c>
      <c r="D36" s="3">
        <f t="shared" si="27"/>
        <v>0</v>
      </c>
      <c r="E36" s="3">
        <f t="shared" si="27"/>
        <v>0</v>
      </c>
      <c r="F36" s="3">
        <f t="shared" si="27"/>
        <v>0</v>
      </c>
      <c r="G36" s="3">
        <f t="shared" si="27"/>
        <v>0</v>
      </c>
      <c r="H36" s="3">
        <f t="shared" si="27"/>
        <v>0</v>
      </c>
      <c r="J36" s="3">
        <f>J301</f>
        <v>0</v>
      </c>
      <c r="L36" s="22">
        <f>'Olieforbrug, TJ'!M36</f>
        <v>2011</v>
      </c>
      <c r="M36" s="3"/>
      <c r="N36" s="3">
        <f>SUM(N290:N301)</f>
        <v>2150.3080000000004</v>
      </c>
      <c r="O36" s="3"/>
      <c r="P36" s="3">
        <f>SUM(P290:P301)</f>
        <v>382.9682145000001</v>
      </c>
      <c r="R36" s="3">
        <f>SUM(R290:R301)</f>
        <v>41.203343500000003</v>
      </c>
    </row>
    <row r="37" spans="1:18" x14ac:dyDescent="0.25">
      <c r="A37" s="22">
        <f>'Olieforbrug, TJ'!A37</f>
        <v>2012</v>
      </c>
      <c r="C37" s="3">
        <f t="shared" ref="C37:H37" si="28">SUM(C303:C314)</f>
        <v>0</v>
      </c>
      <c r="D37" s="3">
        <f t="shared" si="28"/>
        <v>0</v>
      </c>
      <c r="E37" s="3">
        <f t="shared" si="28"/>
        <v>0</v>
      </c>
      <c r="F37" s="3">
        <f t="shared" si="28"/>
        <v>0</v>
      </c>
      <c r="G37" s="3">
        <f t="shared" si="28"/>
        <v>0</v>
      </c>
      <c r="H37" s="3">
        <f t="shared" si="28"/>
        <v>0</v>
      </c>
      <c r="J37" s="3">
        <f>J314</f>
        <v>0</v>
      </c>
      <c r="L37" s="22">
        <f>'Olieforbrug, TJ'!M37</f>
        <v>2012</v>
      </c>
      <c r="M37" s="3"/>
      <c r="N37" s="3">
        <f>SUM(N303:N314)</f>
        <v>2150.3080000000004</v>
      </c>
      <c r="O37" s="3"/>
      <c r="P37" s="3">
        <f>SUM(P303:P314)</f>
        <v>411.3667544999999</v>
      </c>
      <c r="R37" s="3">
        <f>SUM(R303:R314)</f>
        <v>39.707813900000005</v>
      </c>
    </row>
    <row r="38" spans="1:18" x14ac:dyDescent="0.25">
      <c r="A38" s="22">
        <f>'Olieforbrug, TJ'!A38</f>
        <v>2013</v>
      </c>
      <c r="C38" s="3">
        <f t="shared" ref="C38:H38" si="29">SUM(C316:C327)</f>
        <v>0</v>
      </c>
      <c r="D38" s="3">
        <f t="shared" si="29"/>
        <v>0</v>
      </c>
      <c r="E38" s="3">
        <f t="shared" si="29"/>
        <v>0</v>
      </c>
      <c r="F38" s="3">
        <f t="shared" si="29"/>
        <v>0</v>
      </c>
      <c r="G38" s="3">
        <f t="shared" si="29"/>
        <v>0</v>
      </c>
      <c r="H38" s="3">
        <f t="shared" si="29"/>
        <v>0</v>
      </c>
      <c r="J38" s="3">
        <f>J327</f>
        <v>0</v>
      </c>
      <c r="L38" s="22">
        <f>'Olieforbrug, TJ'!M38</f>
        <v>2013</v>
      </c>
      <c r="M38" s="3"/>
      <c r="N38" s="3">
        <f>SUM(N316:N327)</f>
        <v>2150.3080000000004</v>
      </c>
      <c r="O38" s="3"/>
      <c r="P38" s="3">
        <f>SUM(P316:P327)</f>
        <v>451.92367500000006</v>
      </c>
      <c r="R38" s="3">
        <f>SUM(R316:R327)</f>
        <v>40.890906599999994</v>
      </c>
    </row>
    <row r="39" spans="1:18" x14ac:dyDescent="0.25">
      <c r="A39" s="22">
        <f>'Olieforbrug, TJ'!A39</f>
        <v>2014</v>
      </c>
      <c r="C39" s="3">
        <f t="shared" ref="C39:H39" si="30">SUM(C329:C340)</f>
        <v>0</v>
      </c>
      <c r="D39" s="3">
        <f t="shared" si="30"/>
        <v>0</v>
      </c>
      <c r="E39" s="3">
        <f t="shared" si="30"/>
        <v>0</v>
      </c>
      <c r="F39" s="3">
        <f t="shared" si="30"/>
        <v>0</v>
      </c>
      <c r="G39" s="3">
        <f t="shared" si="30"/>
        <v>0</v>
      </c>
      <c r="H39" s="3">
        <f t="shared" si="30"/>
        <v>0</v>
      </c>
      <c r="J39" s="3">
        <f>J340</f>
        <v>0</v>
      </c>
      <c r="L39" s="22">
        <f>'Olieforbrug, TJ'!M39</f>
        <v>2014</v>
      </c>
      <c r="M39" s="3"/>
      <c r="N39" s="3">
        <f>SUM(N329:N340)</f>
        <v>2150.3080000000004</v>
      </c>
      <c r="O39" s="3"/>
      <c r="P39" s="3">
        <f>SUM(P329:P340)</f>
        <v>358.06937999999997</v>
      </c>
      <c r="R39" s="3">
        <f>SUM(R329:R340)</f>
        <v>14.684890900000001</v>
      </c>
    </row>
    <row r="40" spans="1:18" x14ac:dyDescent="0.25">
      <c r="A40" s="22">
        <f>'Olieforbrug, TJ'!A40</f>
        <v>2015</v>
      </c>
      <c r="C40" s="3">
        <f t="shared" ref="C40:H40" si="31">SUM(C342:C353)</f>
        <v>0</v>
      </c>
      <c r="D40" s="3">
        <f t="shared" si="31"/>
        <v>0</v>
      </c>
      <c r="E40" s="3">
        <f t="shared" si="31"/>
        <v>0</v>
      </c>
      <c r="F40" s="3">
        <f t="shared" si="31"/>
        <v>0</v>
      </c>
      <c r="G40" s="3">
        <f t="shared" si="31"/>
        <v>0</v>
      </c>
      <c r="H40" s="3">
        <f t="shared" si="31"/>
        <v>0</v>
      </c>
      <c r="J40" s="3">
        <f>J353</f>
        <v>0</v>
      </c>
      <c r="L40" s="22">
        <f>'Olieforbrug, TJ'!M40</f>
        <v>2015</v>
      </c>
      <c r="M40" s="3"/>
      <c r="N40" s="3">
        <f>SUM(N342:N353)</f>
        <v>2150.3080000000004</v>
      </c>
      <c r="O40" s="3"/>
      <c r="P40" s="3">
        <f>SUM(P342:P353)</f>
        <v>318.99594000000002</v>
      </c>
      <c r="R40" s="3">
        <f>SUM(R342:R353)</f>
        <v>48.165005200000017</v>
      </c>
    </row>
    <row r="41" spans="1:18" x14ac:dyDescent="0.25">
      <c r="A41" s="22">
        <f>'Olieforbrug, TJ'!A41</f>
        <v>2016</v>
      </c>
      <c r="C41" s="3">
        <f t="shared" ref="C41:H41" si="32">SUM(C355:C366)</f>
        <v>0</v>
      </c>
      <c r="D41" s="3">
        <f t="shared" si="32"/>
        <v>0</v>
      </c>
      <c r="E41" s="3">
        <f t="shared" si="32"/>
        <v>0</v>
      </c>
      <c r="F41" s="3">
        <f t="shared" si="32"/>
        <v>0</v>
      </c>
      <c r="G41" s="3">
        <f t="shared" si="32"/>
        <v>0</v>
      </c>
      <c r="H41" s="3">
        <f t="shared" si="32"/>
        <v>0</v>
      </c>
      <c r="J41" s="3">
        <f>J366</f>
        <v>0</v>
      </c>
      <c r="L41" s="22">
        <f>'Olieforbrug, TJ'!M41</f>
        <v>2016</v>
      </c>
      <c r="M41" s="3"/>
      <c r="N41" s="3">
        <f>SUM(N355:N366)</f>
        <v>2150.3080000000004</v>
      </c>
      <c r="O41" s="3"/>
      <c r="P41" s="3">
        <f>SUM(P355:P366)</f>
        <v>356.63827349999991</v>
      </c>
      <c r="R41" s="3">
        <f>SUM(R355:R366)</f>
        <v>19.498100000000036</v>
      </c>
    </row>
    <row r="42" spans="1:18" x14ac:dyDescent="0.25">
      <c r="A42" s="22">
        <f>'Olieforbrug, TJ'!A42</f>
        <v>2017</v>
      </c>
      <c r="C42" s="3">
        <f t="shared" ref="C42:H42" si="33">SUM(C368:C379)</f>
        <v>0</v>
      </c>
      <c r="D42" s="3">
        <f t="shared" si="33"/>
        <v>0</v>
      </c>
      <c r="E42" s="3">
        <f t="shared" si="33"/>
        <v>0</v>
      </c>
      <c r="F42" s="3">
        <f t="shared" si="33"/>
        <v>0</v>
      </c>
      <c r="G42" s="3">
        <f t="shared" si="33"/>
        <v>0</v>
      </c>
      <c r="H42" s="3">
        <f t="shared" si="33"/>
        <v>0</v>
      </c>
      <c r="J42" s="3">
        <f>J379</f>
        <v>0</v>
      </c>
      <c r="L42" s="22">
        <f>'Olieforbrug, TJ'!M42</f>
        <v>2017</v>
      </c>
      <c r="M42" s="3"/>
      <c r="N42" s="3">
        <f>SUM(N368:N379)</f>
        <v>2150.3080000000004</v>
      </c>
      <c r="O42" s="3"/>
      <c r="P42" s="3">
        <f>SUM(P368:P379)</f>
        <v>269.38766999999996</v>
      </c>
      <c r="R42" s="3">
        <f>SUM(R368:R379)</f>
        <v>19.383089999999996</v>
      </c>
    </row>
    <row r="43" spans="1:18" x14ac:dyDescent="0.25">
      <c r="A43" s="22">
        <f>'Olieforbrug, TJ'!A43</f>
        <v>2018</v>
      </c>
      <c r="C43" s="3">
        <f t="shared" ref="C43:H43" si="34">SUM(C381:C392)</f>
        <v>0</v>
      </c>
      <c r="D43" s="3">
        <f t="shared" si="34"/>
        <v>0</v>
      </c>
      <c r="E43" s="3">
        <f t="shared" si="34"/>
        <v>0</v>
      </c>
      <c r="F43" s="3">
        <f t="shared" si="34"/>
        <v>0</v>
      </c>
      <c r="G43" s="3">
        <f t="shared" si="34"/>
        <v>0</v>
      </c>
      <c r="H43" s="3">
        <f t="shared" si="34"/>
        <v>0</v>
      </c>
      <c r="J43" s="3">
        <f>J392</f>
        <v>0</v>
      </c>
      <c r="L43" s="22">
        <f>'Olieforbrug, TJ'!M43</f>
        <v>2018</v>
      </c>
      <c r="M43" s="3"/>
      <c r="N43" s="3">
        <f>SUM(N381:N392)</f>
        <v>2150.3080000000004</v>
      </c>
      <c r="O43" s="3"/>
      <c r="P43" s="3">
        <f>SUM(P381:P392)</f>
        <v>261.29292900000007</v>
      </c>
      <c r="R43" s="3">
        <f>SUM(R381:R392)</f>
        <v>2.5927551999999956</v>
      </c>
    </row>
    <row r="44" spans="1:18" x14ac:dyDescent="0.25">
      <c r="A44" s="22">
        <f>'Olieforbrug, TJ'!A44</f>
        <v>2019</v>
      </c>
      <c r="C44" s="3">
        <f t="shared" ref="C44:H44" si="35">SUM(C394:C405)</f>
        <v>0</v>
      </c>
      <c r="D44" s="3">
        <f t="shared" si="35"/>
        <v>0</v>
      </c>
      <c r="E44" s="3">
        <f t="shared" si="35"/>
        <v>0</v>
      </c>
      <c r="F44" s="3">
        <f t="shared" si="35"/>
        <v>0</v>
      </c>
      <c r="G44" s="3">
        <f t="shared" si="35"/>
        <v>0</v>
      </c>
      <c r="H44" s="3">
        <f t="shared" si="35"/>
        <v>0</v>
      </c>
      <c r="J44" s="3">
        <f>J405</f>
        <v>0</v>
      </c>
      <c r="L44" s="22">
        <f>'Olieforbrug, TJ'!M44</f>
        <v>2019</v>
      </c>
      <c r="M44" s="3"/>
      <c r="N44" s="3">
        <f>SUM(N394:N405)</f>
        <v>2150.3080000000004</v>
      </c>
      <c r="O44" s="3"/>
      <c r="P44" s="3">
        <f>SUM(P394:P405)</f>
        <v>335.30978850000002</v>
      </c>
      <c r="R44" s="3">
        <f>SUM(R394:R405)</f>
        <v>2.5764699999999956</v>
      </c>
    </row>
    <row r="45" spans="1:18" x14ac:dyDescent="0.25">
      <c r="A45" s="22">
        <f>'Olieforbrug, TJ'!A45</f>
        <v>2020</v>
      </c>
      <c r="C45" s="3">
        <f t="shared" ref="C45:H45" si="36">SUM(C407:C418)</f>
        <v>0</v>
      </c>
      <c r="D45" s="3">
        <f t="shared" si="36"/>
        <v>0</v>
      </c>
      <c r="E45" s="3">
        <f t="shared" si="36"/>
        <v>0</v>
      </c>
      <c r="F45" s="3">
        <f t="shared" si="36"/>
        <v>0</v>
      </c>
      <c r="G45" s="3">
        <f t="shared" si="36"/>
        <v>0</v>
      </c>
      <c r="H45" s="3">
        <f t="shared" si="36"/>
        <v>0</v>
      </c>
      <c r="J45" s="3">
        <f>J418</f>
        <v>0</v>
      </c>
      <c r="L45" s="22">
        <f>'Olieforbrug, TJ'!M45</f>
        <v>2020</v>
      </c>
      <c r="M45" s="3"/>
      <c r="N45" s="3">
        <f>SUM(N407:N418)</f>
        <v>2150.3080000000004</v>
      </c>
      <c r="O45" s="3"/>
      <c r="P45" s="3">
        <f>SUM(P407:P418)</f>
        <v>350.49568199999999</v>
      </c>
      <c r="R45" s="3">
        <f>SUM(R407:R418)</f>
        <v>1.5023900000000008</v>
      </c>
    </row>
    <row r="46" spans="1:18" x14ac:dyDescent="0.25">
      <c r="A46" s="22">
        <f>'Olieforbrug, TJ'!A46</f>
        <v>2021</v>
      </c>
      <c r="C46" s="3">
        <f t="shared" ref="C46:H46" si="37">SUM(C420:C431)</f>
        <v>0</v>
      </c>
      <c r="D46" s="3">
        <f t="shared" si="37"/>
        <v>0</v>
      </c>
      <c r="E46" s="3">
        <f t="shared" si="37"/>
        <v>0</v>
      </c>
      <c r="F46" s="3">
        <f t="shared" si="37"/>
        <v>0</v>
      </c>
      <c r="G46" s="3">
        <f t="shared" si="37"/>
        <v>0</v>
      </c>
      <c r="H46" s="3">
        <f t="shared" si="37"/>
        <v>0</v>
      </c>
      <c r="J46" s="3">
        <f>J431</f>
        <v>0</v>
      </c>
      <c r="L46" s="22">
        <f>'Olieforbrug, TJ'!M46</f>
        <v>2021</v>
      </c>
      <c r="M46" s="3"/>
      <c r="N46" s="3">
        <f>SUM(N420:N431)</f>
        <v>2150.3080000000004</v>
      </c>
      <c r="O46" s="3"/>
      <c r="P46" s="3">
        <f>SUM(P420:P431)</f>
        <v>461.69855999999987</v>
      </c>
      <c r="R46" s="3">
        <f>SUM(R420:R431)</f>
        <v>1.5023900000000008</v>
      </c>
    </row>
    <row r="47" spans="1:18" x14ac:dyDescent="0.25">
      <c r="A47" s="22">
        <f>'Olieforbrug, TJ'!A47</f>
        <v>2022</v>
      </c>
      <c r="C47" s="3">
        <f t="shared" ref="C47:H47" si="38">SUM(C433:C444)</f>
        <v>0</v>
      </c>
      <c r="D47" s="3">
        <f t="shared" si="38"/>
        <v>0</v>
      </c>
      <c r="E47" s="3">
        <f t="shared" si="38"/>
        <v>0</v>
      </c>
      <c r="F47" s="3">
        <f t="shared" si="38"/>
        <v>0</v>
      </c>
      <c r="G47" s="3">
        <f t="shared" si="38"/>
        <v>0</v>
      </c>
      <c r="H47" s="3">
        <f t="shared" si="38"/>
        <v>0</v>
      </c>
      <c r="J47" s="3">
        <f>J444</f>
        <v>0</v>
      </c>
      <c r="L47" s="22">
        <f>'Olieforbrug, TJ'!M47</f>
        <v>2022</v>
      </c>
      <c r="M47" s="3"/>
      <c r="N47" s="3">
        <f>SUM(N433:N444)</f>
        <v>2150.3079999999959</v>
      </c>
      <c r="O47" s="3"/>
      <c r="P47" s="3">
        <f>SUM(P433:P444)</f>
        <v>250.35000000000005</v>
      </c>
      <c r="R47" s="3">
        <f>SUM(R433:R444)</f>
        <v>1.5023900000000039</v>
      </c>
    </row>
    <row r="48" spans="1:18" x14ac:dyDescent="0.25">
      <c r="A48" s="22">
        <f>'Olieforbrug, TJ'!A48</f>
        <v>2023</v>
      </c>
      <c r="C48" s="3">
        <f t="shared" ref="C48:H48" si="39">SUM(C446:C457)</f>
        <v>0</v>
      </c>
      <c r="D48" s="3">
        <f t="shared" si="39"/>
        <v>0</v>
      </c>
      <c r="E48" s="3">
        <f t="shared" si="39"/>
        <v>0</v>
      </c>
      <c r="F48" s="3">
        <f t="shared" si="39"/>
        <v>0</v>
      </c>
      <c r="G48" s="3">
        <f t="shared" si="39"/>
        <v>0</v>
      </c>
      <c r="H48" s="3">
        <f t="shared" si="39"/>
        <v>0</v>
      </c>
      <c r="J48" s="3">
        <f>J457</f>
        <v>0</v>
      </c>
      <c r="L48" s="22">
        <f>'Olieforbrug, TJ'!M48</f>
        <v>2023</v>
      </c>
      <c r="M48" s="3"/>
      <c r="N48" s="3">
        <f>SUM(N446:N457)</f>
        <v>2150.3079999999959</v>
      </c>
      <c r="O48" s="3"/>
      <c r="P48" s="3">
        <f>SUM(P446:P457)</f>
        <v>383.44271250000003</v>
      </c>
      <c r="Q48" s="3"/>
      <c r="R48" s="3">
        <f>SUM(R446:R457)</f>
        <v>1.5023900000000039</v>
      </c>
    </row>
    <row r="49" spans="1:19" x14ac:dyDescent="0.25">
      <c r="A49" s="22">
        <f>'Olieforbrug, TJ'!A49</f>
        <v>2024</v>
      </c>
      <c r="C49" s="3">
        <f t="shared" ref="C49:H49" si="40">SUM(C459:C470)</f>
        <v>0</v>
      </c>
      <c r="D49" s="3">
        <f t="shared" si="40"/>
        <v>0</v>
      </c>
      <c r="E49" s="3">
        <f t="shared" si="40"/>
        <v>0</v>
      </c>
      <c r="F49" s="3">
        <f t="shared" si="40"/>
        <v>0</v>
      </c>
      <c r="G49" s="3">
        <f t="shared" si="40"/>
        <v>0</v>
      </c>
      <c r="H49" s="3">
        <f t="shared" si="40"/>
        <v>0</v>
      </c>
      <c r="J49" s="3">
        <f>J470</f>
        <v>0</v>
      </c>
      <c r="L49" s="22">
        <f>'Olieforbrug, TJ'!M49</f>
        <v>2024</v>
      </c>
      <c r="M49" s="3"/>
      <c r="N49" s="3">
        <f>SUM(N459:N470)</f>
        <v>2150.3079999999959</v>
      </c>
      <c r="O49" s="3"/>
      <c r="P49" s="3">
        <f>SUM(P459:P470)</f>
        <v>903.31299599999977</v>
      </c>
      <c r="Q49" s="3"/>
      <c r="R49" s="3">
        <f>SUM(R459:R470)</f>
        <v>1.5023900000000039</v>
      </c>
    </row>
    <row r="50" spans="1:19" x14ac:dyDescent="0.25">
      <c r="A50" s="22">
        <f>'Olieforbrug, TJ'!A50</f>
        <v>2025</v>
      </c>
      <c r="C50" s="3">
        <f t="shared" ref="C50:H50" si="41">SUM(C472:C483)</f>
        <v>0</v>
      </c>
      <c r="D50" s="3">
        <f t="shared" si="41"/>
        <v>0</v>
      </c>
      <c r="E50" s="3">
        <f t="shared" si="41"/>
        <v>0</v>
      </c>
      <c r="F50" s="3">
        <f t="shared" si="41"/>
        <v>0</v>
      </c>
      <c r="G50" s="3">
        <f t="shared" si="41"/>
        <v>0</v>
      </c>
      <c r="H50" s="3">
        <f t="shared" si="41"/>
        <v>0</v>
      </c>
      <c r="J50" s="3">
        <f>J483</f>
        <v>0</v>
      </c>
      <c r="L50" s="22">
        <f>'Olieforbrug, TJ'!M50</f>
        <v>2025</v>
      </c>
      <c r="M50" s="3"/>
      <c r="N50" s="3">
        <f>SUM(N472:N483)</f>
        <v>2150.3079999999959</v>
      </c>
      <c r="O50" s="3"/>
      <c r="P50" s="3">
        <f>SUM(P472:P483)</f>
        <v>903.31299599999977</v>
      </c>
      <c r="Q50" s="3"/>
      <c r="R50" s="3">
        <f>SUM(R472:R483)</f>
        <v>1.5023900000000039</v>
      </c>
    </row>
    <row r="51" spans="1:19" x14ac:dyDescent="0.25">
      <c r="A51" s="22"/>
      <c r="L51" s="22"/>
      <c r="M51" s="3"/>
      <c r="N51" s="3"/>
      <c r="P51" s="3"/>
      <c r="R51" s="3"/>
      <c r="S51" s="3"/>
    </row>
    <row r="52" spans="1:19" ht="13.8" thickBot="1" x14ac:dyDescent="0.3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5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5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5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5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5">
      <c r="A57" s="23"/>
      <c r="I57"/>
      <c r="M57" s="22"/>
      <c r="N57" s="3"/>
      <c r="P57" s="3"/>
      <c r="R57" s="3"/>
    </row>
    <row r="58" spans="1:19" x14ac:dyDescent="0.25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5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5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5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5">
      <c r="A62" s="23"/>
      <c r="I62"/>
      <c r="M62" s="22"/>
      <c r="N62" s="3"/>
      <c r="P62" s="3"/>
      <c r="R62" s="3"/>
    </row>
    <row r="63" spans="1:19" x14ac:dyDescent="0.25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5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5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5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5">
      <c r="A67" s="23"/>
      <c r="I67"/>
      <c r="M67" s="22"/>
      <c r="N67" s="3"/>
      <c r="P67" s="3"/>
      <c r="R67" s="3"/>
    </row>
    <row r="68" spans="1:18" x14ac:dyDescent="0.25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5">
      <c r="A72" s="23"/>
      <c r="I72"/>
      <c r="M72" s="22"/>
      <c r="N72" s="3"/>
      <c r="P72" s="3"/>
      <c r="R72" s="3"/>
    </row>
    <row r="73" spans="1:18" x14ac:dyDescent="0.25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5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5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5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5">
      <c r="A77" s="23"/>
      <c r="I77"/>
      <c r="L77" s="26"/>
      <c r="M77" s="22"/>
      <c r="N77" s="3"/>
      <c r="P77" s="3"/>
      <c r="R77" s="3"/>
    </row>
    <row r="78" spans="1:18" x14ac:dyDescent="0.25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5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5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5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5">
      <c r="A82" s="32"/>
      <c r="I82"/>
      <c r="L82" s="26"/>
      <c r="N82" s="3"/>
      <c r="O82" s="3"/>
      <c r="P82" s="3"/>
      <c r="Q82" s="3"/>
      <c r="R82" s="3"/>
    </row>
    <row r="83" spans="1:19" x14ac:dyDescent="0.25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5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5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5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5">
      <c r="A87" s="32"/>
      <c r="I87"/>
      <c r="L87" s="26"/>
      <c r="N87" s="3"/>
      <c r="O87" s="3"/>
      <c r="P87" s="3"/>
      <c r="Q87" s="3"/>
      <c r="R87" s="3"/>
    </row>
    <row r="88" spans="1:19" x14ac:dyDescent="0.25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5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5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5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5">
      <c r="A92" s="32"/>
      <c r="I92"/>
      <c r="L92" s="26"/>
      <c r="N92" s="3"/>
      <c r="O92" s="3"/>
      <c r="P92" s="3"/>
      <c r="Q92" s="3"/>
      <c r="R92" s="3"/>
    </row>
    <row r="93" spans="1:19" x14ac:dyDescent="0.25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5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5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5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5">
      <c r="A97" s="32"/>
      <c r="I97"/>
      <c r="M97" s="26"/>
    </row>
    <row r="98" spans="1:21" x14ac:dyDescent="0.25">
      <c r="A98" s="32" t="s">
        <v>173</v>
      </c>
      <c r="C98" s="3">
        <f t="shared" ref="C98:H98" si="42">SUM(C329:C331)</f>
        <v>0</v>
      </c>
      <c r="D98" s="3">
        <f t="shared" si="42"/>
        <v>0</v>
      </c>
      <c r="E98" s="3">
        <f t="shared" si="42"/>
        <v>0</v>
      </c>
      <c r="F98" s="3">
        <f t="shared" si="42"/>
        <v>0</v>
      </c>
      <c r="G98" s="3">
        <f t="shared" si="42"/>
        <v>0</v>
      </c>
      <c r="H98" s="3">
        <f t="shared" si="42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5">
      <c r="A99" s="32" t="s">
        <v>175</v>
      </c>
      <c r="C99" s="3">
        <f t="shared" ref="C99:H99" si="43">SUM(C332:C334)</f>
        <v>0</v>
      </c>
      <c r="D99" s="3">
        <f t="shared" si="43"/>
        <v>0</v>
      </c>
      <c r="E99" s="3">
        <f t="shared" si="43"/>
        <v>0</v>
      </c>
      <c r="F99" s="3">
        <f t="shared" si="43"/>
        <v>0</v>
      </c>
      <c r="G99" s="3">
        <f t="shared" si="43"/>
        <v>0</v>
      </c>
      <c r="H99" s="3">
        <f t="shared" si="43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5">
      <c r="A100" s="32" t="s">
        <v>177</v>
      </c>
      <c r="C100" s="3">
        <f t="shared" ref="C100:H100" si="44">SUM(C335:C337)</f>
        <v>0</v>
      </c>
      <c r="D100" s="3">
        <f t="shared" si="44"/>
        <v>0</v>
      </c>
      <c r="E100" s="3">
        <f t="shared" si="44"/>
        <v>0</v>
      </c>
      <c r="F100" s="3">
        <f t="shared" si="44"/>
        <v>0</v>
      </c>
      <c r="G100" s="3">
        <f t="shared" si="44"/>
        <v>0</v>
      </c>
      <c r="H100" s="3">
        <f t="shared" si="44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5">
      <c r="A101" s="32" t="s">
        <v>179</v>
      </c>
      <c r="C101" s="3">
        <f t="shared" ref="C101:H101" si="45">SUM(C338:C340)</f>
        <v>0</v>
      </c>
      <c r="D101" s="3">
        <f t="shared" si="45"/>
        <v>0</v>
      </c>
      <c r="E101" s="3">
        <f t="shared" si="45"/>
        <v>0</v>
      </c>
      <c r="F101" s="3">
        <f t="shared" si="45"/>
        <v>0</v>
      </c>
      <c r="G101" s="3">
        <f t="shared" si="45"/>
        <v>0</v>
      </c>
      <c r="H101" s="3">
        <f t="shared" si="45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5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5">
      <c r="A103" s="32" t="s">
        <v>181</v>
      </c>
      <c r="C103" s="3">
        <f t="shared" ref="C103:H103" si="46">SUM(C342:C344)</f>
        <v>0</v>
      </c>
      <c r="D103" s="3">
        <f t="shared" si="46"/>
        <v>0</v>
      </c>
      <c r="E103" s="3">
        <f t="shared" si="46"/>
        <v>0</v>
      </c>
      <c r="F103" s="3">
        <f t="shared" si="46"/>
        <v>0</v>
      </c>
      <c r="G103" s="3">
        <f t="shared" si="46"/>
        <v>0</v>
      </c>
      <c r="H103" s="3">
        <f t="shared" si="46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5">
      <c r="A104" s="32" t="s">
        <v>182</v>
      </c>
      <c r="C104" s="3">
        <f t="shared" ref="C104:H104" si="47">SUM(C345:C347)</f>
        <v>0</v>
      </c>
      <c r="D104" s="3">
        <f t="shared" si="47"/>
        <v>0</v>
      </c>
      <c r="E104" s="3">
        <f t="shared" si="47"/>
        <v>0</v>
      </c>
      <c r="F104" s="3">
        <f t="shared" si="47"/>
        <v>0</v>
      </c>
      <c r="G104" s="3">
        <f t="shared" si="47"/>
        <v>0</v>
      </c>
      <c r="H104" s="3">
        <f t="shared" si="47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5">
      <c r="A105" s="32" t="s">
        <v>183</v>
      </c>
      <c r="C105" s="3">
        <f t="shared" ref="C105:H105" si="48">SUM(C348:C350)</f>
        <v>0</v>
      </c>
      <c r="D105" s="3">
        <f t="shared" si="48"/>
        <v>0</v>
      </c>
      <c r="E105" s="3">
        <f t="shared" si="48"/>
        <v>0</v>
      </c>
      <c r="F105" s="3">
        <f t="shared" si="48"/>
        <v>0</v>
      </c>
      <c r="G105" s="3">
        <f t="shared" si="48"/>
        <v>0</v>
      </c>
      <c r="H105" s="3">
        <f t="shared" si="48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5">
      <c r="A106" s="32" t="s">
        <v>184</v>
      </c>
      <c r="C106" s="3">
        <f t="shared" ref="C106:H106" si="49">SUM(C351:C353)</f>
        <v>0</v>
      </c>
      <c r="D106" s="3">
        <f t="shared" si="49"/>
        <v>0</v>
      </c>
      <c r="E106" s="3">
        <f t="shared" si="49"/>
        <v>0</v>
      </c>
      <c r="F106" s="3">
        <f t="shared" si="49"/>
        <v>0</v>
      </c>
      <c r="G106" s="3">
        <f t="shared" si="49"/>
        <v>0</v>
      </c>
      <c r="H106" s="3">
        <f t="shared" si="49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5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5">
      <c r="A108" s="32" t="s">
        <v>193</v>
      </c>
      <c r="C108" s="3">
        <f t="shared" ref="C108:H108" si="50">SUM(C355:C357)</f>
        <v>0</v>
      </c>
      <c r="D108" s="3">
        <f t="shared" si="50"/>
        <v>0</v>
      </c>
      <c r="E108" s="3">
        <f t="shared" si="50"/>
        <v>0</v>
      </c>
      <c r="F108" s="3">
        <f t="shared" si="50"/>
        <v>0</v>
      </c>
      <c r="G108" s="3">
        <f t="shared" si="50"/>
        <v>0</v>
      </c>
      <c r="H108" s="3">
        <f t="shared" si="50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5">
      <c r="A109" s="32" t="s">
        <v>194</v>
      </c>
      <c r="C109" s="3">
        <f t="shared" ref="C109:H109" si="51">SUM(C358:C360)</f>
        <v>0</v>
      </c>
      <c r="D109" s="3">
        <f t="shared" si="51"/>
        <v>0</v>
      </c>
      <c r="E109" s="3">
        <f t="shared" si="51"/>
        <v>0</v>
      </c>
      <c r="F109" s="3">
        <f t="shared" si="51"/>
        <v>0</v>
      </c>
      <c r="G109" s="3">
        <f t="shared" si="51"/>
        <v>0</v>
      </c>
      <c r="H109" s="3">
        <f t="shared" si="51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5">
      <c r="A110" s="32" t="s">
        <v>195</v>
      </c>
      <c r="C110" s="3">
        <f t="shared" ref="C110:H110" si="52">SUM(C361:C363)</f>
        <v>0</v>
      </c>
      <c r="D110" s="3">
        <f t="shared" si="52"/>
        <v>0</v>
      </c>
      <c r="E110" s="3">
        <f t="shared" si="52"/>
        <v>0</v>
      </c>
      <c r="F110" s="3">
        <f t="shared" si="52"/>
        <v>0</v>
      </c>
      <c r="G110" s="3">
        <f t="shared" si="52"/>
        <v>0</v>
      </c>
      <c r="H110" s="3">
        <f t="shared" si="52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5">
      <c r="A111" s="32" t="s">
        <v>196</v>
      </c>
      <c r="C111" s="3">
        <f t="shared" ref="C111:H111" si="53">SUM(C364:C366)</f>
        <v>0</v>
      </c>
      <c r="D111" s="3">
        <f t="shared" si="53"/>
        <v>0</v>
      </c>
      <c r="E111" s="3">
        <f t="shared" si="53"/>
        <v>0</v>
      </c>
      <c r="F111" s="3">
        <f t="shared" si="53"/>
        <v>0</v>
      </c>
      <c r="G111" s="3">
        <f t="shared" si="53"/>
        <v>0</v>
      </c>
      <c r="H111" s="3">
        <f t="shared" si="53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5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5">
      <c r="A113" s="32" t="s">
        <v>197</v>
      </c>
      <c r="C113" s="3">
        <f t="shared" ref="C113:H113" si="54">SUM(C368:C370)</f>
        <v>0</v>
      </c>
      <c r="D113" s="3">
        <f t="shared" si="54"/>
        <v>0</v>
      </c>
      <c r="E113" s="3">
        <f t="shared" si="54"/>
        <v>0</v>
      </c>
      <c r="F113" s="3">
        <f t="shared" si="54"/>
        <v>0</v>
      </c>
      <c r="G113" s="3">
        <f t="shared" si="54"/>
        <v>0</v>
      </c>
      <c r="H113" s="3">
        <f t="shared" si="54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5">
      <c r="A114" s="32" t="s">
        <v>198</v>
      </c>
      <c r="C114" s="3">
        <f t="shared" ref="C114:H114" si="55">SUM(C371:C373)</f>
        <v>0</v>
      </c>
      <c r="D114" s="3">
        <f t="shared" si="55"/>
        <v>0</v>
      </c>
      <c r="E114" s="3">
        <f t="shared" si="55"/>
        <v>0</v>
      </c>
      <c r="F114" s="3">
        <f t="shared" si="55"/>
        <v>0</v>
      </c>
      <c r="G114" s="3">
        <f t="shared" si="55"/>
        <v>0</v>
      </c>
      <c r="H114" s="3">
        <f t="shared" si="55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5">
      <c r="A115" s="32" t="s">
        <v>199</v>
      </c>
      <c r="C115" s="3">
        <f t="shared" ref="C115:H115" si="56">SUM(C374:C376)</f>
        <v>0</v>
      </c>
      <c r="D115" s="3">
        <f t="shared" si="56"/>
        <v>0</v>
      </c>
      <c r="E115" s="3">
        <f t="shared" si="56"/>
        <v>0</v>
      </c>
      <c r="F115" s="3">
        <f t="shared" si="56"/>
        <v>0</v>
      </c>
      <c r="G115" s="3">
        <f t="shared" si="56"/>
        <v>0</v>
      </c>
      <c r="H115" s="3">
        <f t="shared" si="56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5">
      <c r="A116" s="32" t="s">
        <v>200</v>
      </c>
      <c r="C116" s="3">
        <f t="shared" ref="C116:H116" si="57">SUM(C377:C379)</f>
        <v>0</v>
      </c>
      <c r="D116" s="3">
        <f t="shared" si="57"/>
        <v>0</v>
      </c>
      <c r="E116" s="3">
        <f t="shared" si="57"/>
        <v>0</v>
      </c>
      <c r="F116" s="3">
        <f t="shared" si="57"/>
        <v>0</v>
      </c>
      <c r="G116" s="3">
        <f t="shared" si="57"/>
        <v>0</v>
      </c>
      <c r="H116" s="3">
        <f t="shared" si="57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5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5">
      <c r="A118" s="32" t="s">
        <v>205</v>
      </c>
      <c r="C118" s="3">
        <f t="shared" ref="C118:H118" si="58">SUM(C381:C383)</f>
        <v>0</v>
      </c>
      <c r="D118" s="3">
        <f t="shared" si="58"/>
        <v>0</v>
      </c>
      <c r="E118" s="3">
        <f t="shared" si="58"/>
        <v>0</v>
      </c>
      <c r="F118" s="3">
        <f t="shared" si="58"/>
        <v>0</v>
      </c>
      <c r="G118" s="3">
        <f t="shared" si="58"/>
        <v>0</v>
      </c>
      <c r="H118" s="3">
        <f t="shared" si="58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5">
      <c r="A119" s="32" t="s">
        <v>206</v>
      </c>
      <c r="C119" s="3">
        <f t="shared" ref="C119:H119" si="59">SUM(C384:C386)</f>
        <v>0</v>
      </c>
      <c r="D119" s="3">
        <f t="shared" si="59"/>
        <v>0</v>
      </c>
      <c r="E119" s="3">
        <f t="shared" si="59"/>
        <v>0</v>
      </c>
      <c r="F119" s="3">
        <f t="shared" si="59"/>
        <v>0</v>
      </c>
      <c r="G119" s="3">
        <f t="shared" si="59"/>
        <v>0</v>
      </c>
      <c r="H119" s="3">
        <f t="shared" si="59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5">
      <c r="A120" s="32" t="s">
        <v>207</v>
      </c>
      <c r="C120" s="3">
        <f t="shared" ref="C120:H120" si="60">SUM(C387:C389)</f>
        <v>0</v>
      </c>
      <c r="D120" s="3">
        <f t="shared" si="60"/>
        <v>0</v>
      </c>
      <c r="E120" s="3">
        <f t="shared" si="60"/>
        <v>0</v>
      </c>
      <c r="F120" s="3">
        <f t="shared" si="60"/>
        <v>0</v>
      </c>
      <c r="G120" s="3">
        <f t="shared" si="60"/>
        <v>0</v>
      </c>
      <c r="H120" s="3">
        <f t="shared" si="60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5">
      <c r="A121" s="32" t="s">
        <v>208</v>
      </c>
      <c r="C121" s="3">
        <f t="shared" ref="C121:H121" si="61">SUM(C390:C392)</f>
        <v>0</v>
      </c>
      <c r="D121" s="3">
        <f t="shared" si="61"/>
        <v>0</v>
      </c>
      <c r="E121" s="3">
        <f t="shared" si="61"/>
        <v>0</v>
      </c>
      <c r="F121" s="3">
        <f t="shared" si="61"/>
        <v>0</v>
      </c>
      <c r="G121" s="3">
        <f t="shared" si="61"/>
        <v>0</v>
      </c>
      <c r="H121" s="3">
        <f t="shared" si="61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5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5">
      <c r="A123" s="32" t="s">
        <v>213</v>
      </c>
      <c r="C123" s="3">
        <f t="shared" ref="C123:H123" si="62">SUM(C394:C396)</f>
        <v>0</v>
      </c>
      <c r="D123" s="3">
        <f t="shared" si="62"/>
        <v>0</v>
      </c>
      <c r="E123" s="3">
        <f t="shared" si="62"/>
        <v>0</v>
      </c>
      <c r="F123" s="3">
        <f t="shared" si="62"/>
        <v>0</v>
      </c>
      <c r="G123" s="3">
        <f t="shared" si="62"/>
        <v>0</v>
      </c>
      <c r="H123" s="3">
        <f t="shared" si="62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5">
      <c r="A124" s="32" t="s">
        <v>214</v>
      </c>
      <c r="C124" s="3">
        <f t="shared" ref="C124:H124" si="63">SUM(C397:C399)</f>
        <v>0</v>
      </c>
      <c r="D124" s="3">
        <f t="shared" si="63"/>
        <v>0</v>
      </c>
      <c r="E124" s="3">
        <f t="shared" si="63"/>
        <v>0</v>
      </c>
      <c r="F124" s="3">
        <f t="shared" si="63"/>
        <v>0</v>
      </c>
      <c r="G124" s="3">
        <f t="shared" si="63"/>
        <v>0</v>
      </c>
      <c r="H124" s="3">
        <f t="shared" si="63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5">
      <c r="A125" s="32" t="s">
        <v>215</v>
      </c>
      <c r="C125" s="3">
        <f t="shared" ref="C125:H125" si="64">SUM(C400:C402)</f>
        <v>0</v>
      </c>
      <c r="D125" s="3">
        <f t="shared" si="64"/>
        <v>0</v>
      </c>
      <c r="E125" s="3">
        <f t="shared" si="64"/>
        <v>0</v>
      </c>
      <c r="F125" s="3">
        <f t="shared" si="64"/>
        <v>0</v>
      </c>
      <c r="G125" s="3">
        <f t="shared" si="64"/>
        <v>0</v>
      </c>
      <c r="H125" s="3">
        <f t="shared" si="64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5">
      <c r="A126" s="32" t="s">
        <v>219</v>
      </c>
      <c r="C126" s="3">
        <f t="shared" ref="C126:H126" si="65">SUM(C403:C405)</f>
        <v>0</v>
      </c>
      <c r="D126" s="3">
        <f t="shared" si="65"/>
        <v>0</v>
      </c>
      <c r="E126" s="3">
        <f t="shared" si="65"/>
        <v>0</v>
      </c>
      <c r="F126" s="3">
        <f t="shared" si="65"/>
        <v>0</v>
      </c>
      <c r="G126" s="3">
        <f t="shared" si="65"/>
        <v>0</v>
      </c>
      <c r="H126" s="3">
        <f t="shared" si="65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5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5">
      <c r="A128" s="32" t="str">
        <f>'Olieforbrug, TJ'!A128</f>
        <v>1. kvartal 2020</v>
      </c>
      <c r="C128" s="3">
        <f t="shared" ref="C128:H128" si="66">SUM(C407:C409)</f>
        <v>0</v>
      </c>
      <c r="D128" s="3">
        <f t="shared" si="66"/>
        <v>0</v>
      </c>
      <c r="E128" s="3">
        <f t="shared" si="66"/>
        <v>0</v>
      </c>
      <c r="F128" s="3">
        <f t="shared" si="66"/>
        <v>0</v>
      </c>
      <c r="G128" s="3">
        <f t="shared" si="66"/>
        <v>0</v>
      </c>
      <c r="H128" s="3">
        <f t="shared" si="66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5">
      <c r="A129" s="32" t="str">
        <f>'Olieforbrug, TJ'!A129</f>
        <v>2. kvartal 2020</v>
      </c>
      <c r="C129" s="3">
        <f t="shared" ref="C129:H129" si="67">SUM(C410:C412)</f>
        <v>0</v>
      </c>
      <c r="D129" s="3">
        <f t="shared" si="67"/>
        <v>0</v>
      </c>
      <c r="E129" s="3">
        <f t="shared" si="67"/>
        <v>0</v>
      </c>
      <c r="F129" s="3">
        <f t="shared" si="67"/>
        <v>0</v>
      </c>
      <c r="G129" s="3">
        <f t="shared" si="67"/>
        <v>0</v>
      </c>
      <c r="H129" s="3">
        <f t="shared" si="67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5">
      <c r="A130" s="32" t="str">
        <f>'Olieforbrug, TJ'!A130</f>
        <v>3. kvartal 2020</v>
      </c>
      <c r="C130" s="3">
        <f t="shared" ref="C130:H130" si="68">SUM(C413:C415)</f>
        <v>0</v>
      </c>
      <c r="D130" s="3">
        <f t="shared" si="68"/>
        <v>0</v>
      </c>
      <c r="E130" s="3">
        <f t="shared" si="68"/>
        <v>0</v>
      </c>
      <c r="F130" s="3">
        <f t="shared" si="68"/>
        <v>0</v>
      </c>
      <c r="G130" s="3">
        <f t="shared" si="68"/>
        <v>0</v>
      </c>
      <c r="H130" s="3">
        <f t="shared" si="68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5">
      <c r="A131" s="32" t="str">
        <f>'Olieforbrug, TJ'!A131</f>
        <v>4. kvartal 2020</v>
      </c>
      <c r="C131" s="3">
        <f t="shared" ref="C131:H131" si="69">SUM(C416:C418)</f>
        <v>0</v>
      </c>
      <c r="D131" s="3">
        <f t="shared" si="69"/>
        <v>0</v>
      </c>
      <c r="E131" s="3">
        <f t="shared" si="69"/>
        <v>0</v>
      </c>
      <c r="F131" s="3">
        <f t="shared" si="69"/>
        <v>0</v>
      </c>
      <c r="G131" s="3">
        <f t="shared" si="69"/>
        <v>0</v>
      </c>
      <c r="H131" s="3">
        <f t="shared" si="69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5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5">
      <c r="A133" s="32" t="str">
        <f>'Olieforbrug, TJ'!A133</f>
        <v>1. kvartal 2021</v>
      </c>
      <c r="C133" s="3">
        <f t="shared" ref="C133:H133" si="70">SUM(C420:C422)</f>
        <v>0</v>
      </c>
      <c r="D133" s="3">
        <f t="shared" si="70"/>
        <v>0</v>
      </c>
      <c r="E133" s="3">
        <f t="shared" si="70"/>
        <v>0</v>
      </c>
      <c r="F133" s="3">
        <f t="shared" si="70"/>
        <v>0</v>
      </c>
      <c r="G133" s="3">
        <f t="shared" si="70"/>
        <v>0</v>
      </c>
      <c r="H133" s="3">
        <f t="shared" si="70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5">
      <c r="A134" s="32" t="str">
        <f>'Olieforbrug, TJ'!A134</f>
        <v>2. kvartal 2021</v>
      </c>
      <c r="C134" s="3">
        <f t="shared" ref="C134:H134" si="71">SUM(C423:C425)</f>
        <v>0</v>
      </c>
      <c r="D134" s="3">
        <f t="shared" si="71"/>
        <v>0</v>
      </c>
      <c r="E134" s="3">
        <f t="shared" si="71"/>
        <v>0</v>
      </c>
      <c r="F134" s="3">
        <f t="shared" si="71"/>
        <v>0</v>
      </c>
      <c r="G134" s="3">
        <f t="shared" si="71"/>
        <v>0</v>
      </c>
      <c r="H134" s="3">
        <f t="shared" si="71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5">
      <c r="A135" s="32" t="str">
        <f>'Olieforbrug, TJ'!A135</f>
        <v>3. kvartal 2021</v>
      </c>
      <c r="C135" s="3">
        <f t="shared" ref="C135:H135" si="72">SUM(C426:C428)</f>
        <v>0</v>
      </c>
      <c r="D135" s="3">
        <f t="shared" si="72"/>
        <v>0</v>
      </c>
      <c r="E135" s="3">
        <f t="shared" si="72"/>
        <v>0</v>
      </c>
      <c r="F135" s="3">
        <f t="shared" si="72"/>
        <v>0</v>
      </c>
      <c r="G135" s="3">
        <f t="shared" si="72"/>
        <v>0</v>
      </c>
      <c r="H135" s="3">
        <f t="shared" si="72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5">
      <c r="A136" s="32" t="str">
        <f>'Olieforbrug, TJ'!A136</f>
        <v>4. kvartal 2021</v>
      </c>
      <c r="C136" s="3">
        <f t="shared" ref="C136:H136" si="73">SUM(C429:C431)</f>
        <v>0</v>
      </c>
      <c r="D136" s="3">
        <f t="shared" si="73"/>
        <v>0</v>
      </c>
      <c r="E136" s="3">
        <f t="shared" si="73"/>
        <v>0</v>
      </c>
      <c r="F136" s="3">
        <f t="shared" si="73"/>
        <v>0</v>
      </c>
      <c r="G136" s="3">
        <f t="shared" si="73"/>
        <v>0</v>
      </c>
      <c r="H136" s="3">
        <f t="shared" si="73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5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74">SUM(D433:D435)</f>
        <v>0</v>
      </c>
      <c r="E138" s="3">
        <f t="shared" si="74"/>
        <v>0</v>
      </c>
      <c r="F138" s="3">
        <f t="shared" si="74"/>
        <v>0</v>
      </c>
      <c r="G138" s="3">
        <f t="shared" si="74"/>
        <v>0</v>
      </c>
      <c r="H138" s="3">
        <f t="shared" si="74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75">SUM(N433:N435)</f>
        <v>537.57699999999909</v>
      </c>
      <c r="O138" s="3"/>
      <c r="P138" s="3">
        <f t="shared" ref="P138" si="76">SUM(P433:P435)</f>
        <v>62.587500000000006</v>
      </c>
      <c r="Q138" s="3"/>
      <c r="R138" s="3">
        <f t="shared" ref="R138" si="77">SUM(R433:R435)</f>
        <v>0.37559750000000103</v>
      </c>
      <c r="S138" s="3"/>
      <c r="T138" s="3"/>
    </row>
    <row r="139" spans="1:23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G139" si="78">SUM(D436:D438)</f>
        <v>0</v>
      </c>
      <c r="E139" s="3">
        <f t="shared" si="78"/>
        <v>0</v>
      </c>
      <c r="F139" s="3">
        <f t="shared" si="78"/>
        <v>0</v>
      </c>
      <c r="G139" s="3">
        <f t="shared" si="78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79">SUM(N436:N438)</f>
        <v>537.57699999999909</v>
      </c>
      <c r="O139" s="3"/>
      <c r="P139" s="3">
        <f t="shared" ref="P139" si="80">SUM(P436:P438)</f>
        <v>62.587500000000006</v>
      </c>
      <c r="Q139" s="3"/>
      <c r="R139" s="3">
        <f t="shared" ref="R139" si="81">SUM(R436:R438)</f>
        <v>0.37559750000000103</v>
      </c>
      <c r="S139" s="3"/>
      <c r="T139" s="3"/>
    </row>
    <row r="140" spans="1:23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H140" si="82">SUM(D439:D441)</f>
        <v>0</v>
      </c>
      <c r="E140" s="3">
        <f t="shared" si="82"/>
        <v>0</v>
      </c>
      <c r="F140" s="3">
        <f t="shared" si="82"/>
        <v>0</v>
      </c>
      <c r="G140" s="3">
        <f t="shared" si="82"/>
        <v>0</v>
      </c>
      <c r="H140" s="3">
        <f t="shared" si="82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5">
      <c r="A141" s="32" t="str">
        <f>'Olieforbrug, TJ'!A141</f>
        <v>4. kvartal 2022</v>
      </c>
      <c r="C141" s="3">
        <f t="shared" ref="C141:H141" si="83">SUM(C442:C444)</f>
        <v>0</v>
      </c>
      <c r="D141" s="3">
        <f t="shared" si="83"/>
        <v>0</v>
      </c>
      <c r="E141" s="3">
        <f t="shared" si="83"/>
        <v>0</v>
      </c>
      <c r="F141" s="3">
        <f t="shared" si="83"/>
        <v>0</v>
      </c>
      <c r="G141" s="3">
        <f t="shared" si="83"/>
        <v>0</v>
      </c>
      <c r="H141" s="3">
        <f t="shared" si="83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5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H143" si="84">SUM(D446:D448)</f>
        <v>0</v>
      </c>
      <c r="E143" s="3">
        <f t="shared" si="84"/>
        <v>0</v>
      </c>
      <c r="F143" s="3">
        <f t="shared" si="84"/>
        <v>0</v>
      </c>
      <c r="G143" s="3">
        <f t="shared" si="84"/>
        <v>0</v>
      </c>
      <c r="H143" s="3">
        <f t="shared" si="84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85">SUM(N446:N448)</f>
        <v>537.57699999999909</v>
      </c>
      <c r="O143" s="3">
        <f t="shared" si="85"/>
        <v>0</v>
      </c>
      <c r="P143" s="3">
        <f>SUM(P446:P448)</f>
        <v>95.860678125000007</v>
      </c>
      <c r="Q143" s="3">
        <f t="shared" si="85"/>
        <v>0</v>
      </c>
      <c r="R143" s="3">
        <f t="shared" si="85"/>
        <v>0.37559750000000103</v>
      </c>
    </row>
    <row r="144" spans="1:23" s="57" customFormat="1" x14ac:dyDescent="0.25">
      <c r="A144" s="32" t="str">
        <f>'Olieforbrug, TJ'!A144</f>
        <v>2. kvartal 2023</v>
      </c>
      <c r="C144" s="3">
        <f t="shared" ref="C144:H144" si="86">SUM(C449:C451)</f>
        <v>0</v>
      </c>
      <c r="D144" s="3">
        <f t="shared" si="86"/>
        <v>0</v>
      </c>
      <c r="E144" s="3">
        <f t="shared" si="86"/>
        <v>0</v>
      </c>
      <c r="F144" s="3">
        <f t="shared" si="86"/>
        <v>0</v>
      </c>
      <c r="G144" s="3">
        <f t="shared" si="86"/>
        <v>0</v>
      </c>
      <c r="H144" s="3">
        <f t="shared" si="86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J145" si="87">SUM(D452:D454)</f>
        <v>0</v>
      </c>
      <c r="E145" s="3">
        <f t="shared" si="87"/>
        <v>0</v>
      </c>
      <c r="F145" s="3">
        <f t="shared" si="87"/>
        <v>0</v>
      </c>
      <c r="G145" s="3">
        <f t="shared" si="87"/>
        <v>0</v>
      </c>
      <c r="H145" s="3">
        <f t="shared" si="87"/>
        <v>0</v>
      </c>
      <c r="I145" s="3"/>
      <c r="J145" s="3">
        <f t="shared" si="87"/>
        <v>0</v>
      </c>
      <c r="K145" s="3"/>
      <c r="L145" s="26" t="str">
        <f>'Olieforbrug, TJ'!M145</f>
        <v>3. Quarter 2023</v>
      </c>
      <c r="M145" s="65"/>
      <c r="N145" s="3">
        <f t="shared" ref="N145" si="88">SUM(N452:N454)</f>
        <v>537.57699999999909</v>
      </c>
      <c r="P145" s="3">
        <f t="shared" ref="P145" si="89">SUM(P452:P454)</f>
        <v>95.860678125000007</v>
      </c>
      <c r="R145" s="3">
        <f t="shared" ref="R145" si="90">SUM(R452:R454)</f>
        <v>0.37559750000000103</v>
      </c>
    </row>
    <row r="146" spans="1:19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H146" si="91">SUM(D455:D457)</f>
        <v>0</v>
      </c>
      <c r="E146" s="3">
        <f t="shared" si="91"/>
        <v>0</v>
      </c>
      <c r="F146" s="3">
        <f t="shared" si="91"/>
        <v>0</v>
      </c>
      <c r="G146" s="3">
        <f t="shared" si="91"/>
        <v>0</v>
      </c>
      <c r="H146" s="3">
        <f t="shared" si="91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92">SUM(N455:N457)</f>
        <v>537.57699999999909</v>
      </c>
      <c r="P146" s="3">
        <f t="shared" ref="P146" si="93">SUM(P455:P457)</f>
        <v>95.860678125000007</v>
      </c>
      <c r="R146" s="3">
        <f t="shared" ref="R146" si="94">SUM(R455:R457)</f>
        <v>0.37559750000000103</v>
      </c>
    </row>
    <row r="147" spans="1:19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5">
      <c r="A148" s="32" t="str">
        <f>'Olieforbrug, TJ'!A148</f>
        <v>1. kvartal 2024</v>
      </c>
      <c r="C148" s="3">
        <f t="shared" ref="C148:H148" si="95">SUM(C459:C461)</f>
        <v>0</v>
      </c>
      <c r="D148" s="3">
        <f t="shared" si="95"/>
        <v>0</v>
      </c>
      <c r="E148" s="3">
        <f t="shared" si="95"/>
        <v>0</v>
      </c>
      <c r="F148" s="3">
        <f t="shared" si="95"/>
        <v>0</v>
      </c>
      <c r="G148" s="3">
        <f t="shared" si="95"/>
        <v>0</v>
      </c>
      <c r="H148" s="3">
        <f t="shared" si="95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96">SUM(N459:N461)</f>
        <v>537.57699999999909</v>
      </c>
      <c r="O148" s="3"/>
      <c r="P148" s="3">
        <f t="shared" si="96"/>
        <v>225.828249</v>
      </c>
      <c r="Q148" s="3"/>
      <c r="R148" s="3">
        <f t="shared" si="96"/>
        <v>0.37559750000000103</v>
      </c>
    </row>
    <row r="149" spans="1:19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H149" si="97">SUM(D462:D464)</f>
        <v>0</v>
      </c>
      <c r="E149" s="3">
        <f t="shared" si="97"/>
        <v>0</v>
      </c>
      <c r="F149" s="3">
        <f t="shared" si="97"/>
        <v>0</v>
      </c>
      <c r="G149" s="3">
        <f t="shared" si="97"/>
        <v>0</v>
      </c>
      <c r="H149" s="3">
        <f t="shared" si="97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98">SUM(N462:N464)</f>
        <v>537.57699999999909</v>
      </c>
      <c r="P149" s="3">
        <f t="shared" ref="P149" si="99">SUM(P462:P464)</f>
        <v>225.828249</v>
      </c>
      <c r="R149" s="3">
        <f t="shared" ref="R149" si="100">SUM(R462:R464)</f>
        <v>0.37559750000000103</v>
      </c>
    </row>
    <row r="150" spans="1:19" s="57" customFormat="1" x14ac:dyDescent="0.25">
      <c r="A150" s="32" t="str">
        <f>'Olieforbrug, TJ'!A150</f>
        <v>3. kvartal 2024</v>
      </c>
      <c r="C150" s="3">
        <f t="shared" ref="C150:H150" si="101">SUM(C465:C467)</f>
        <v>0</v>
      </c>
      <c r="D150" s="3">
        <f t="shared" si="101"/>
        <v>0</v>
      </c>
      <c r="E150" s="3">
        <f t="shared" si="101"/>
        <v>0</v>
      </c>
      <c r="F150" s="3">
        <f t="shared" si="101"/>
        <v>0</v>
      </c>
      <c r="G150" s="3">
        <f t="shared" si="101"/>
        <v>0</v>
      </c>
      <c r="H150" s="3">
        <f t="shared" si="101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102">SUM(N465:N467)</f>
        <v>537.57699999999909</v>
      </c>
      <c r="P150" s="3">
        <f t="shared" ref="P150:P151" si="103">SUM(P465:P467)</f>
        <v>225.828249</v>
      </c>
      <c r="R150" s="3">
        <f t="shared" ref="R150:R151" si="104">SUM(R465:R467)</f>
        <v>0.37559750000000103</v>
      </c>
    </row>
    <row r="151" spans="1:19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105">SUM(D468:D470)</f>
        <v>0</v>
      </c>
      <c r="E151" s="3">
        <f t="shared" si="105"/>
        <v>0</v>
      </c>
      <c r="F151" s="3">
        <f t="shared" si="105"/>
        <v>0</v>
      </c>
      <c r="G151" s="3">
        <f t="shared" si="105"/>
        <v>0</v>
      </c>
      <c r="H151" s="3">
        <f t="shared" si="105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102"/>
        <v>537.57699999999909</v>
      </c>
      <c r="P151" s="3">
        <f t="shared" si="103"/>
        <v>225.828249</v>
      </c>
      <c r="R151" s="3">
        <f t="shared" si="104"/>
        <v>0.37559750000000103</v>
      </c>
    </row>
    <row r="152" spans="1:19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H153" si="106">SUM(D472:D474)</f>
        <v>0</v>
      </c>
      <c r="E153" s="3">
        <f t="shared" si="106"/>
        <v>0</v>
      </c>
      <c r="F153" s="3">
        <f t="shared" si="106"/>
        <v>0</v>
      </c>
      <c r="G153" s="3">
        <f t="shared" si="106"/>
        <v>0</v>
      </c>
      <c r="H153" s="3">
        <f t="shared" si="106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225.828249</v>
      </c>
      <c r="R153" s="3">
        <f>SUM(R472:R474)</f>
        <v>0.37559750000000103</v>
      </c>
    </row>
    <row r="154" spans="1:19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107">SUM(D475:D477)</f>
        <v>0</v>
      </c>
      <c r="E154" s="3">
        <f t="shared" si="107"/>
        <v>0</v>
      </c>
      <c r="F154" s="3">
        <f t="shared" si="107"/>
        <v>0</v>
      </c>
      <c r="G154" s="3">
        <f t="shared" si="107"/>
        <v>0</v>
      </c>
      <c r="H154" s="3">
        <f t="shared" si="107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08">SUM(N475:N477)</f>
        <v>537.57699999999909</v>
      </c>
      <c r="P154" s="3">
        <f t="shared" ref="P154" si="109">SUM(P475:P477)</f>
        <v>225.828249</v>
      </c>
      <c r="R154" s="3">
        <f t="shared" ref="R154" si="110">SUM(R475:R477)</f>
        <v>0.37559750000000103</v>
      </c>
    </row>
    <row r="155" spans="1:19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H155" si="111">SUM(D478:D480)</f>
        <v>0</v>
      </c>
      <c r="E155" s="3">
        <f t="shared" si="111"/>
        <v>0</v>
      </c>
      <c r="F155" s="3">
        <f t="shared" si="111"/>
        <v>0</v>
      </c>
      <c r="G155" s="3">
        <f t="shared" si="111"/>
        <v>0</v>
      </c>
      <c r="H155" s="3">
        <f t="shared" si="111"/>
        <v>0</v>
      </c>
      <c r="I155" s="3"/>
      <c r="J155" s="3">
        <f>J480</f>
        <v>0</v>
      </c>
      <c r="K155" s="3"/>
      <c r="L155" s="26" t="str">
        <f>'Olieforbrug, TJ'!M155</f>
        <v>3. Quarter 2025</v>
      </c>
      <c r="M155" s="65"/>
      <c r="N155" s="3">
        <f t="shared" ref="N155" si="112">SUM(N478:N480)</f>
        <v>537.57699999999909</v>
      </c>
      <c r="P155" s="3">
        <f t="shared" ref="P155" si="113">SUM(P478:P480)</f>
        <v>225.828249</v>
      </c>
      <c r="R155" s="3">
        <f t="shared" ref="R155" si="114">SUM(R478:R480)</f>
        <v>0.37559750000000103</v>
      </c>
    </row>
    <row r="156" spans="1:19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115">SUM(D481:D483)</f>
        <v>0</v>
      </c>
      <c r="E156" s="3">
        <f t="shared" si="115"/>
        <v>0</v>
      </c>
      <c r="F156" s="3">
        <f t="shared" si="115"/>
        <v>0</v>
      </c>
      <c r="G156" s="3">
        <f t="shared" si="115"/>
        <v>0</v>
      </c>
      <c r="H156" s="3">
        <f t="shared" si="115"/>
        <v>0</v>
      </c>
      <c r="I156" s="3"/>
      <c r="J156" s="3">
        <f>J483</f>
        <v>0</v>
      </c>
      <c r="K156" s="3"/>
      <c r="L156" s="26" t="str">
        <f>'Olieforbrug, TJ'!M156</f>
        <v>4. Quarter 2025</v>
      </c>
      <c r="M156" s="65"/>
      <c r="N156" s="3">
        <f t="shared" ref="N156" si="116">SUM(N481:N483)</f>
        <v>537.57699999999909</v>
      </c>
      <c r="P156" s="3">
        <f t="shared" ref="P156" si="117">SUM(P481:P483)</f>
        <v>225.828249</v>
      </c>
      <c r="R156" s="3">
        <f t="shared" ref="R156" si="118">SUM(R481:R483)</f>
        <v>0.37559750000000103</v>
      </c>
    </row>
    <row r="157" spans="1:19" x14ac:dyDescent="0.25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8" thickBot="1" x14ac:dyDescent="0.3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5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5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5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5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5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5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5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5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5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5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5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5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8" thickBot="1" x14ac:dyDescent="0.3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5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5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5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5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5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5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5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5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5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5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5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8" thickBot="1" x14ac:dyDescent="0.3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5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5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5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5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5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5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5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5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5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5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5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8" thickBot="1" x14ac:dyDescent="0.3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5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5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5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5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5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5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5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5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5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5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5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8" thickBot="1" x14ac:dyDescent="0.3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5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5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5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5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5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5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5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5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5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5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5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8" thickBot="1" x14ac:dyDescent="0.3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5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5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5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5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5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5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5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5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5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5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5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8" thickBot="1" x14ac:dyDescent="0.3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5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5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5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5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5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5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5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5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5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5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5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8" thickBot="1" x14ac:dyDescent="0.3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5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5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5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5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5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5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5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5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5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5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8" thickBot="1" x14ac:dyDescent="0.3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5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5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5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5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5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5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5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5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5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5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5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8" thickBot="1" x14ac:dyDescent="0.3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5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5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5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5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5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5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5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5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5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5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5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5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5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5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5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5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5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5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5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5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5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5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5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5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5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5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5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5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5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5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5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5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8" thickBot="1" x14ac:dyDescent="0.3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5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5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5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5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5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5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5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5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5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5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8" thickBot="1" x14ac:dyDescent="0.3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5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5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5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5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5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5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5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5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5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5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8" thickBot="1" x14ac:dyDescent="0.3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5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" customHeight="1" x14ac:dyDescent="0.25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" customHeight="1" x14ac:dyDescent="0.25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" customHeight="1" x14ac:dyDescent="0.25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" customHeight="1" x14ac:dyDescent="0.25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5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5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5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5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5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5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5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5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5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5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5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5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5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8" thickBot="1" x14ac:dyDescent="0.3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5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5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5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5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5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5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19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19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5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19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19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5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19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5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19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20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21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5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22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23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24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5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0">
        <v>75.276083</v>
      </c>
      <c r="R459" s="14">
        <v>0.125199166666667</v>
      </c>
    </row>
    <row r="460" spans="1:18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0">
        <v>75.276083</v>
      </c>
      <c r="R460" s="14">
        <v>0.125199166666667</v>
      </c>
    </row>
    <row r="461" spans="1:18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0">
        <v>75.276083</v>
      </c>
      <c r="R461" s="14">
        <v>0.125199166666667</v>
      </c>
    </row>
    <row r="462" spans="1:18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0">
        <v>75.276083</v>
      </c>
      <c r="R462" s="14">
        <v>0.125199166666667</v>
      </c>
    </row>
    <row r="463" spans="1:18" x14ac:dyDescent="0.25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0">
        <v>75.276083</v>
      </c>
      <c r="R463" s="14">
        <v>0.125199166666667</v>
      </c>
    </row>
    <row r="464" spans="1:18" x14ac:dyDescent="0.25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0">
        <v>75.276083</v>
      </c>
      <c r="R464" s="14">
        <v>0.125199166666667</v>
      </c>
    </row>
    <row r="465" spans="1:18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25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0">
        <v>75.276083</v>
      </c>
      <c r="R465" s="14">
        <v>0.125199166666667</v>
      </c>
    </row>
    <row r="466" spans="1:18" x14ac:dyDescent="0.25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26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27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5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28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29">I468-I469</f>
        <v>0</v>
      </c>
      <c r="H469" s="16">
        <v>0</v>
      </c>
      <c r="I469" s="16"/>
      <c r="J469" s="16">
        <v>0</v>
      </c>
      <c r="K469" s="16"/>
      <c r="L469" s="171" t="str">
        <f>'Olieforbrug, TJ'!M469</f>
        <v>November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0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0"/>
      <c r="R471" s="14"/>
    </row>
    <row r="472" spans="1:18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4"/>
      <c r="L472" s="180" t="str">
        <f>'Olieforbrug, TJ'!M472</f>
        <v>January</v>
      </c>
      <c r="M472" s="174"/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5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31">J472-J473</f>
        <v>0</v>
      </c>
      <c r="H473" s="16">
        <v>0</v>
      </c>
      <c r="I473" s="16"/>
      <c r="J473" s="16">
        <v>0</v>
      </c>
      <c r="K473" s="174"/>
      <c r="L473" s="180" t="str">
        <f>'Olieforbrug, TJ'!M473</f>
        <v>February</v>
      </c>
      <c r="M473" s="174"/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5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31"/>
        <v>0</v>
      </c>
      <c r="H474" s="16">
        <v>0</v>
      </c>
      <c r="I474" s="16"/>
      <c r="J474" s="16">
        <v>0</v>
      </c>
      <c r="K474" s="174"/>
      <c r="L474" s="180" t="str">
        <f>'Olieforbrug, TJ'!M474</f>
        <v>March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5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31"/>
        <v>0</v>
      </c>
      <c r="H475" s="16">
        <v>0</v>
      </c>
      <c r="I475" s="16"/>
      <c r="J475" s="16">
        <v>0</v>
      </c>
      <c r="K475" s="174"/>
      <c r="L475" s="180" t="str">
        <f>'Olieforbrug, TJ'!M475</f>
        <v>April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5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31"/>
        <v>0</v>
      </c>
      <c r="H476" s="16">
        <v>0</v>
      </c>
      <c r="I476" s="16"/>
      <c r="J476" s="16">
        <v>0</v>
      </c>
      <c r="K476" s="174"/>
      <c r="L476" s="180" t="str">
        <f>'Olieforbrug, TJ'!M476</f>
        <v>May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x14ac:dyDescent="0.25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31"/>
        <v>0</v>
      </c>
      <c r="H477" s="16">
        <v>0</v>
      </c>
      <c r="I477" s="16"/>
      <c r="J477" s="16">
        <v>0</v>
      </c>
      <c r="K477" s="174"/>
      <c r="L477" s="180" t="str">
        <f>'Olieforbrug, TJ'!M477</f>
        <v>June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x14ac:dyDescent="0.25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31"/>
        <v>0</v>
      </c>
      <c r="H478" s="16">
        <v>0</v>
      </c>
      <c r="I478" s="16"/>
      <c r="J478" s="16">
        <v>0</v>
      </c>
      <c r="K478" s="174"/>
      <c r="L478" s="180" t="str">
        <f>'Olieforbrug, TJ'!M478</f>
        <v>July</v>
      </c>
      <c r="N478" s="14">
        <v>179.19233333333301</v>
      </c>
      <c r="O478" s="17"/>
      <c r="P478" s="10">
        <v>75.276083</v>
      </c>
      <c r="R478" s="14">
        <v>0.125199166666667</v>
      </c>
    </row>
    <row r="479" spans="1:18" x14ac:dyDescent="0.25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132">J478-J479</f>
        <v>0</v>
      </c>
      <c r="H479" s="16">
        <v>0</v>
      </c>
      <c r="I479" s="16"/>
      <c r="J479" s="16">
        <v>0</v>
      </c>
      <c r="K479" s="174"/>
      <c r="L479" s="180" t="str">
        <f>'Olieforbrug, TJ'!M479</f>
        <v>August</v>
      </c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5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33">J479-J480</f>
        <v>0</v>
      </c>
      <c r="H480" s="16">
        <v>0</v>
      </c>
      <c r="I480" s="16"/>
      <c r="J480" s="16">
        <v>0</v>
      </c>
      <c r="K480" s="174"/>
      <c r="L480" s="180" t="str">
        <f>'Olieforbrug, TJ'!M480</f>
        <v>September</v>
      </c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5">
      <c r="A481" s="179" t="str">
        <f>'Olieforbrug, TJ'!A481</f>
        <v>Oktober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" si="134">J480-J481</f>
        <v>0</v>
      </c>
      <c r="H481" s="16">
        <v>0</v>
      </c>
      <c r="I481" s="16"/>
      <c r="J481" s="16">
        <v>0</v>
      </c>
      <c r="K481" s="174"/>
      <c r="L481" s="180" t="str">
        <f>'Olieforbrug, TJ'!M481</f>
        <v>October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5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135">J481-J482</f>
        <v>0</v>
      </c>
      <c r="H482" s="16">
        <v>0</v>
      </c>
      <c r="I482" s="16"/>
      <c r="J482" s="16">
        <v>0</v>
      </c>
      <c r="K482" s="174"/>
      <c r="L482" s="180" t="str">
        <f>'Olieforbrug, TJ'!M482</f>
        <v>November</v>
      </c>
      <c r="N482" s="14">
        <v>179.19233333333301</v>
      </c>
      <c r="O482" s="17"/>
      <c r="P482" s="10">
        <v>75.276083</v>
      </c>
      <c r="R482" s="14">
        <v>0.125199166666667</v>
      </c>
    </row>
    <row r="483" spans="1:18" x14ac:dyDescent="0.25">
      <c r="A483" s="179" t="str">
        <f>'Olieforbrug, TJ'!A483</f>
        <v>December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ref="G483" si="136">J482-J483</f>
        <v>0</v>
      </c>
      <c r="H483" s="16">
        <v>0</v>
      </c>
      <c r="I483" s="16"/>
      <c r="J483" s="16">
        <v>0</v>
      </c>
      <c r="K483" s="174"/>
      <c r="L483" s="180" t="str">
        <f>'Olieforbrug, TJ'!M483</f>
        <v>December</v>
      </c>
      <c r="N483" s="14">
        <v>179.19233333333301</v>
      </c>
      <c r="O483" s="17"/>
      <c r="P483" s="10">
        <v>75.276083</v>
      </c>
      <c r="R483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69" zoomScaleNormal="69" workbookViewId="0">
      <selection activeCell="AC3" sqref="AC3"/>
    </sheetView>
  </sheetViews>
  <sheetFormatPr defaultRowHeight="13.2" x14ac:dyDescent="0.25"/>
  <cols>
    <col min="1" max="1" width="13" customWidth="1"/>
    <col min="2" max="2" width="11.44140625" customWidth="1"/>
    <col min="3" max="3" width="11.5546875" customWidth="1"/>
    <col min="4" max="4" width="9.88671875" customWidth="1"/>
    <col min="5" max="5" width="11.44140625" customWidth="1"/>
    <col min="6" max="6" width="10.109375" customWidth="1"/>
    <col min="7" max="16" width="11.44140625" customWidth="1"/>
  </cols>
  <sheetData>
    <row r="1" spans="1:19" ht="16.5" customHeight="1" x14ac:dyDescent="0.3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2" thickBot="1" x14ac:dyDescent="0.35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3">
      <c r="A3" s="184" t="s">
        <v>248</v>
      </c>
      <c r="B3" s="185"/>
      <c r="C3" s="182" t="s">
        <v>243</v>
      </c>
      <c r="D3" s="187"/>
      <c r="E3" s="184" t="s">
        <v>244</v>
      </c>
      <c r="F3" s="186"/>
      <c r="H3" s="182" t="s">
        <v>293</v>
      </c>
      <c r="I3" s="183"/>
      <c r="J3" s="182" t="s">
        <v>294</v>
      </c>
      <c r="K3" s="183"/>
      <c r="L3" s="182" t="s">
        <v>293</v>
      </c>
      <c r="M3" s="183"/>
      <c r="N3" s="182" t="s">
        <v>294</v>
      </c>
      <c r="O3" s="183"/>
    </row>
    <row r="4" spans="1:19" x14ac:dyDescent="0.25">
      <c r="A4" s="87">
        <v>45292</v>
      </c>
      <c r="B4" s="90">
        <f>'Gas-dieselolie'!L459</f>
        <v>11953.656623999999</v>
      </c>
      <c r="C4" s="132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3" t="s">
        <v>229</v>
      </c>
      <c r="I4" s="152">
        <f>($B4-D4)/D4</f>
        <v>-2.4502471907481338E-2</v>
      </c>
      <c r="J4" s="151"/>
      <c r="K4" s="152">
        <f t="shared" ref="K4:K22" si="0">($B4-F4)/F4</f>
        <v>-4.5731953496656007E-2</v>
      </c>
      <c r="L4" s="87"/>
      <c r="M4" s="152"/>
      <c r="N4" s="153"/>
      <c r="O4" s="154"/>
    </row>
    <row r="5" spans="1:19" x14ac:dyDescent="0.25">
      <c r="A5" s="91">
        <v>45323</v>
      </c>
      <c r="B5" s="93">
        <f>'Gas-dieselolie'!L460</f>
        <v>10765.42152</v>
      </c>
      <c r="C5" s="133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4" t="s">
        <v>230</v>
      </c>
      <c r="I5" s="156">
        <f t="shared" ref="I5:I22" si="1">($B5-D5)/D5</f>
        <v>-5.567948350884272E-2</v>
      </c>
      <c r="J5" s="155"/>
      <c r="K5" s="156">
        <f t="shared" si="0"/>
        <v>-9.3615993235489622E-2</v>
      </c>
      <c r="L5" s="91"/>
      <c r="M5" s="156"/>
      <c r="N5" s="157"/>
      <c r="O5" s="154"/>
    </row>
    <row r="6" spans="1:19" x14ac:dyDescent="0.25">
      <c r="A6" s="91">
        <v>45352</v>
      </c>
      <c r="B6" s="93">
        <f>'Gas-dieselolie'!L461</f>
        <v>11714.955084000001</v>
      </c>
      <c r="C6" s="133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4" t="s">
        <v>231</v>
      </c>
      <c r="I6" s="156">
        <f t="shared" si="1"/>
        <v>-0.1177628913319466</v>
      </c>
      <c r="J6" s="155"/>
      <c r="K6" s="156">
        <f t="shared" si="0"/>
        <v>-0.16804937504298412</v>
      </c>
      <c r="L6" s="91" t="s">
        <v>289</v>
      </c>
      <c r="M6" s="156">
        <f>(SUM($B4:$B6)-SUM(D4:D6))/SUM(D4:D6)</f>
        <v>-6.7656547724257693E-2</v>
      </c>
      <c r="N6" s="157"/>
      <c r="O6" s="156">
        <f>(SUM($B4:$B6)-SUM(F4:F6))/SUM(F4:F6)</f>
        <v>-0.10526461965630991</v>
      </c>
    </row>
    <row r="7" spans="1:19" x14ac:dyDescent="0.25">
      <c r="A7" s="91">
        <v>45383</v>
      </c>
      <c r="B7" s="93">
        <f>'Gas-dieselolie'!L462</f>
        <v>12065.385444</v>
      </c>
      <c r="C7" s="133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4" t="s">
        <v>232</v>
      </c>
      <c r="I7" s="156">
        <f t="shared" si="1"/>
        <v>-1.1155924251421241E-2</v>
      </c>
      <c r="J7" s="155"/>
      <c r="K7" s="156">
        <f t="shared" si="0"/>
        <v>-8.9807329207134565E-2</v>
      </c>
      <c r="L7" s="91"/>
      <c r="M7" s="156"/>
      <c r="N7" s="157"/>
      <c r="O7" s="154"/>
    </row>
    <row r="8" spans="1:19" x14ac:dyDescent="0.25">
      <c r="A8" s="91">
        <v>45413</v>
      </c>
      <c r="B8" s="93">
        <f>'Gas-dieselolie'!L463</f>
        <v>12804.409716000002</v>
      </c>
      <c r="C8" s="133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4" t="s">
        <v>233</v>
      </c>
      <c r="I8" s="156">
        <f t="shared" si="1"/>
        <v>-5.8426277900774206E-3</v>
      </c>
      <c r="J8" s="155"/>
      <c r="K8" s="156">
        <f t="shared" si="0"/>
        <v>-5.7875471409305886E-2</v>
      </c>
      <c r="L8" s="91"/>
      <c r="M8" s="156"/>
      <c r="N8" s="157"/>
      <c r="O8" s="154"/>
    </row>
    <row r="9" spans="1:19" x14ac:dyDescent="0.25">
      <c r="A9" s="91">
        <v>45444</v>
      </c>
      <c r="B9" s="93">
        <f>'Gas-dieselolie'!L464</f>
        <v>10369.689876</v>
      </c>
      <c r="C9" s="133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4" t="s">
        <v>234</v>
      </c>
      <c r="I9" s="156">
        <f t="shared" si="1"/>
        <v>-0.16432678049584204</v>
      </c>
      <c r="J9" s="155"/>
      <c r="K9" s="156">
        <f t="shared" si="0"/>
        <v>-0.21474419913452841</v>
      </c>
      <c r="L9" s="91" t="s">
        <v>290</v>
      </c>
      <c r="M9" s="156">
        <f>(SUM($B4:$B9)-SUM(D4:D9))/SUM(D4:D9)</f>
        <v>-6.3813975187309649E-2</v>
      </c>
      <c r="N9" s="157"/>
      <c r="O9" s="156">
        <f>(SUM(D4:D9)-SUM(F4:F9))/SUM(F4:F9)</f>
        <v>-5.2392509040356874E-2</v>
      </c>
    </row>
    <row r="10" spans="1:19" x14ac:dyDescent="0.25">
      <c r="A10" s="91">
        <v>45474</v>
      </c>
      <c r="B10" s="93">
        <f>'Gas-dieselolie'!L465</f>
        <v>10359.754439999999</v>
      </c>
      <c r="C10" s="133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4" t="s">
        <v>235</v>
      </c>
      <c r="I10" s="156">
        <f t="shared" si="1"/>
        <v>-0.22061906856382696</v>
      </c>
      <c r="J10" s="155"/>
      <c r="K10" s="156">
        <f t="shared" si="0"/>
        <v>-0.165849835064516</v>
      </c>
      <c r="L10" s="91"/>
      <c r="M10" s="156"/>
      <c r="N10" s="157"/>
      <c r="O10" s="154"/>
    </row>
    <row r="11" spans="1:19" x14ac:dyDescent="0.25">
      <c r="A11" s="91">
        <v>45505</v>
      </c>
      <c r="B11" s="93">
        <f>'Gas-dieselolie'!L466</f>
        <v>12863.556048</v>
      </c>
      <c r="C11" s="133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4" t="s">
        <v>236</v>
      </c>
      <c r="I11" s="156">
        <f t="shared" si="1"/>
        <v>-8.8845190368032956E-2</v>
      </c>
      <c r="J11" s="155"/>
      <c r="K11" s="156">
        <f t="shared" si="0"/>
        <v>-0.10069950831807067</v>
      </c>
      <c r="L11" s="91"/>
      <c r="M11" s="156"/>
      <c r="N11" s="157"/>
      <c r="O11" s="154"/>
    </row>
    <row r="12" spans="1:19" x14ac:dyDescent="0.25">
      <c r="A12" s="91">
        <v>45536</v>
      </c>
      <c r="B12" s="93">
        <f>'Gas-dieselolie'!L467</f>
        <v>11865.636552000002</v>
      </c>
      <c r="C12" s="133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4" t="s">
        <v>237</v>
      </c>
      <c r="I12" s="156">
        <f t="shared" si="1"/>
        <v>-6.7890642390021017E-2</v>
      </c>
      <c r="J12" s="155"/>
      <c r="K12" s="156">
        <f t="shared" si="0"/>
        <v>-0.12939422824380353</v>
      </c>
      <c r="L12" s="91" t="s">
        <v>291</v>
      </c>
      <c r="M12" s="156">
        <f>(SUM($B4:$B12)-SUM(D4:D12))/SUM(D4:D12)</f>
        <v>-8.5545129789825328E-2</v>
      </c>
      <c r="N12" s="157"/>
      <c r="O12" s="156">
        <f>(SUM($B4:$B12)-SUM(F4:F12))/SUM(F4:F12)</f>
        <v>-0.1188298619248368</v>
      </c>
    </row>
    <row r="13" spans="1:19" x14ac:dyDescent="0.25">
      <c r="A13" s="91">
        <v>45566</v>
      </c>
      <c r="B13" s="93">
        <f>'Gas-dieselolie'!L468</f>
        <v>12149.352432</v>
      </c>
      <c r="C13" s="133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4" t="s">
        <v>238</v>
      </c>
      <c r="I13" s="156">
        <f t="shared" si="1"/>
        <v>-2.750470853047909E-2</v>
      </c>
      <c r="J13" s="155"/>
      <c r="K13" s="156">
        <f t="shared" si="0"/>
        <v>-8.7299897877523153E-2</v>
      </c>
      <c r="L13" s="91"/>
      <c r="M13" s="156"/>
      <c r="N13" s="157"/>
      <c r="O13" s="154"/>
    </row>
    <row r="14" spans="1:19" x14ac:dyDescent="0.25">
      <c r="A14" s="91">
        <v>45597</v>
      </c>
      <c r="B14" s="93">
        <f>'Gas-dieselolie'!L469</f>
        <v>10843.183344000001</v>
      </c>
      <c r="C14" s="133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4" t="s">
        <v>239</v>
      </c>
      <c r="I14" s="156">
        <f t="shared" si="1"/>
        <v>-0.14207468832565676</v>
      </c>
      <c r="J14" s="155"/>
      <c r="K14" s="156">
        <f t="shared" si="0"/>
        <v>-0.17242096733572046</v>
      </c>
      <c r="L14" s="91"/>
      <c r="M14" s="156"/>
      <c r="N14" s="157"/>
      <c r="O14" s="154"/>
    </row>
    <row r="15" spans="1:19" ht="13.8" thickBot="1" x14ac:dyDescent="0.3">
      <c r="A15" s="95">
        <v>45627</v>
      </c>
      <c r="B15" s="96">
        <f>'Gas-dieselolie'!L470</f>
        <v>11090.708412</v>
      </c>
      <c r="C15" s="133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5" t="s">
        <v>240</v>
      </c>
      <c r="I15" s="159">
        <f t="shared" si="1"/>
        <v>-6.6110335912630255E-2</v>
      </c>
      <c r="J15" s="158"/>
      <c r="K15" s="159">
        <f t="shared" si="0"/>
        <v>-0.14321332203545756</v>
      </c>
      <c r="L15" s="91" t="s">
        <v>292</v>
      </c>
      <c r="M15" s="156">
        <f>(SUM($B4:$B15)-SUM(D4:D15))/SUM(D4:D15)</f>
        <v>-8.3952252162498534E-2</v>
      </c>
      <c r="N15" s="157"/>
      <c r="O15" s="156">
        <f>(SUM($B4:$B15)-SUM(F4:F15))/SUM(F4:F15)</f>
        <v>-0.12260929773004678</v>
      </c>
    </row>
    <row r="16" spans="1:19" x14ac:dyDescent="0.25">
      <c r="A16" s="87">
        <v>45658</v>
      </c>
      <c r="B16" s="90">
        <f>'Gas-dieselolie'!L472</f>
        <v>9284.6111400000009</v>
      </c>
      <c r="C16" s="132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3" t="s">
        <v>229</v>
      </c>
      <c r="I16" s="168">
        <f t="shared" si="1"/>
        <v>-0.22328276342163053</v>
      </c>
      <c r="J16" s="151"/>
      <c r="K16" s="152">
        <f t="shared" si="0"/>
        <v>-0.23478844385847175</v>
      </c>
      <c r="L16" s="87"/>
      <c r="M16" s="152"/>
      <c r="N16" s="153"/>
      <c r="O16" s="161"/>
      <c r="S16" s="10"/>
    </row>
    <row r="17" spans="1:20" x14ac:dyDescent="0.25">
      <c r="A17" s="91">
        <v>45689</v>
      </c>
      <c r="B17" s="93">
        <f>'Gas-dieselolie'!L473</f>
        <v>10747.128839999999</v>
      </c>
      <c r="C17" s="133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4" t="s">
        <v>230</v>
      </c>
      <c r="I17" s="160">
        <f t="shared" si="1"/>
        <v>-1.699207036716243E-3</v>
      </c>
      <c r="J17" s="155"/>
      <c r="K17" s="156">
        <f t="shared" si="0"/>
        <v>-7.2363280161583485E-2</v>
      </c>
      <c r="L17" s="91"/>
      <c r="M17" s="156"/>
      <c r="N17" s="157"/>
      <c r="O17" s="154"/>
      <c r="S17" s="10"/>
      <c r="T17" s="99"/>
    </row>
    <row r="18" spans="1:20" x14ac:dyDescent="0.25">
      <c r="A18" s="91">
        <v>45717</v>
      </c>
      <c r="B18" s="93">
        <f>'Gas-dieselolie'!L474</f>
        <v>11927.150172</v>
      </c>
      <c r="C18" s="133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4" t="s">
        <v>231</v>
      </c>
      <c r="I18" s="160">
        <f t="shared" si="1"/>
        <v>1.8113179818316966E-2</v>
      </c>
      <c r="J18" s="155"/>
      <c r="K18" s="156">
        <f t="shared" si="0"/>
        <v>-0.12915872284259705</v>
      </c>
      <c r="L18" s="91" t="s">
        <v>289</v>
      </c>
      <c r="M18" s="156">
        <f>(SUM($B16:$B18)-SUM(D16:D18))/SUM(D16:D18)</f>
        <v>-7.1880719275932509E-2</v>
      </c>
      <c r="N18" s="157"/>
      <c r="O18" s="156">
        <f>(SUM($B16:$B18)-SUM(F16:F18))/SUM(F16:F18)</f>
        <v>-0.14582699424213993</v>
      </c>
      <c r="R18" s="57"/>
      <c r="S18" s="10"/>
      <c r="T18" s="99"/>
    </row>
    <row r="19" spans="1:20" x14ac:dyDescent="0.25">
      <c r="A19" s="91">
        <v>45748</v>
      </c>
      <c r="B19" s="93">
        <f>'Gas-dieselolie'!L475</f>
        <v>10434.252276000001</v>
      </c>
      <c r="C19" s="133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4" t="s">
        <v>232</v>
      </c>
      <c r="I19" s="160">
        <f t="shared" si="1"/>
        <v>-0.13519113629404567</v>
      </c>
      <c r="J19" s="155"/>
      <c r="K19" s="156">
        <f t="shared" si="0"/>
        <v>-0.17352397035326511</v>
      </c>
      <c r="L19" s="91"/>
      <c r="M19" s="156"/>
      <c r="N19" s="157"/>
      <c r="O19" s="154"/>
      <c r="R19" s="10"/>
    </row>
    <row r="20" spans="1:20" x14ac:dyDescent="0.25">
      <c r="A20" s="91">
        <v>45778</v>
      </c>
      <c r="B20" s="93">
        <f>'Gas-dieselolie'!L476</f>
        <v>10217.071535999999</v>
      </c>
      <c r="C20" s="133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4" t="s">
        <v>233</v>
      </c>
      <c r="I20" s="160">
        <f t="shared" si="1"/>
        <v>-0.20206618168168605</v>
      </c>
      <c r="J20" s="155"/>
      <c r="K20" s="156">
        <f t="shared" si="0"/>
        <v>-0.19127003640323958</v>
      </c>
      <c r="L20" s="91"/>
      <c r="M20" s="156"/>
      <c r="N20" s="157"/>
      <c r="O20" s="154"/>
      <c r="R20" s="10"/>
      <c r="S20" s="52"/>
    </row>
    <row r="21" spans="1:20" x14ac:dyDescent="0.25">
      <c r="A21" s="91">
        <v>45809</v>
      </c>
      <c r="B21" s="93">
        <f>'Gas-dieselolie'!L477</f>
        <v>9846.8779080000004</v>
      </c>
      <c r="C21" s="133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4" t="s">
        <v>234</v>
      </c>
      <c r="I21" s="160">
        <f t="shared" si="1"/>
        <v>-5.0417319539132567E-2</v>
      </c>
      <c r="J21" s="155"/>
      <c r="K21" s="156">
        <f t="shared" si="0"/>
        <v>-0.18984376521638027</v>
      </c>
      <c r="L21" s="91" t="s">
        <v>290</v>
      </c>
      <c r="M21" s="156">
        <f>(SUM($B16:$B21)-SUM(D16:D21))/SUM(D16:D21)</f>
        <v>-0.10357488141557934</v>
      </c>
      <c r="N21" s="157"/>
      <c r="O21" s="156">
        <f>(SUM($B16:$B21)-SUM(F16:F21))/SUM(F16:F21)</f>
        <v>-0.16532203597490672</v>
      </c>
      <c r="R21" s="10"/>
      <c r="S21" s="52"/>
    </row>
    <row r="22" spans="1:20" x14ac:dyDescent="0.25">
      <c r="A22" s="91">
        <v>45839</v>
      </c>
      <c r="B22" s="93">
        <f>'Gas-dieselolie'!L478</f>
        <v>9869.0443320000013</v>
      </c>
      <c r="C22" s="133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4" t="s">
        <v>235</v>
      </c>
      <c r="I22" s="160">
        <f t="shared" si="1"/>
        <v>-4.7366963265588514E-2</v>
      </c>
      <c r="J22" s="155"/>
      <c r="K22" s="156">
        <f t="shared" si="0"/>
        <v>-0.17009107766998488</v>
      </c>
      <c r="L22" s="91"/>
      <c r="M22" s="156"/>
      <c r="N22" s="157"/>
      <c r="O22" s="154"/>
      <c r="R22" s="10"/>
      <c r="S22" s="10"/>
    </row>
    <row r="23" spans="1:20" x14ac:dyDescent="0.25">
      <c r="A23" s="91">
        <v>45870</v>
      </c>
      <c r="B23" s="93">
        <f>'Gas-dieselolie'!L479</f>
        <v>11184.00108</v>
      </c>
      <c r="C23" s="133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4" t="s">
        <v>236</v>
      </c>
      <c r="I23" s="160">
        <f>($B23-D23)/D23</f>
        <v>-0.13056692579662948</v>
      </c>
      <c r="J23" s="155"/>
      <c r="K23" s="156">
        <f>($B23-F23)/F23</f>
        <v>-0.19811772015565987</v>
      </c>
      <c r="L23" s="91"/>
      <c r="M23" s="156"/>
      <c r="N23" s="157"/>
      <c r="O23" s="154"/>
      <c r="S23" s="10"/>
      <c r="T23" s="99"/>
    </row>
    <row r="24" spans="1:20" x14ac:dyDescent="0.25">
      <c r="A24" s="91">
        <v>45901</v>
      </c>
      <c r="B24" s="93">
        <f>'Gas-dieselolie'!L480</f>
        <v>10634.072904000001</v>
      </c>
      <c r="C24" s="133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4" t="s">
        <v>237</v>
      </c>
      <c r="I24" s="160">
        <f>($B24-D24)/D24</f>
        <v>-0.10379246343866955</v>
      </c>
      <c r="J24" s="155"/>
      <c r="K24" s="156">
        <f>($B24-F24)/F24</f>
        <v>-0.19541627339097103</v>
      </c>
      <c r="L24" s="91" t="s">
        <v>291</v>
      </c>
      <c r="M24" s="156">
        <f>(SUM($B16:$B24)-SUM(D16:D24))/SUM(D16:D24)</f>
        <v>-0.10135552924597488</v>
      </c>
      <c r="N24" s="157"/>
      <c r="O24" s="156">
        <f>(SUM($B16:$B24)-SUM(F16:F24))/SUM(F16:F24)</f>
        <v>-0.17332908440295688</v>
      </c>
      <c r="S24" s="10"/>
      <c r="T24" s="99"/>
    </row>
    <row r="25" spans="1:20" x14ac:dyDescent="0.25">
      <c r="A25" s="91">
        <v>45931</v>
      </c>
      <c r="B25" s="93">
        <f>'Gas-dieselolie'!L481</f>
        <v>11254.445832000001</v>
      </c>
      <c r="C25" s="133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4" t="s">
        <v>238</v>
      </c>
      <c r="I25" s="160">
        <f t="shared" ref="I25" si="3">($B25-D25)/D25</f>
        <v>-7.3658790047354067E-2</v>
      </c>
      <c r="J25" s="155"/>
      <c r="K25" s="156">
        <f>($B25-F25)/F25</f>
        <v>-0.12125156692316222</v>
      </c>
      <c r="L25" s="91"/>
      <c r="M25" s="156"/>
      <c r="N25" s="157"/>
      <c r="O25" s="154"/>
    </row>
    <row r="26" spans="1:20" x14ac:dyDescent="0.25">
      <c r="A26" s="91">
        <v>45962</v>
      </c>
      <c r="B26" s="93">
        <f>'Gas-dieselolie'!L482</f>
        <v>9929.6612519999999</v>
      </c>
      <c r="C26" s="133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4" t="s">
        <v>239</v>
      </c>
      <c r="I26" s="160">
        <f t="shared" ref="I26" si="4">($B26-D26)/D26</f>
        <v>-8.4248514759781512E-2</v>
      </c>
      <c r="J26" s="155"/>
      <c r="K26" s="156">
        <f>($B26-F26)/F26</f>
        <v>-0.20615225621152847</v>
      </c>
      <c r="L26" s="91"/>
      <c r="M26" s="156"/>
      <c r="N26" s="157"/>
      <c r="O26" s="154"/>
    </row>
    <row r="27" spans="1:20" ht="13.8" thickBot="1" x14ac:dyDescent="0.3">
      <c r="A27" s="95">
        <v>45992</v>
      </c>
      <c r="B27" s="93">
        <f>'Gas-dieselolie'!L483</f>
        <v>9369.152016</v>
      </c>
      <c r="C27" s="134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5" t="s">
        <v>240</v>
      </c>
      <c r="I27" s="169">
        <f t="shared" ref="I27" si="5">($B27-D27)/D27</f>
        <v>-0.15522510664307959</v>
      </c>
      <c r="J27" s="158"/>
      <c r="K27" s="159">
        <f>($B27-F27)/F27</f>
        <v>-0.2591630401735272</v>
      </c>
      <c r="L27" s="95" t="s">
        <v>292</v>
      </c>
      <c r="M27" s="159">
        <f>(SUM($B16:$B27)-SUM(D16:D27))/SUM(D16:D27)</f>
        <v>-0.10189900902062224</v>
      </c>
      <c r="N27" s="162"/>
      <c r="O27" s="159">
        <f>(SUM($B16:$B27)-SUM(F16:F27))/SUM(F16:F27)</f>
        <v>-0.17878924581804623</v>
      </c>
    </row>
    <row r="31" spans="1:20" ht="13.8" thickBot="1" x14ac:dyDescent="0.3"/>
    <row r="32" spans="1:20" ht="15.6" x14ac:dyDescent="0.3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2" thickBot="1" x14ac:dyDescent="0.35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3">
      <c r="A34" s="182" t="s">
        <v>245</v>
      </c>
      <c r="B34" s="183"/>
      <c r="C34" s="182" t="s">
        <v>243</v>
      </c>
      <c r="D34" s="187"/>
      <c r="E34" s="184" t="s">
        <v>244</v>
      </c>
      <c r="F34" s="186"/>
      <c r="H34" s="182" t="s">
        <v>293</v>
      </c>
      <c r="I34" s="183"/>
      <c r="J34" s="182" t="s">
        <v>294</v>
      </c>
      <c r="K34" s="183"/>
      <c r="L34" s="182" t="s">
        <v>293</v>
      </c>
      <c r="M34" s="183"/>
      <c r="N34" s="182" t="s">
        <v>294</v>
      </c>
      <c r="O34" s="183"/>
    </row>
    <row r="35" spans="1:15" x14ac:dyDescent="0.25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3" t="s">
        <v>229</v>
      </c>
      <c r="I35" s="152">
        <f>($B35-D35)/D35</f>
        <v>-1.5830935278967243E-2</v>
      </c>
      <c r="J35" s="151"/>
      <c r="K35" s="152">
        <f t="shared" ref="K35:K55" si="6">($B35-F35)/F35</f>
        <v>1.0099209148512965E-2</v>
      </c>
      <c r="L35" s="87"/>
      <c r="M35" s="152"/>
      <c r="N35" s="153"/>
      <c r="O35" s="154"/>
    </row>
    <row r="36" spans="1:15" x14ac:dyDescent="0.25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4" t="s">
        <v>230</v>
      </c>
      <c r="I36" s="156">
        <f t="shared" ref="I36:I55" si="7">($B36-D36)/D36</f>
        <v>-2.8420187866199723E-2</v>
      </c>
      <c r="J36" s="155"/>
      <c r="K36" s="156">
        <f t="shared" si="6"/>
        <v>9.3494514483919849E-3</v>
      </c>
      <c r="L36" s="91"/>
      <c r="M36" s="156"/>
      <c r="N36" s="157"/>
      <c r="O36" s="154"/>
    </row>
    <row r="37" spans="1:15" x14ac:dyDescent="0.25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4" t="s">
        <v>231</v>
      </c>
      <c r="I37" s="156">
        <f t="shared" si="7"/>
        <v>-7.452369488960732E-2</v>
      </c>
      <c r="J37" s="155"/>
      <c r="K37" s="156">
        <f t="shared" si="6"/>
        <v>-2.9926607356567114E-2</v>
      </c>
      <c r="L37" s="91" t="s">
        <v>289</v>
      </c>
      <c r="M37" s="156">
        <f>(SUM($B35:$B37)-SUM(D35:D37))/SUM(D35:D37)</f>
        <v>-4.0799671596811367E-2</v>
      </c>
      <c r="N37" s="157"/>
      <c r="O37" s="156">
        <f>(SUM($B35:$B37)-SUM(F35:F37))/SUM(F35:F37)</f>
        <v>-4.3046036549580077E-3</v>
      </c>
    </row>
    <row r="38" spans="1:15" x14ac:dyDescent="0.25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4" t="s">
        <v>232</v>
      </c>
      <c r="I38" s="156">
        <f t="shared" si="7"/>
        <v>3.5438235211148403E-2</v>
      </c>
      <c r="J38" s="155"/>
      <c r="K38" s="156">
        <f t="shared" si="6"/>
        <v>5.4848591964180585E-2</v>
      </c>
      <c r="L38" s="91"/>
      <c r="M38" s="156"/>
      <c r="N38" s="157"/>
      <c r="O38" s="154"/>
    </row>
    <row r="39" spans="1:15" x14ac:dyDescent="0.25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4" t="s">
        <v>233</v>
      </c>
      <c r="I39" s="156">
        <f t="shared" si="7"/>
        <v>-2.6654625047821571E-2</v>
      </c>
      <c r="J39" s="155"/>
      <c r="K39" s="156">
        <f t="shared" si="6"/>
        <v>2.1211606768026376E-2</v>
      </c>
      <c r="L39" s="91"/>
      <c r="M39" s="156"/>
      <c r="N39" s="157"/>
      <c r="O39" s="154"/>
    </row>
    <row r="40" spans="1:15" x14ac:dyDescent="0.25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4" t="s">
        <v>234</v>
      </c>
      <c r="I40" s="156">
        <f t="shared" si="7"/>
        <v>-0.10344939502518569</v>
      </c>
      <c r="J40" s="155"/>
      <c r="K40" s="156">
        <f t="shared" si="6"/>
        <v>-0.104354017466909</v>
      </c>
      <c r="L40" s="91" t="s">
        <v>290</v>
      </c>
      <c r="M40" s="156">
        <f>(SUM($B35:$B40)-SUM(D35:D40))/SUM(D35:D40)</f>
        <v>-3.6839590031967941E-2</v>
      </c>
      <c r="N40" s="157"/>
      <c r="O40" s="156">
        <f>(SUM(D35:D40)-SUM(F35:F40))/SUM(F35:F40)</f>
        <v>2.9665422873985364E-2</v>
      </c>
    </row>
    <row r="41" spans="1:15" x14ac:dyDescent="0.25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4" t="s">
        <v>235</v>
      </c>
      <c r="I41" s="156">
        <f t="shared" si="7"/>
        <v>1.582472405862732E-2</v>
      </c>
      <c r="J41" s="155"/>
      <c r="K41" s="156">
        <f t="shared" si="6"/>
        <v>-7.1785716638449515E-2</v>
      </c>
      <c r="L41" s="91"/>
      <c r="M41" s="156"/>
      <c r="N41" s="157"/>
      <c r="O41" s="154"/>
    </row>
    <row r="42" spans="1:15" x14ac:dyDescent="0.25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4" t="s">
        <v>236</v>
      </c>
      <c r="I42" s="156">
        <f t="shared" si="7"/>
        <v>-7.5066972828167003E-2</v>
      </c>
      <c r="J42" s="155"/>
      <c r="K42" s="156">
        <f t="shared" si="6"/>
        <v>-8.1648550128052888E-2</v>
      </c>
      <c r="L42" s="91"/>
      <c r="M42" s="156"/>
      <c r="N42" s="157"/>
      <c r="O42" s="154"/>
    </row>
    <row r="43" spans="1:15" x14ac:dyDescent="0.25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4" t="s">
        <v>237</v>
      </c>
      <c r="I43" s="156">
        <f t="shared" si="7"/>
        <v>-4.6694597696381311E-2</v>
      </c>
      <c r="J43" s="155"/>
      <c r="K43" s="156">
        <f t="shared" si="6"/>
        <v>-8.2839016590152303E-2</v>
      </c>
      <c r="L43" s="91" t="s">
        <v>291</v>
      </c>
      <c r="M43" s="156">
        <f>(SUM($B35:$B43)-SUM(D35:D43))/SUM(D35:D43)</f>
        <v>-3.6926999143786401E-2</v>
      </c>
      <c r="N43" s="157"/>
      <c r="O43" s="156">
        <f>(SUM($B35:$B43)-SUM(F35:F43))/SUM(F35:F43)</f>
        <v>-3.3272834374426366E-2</v>
      </c>
    </row>
    <row r="44" spans="1:15" x14ac:dyDescent="0.25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4" t="s">
        <v>238</v>
      </c>
      <c r="I44" s="156">
        <f t="shared" si="7"/>
        <v>-3.8391916911577409E-2</v>
      </c>
      <c r="J44" s="155"/>
      <c r="K44" s="156">
        <f t="shared" si="6"/>
        <v>-5.252985575651526E-2</v>
      </c>
      <c r="L44" s="91"/>
      <c r="M44" s="156"/>
      <c r="N44" s="157"/>
      <c r="O44" s="154"/>
    </row>
    <row r="45" spans="1:15" x14ac:dyDescent="0.25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4" t="s">
        <v>239</v>
      </c>
      <c r="I45" s="156">
        <f t="shared" si="7"/>
        <v>-0.11195134776111132</v>
      </c>
      <c r="J45" s="155"/>
      <c r="K45" s="156">
        <f t="shared" si="6"/>
        <v>-0.10021913559908978</v>
      </c>
      <c r="L45" s="91"/>
      <c r="M45" s="156"/>
      <c r="N45" s="157"/>
      <c r="O45" s="154"/>
    </row>
    <row r="46" spans="1:15" ht="13.8" thickBot="1" x14ac:dyDescent="0.3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5" t="s">
        <v>240</v>
      </c>
      <c r="I46" s="159">
        <f>($B46-D46)/D46</f>
        <v>-5.8783282558750614E-2</v>
      </c>
      <c r="J46" s="158"/>
      <c r="K46" s="159">
        <f>($B46-F46)/F46</f>
        <v>-6.7311548930691342E-2</v>
      </c>
      <c r="L46" s="91" t="s">
        <v>292</v>
      </c>
      <c r="M46" s="156">
        <f>(SUM($B35:$B46)-SUM(D35:D46))/SUM(D35:D46)</f>
        <v>-4.5067914711301144E-2</v>
      </c>
      <c r="N46" s="157"/>
      <c r="O46" s="156">
        <f>(SUM($B35:$B46)-SUM(F35:F46))/SUM(F35:F46)</f>
        <v>-4.3205424370536955E-2</v>
      </c>
    </row>
    <row r="47" spans="1:15" x14ac:dyDescent="0.25">
      <c r="A47" s="87">
        <v>45658</v>
      </c>
      <c r="B47" s="90">
        <f>Motorbenzin!L472</f>
        <v>4070.1478499999998</v>
      </c>
      <c r="C47" s="132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3" t="s">
        <v>229</v>
      </c>
      <c r="I47" s="168">
        <f t="shared" si="7"/>
        <v>-4.9131639332939459E-2</v>
      </c>
      <c r="J47" s="151"/>
      <c r="K47" s="152">
        <f t="shared" si="6"/>
        <v>-2.3395749322924788E-2</v>
      </c>
      <c r="L47" s="87"/>
      <c r="M47" s="152"/>
      <c r="N47" s="153"/>
      <c r="O47" s="161"/>
    </row>
    <row r="48" spans="1:15" x14ac:dyDescent="0.25">
      <c r="A48" s="91">
        <v>45689</v>
      </c>
      <c r="B48" s="93">
        <f>Motorbenzin!L473</f>
        <v>3927.5131499999998</v>
      </c>
      <c r="C48" s="133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4" t="s">
        <v>230</v>
      </c>
      <c r="I48" s="160">
        <f t="shared" si="7"/>
        <v>-4.6282336611864899E-2</v>
      </c>
      <c r="J48" s="155"/>
      <c r="K48" s="156">
        <f t="shared" si="6"/>
        <v>-4.0214051075553793E-2</v>
      </c>
      <c r="L48" s="91"/>
      <c r="M48" s="156"/>
      <c r="N48" s="157"/>
      <c r="O48" s="154"/>
    </row>
    <row r="49" spans="1:19" x14ac:dyDescent="0.25">
      <c r="A49" s="91">
        <v>45717</v>
      </c>
      <c r="B49" s="93">
        <f>Motorbenzin!L474</f>
        <v>4132.6614</v>
      </c>
      <c r="C49" s="133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4" t="s">
        <v>231</v>
      </c>
      <c r="I49" s="160">
        <f t="shared" si="7"/>
        <v>-6.50366021329567E-2</v>
      </c>
      <c r="J49" s="155"/>
      <c r="K49" s="156">
        <f t="shared" si="6"/>
        <v>-7.7890150743308156E-2</v>
      </c>
      <c r="L49" s="91" t="s">
        <v>289</v>
      </c>
      <c r="M49" s="156">
        <f>(SUM($B47:$B49)-SUM(D47:D49))/SUM(D47:D49)</f>
        <v>-5.3700614270448012E-2</v>
      </c>
      <c r="N49" s="157"/>
      <c r="O49" s="156">
        <f>(SUM($B47:$B49)-SUM(F47:F49))/SUM(F47:F49)</f>
        <v>-4.7965262426772667E-2</v>
      </c>
    </row>
    <row r="50" spans="1:19" x14ac:dyDescent="0.25">
      <c r="A50" s="91">
        <v>45748</v>
      </c>
      <c r="B50" s="93">
        <f>Motorbenzin!L475</f>
        <v>4613.8481999999995</v>
      </c>
      <c r="C50" s="133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4" t="s">
        <v>232</v>
      </c>
      <c r="I50" s="160">
        <f t="shared" si="7"/>
        <v>-4.3379353089816941E-2</v>
      </c>
      <c r="J50" s="155"/>
      <c r="K50" s="156">
        <f t="shared" si="6"/>
        <v>2.0272959991631628E-2</v>
      </c>
      <c r="L50" s="91"/>
      <c r="M50" s="156"/>
      <c r="N50" s="157"/>
      <c r="O50" s="154"/>
    </row>
    <row r="51" spans="1:19" x14ac:dyDescent="0.25">
      <c r="A51" s="91">
        <v>45778</v>
      </c>
      <c r="B51" s="93">
        <f>Motorbenzin!L476</f>
        <v>4578.5015999999996</v>
      </c>
      <c r="C51" s="133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4" t="s">
        <v>233</v>
      </c>
      <c r="I51" s="160">
        <f t="shared" si="7"/>
        <v>-0.101941403506511</v>
      </c>
      <c r="J51" s="155"/>
      <c r="K51" s="156">
        <f t="shared" si="6"/>
        <v>-7.1262554107938608E-2</v>
      </c>
      <c r="L51" s="91"/>
      <c r="M51" s="156"/>
      <c r="N51" s="157"/>
      <c r="O51" s="154"/>
    </row>
    <row r="52" spans="1:19" x14ac:dyDescent="0.25">
      <c r="A52" s="91">
        <v>45809</v>
      </c>
      <c r="B52" s="93">
        <f>Motorbenzin!L477</f>
        <v>4469.3081999999995</v>
      </c>
      <c r="C52" s="133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4" t="s">
        <v>234</v>
      </c>
      <c r="I52" s="160">
        <f t="shared" si="7"/>
        <v>-1.4965355961163967E-2</v>
      </c>
      <c r="J52" s="155"/>
      <c r="K52" s="156">
        <f t="shared" si="6"/>
        <v>-9.8181143281366179E-2</v>
      </c>
      <c r="L52" s="91" t="s">
        <v>290</v>
      </c>
      <c r="M52" s="156">
        <f>(SUM($B47:$B52)-SUM(D47:D52))/SUM(D47:D52)</f>
        <v>-5.4448935155523605E-2</v>
      </c>
      <c r="N52" s="157"/>
      <c r="O52" s="156">
        <f>(SUM($B47:$B52)-SUM(F47:F52))/SUM(F47:F52)</f>
        <v>-4.9995898186950091E-2</v>
      </c>
    </row>
    <row r="53" spans="1:19" x14ac:dyDescent="0.25">
      <c r="A53" s="91">
        <v>45839</v>
      </c>
      <c r="B53" s="93">
        <f>Motorbenzin!L478</f>
        <v>4379.2991999999995</v>
      </c>
      <c r="C53" s="133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4" t="s">
        <v>235</v>
      </c>
      <c r="I53" s="160">
        <f t="shared" si="7"/>
        <v>-5.3867226866900451E-2</v>
      </c>
      <c r="J53" s="155"/>
      <c r="K53" s="156">
        <f t="shared" si="6"/>
        <v>-0.10313853075964668</v>
      </c>
      <c r="L53" s="91"/>
      <c r="M53" s="156"/>
      <c r="N53" s="157"/>
      <c r="O53" s="154"/>
    </row>
    <row r="54" spans="1:19" x14ac:dyDescent="0.25">
      <c r="A54" s="91">
        <v>45870</v>
      </c>
      <c r="B54" s="93">
        <f>Motorbenzin!L479</f>
        <v>4523.2807499999999</v>
      </c>
      <c r="C54" s="133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4" t="s">
        <v>236</v>
      </c>
      <c r="I54" s="160">
        <f t="shared" si="7"/>
        <v>-5.045134507037384E-2</v>
      </c>
      <c r="J54" s="155"/>
      <c r="K54" s="156">
        <f t="shared" si="6"/>
        <v>-0.11253720453892148</v>
      </c>
      <c r="L54" s="91"/>
      <c r="M54" s="156"/>
      <c r="N54" s="157"/>
      <c r="O54" s="154"/>
    </row>
    <row r="55" spans="1:19" x14ac:dyDescent="0.25">
      <c r="A55" s="91">
        <v>45901</v>
      </c>
      <c r="B55" s="93">
        <f>Motorbenzin!L480</f>
        <v>4251.5783999999994</v>
      </c>
      <c r="C55" s="133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4" t="s">
        <v>237</v>
      </c>
      <c r="I55" s="160">
        <f t="shared" si="7"/>
        <v>-6.1383151543281569E-2</v>
      </c>
      <c r="J55" s="155"/>
      <c r="K55" s="156">
        <f t="shared" si="6"/>
        <v>-0.12304619212432828</v>
      </c>
      <c r="L55" s="91" t="s">
        <v>291</v>
      </c>
      <c r="M55" s="156">
        <f>(SUM($B47:$B55)-SUM(D47:D55))/SUM(D47:D55)</f>
        <v>-5.4683743741812112E-2</v>
      </c>
      <c r="N55" s="157"/>
      <c r="O55" s="156">
        <f>(SUM($B47:$B55)-SUM(F47:F55))/SUM(F47:F55)</f>
        <v>-7.2208231664848369E-2</v>
      </c>
    </row>
    <row r="56" spans="1:19" x14ac:dyDescent="0.25">
      <c r="A56" s="91">
        <v>45931</v>
      </c>
      <c r="B56" s="93">
        <f>Motorbenzin!L481</f>
        <v>4415.5655999999999</v>
      </c>
      <c r="C56" s="133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4" t="s">
        <v>238</v>
      </c>
      <c r="I56" s="160">
        <f t="shared" ref="I56" si="9">($B56-D56)/D56</f>
        <v>-3.7913436831218256E-2</v>
      </c>
      <c r="J56" s="155"/>
      <c r="K56" s="156">
        <f t="shared" ref="K56" si="10">($B56-F56)/F56</f>
        <v>-7.1300949730474461E-2</v>
      </c>
      <c r="L56" s="91"/>
      <c r="M56" s="156"/>
      <c r="N56" s="157"/>
      <c r="O56" s="154"/>
    </row>
    <row r="57" spans="1:19" x14ac:dyDescent="0.25">
      <c r="A57" s="91">
        <v>45962</v>
      </c>
      <c r="B57" s="93">
        <f>Motorbenzin!L482</f>
        <v>3939.2077499999996</v>
      </c>
      <c r="C57" s="133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4" t="s">
        <v>239</v>
      </c>
      <c r="I57" s="160">
        <f t="shared" ref="I57:I58" si="11">($B57-D57)/D57</f>
        <v>-6.5755132250399473E-2</v>
      </c>
      <c r="J57" s="155"/>
      <c r="K57" s="156">
        <f t="shared" ref="K57" si="12">($B57-F57)/F57</f>
        <v>-0.14183254158979439</v>
      </c>
      <c r="L57" s="91"/>
      <c r="M57" s="156"/>
      <c r="N57" s="157"/>
      <c r="O57" s="154"/>
    </row>
    <row r="58" spans="1:19" ht="13.8" thickBot="1" x14ac:dyDescent="0.3">
      <c r="A58" s="95">
        <v>45992</v>
      </c>
      <c r="B58" s="93">
        <f>Motorbenzin!L483</f>
        <v>4054.3798499999998</v>
      </c>
      <c r="C58" s="134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5" t="s">
        <v>240</v>
      </c>
      <c r="I58" s="169">
        <f t="shared" si="11"/>
        <v>-5.5598491051137622E-2</v>
      </c>
      <c r="J58" s="158"/>
      <c r="K58" s="159">
        <f>($B58-F58)/F58</f>
        <v>-9.9291670376408681E-2</v>
      </c>
      <c r="L58" s="95" t="s">
        <v>292</v>
      </c>
      <c r="M58" s="159">
        <f>(SUM($B47:$B58)-SUM(D47:D58))/SUM(D47:D58)</f>
        <v>-5.4198287628137422E-2</v>
      </c>
      <c r="N58" s="162"/>
      <c r="O58" s="159">
        <f>(SUM($B47:$B58)-SUM(F47:F58))/SUM(F47:F58)</f>
        <v>-8.0039911914151149E-2</v>
      </c>
    </row>
    <row r="59" spans="1:19" x14ac:dyDescent="0.25">
      <c r="R59" s="10"/>
    </row>
    <row r="60" spans="1:19" x14ac:dyDescent="0.25">
      <c r="R60" s="10"/>
      <c r="S60" s="99"/>
    </row>
    <row r="61" spans="1:19" ht="13.8" thickBot="1" x14ac:dyDescent="0.3">
      <c r="Q61" s="57"/>
      <c r="R61" s="10"/>
      <c r="S61" s="99"/>
    </row>
    <row r="62" spans="1:19" ht="15.6" x14ac:dyDescent="0.3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2" thickBot="1" x14ac:dyDescent="0.35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3">
      <c r="A64" s="184" t="s">
        <v>246</v>
      </c>
      <c r="B64" s="185"/>
      <c r="C64" s="184" t="s">
        <v>243</v>
      </c>
      <c r="D64" s="186"/>
      <c r="E64" s="184" t="s">
        <v>244</v>
      </c>
      <c r="F64" s="186"/>
      <c r="H64" s="182" t="s">
        <v>293</v>
      </c>
      <c r="I64" s="183"/>
      <c r="J64" s="182" t="s">
        <v>294</v>
      </c>
      <c r="K64" s="183"/>
      <c r="L64" s="182" t="s">
        <v>293</v>
      </c>
      <c r="M64" s="183"/>
      <c r="N64" s="182" t="s">
        <v>294</v>
      </c>
      <c r="O64" s="183"/>
      <c r="Q64" s="10"/>
      <c r="R64" s="52"/>
    </row>
    <row r="65" spans="1:19" x14ac:dyDescent="0.25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3" t="s">
        <v>229</v>
      </c>
      <c r="I65" s="152">
        <f>($B65-D65)/D65</f>
        <v>0.10174955308736033</v>
      </c>
      <c r="J65" s="151"/>
      <c r="K65" s="152">
        <f t="shared" ref="K65:K85" si="13">($B65-F65)/F65</f>
        <v>0.20730129063542682</v>
      </c>
      <c r="L65" s="87"/>
      <c r="M65" s="152"/>
      <c r="N65" s="153"/>
      <c r="O65" s="154"/>
      <c r="Q65" s="10"/>
      <c r="R65" s="10"/>
    </row>
    <row r="66" spans="1:19" x14ac:dyDescent="0.25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4" t="s">
        <v>230</v>
      </c>
      <c r="I66" s="156">
        <f t="shared" ref="I66:I85" si="14">($B66-D66)/D66</f>
        <v>0.20216976982847057</v>
      </c>
      <c r="J66" s="155"/>
      <c r="K66" s="156">
        <f t="shared" si="13"/>
        <v>0.20536633010051233</v>
      </c>
      <c r="L66" s="91"/>
      <c r="M66" s="156"/>
      <c r="N66" s="157"/>
      <c r="O66" s="154"/>
      <c r="R66" s="10"/>
      <c r="S66" s="99"/>
    </row>
    <row r="67" spans="1:19" x14ac:dyDescent="0.25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4" t="s">
        <v>231</v>
      </c>
      <c r="I67" s="156">
        <f t="shared" si="14"/>
        <v>0.12723472499737096</v>
      </c>
      <c r="J67" s="155"/>
      <c r="K67" s="156">
        <f t="shared" si="13"/>
        <v>0.36083753614310615</v>
      </c>
      <c r="L67" s="91" t="s">
        <v>289</v>
      </c>
      <c r="M67" s="156">
        <f>(SUM($B65:$B67)-SUM(D65:D67))/SUM(D65:D67)</f>
        <v>0.14114249879683241</v>
      </c>
      <c r="N67" s="157"/>
      <c r="O67" s="156">
        <f>(SUM($B65:$B67)-SUM(F65:F67))/SUM(F65:F67)</f>
        <v>0.25853666382513313</v>
      </c>
      <c r="R67" s="10"/>
      <c r="S67" s="99"/>
    </row>
    <row r="68" spans="1:19" x14ac:dyDescent="0.25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4" t="s">
        <v>232</v>
      </c>
      <c r="I68" s="156">
        <f t="shared" si="14"/>
        <v>3.8340393179102872E-2</v>
      </c>
      <c r="J68" s="155"/>
      <c r="K68" s="156">
        <f t="shared" si="13"/>
        <v>0.47392569934382539</v>
      </c>
      <c r="L68" s="91"/>
      <c r="M68" s="156"/>
      <c r="N68" s="157"/>
      <c r="O68" s="154"/>
    </row>
    <row r="69" spans="1:19" x14ac:dyDescent="0.25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4" t="s">
        <v>233</v>
      </c>
      <c r="I69" s="156">
        <f t="shared" si="14"/>
        <v>0.24876506408891558</v>
      </c>
      <c r="J69" s="155"/>
      <c r="K69" s="156">
        <f t="shared" si="13"/>
        <v>0.76349165303569744</v>
      </c>
      <c r="L69" s="91"/>
      <c r="M69" s="156"/>
      <c r="N69" s="157"/>
      <c r="O69" s="154"/>
    </row>
    <row r="70" spans="1:19" x14ac:dyDescent="0.25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4" t="s">
        <v>234</v>
      </c>
      <c r="I70" s="156">
        <f t="shared" si="14"/>
        <v>2.9454131918119856E-2</v>
      </c>
      <c r="J70" s="155"/>
      <c r="K70" s="156">
        <f t="shared" si="13"/>
        <v>0.4542484972622729</v>
      </c>
      <c r="L70" s="91" t="s">
        <v>290</v>
      </c>
      <c r="M70" s="156">
        <f>(SUM($B65:$B70)-SUM(D65:D70))/SUM(D65:D70)</f>
        <v>0.1187360351065605</v>
      </c>
      <c r="N70" s="157"/>
      <c r="O70" s="156">
        <f>(SUM(D65:D70)-SUM(F65:F70))/SUM(F65:F70)</f>
        <v>0.26652860985450555</v>
      </c>
    </row>
    <row r="71" spans="1:19" x14ac:dyDescent="0.25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4" t="s">
        <v>235</v>
      </c>
      <c r="I71" s="156">
        <f t="shared" si="14"/>
        <v>7.9412372554422711E-2</v>
      </c>
      <c r="J71" s="155"/>
      <c r="K71" s="156">
        <f t="shared" si="13"/>
        <v>0.42945766136849334</v>
      </c>
      <c r="L71" s="91"/>
      <c r="M71" s="156"/>
      <c r="N71" s="157"/>
      <c r="O71" s="154"/>
    </row>
    <row r="72" spans="1:19" x14ac:dyDescent="0.25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4" t="s">
        <v>236</v>
      </c>
      <c r="I72" s="156">
        <f t="shared" si="14"/>
        <v>0.10104666417688928</v>
      </c>
      <c r="J72" s="155"/>
      <c r="K72" s="156">
        <f t="shared" si="13"/>
        <v>0.32584650581403402</v>
      </c>
      <c r="L72" s="91"/>
      <c r="M72" s="156"/>
      <c r="N72" s="157"/>
      <c r="O72" s="154"/>
    </row>
    <row r="73" spans="1:19" x14ac:dyDescent="0.25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4" t="s">
        <v>237</v>
      </c>
      <c r="I73" s="156">
        <f t="shared" si="14"/>
        <v>1.244392863393122E-2</v>
      </c>
      <c r="J73" s="155"/>
      <c r="K73" s="156">
        <f t="shared" si="13"/>
        <v>0.31080720098455444</v>
      </c>
      <c r="L73" s="91" t="s">
        <v>291</v>
      </c>
      <c r="M73" s="156">
        <f>(SUM($B65:$B73)-SUM(D65:D73))/SUM(D65:D73)</f>
        <v>9.7009624239578596E-2</v>
      </c>
      <c r="N73" s="157"/>
      <c r="O73" s="156">
        <f>(SUM($B65:$B73)-SUM(F65:F73))/SUM(F65:F73)</f>
        <v>0.39279782564272764</v>
      </c>
    </row>
    <row r="74" spans="1:19" x14ac:dyDescent="0.25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4" t="s">
        <v>238</v>
      </c>
      <c r="I74" s="156">
        <f t="shared" si="14"/>
        <v>6.944760388231716E-2</v>
      </c>
      <c r="J74" s="155"/>
      <c r="K74" s="156">
        <f t="shared" si="13"/>
        <v>0.34767029370662778</v>
      </c>
      <c r="L74" s="91"/>
      <c r="M74" s="156"/>
      <c r="N74" s="157"/>
      <c r="O74" s="154"/>
    </row>
    <row r="75" spans="1:19" x14ac:dyDescent="0.25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4" t="s">
        <v>239</v>
      </c>
      <c r="I75" s="156">
        <f t="shared" si="14"/>
        <v>0.27499356499356509</v>
      </c>
      <c r="J75" s="155"/>
      <c r="K75" s="156">
        <f t="shared" si="13"/>
        <v>0.52645608628659524</v>
      </c>
      <c r="L75" s="91"/>
      <c r="M75" s="156"/>
      <c r="N75" s="157"/>
      <c r="O75" s="154"/>
    </row>
    <row r="76" spans="1:19" ht="13.8" thickBot="1" x14ac:dyDescent="0.3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5" t="s">
        <v>240</v>
      </c>
      <c r="I76" s="159">
        <f t="shared" si="14"/>
        <v>2.6021755201182745E-2</v>
      </c>
      <c r="J76" s="158"/>
      <c r="K76" s="159">
        <f t="shared" si="13"/>
        <v>0.31922775057505898</v>
      </c>
      <c r="L76" s="91" t="s">
        <v>292</v>
      </c>
      <c r="M76" s="156">
        <f>(SUM($B65:$B76)-SUM(D65:D76))/SUM(D65:D76)</f>
        <v>0.10081277252783587</v>
      </c>
      <c r="N76" s="157"/>
      <c r="O76" s="156">
        <f>(SUM($B65:$B76)-SUM(F65:F76))/SUM(F65:F76)</f>
        <v>0.3922001689102132</v>
      </c>
    </row>
    <row r="77" spans="1:19" x14ac:dyDescent="0.25">
      <c r="A77" s="87">
        <v>45658</v>
      </c>
      <c r="B77" s="90">
        <f>'JP1'!L472</f>
        <v>3640.6368000000002</v>
      </c>
      <c r="C77" s="132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3" t="s">
        <v>229</v>
      </c>
      <c r="I77" s="168">
        <f t="shared" si="14"/>
        <v>0.39135523340869799</v>
      </c>
      <c r="J77" s="151"/>
      <c r="K77" s="152">
        <f t="shared" si="13"/>
        <v>0.79740841663259088</v>
      </c>
      <c r="L77" s="87"/>
      <c r="M77" s="152"/>
      <c r="N77" s="153"/>
      <c r="O77" s="161"/>
    </row>
    <row r="78" spans="1:19" x14ac:dyDescent="0.25">
      <c r="A78" s="91">
        <v>45689</v>
      </c>
      <c r="B78" s="93">
        <f>'JP1'!L473</f>
        <v>2369.6712000000002</v>
      </c>
      <c r="C78" s="133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4" t="s">
        <v>230</v>
      </c>
      <c r="I78" s="160">
        <f t="shared" si="14"/>
        <v>-7.731707317073154E-2</v>
      </c>
      <c r="J78" s="155"/>
      <c r="K78" s="156">
        <f t="shared" si="13"/>
        <v>0.16832179206500641</v>
      </c>
      <c r="L78" s="91"/>
      <c r="M78" s="156"/>
      <c r="N78" s="157"/>
      <c r="O78" s="154"/>
    </row>
    <row r="79" spans="1:19" x14ac:dyDescent="0.25">
      <c r="A79" s="91">
        <v>45717</v>
      </c>
      <c r="B79" s="93">
        <f>'JP1'!L474</f>
        <v>3324.4788000000003</v>
      </c>
      <c r="C79" s="133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4" t="s">
        <v>231</v>
      </c>
      <c r="I79" s="160">
        <f t="shared" si="14"/>
        <v>0.11405114809156745</v>
      </c>
      <c r="J79" s="155"/>
      <c r="K79" s="156">
        <f t="shared" si="13"/>
        <v>0.58862481375053244</v>
      </c>
      <c r="L79" s="91" t="s">
        <v>289</v>
      </c>
      <c r="M79" s="156">
        <f>(SUM($B77:$B79)-SUM(D77:D79))/SUM(D77:D79)</f>
        <v>0.14271047665299214</v>
      </c>
      <c r="N79" s="157"/>
      <c r="O79" s="156">
        <f>(SUM($B77:$B79)-SUM(F77:F79))/SUM(F77:F79)</f>
        <v>0.51873098337804302</v>
      </c>
    </row>
    <row r="80" spans="1:19" x14ac:dyDescent="0.25">
      <c r="A80" s="91">
        <v>45748</v>
      </c>
      <c r="B80" s="93">
        <f>'JP1'!L475</f>
        <v>3560.2836000000002</v>
      </c>
      <c r="C80" s="133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4" t="s">
        <v>232</v>
      </c>
      <c r="I80" s="160">
        <f t="shared" si="14"/>
        <v>7.0156903765690407E-2</v>
      </c>
      <c r="J80" s="155"/>
      <c r="K80" s="156">
        <f t="shared" si="13"/>
        <v>0.60266873866224713</v>
      </c>
      <c r="L80" s="91"/>
      <c r="M80" s="156"/>
      <c r="N80" s="157"/>
      <c r="O80" s="154"/>
    </row>
    <row r="81" spans="1:15" x14ac:dyDescent="0.25">
      <c r="A81" s="91">
        <v>45778</v>
      </c>
      <c r="B81" s="93">
        <f>'JP1'!L476</f>
        <v>3800.0208000000002</v>
      </c>
      <c r="C81" s="133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4" t="s">
        <v>233</v>
      </c>
      <c r="I81" s="160">
        <f t="shared" si="14"/>
        <v>-6.9079872803689782E-2</v>
      </c>
      <c r="J81" s="155"/>
      <c r="K81" s="156">
        <f t="shared" si="13"/>
        <v>0.59088326393603596</v>
      </c>
      <c r="L81" s="91"/>
      <c r="M81" s="156"/>
      <c r="N81" s="157"/>
      <c r="O81" s="154"/>
    </row>
    <row r="82" spans="1:15" x14ac:dyDescent="0.25">
      <c r="A82" s="91">
        <v>45809</v>
      </c>
      <c r="B82" s="93">
        <f>'JP1'!L477</f>
        <v>4303.6116000000002</v>
      </c>
      <c r="C82" s="133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4" t="s">
        <v>234</v>
      </c>
      <c r="I82" s="160">
        <f t="shared" si="14"/>
        <v>0.13844496814817539</v>
      </c>
      <c r="J82" s="155"/>
      <c r="K82" s="156">
        <f t="shared" si="13"/>
        <v>0.70731067540291959</v>
      </c>
      <c r="L82" s="91" t="s">
        <v>290</v>
      </c>
      <c r="M82" s="156">
        <f>(SUM($B77:$B82)-SUM(D77:D82))/SUM(D77:D82)</f>
        <v>8.4748718243724333E-2</v>
      </c>
      <c r="N82" s="157"/>
      <c r="O82" s="156">
        <f>(SUM($B77:$B82)-SUM(F77:F82))/SUM(F77:F82)</f>
        <v>0.58155749907739795</v>
      </c>
    </row>
    <row r="83" spans="1:15" x14ac:dyDescent="0.25">
      <c r="A83" s="91">
        <v>45839</v>
      </c>
      <c r="B83" s="93">
        <f>'JP1'!L478</f>
        <v>4424.9592000000002</v>
      </c>
      <c r="C83" s="133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4" t="s">
        <v>235</v>
      </c>
      <c r="I83" s="160">
        <f t="shared" si="14"/>
        <v>1.4391703230953318E-2</v>
      </c>
      <c r="J83" s="155"/>
      <c r="K83" s="156">
        <f t="shared" si="13"/>
        <v>0.46314801091774405</v>
      </c>
      <c r="L83" s="91"/>
      <c r="M83" s="156"/>
      <c r="N83" s="157"/>
      <c r="O83" s="154"/>
    </row>
    <row r="84" spans="1:15" x14ac:dyDescent="0.25">
      <c r="A84" s="91">
        <v>45870</v>
      </c>
      <c r="B84" s="93">
        <f>'JP1'!L479</f>
        <v>4208.2248</v>
      </c>
      <c r="C84" s="133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4" t="s">
        <v>236</v>
      </c>
      <c r="I84" s="160">
        <f t="shared" si="14"/>
        <v>5.172248845441324E-2</v>
      </c>
      <c r="J84" s="155"/>
      <c r="K84" s="156">
        <f t="shared" si="13"/>
        <v>0.44609578294810948</v>
      </c>
      <c r="L84" s="91"/>
      <c r="M84" s="156"/>
      <c r="N84" s="157"/>
      <c r="O84" s="154"/>
    </row>
    <row r="85" spans="1:15" x14ac:dyDescent="0.25">
      <c r="A85" s="91">
        <v>45901</v>
      </c>
      <c r="B85" s="93">
        <f>'JP1'!L480</f>
        <v>4264.5659999999998</v>
      </c>
      <c r="C85" s="133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4" t="s">
        <v>237</v>
      </c>
      <c r="I85" s="160">
        <f t="shared" si="14"/>
        <v>0.11487654433304806</v>
      </c>
      <c r="J85" s="155"/>
      <c r="K85" s="156">
        <f t="shared" si="13"/>
        <v>0.46735525216071039</v>
      </c>
      <c r="L85" s="91" t="s">
        <v>291</v>
      </c>
      <c r="M85" s="156">
        <f>(SUM($B77:$B85)-SUM(D77:D85))/SUM(D77:D85)</f>
        <v>7.4484150841409164E-2</v>
      </c>
      <c r="N85" s="157"/>
      <c r="O85" s="156">
        <f>(SUM($B77:$B85)-SUM(F77:F85))/SUM(F77:F85)</f>
        <v>0.53253784866700893</v>
      </c>
    </row>
    <row r="86" spans="1:15" x14ac:dyDescent="0.25">
      <c r="A86" s="91">
        <v>45931</v>
      </c>
      <c r="B86" s="93">
        <f>'JP1'!L481</f>
        <v>4266.4452000000001</v>
      </c>
      <c r="C86" s="133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4" t="s">
        <v>238</v>
      </c>
      <c r="I86" s="160">
        <f t="shared" ref="I86" si="16">($B86-D86)/D86</f>
        <v>8.6571952743483574E-2</v>
      </c>
      <c r="J86" s="155"/>
      <c r="K86" s="156">
        <f t="shared" ref="K86" si="17">($B86-F86)/F86</f>
        <v>0.4947488289413044</v>
      </c>
      <c r="L86" s="91"/>
      <c r="M86" s="156"/>
      <c r="N86" s="157"/>
      <c r="O86" s="154"/>
    </row>
    <row r="87" spans="1:15" x14ac:dyDescent="0.25">
      <c r="A87" s="91">
        <v>45962</v>
      </c>
      <c r="B87" s="93">
        <f>'JP1'!L482</f>
        <v>3618.6084000000005</v>
      </c>
      <c r="C87" s="133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4" t="s">
        <v>239</v>
      </c>
      <c r="I87" s="160">
        <f t="shared" ref="I87" si="18">($B87-D87)/D87</f>
        <v>4.9622982426034981E-2</v>
      </c>
      <c r="J87" s="155"/>
      <c r="K87" s="156">
        <f t="shared" ref="K87" si="19">($B87-F87)/F87</f>
        <v>0.55810120323059165</v>
      </c>
      <c r="L87" s="91"/>
      <c r="M87" s="156"/>
      <c r="N87" s="157"/>
      <c r="O87" s="154"/>
    </row>
    <row r="88" spans="1:15" ht="13.8" thickBot="1" x14ac:dyDescent="0.3">
      <c r="A88" s="95">
        <v>45992</v>
      </c>
      <c r="B88" s="93">
        <f>'JP1'!L483</f>
        <v>3245.3436000000002</v>
      </c>
      <c r="C88" s="134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5" t="s">
        <v>240</v>
      </c>
      <c r="I88" s="169">
        <f t="shared" ref="I88" si="20">($B88-D88)/D88</f>
        <v>-4.0111575436935068E-2</v>
      </c>
      <c r="J88" s="158"/>
      <c r="K88" s="159">
        <f t="shared" ref="K88" si="21">($B88-F88)/F88</f>
        <v>0.27149448355975381</v>
      </c>
      <c r="L88" s="95" t="s">
        <v>292</v>
      </c>
      <c r="M88" s="159">
        <f>(SUM($B77:$B88)-SUM(D77:D88))/SUM(D77:D88)</f>
        <v>6.4420965689262685E-2</v>
      </c>
      <c r="N88" s="162"/>
      <c r="O88" s="159">
        <f>(SUM($B77:$B88)-SUM(F77:F88))/SUM(F77:F88)</f>
        <v>0.50858988251683235</v>
      </c>
    </row>
    <row r="98" spans="8:10" x14ac:dyDescent="0.25">
      <c r="I98" s="10"/>
    </row>
    <row r="99" spans="8:10" x14ac:dyDescent="0.25">
      <c r="I99" s="10"/>
      <c r="J99" s="99"/>
    </row>
    <row r="100" spans="8:10" x14ac:dyDescent="0.25">
      <c r="H100" s="57"/>
      <c r="I100" s="10"/>
      <c r="J100" s="99"/>
    </row>
    <row r="101" spans="8:10" x14ac:dyDescent="0.25">
      <c r="H101" s="10"/>
    </row>
    <row r="102" spans="8:10" x14ac:dyDescent="0.25">
      <c r="H102" s="10"/>
      <c r="I102" s="52"/>
    </row>
    <row r="103" spans="8:10" x14ac:dyDescent="0.25">
      <c r="H103" s="10"/>
      <c r="I103" s="52"/>
    </row>
    <row r="104" spans="8:10" x14ac:dyDescent="0.25">
      <c r="H104" s="10"/>
      <c r="I104" s="10"/>
    </row>
    <row r="105" spans="8:10" x14ac:dyDescent="0.25">
      <c r="I105" s="10"/>
      <c r="J105" s="99"/>
    </row>
    <row r="106" spans="8:10" x14ac:dyDescent="0.25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83"/>
  <sheetViews>
    <sheetView zoomScale="80" zoomScaleNormal="80" workbookViewId="0">
      <pane xSplit="2" ySplit="5" topLeftCell="C451" activePane="bottomRight" state="frozen"/>
      <selection pane="topRight" activeCell="C1" sqref="C1"/>
      <selection pane="bottomLeft" activeCell="A6" sqref="A6"/>
      <selection pane="bottomRight" activeCell="M486" sqref="M486"/>
    </sheetView>
  </sheetViews>
  <sheetFormatPr defaultColWidth="8.88671875" defaultRowHeight="13.2" x14ac:dyDescent="0.25"/>
  <cols>
    <col min="1" max="1" width="20.5546875" style="57" customWidth="1"/>
    <col min="2" max="2" width="9.5546875" style="57" customWidth="1"/>
    <col min="3" max="3" width="15.44140625" style="65" customWidth="1"/>
    <col min="4" max="5" width="12.44140625" style="65" customWidth="1"/>
    <col min="6" max="6" width="14.88671875" style="65" bestFit="1" customWidth="1"/>
    <col min="7" max="7" width="14" style="65" customWidth="1"/>
    <col min="8" max="8" width="20.5546875" style="65" customWidth="1"/>
    <col min="9" max="9" width="20.44140625" style="65" customWidth="1"/>
    <col min="10" max="10" width="5" style="57" customWidth="1"/>
    <col min="11" max="11" width="3.44140625" style="57" customWidth="1"/>
    <col min="12" max="12" width="17.88671875" style="57" bestFit="1" customWidth="1"/>
    <col min="13" max="13" width="8.88671875" style="57"/>
    <col min="14" max="14" width="25.5546875" style="57" bestFit="1" customWidth="1"/>
    <col min="15" max="15" width="13.44140625" style="57" bestFit="1" customWidth="1"/>
    <col min="16" max="16" width="10.44140625" style="57" customWidth="1"/>
    <col min="17" max="27" width="8.88671875" style="57"/>
    <col min="28" max="30" width="9.88671875" style="57" bestFit="1" customWidth="1"/>
    <col min="31" max="36" width="8.88671875" style="57"/>
    <col min="37" max="37" width="2" style="57" bestFit="1" customWidth="1"/>
    <col min="38" max="38" width="9.44140625" style="57" bestFit="1" customWidth="1"/>
    <col min="39" max="39" width="10.5546875" style="57" bestFit="1" customWidth="1"/>
    <col min="40" max="40" width="2" style="57" bestFit="1" customWidth="1"/>
    <col min="41" max="42" width="9.44140625" style="57" bestFit="1" customWidth="1"/>
    <col min="43" max="43" width="9.88671875" style="57" bestFit="1" customWidth="1"/>
    <col min="44" max="16384" width="8.88671875" style="57"/>
  </cols>
  <sheetData>
    <row r="1" spans="1:27" x14ac:dyDescent="0.25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5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8" thickBot="1" x14ac:dyDescent="0.3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8" thickBot="1" x14ac:dyDescent="0.3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5">
      <c r="A6" s="21"/>
      <c r="C6" s="64"/>
      <c r="D6" s="64"/>
      <c r="E6" s="64"/>
      <c r="F6" s="64"/>
      <c r="G6" s="64"/>
      <c r="H6" s="64"/>
      <c r="I6" s="64"/>
    </row>
    <row r="7" spans="1:27" x14ac:dyDescent="0.25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5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5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5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5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5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5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5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5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5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5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5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5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5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5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5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5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5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5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5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5">
      <c r="A27" s="22">
        <v>2025</v>
      </c>
      <c r="C27" s="3">
        <f>SUM(C472:C483)</f>
        <v>3529943</v>
      </c>
      <c r="D27" s="3">
        <f t="shared" ref="D27:L27" si="11">SUM(D472:D483)</f>
        <v>5250545</v>
      </c>
      <c r="E27" s="3">
        <f t="shared" si="11"/>
        <v>951126</v>
      </c>
      <c r="F27" s="3">
        <f t="shared" si="11"/>
        <v>0</v>
      </c>
      <c r="G27" s="3">
        <f t="shared" si="11"/>
        <v>-203859</v>
      </c>
      <c r="H27" s="3">
        <f t="shared" si="11"/>
        <v>7367530</v>
      </c>
      <c r="I27" s="3">
        <f>I483</f>
        <v>534335</v>
      </c>
      <c r="J27" s="3"/>
      <c r="K27" s="3"/>
      <c r="L27" s="3">
        <f t="shared" si="11"/>
        <v>151787.549</v>
      </c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5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5">
      <c r="A29" s="22" t="str">
        <f>'Olieforbrug, TJ'!A29</f>
        <v>Januar - December</v>
      </c>
      <c r="J29" s="65"/>
      <c r="K29" s="65"/>
      <c r="L29" s="65"/>
      <c r="M29" s="65"/>
      <c r="N29" s="22" t="str">
        <f>'Olieforbrug, TJ'!M29</f>
        <v>January - December</v>
      </c>
      <c r="P29" s="65"/>
    </row>
    <row r="30" spans="1:44" x14ac:dyDescent="0.25">
      <c r="A30" s="22">
        <f>'Olieforbrug, TJ'!A30</f>
        <v>2005</v>
      </c>
      <c r="C30" s="3">
        <f t="shared" ref="C30:H30" si="12">SUM(C212:C223)</f>
        <v>18516830</v>
      </c>
      <c r="D30" s="3">
        <f t="shared" si="12"/>
        <v>2719575</v>
      </c>
      <c r="E30" s="3">
        <f t="shared" si="12"/>
        <v>13626503</v>
      </c>
      <c r="F30" s="3">
        <f t="shared" si="12"/>
        <v>0</v>
      </c>
      <c r="G30" s="3">
        <f t="shared" si="12"/>
        <v>110620</v>
      </c>
      <c r="H30" s="3">
        <f t="shared" si="12"/>
        <v>7725136</v>
      </c>
      <c r="I30" s="3">
        <f>I223</f>
        <v>483792</v>
      </c>
      <c r="J30" s="3"/>
      <c r="K30" s="3"/>
      <c r="L30" s="3">
        <f>SUM(L212:L223)</f>
        <v>796223.69000000006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5">
      <c r="A31" s="22">
        <f>'Olieforbrug, TJ'!A31</f>
        <v>2006</v>
      </c>
      <c r="C31" s="3">
        <f t="shared" ref="C31:H31" si="13">SUM(C225:C236)</f>
        <v>16838660</v>
      </c>
      <c r="D31" s="3">
        <f t="shared" si="13"/>
        <v>2708392</v>
      </c>
      <c r="E31" s="3">
        <f t="shared" si="13"/>
        <v>11569278</v>
      </c>
      <c r="F31" s="3">
        <f t="shared" si="13"/>
        <v>0</v>
      </c>
      <c r="G31" s="3">
        <f t="shared" si="13"/>
        <v>9194</v>
      </c>
      <c r="H31" s="3">
        <f t="shared" si="13"/>
        <v>7931105</v>
      </c>
      <c r="I31" s="3">
        <f>I236</f>
        <v>474598</v>
      </c>
      <c r="J31" s="3"/>
      <c r="K31" s="3"/>
      <c r="L31" s="3">
        <f>SUM(L225:L236)</f>
        <v>724062.38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5">
      <c r="A32" s="22">
        <f>'Olieforbrug, TJ'!A32</f>
        <v>2007</v>
      </c>
      <c r="C32" s="3">
        <f t="shared" ref="C32:H32" si="14">SUM(C238:C249)</f>
        <v>15168849</v>
      </c>
      <c r="D32" s="3">
        <f t="shared" si="14"/>
        <v>2032112</v>
      </c>
      <c r="E32" s="3">
        <f t="shared" si="14"/>
        <v>9402670</v>
      </c>
      <c r="F32" s="3">
        <f t="shared" si="14"/>
        <v>0</v>
      </c>
      <c r="G32" s="3">
        <f t="shared" si="14"/>
        <v>-40514</v>
      </c>
      <c r="H32" s="3">
        <f t="shared" si="14"/>
        <v>7798176</v>
      </c>
      <c r="I32" s="3">
        <f>I249</f>
        <v>515112</v>
      </c>
      <c r="J32" s="3"/>
      <c r="K32" s="3"/>
      <c r="L32" s="3">
        <f>SUM(L238:L249)</f>
        <v>652260.50699999998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5">
      <c r="A33" s="22">
        <f>'Olieforbrug, TJ'!A33</f>
        <v>2008</v>
      </c>
      <c r="C33" s="3">
        <f t="shared" ref="C33:H33" si="15">SUM(C251:C262)</f>
        <v>14035467</v>
      </c>
      <c r="D33" s="3">
        <f t="shared" si="15"/>
        <v>2363988</v>
      </c>
      <c r="E33" s="3">
        <f t="shared" si="15"/>
        <v>8656403</v>
      </c>
      <c r="F33" s="3">
        <f t="shared" si="15"/>
        <v>0</v>
      </c>
      <c r="G33" s="3">
        <f t="shared" si="15"/>
        <v>8544</v>
      </c>
      <c r="H33" s="3">
        <f t="shared" si="15"/>
        <v>7782310</v>
      </c>
      <c r="I33" s="3">
        <f>I262</f>
        <v>506568</v>
      </c>
      <c r="J33" s="3"/>
      <c r="K33" s="3"/>
      <c r="L33" s="3">
        <f>SUM(L251:L262)</f>
        <v>603525.08099999989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5">
      <c r="A34" s="22">
        <f>'Olieforbrug, TJ'!A34</f>
        <v>2009</v>
      </c>
      <c r="C34" s="3">
        <f t="shared" ref="C34:H34" si="16">SUM(C264:C275)</f>
        <v>12902931</v>
      </c>
      <c r="D34" s="3">
        <f t="shared" si="16"/>
        <v>3510987</v>
      </c>
      <c r="E34" s="3">
        <f t="shared" si="16"/>
        <v>8556283</v>
      </c>
      <c r="F34" s="3">
        <f t="shared" si="16"/>
        <v>0</v>
      </c>
      <c r="G34" s="3">
        <f t="shared" si="16"/>
        <v>-88513</v>
      </c>
      <c r="H34" s="3">
        <f t="shared" si="16"/>
        <v>7805460</v>
      </c>
      <c r="I34" s="3">
        <f>I275</f>
        <v>595081</v>
      </c>
      <c r="J34" s="3"/>
      <c r="K34" s="3"/>
      <c r="L34" s="3">
        <f>SUM(L264:L275)</f>
        <v>554826.03300000005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5">
      <c r="A35" s="22">
        <f>'Olieforbrug, TJ'!A35</f>
        <v>2010</v>
      </c>
      <c r="C35" s="3">
        <f t="shared" ref="C35:H35" si="17">SUM(C277:C288)</f>
        <v>12156576</v>
      </c>
      <c r="D35" s="3">
        <f t="shared" si="17"/>
        <v>2712017</v>
      </c>
      <c r="E35" s="3">
        <f t="shared" si="17"/>
        <v>7702495</v>
      </c>
      <c r="F35" s="3">
        <f t="shared" si="17"/>
        <v>0</v>
      </c>
      <c r="G35" s="3">
        <f t="shared" si="17"/>
        <v>80812</v>
      </c>
      <c r="H35" s="3">
        <f t="shared" si="17"/>
        <v>7246237</v>
      </c>
      <c r="I35" s="3">
        <f>I288</f>
        <v>514269</v>
      </c>
      <c r="J35" s="3"/>
      <c r="K35" s="3"/>
      <c r="L35" s="3">
        <f>SUM(L277:L288)</f>
        <v>522732.76800000004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5">
      <c r="A36" s="22">
        <f>'Olieforbrug, TJ'!A36</f>
        <v>2011</v>
      </c>
      <c r="C36" s="3">
        <f t="shared" ref="C36:H36" si="18">SUM(C290:C301)</f>
        <v>10940620</v>
      </c>
      <c r="D36" s="3">
        <f t="shared" si="18"/>
        <v>3020020</v>
      </c>
      <c r="E36" s="3">
        <f t="shared" si="18"/>
        <v>7274416</v>
      </c>
      <c r="F36" s="3">
        <f t="shared" si="18"/>
        <v>0</v>
      </c>
      <c r="G36" s="3">
        <f t="shared" si="18"/>
        <v>34203</v>
      </c>
      <c r="H36" s="3">
        <f t="shared" si="18"/>
        <v>6811309</v>
      </c>
      <c r="I36" s="3">
        <f>I301</f>
        <v>480066</v>
      </c>
      <c r="J36" s="3"/>
      <c r="K36" s="3"/>
      <c r="L36" s="3">
        <f>SUM(L290:L301)</f>
        <v>470446.66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5">
      <c r="A37" s="22">
        <f>'Olieforbrug, TJ'!A37</f>
        <v>2012</v>
      </c>
      <c r="C37" s="3">
        <f t="shared" ref="C37:H37" si="19">SUM(C303:C314)</f>
        <v>9979991</v>
      </c>
      <c r="D37" s="3">
        <f t="shared" si="19"/>
        <v>3717678</v>
      </c>
      <c r="E37" s="3">
        <f t="shared" si="19"/>
        <v>6059116</v>
      </c>
      <c r="F37" s="3">
        <f t="shared" si="19"/>
        <v>0</v>
      </c>
      <c r="G37" s="3">
        <f t="shared" si="19"/>
        <v>-206727</v>
      </c>
      <c r="H37" s="3">
        <f t="shared" si="19"/>
        <v>7627594</v>
      </c>
      <c r="I37" s="3">
        <f>I314</f>
        <v>686793</v>
      </c>
      <c r="J37" s="3"/>
      <c r="K37" s="3"/>
      <c r="L37" s="3">
        <f>SUM(L303:L314)</f>
        <v>429139.61300000001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5">
      <c r="A38" s="22">
        <f>'Olieforbrug, TJ'!A38</f>
        <v>2013</v>
      </c>
      <c r="C38" s="3">
        <f t="shared" ref="C38:H38" si="20">SUM(C316:C327)</f>
        <v>8682906</v>
      </c>
      <c r="D38" s="3">
        <f t="shared" si="20"/>
        <v>4669608</v>
      </c>
      <c r="E38" s="3">
        <f t="shared" si="20"/>
        <v>6164533</v>
      </c>
      <c r="F38" s="3">
        <f t="shared" si="20"/>
        <v>0</v>
      </c>
      <c r="G38" s="3">
        <f t="shared" si="20"/>
        <v>110940</v>
      </c>
      <c r="H38" s="3">
        <f t="shared" si="20"/>
        <v>7173295</v>
      </c>
      <c r="I38" s="3">
        <f>I327</f>
        <v>575853</v>
      </c>
      <c r="J38" s="3"/>
      <c r="K38" s="3"/>
      <c r="L38" s="3">
        <f>SUM(L316:L327)</f>
        <v>373364.95799999993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5">
      <c r="A39" s="22">
        <f>'Olieforbrug, TJ'!A39</f>
        <v>2014</v>
      </c>
      <c r="C39" s="3">
        <f t="shared" ref="C39:H39" si="21">SUM(C329:C340)</f>
        <v>8130409</v>
      </c>
      <c r="D39" s="3">
        <f t="shared" si="21"/>
        <v>3457460</v>
      </c>
      <c r="E39" s="3">
        <f t="shared" si="21"/>
        <v>4800103</v>
      </c>
      <c r="F39" s="3">
        <f t="shared" si="21"/>
        <v>0</v>
      </c>
      <c r="G39" s="3">
        <f t="shared" si="21"/>
        <v>121108</v>
      </c>
      <c r="H39" s="3">
        <f t="shared" si="21"/>
        <v>6909661</v>
      </c>
      <c r="I39" s="3">
        <f>I340</f>
        <v>454745</v>
      </c>
      <c r="J39" s="3"/>
      <c r="K39" s="3"/>
      <c r="L39" s="3">
        <f>SUM(L329:L340)</f>
        <v>349607.587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5">
      <c r="A40" s="22">
        <f>'Olieforbrug, TJ'!A40</f>
        <v>2015</v>
      </c>
      <c r="C40" s="3">
        <f t="shared" ref="C40:H40" si="22">SUM(C342:C353)</f>
        <v>7689812</v>
      </c>
      <c r="D40" s="3">
        <f t="shared" si="22"/>
        <v>4164265</v>
      </c>
      <c r="E40" s="3">
        <f t="shared" si="22"/>
        <v>4523392</v>
      </c>
      <c r="F40" s="3">
        <f t="shared" si="22"/>
        <v>0</v>
      </c>
      <c r="G40" s="3">
        <f t="shared" si="22"/>
        <v>-74730</v>
      </c>
      <c r="H40" s="3">
        <f t="shared" si="22"/>
        <v>7336387</v>
      </c>
      <c r="I40" s="3">
        <f>I353</f>
        <v>529475</v>
      </c>
      <c r="J40" s="3"/>
      <c r="K40" s="3"/>
      <c r="L40" s="3">
        <f>SUM(L342:L353)</f>
        <v>330661.91599999997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5">
      <c r="A41" s="22">
        <f>'Olieforbrug, TJ'!A41</f>
        <v>2016</v>
      </c>
      <c r="C41" s="3">
        <f t="shared" ref="C41:H41" si="23">SUM(C355:C366)</f>
        <v>6924374</v>
      </c>
      <c r="D41" s="3">
        <f t="shared" si="23"/>
        <v>3834729</v>
      </c>
      <c r="E41" s="3">
        <f t="shared" si="23"/>
        <v>3877069</v>
      </c>
      <c r="F41" s="3">
        <f t="shared" si="23"/>
        <v>0</v>
      </c>
      <c r="G41" s="3">
        <f t="shared" si="23"/>
        <v>26557</v>
      </c>
      <c r="H41" s="3">
        <f t="shared" si="23"/>
        <v>6994358</v>
      </c>
      <c r="I41" s="3">
        <f>I366</f>
        <v>502918</v>
      </c>
      <c r="J41" s="3"/>
      <c r="K41" s="3"/>
      <c r="L41" s="3">
        <f>SUM(L355:L366)</f>
        <v>297748.08199999999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5">
      <c r="A42" s="22">
        <f>'Olieforbrug, TJ'!A42</f>
        <v>2017</v>
      </c>
      <c r="C42" s="3">
        <f t="shared" ref="C42:H42" si="24">SUM(C368:C379)</f>
        <v>6736967</v>
      </c>
      <c r="D42" s="3">
        <f t="shared" si="24"/>
        <v>4790769</v>
      </c>
      <c r="E42" s="3">
        <f t="shared" si="24"/>
        <v>4097639</v>
      </c>
      <c r="F42" s="3">
        <f t="shared" si="24"/>
        <v>0</v>
      </c>
      <c r="G42" s="3">
        <f t="shared" si="24"/>
        <v>32070</v>
      </c>
      <c r="H42" s="3">
        <f t="shared" si="24"/>
        <v>7509573</v>
      </c>
      <c r="I42" s="3">
        <f>I379</f>
        <v>470848</v>
      </c>
      <c r="J42" s="3"/>
      <c r="K42" s="3"/>
      <c r="L42" s="3">
        <f>SUM(L368:L379)</f>
        <v>289689.58100000001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5">
      <c r="A43" s="22">
        <f>'Olieforbrug, TJ'!A43</f>
        <v>2018</v>
      </c>
      <c r="C43" s="3">
        <f t="shared" ref="C43:H43" si="25">SUM(C381:C392)</f>
        <v>5646862</v>
      </c>
      <c r="D43" s="3">
        <f t="shared" si="25"/>
        <v>4862285</v>
      </c>
      <c r="E43" s="3">
        <f t="shared" si="25"/>
        <v>2838745</v>
      </c>
      <c r="F43" s="3">
        <f t="shared" si="25"/>
        <v>0</v>
      </c>
      <c r="G43" s="3">
        <f t="shared" si="25"/>
        <v>-25352</v>
      </c>
      <c r="H43" s="3">
        <f t="shared" si="25"/>
        <v>7552860</v>
      </c>
      <c r="I43" s="3">
        <f>I392</f>
        <v>496200</v>
      </c>
      <c r="J43" s="3"/>
      <c r="K43" s="3"/>
      <c r="L43" s="3">
        <f>SUM(L381:L392)</f>
        <v>242815.06599999999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5">
      <c r="A44" s="22">
        <f>'Olieforbrug, TJ'!A44</f>
        <v>2019</v>
      </c>
      <c r="C44" s="3">
        <f t="shared" ref="C44:H44" si="26">SUM(C394:C405)</f>
        <v>5017234</v>
      </c>
      <c r="D44" s="3">
        <f t="shared" si="26"/>
        <v>5037160</v>
      </c>
      <c r="E44" s="3">
        <f t="shared" si="26"/>
        <v>2301452</v>
      </c>
      <c r="F44" s="3">
        <f t="shared" si="26"/>
        <v>0</v>
      </c>
      <c r="G44" s="3">
        <f t="shared" si="26"/>
        <v>-151053</v>
      </c>
      <c r="H44" s="3">
        <f t="shared" si="26"/>
        <v>7644422</v>
      </c>
      <c r="I44" s="3">
        <f>I405</f>
        <v>647253</v>
      </c>
      <c r="J44" s="3"/>
      <c r="K44" s="3"/>
      <c r="L44" s="3">
        <f>SUM(L394:L405)</f>
        <v>215741.06200000001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5">
      <c r="A45" s="22">
        <f>'Olieforbrug, TJ'!A45</f>
        <v>2020</v>
      </c>
      <c r="C45" s="3">
        <f t="shared" ref="C45:H45" si="27">SUM(C407:C418)</f>
        <v>3520207</v>
      </c>
      <c r="D45" s="3">
        <f t="shared" si="27"/>
        <v>4668226</v>
      </c>
      <c r="E45" s="3">
        <f t="shared" si="27"/>
        <v>1089145</v>
      </c>
      <c r="F45" s="3">
        <f t="shared" si="27"/>
        <v>0</v>
      </c>
      <c r="G45" s="3">
        <f t="shared" si="27"/>
        <v>-34190</v>
      </c>
      <c r="H45" s="3">
        <f t="shared" si="27"/>
        <v>7104972</v>
      </c>
      <c r="I45" s="3">
        <f>I418</f>
        <v>681443</v>
      </c>
      <c r="J45" s="3"/>
      <c r="K45" s="3"/>
      <c r="L45" s="3">
        <f>SUM(L407:L418)</f>
        <v>151368.90100000001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5">
      <c r="A46" s="22">
        <f>'Olieforbrug, TJ'!A46</f>
        <v>2021</v>
      </c>
      <c r="C46" s="3">
        <f t="shared" ref="C46:H46" si="28">SUM(C420:C431)</f>
        <v>3236752</v>
      </c>
      <c r="D46" s="3">
        <f t="shared" si="28"/>
        <v>5184400</v>
      </c>
      <c r="E46" s="3">
        <f t="shared" si="28"/>
        <v>853816</v>
      </c>
      <c r="F46" s="3">
        <f t="shared" si="28"/>
        <v>0</v>
      </c>
      <c r="G46" s="3">
        <f t="shared" si="28"/>
        <v>68212</v>
      </c>
      <c r="H46" s="3">
        <f t="shared" si="28"/>
        <v>7492128</v>
      </c>
      <c r="I46" s="3">
        <f>I431</f>
        <v>613231</v>
      </c>
      <c r="J46" s="3"/>
      <c r="K46" s="3"/>
      <c r="L46" s="3">
        <f>SUM(L420:L431)</f>
        <v>139180.33599999998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5">
      <c r="A47" s="22">
        <f>'Olieforbrug, TJ'!A47</f>
        <v>2022</v>
      </c>
      <c r="C47" s="3">
        <f t="shared" ref="C47:H47" si="29">SUM(C433:C444)</f>
        <v>3184860</v>
      </c>
      <c r="D47" s="3">
        <f t="shared" si="29"/>
        <v>4457624</v>
      </c>
      <c r="E47" s="3">
        <f t="shared" si="29"/>
        <v>573659</v>
      </c>
      <c r="F47" s="3">
        <f t="shared" si="29"/>
        <v>0</v>
      </c>
      <c r="G47" s="3">
        <f t="shared" si="29"/>
        <v>84952</v>
      </c>
      <c r="H47" s="3">
        <f t="shared" si="29"/>
        <v>7211744</v>
      </c>
      <c r="I47" s="3">
        <f>I444</f>
        <v>528279</v>
      </c>
      <c r="J47" s="3"/>
      <c r="K47" s="3"/>
      <c r="L47" s="3">
        <f>SUM(L433:L444)</f>
        <v>136948.97999999998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5">
      <c r="A48" s="22">
        <f>'Olieforbrug, TJ'!A48</f>
        <v>2023</v>
      </c>
      <c r="C48" s="3">
        <f t="shared" ref="C48:H48" si="30">SUM(C446:C457)</f>
        <v>2922014</v>
      </c>
      <c r="D48" s="3">
        <f t="shared" si="30"/>
        <v>4726181</v>
      </c>
      <c r="E48" s="3">
        <f t="shared" si="30"/>
        <v>223333</v>
      </c>
      <c r="F48" s="3">
        <f t="shared" si="30"/>
        <v>0</v>
      </c>
      <c r="G48" s="3">
        <f t="shared" si="30"/>
        <v>54533</v>
      </c>
      <c r="H48" s="3">
        <f t="shared" si="30"/>
        <v>7449072</v>
      </c>
      <c r="I48" s="3">
        <f>I457</f>
        <v>473746</v>
      </c>
      <c r="J48" s="3"/>
      <c r="K48" s="3"/>
      <c r="L48" s="3">
        <f>SUM(L446:L457)</f>
        <v>125646.60199999998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5">
      <c r="A49" s="22">
        <f>'Olieforbrug, TJ'!A49</f>
        <v>2024</v>
      </c>
      <c r="C49" s="3">
        <f t="shared" ref="C49:H49" si="31">SUM(C459:C470)</f>
        <v>2955665</v>
      </c>
      <c r="D49" s="3">
        <f t="shared" si="31"/>
        <v>4502115</v>
      </c>
      <c r="E49" s="3">
        <f t="shared" si="31"/>
        <v>754314</v>
      </c>
      <c r="F49" s="3">
        <f t="shared" si="31"/>
        <v>0</v>
      </c>
      <c r="G49" s="3">
        <f t="shared" si="31"/>
        <v>143270</v>
      </c>
      <c r="H49" s="3">
        <f t="shared" si="31"/>
        <v>6824496</v>
      </c>
      <c r="I49" s="3">
        <f>I470</f>
        <v>330476</v>
      </c>
      <c r="J49" s="3"/>
      <c r="K49" s="3"/>
      <c r="L49" s="3">
        <f>SUM(L459:L470)</f>
        <v>127093.595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5">
      <c r="A50" s="22">
        <f>'Olieforbrug, TJ'!A50</f>
        <v>2025</v>
      </c>
      <c r="C50" s="3">
        <f t="shared" ref="C50:H50" si="32">SUM(C472:C483)</f>
        <v>3529943</v>
      </c>
      <c r="D50" s="3">
        <f t="shared" si="32"/>
        <v>5250545</v>
      </c>
      <c r="E50" s="3">
        <f t="shared" si="32"/>
        <v>951126</v>
      </c>
      <c r="F50" s="3">
        <f t="shared" si="32"/>
        <v>0</v>
      </c>
      <c r="G50" s="3">
        <f t="shared" si="32"/>
        <v>-203859</v>
      </c>
      <c r="H50" s="3">
        <f t="shared" si="32"/>
        <v>7367530</v>
      </c>
      <c r="I50" s="3">
        <f>I483</f>
        <v>534335</v>
      </c>
      <c r="J50" s="3"/>
      <c r="K50" s="3"/>
      <c r="L50" s="3">
        <f>SUM(L472:L483)</f>
        <v>151787.549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5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8" thickBot="1" x14ac:dyDescent="0.3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5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5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5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5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5">
      <c r="A57" s="32"/>
      <c r="L57" s="65"/>
    </row>
    <row r="58" spans="1:44" x14ac:dyDescent="0.25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5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5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5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5">
      <c r="A62" s="32"/>
      <c r="L62" s="65"/>
    </row>
    <row r="63" spans="1:44" x14ac:dyDescent="0.25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5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5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5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5">
      <c r="A67" s="32"/>
      <c r="L67" s="65"/>
    </row>
    <row r="68" spans="1:14" x14ac:dyDescent="0.25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5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5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5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5">
      <c r="A72" s="32"/>
      <c r="L72" s="65"/>
    </row>
    <row r="73" spans="1:14" x14ac:dyDescent="0.25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5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5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5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5">
      <c r="A77" s="32"/>
      <c r="L77" s="65"/>
      <c r="N77" s="26"/>
    </row>
    <row r="78" spans="1:14" x14ac:dyDescent="0.25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5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5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5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5">
      <c r="A82" s="32"/>
      <c r="J82" s="65"/>
      <c r="K82" s="65"/>
      <c r="L82" s="65"/>
      <c r="N82" s="26"/>
    </row>
    <row r="83" spans="1:14" x14ac:dyDescent="0.25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5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5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5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5">
      <c r="A87" s="32"/>
      <c r="J87" s="65"/>
      <c r="K87" s="65"/>
      <c r="L87" s="65"/>
      <c r="N87" s="26"/>
    </row>
    <row r="88" spans="1:14" x14ac:dyDescent="0.25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5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5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5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5">
      <c r="A92" s="32"/>
      <c r="J92" s="65"/>
      <c r="K92" s="65"/>
      <c r="L92" s="65"/>
      <c r="N92" s="26"/>
    </row>
    <row r="93" spans="1:14" x14ac:dyDescent="0.25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5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5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5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5">
      <c r="A97" s="32"/>
      <c r="J97" s="65"/>
      <c r="K97" s="65"/>
      <c r="L97" s="65"/>
      <c r="M97" s="26"/>
    </row>
    <row r="98" spans="1:14" x14ac:dyDescent="0.25">
      <c r="A98" s="32" t="s">
        <v>173</v>
      </c>
      <c r="C98" s="65">
        <f t="shared" ref="C98:H98" si="33">SUM(C329:C331)</f>
        <v>2002692</v>
      </c>
      <c r="D98" s="65">
        <f t="shared" si="33"/>
        <v>763876</v>
      </c>
      <c r="E98" s="65">
        <f t="shared" si="33"/>
        <v>1230512</v>
      </c>
      <c r="F98" s="65">
        <f t="shared" si="33"/>
        <v>0</v>
      </c>
      <c r="G98" s="65">
        <f t="shared" si="33"/>
        <v>163224</v>
      </c>
      <c r="H98" s="65">
        <f t="shared" si="33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5">
      <c r="A99" s="32" t="s">
        <v>175</v>
      </c>
      <c r="C99" s="65">
        <f t="shared" ref="C99:H99" si="34">SUM(C332:C334)</f>
        <v>1820628</v>
      </c>
      <c r="D99" s="65">
        <f t="shared" si="34"/>
        <v>1045058</v>
      </c>
      <c r="E99" s="65">
        <f t="shared" si="34"/>
        <v>1009994</v>
      </c>
      <c r="F99" s="65">
        <f t="shared" si="34"/>
        <v>0</v>
      </c>
      <c r="G99" s="65">
        <f t="shared" si="34"/>
        <v>-85845</v>
      </c>
      <c r="H99" s="65">
        <f t="shared" si="34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5">
      <c r="A100" s="32" t="s">
        <v>177</v>
      </c>
      <c r="C100" s="65">
        <f t="shared" ref="C100:H100" si="35">SUM(C335:C337)</f>
        <v>2058696</v>
      </c>
      <c r="D100" s="65">
        <f t="shared" si="35"/>
        <v>746067</v>
      </c>
      <c r="E100" s="65">
        <f t="shared" si="35"/>
        <v>1122648</v>
      </c>
      <c r="F100" s="65">
        <f t="shared" si="35"/>
        <v>0</v>
      </c>
      <c r="G100" s="65">
        <f t="shared" si="35"/>
        <v>87042</v>
      </c>
      <c r="H100" s="65">
        <f t="shared" si="35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5">
      <c r="A101" s="32" t="s">
        <v>179</v>
      </c>
      <c r="C101" s="65">
        <f t="shared" ref="C101:H101" si="36">SUM(C338:C340)</f>
        <v>2248393</v>
      </c>
      <c r="D101" s="65">
        <f t="shared" si="36"/>
        <v>902459</v>
      </c>
      <c r="E101" s="65">
        <f t="shared" si="36"/>
        <v>1436949</v>
      </c>
      <c r="F101" s="65">
        <f t="shared" si="36"/>
        <v>0</v>
      </c>
      <c r="G101" s="65">
        <f t="shared" si="36"/>
        <v>-43313</v>
      </c>
      <c r="H101" s="65">
        <f t="shared" si="36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5">
      <c r="A102" s="32"/>
      <c r="J102" s="65"/>
      <c r="L102" s="65"/>
      <c r="M102" s="65"/>
      <c r="N102" s="26"/>
    </row>
    <row r="103" spans="1:14" x14ac:dyDescent="0.25">
      <c r="A103" s="32" t="s">
        <v>181</v>
      </c>
      <c r="C103" s="3">
        <f t="shared" ref="C103:H103" si="37">SUM(C342:C344)</f>
        <v>1909078</v>
      </c>
      <c r="D103" s="3">
        <f t="shared" si="37"/>
        <v>909397</v>
      </c>
      <c r="E103" s="3">
        <f t="shared" si="37"/>
        <v>974736</v>
      </c>
      <c r="F103" s="3">
        <f t="shared" si="37"/>
        <v>0</v>
      </c>
      <c r="G103" s="3">
        <f t="shared" si="37"/>
        <v>-36821</v>
      </c>
      <c r="H103" s="3">
        <f t="shared" si="37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5">
      <c r="A104" s="32" t="s">
        <v>182</v>
      </c>
      <c r="C104" s="3">
        <f t="shared" ref="C104:H104" si="38">SUM(C345:C347)</f>
        <v>1960204</v>
      </c>
      <c r="D104" s="3">
        <f t="shared" si="38"/>
        <v>1075984</v>
      </c>
      <c r="E104" s="3">
        <f t="shared" si="38"/>
        <v>1240974</v>
      </c>
      <c r="F104" s="3">
        <f t="shared" si="38"/>
        <v>0</v>
      </c>
      <c r="G104" s="3">
        <f t="shared" si="38"/>
        <v>52529</v>
      </c>
      <c r="H104" s="3">
        <f t="shared" si="38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5">
      <c r="A105" s="32" t="s">
        <v>183</v>
      </c>
      <c r="C105" s="3">
        <f t="shared" ref="C105:H105" si="39">SUM(C348:C350)</f>
        <v>1931717</v>
      </c>
      <c r="D105" s="3">
        <f t="shared" si="39"/>
        <v>1171409</v>
      </c>
      <c r="E105" s="3">
        <f t="shared" si="39"/>
        <v>1338986</v>
      </c>
      <c r="F105" s="3">
        <f t="shared" si="39"/>
        <v>0</v>
      </c>
      <c r="G105" s="3">
        <f t="shared" si="39"/>
        <v>-87781</v>
      </c>
      <c r="H105" s="3">
        <f t="shared" si="39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5">
      <c r="A106" s="32" t="s">
        <v>184</v>
      </c>
      <c r="C106" s="3">
        <f t="shared" ref="C106:H106" si="40">SUM(C351:C353)</f>
        <v>1888813</v>
      </c>
      <c r="D106" s="3">
        <f t="shared" si="40"/>
        <v>1007475</v>
      </c>
      <c r="E106" s="3">
        <f t="shared" si="40"/>
        <v>968696</v>
      </c>
      <c r="F106" s="3">
        <f t="shared" si="40"/>
        <v>0</v>
      </c>
      <c r="G106" s="3">
        <f t="shared" si="40"/>
        <v>-2657</v>
      </c>
      <c r="H106" s="3">
        <f t="shared" si="40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5">
      <c r="A108" s="32" t="s">
        <v>193</v>
      </c>
      <c r="C108" s="3">
        <f t="shared" ref="C108:H108" si="41">SUM(C355:C357)</f>
        <v>1629047</v>
      </c>
      <c r="D108" s="3">
        <f t="shared" si="41"/>
        <v>1027931</v>
      </c>
      <c r="E108" s="3">
        <f t="shared" si="41"/>
        <v>897199</v>
      </c>
      <c r="F108" s="3">
        <f t="shared" si="41"/>
        <v>0</v>
      </c>
      <c r="G108" s="3">
        <f t="shared" si="41"/>
        <v>68410</v>
      </c>
      <c r="H108" s="3">
        <f t="shared" si="41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5">
      <c r="A109" s="32" t="s">
        <v>194</v>
      </c>
      <c r="C109" s="3">
        <f t="shared" ref="C109:H109" si="42">SUM(C358:C360)</f>
        <v>1820402</v>
      </c>
      <c r="D109" s="3">
        <f t="shared" si="42"/>
        <v>538481</v>
      </c>
      <c r="E109" s="3">
        <f t="shared" si="42"/>
        <v>1158466</v>
      </c>
      <c r="F109" s="3">
        <f t="shared" si="42"/>
        <v>0</v>
      </c>
      <c r="G109" s="3">
        <f t="shared" si="42"/>
        <v>32395</v>
      </c>
      <c r="H109" s="3">
        <f t="shared" si="42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5">
      <c r="A110" s="32" t="s">
        <v>195</v>
      </c>
      <c r="C110" s="3">
        <f>SUM(C361:C363)</f>
        <v>1711646</v>
      </c>
      <c r="D110" s="3">
        <f t="shared" ref="D110:L110" si="43">SUM(D361:D363)</f>
        <v>1233649</v>
      </c>
      <c r="E110" s="3">
        <f t="shared" si="43"/>
        <v>1016175</v>
      </c>
      <c r="F110" s="3">
        <f t="shared" si="43"/>
        <v>0</v>
      </c>
      <c r="G110" s="3">
        <f t="shared" si="43"/>
        <v>-6274</v>
      </c>
      <c r="H110" s="3">
        <f t="shared" si="43"/>
        <v>1921195</v>
      </c>
      <c r="I110" s="3">
        <f>I363</f>
        <v>434944</v>
      </c>
      <c r="J110" s="3"/>
      <c r="K110" s="3"/>
      <c r="L110" s="3">
        <f t="shared" si="43"/>
        <v>73600.777999999991</v>
      </c>
      <c r="M110" s="65"/>
      <c r="N110" s="26" t="s">
        <v>191</v>
      </c>
    </row>
    <row r="111" spans="1:14" x14ac:dyDescent="0.25">
      <c r="A111" s="32" t="s">
        <v>196</v>
      </c>
      <c r="C111" s="3">
        <f>SUM(C364:C366)</f>
        <v>1763279</v>
      </c>
      <c r="D111" s="3">
        <f t="shared" ref="D111:L111" si="44">SUM(D364:D366)</f>
        <v>1034668</v>
      </c>
      <c r="E111" s="3">
        <f t="shared" si="44"/>
        <v>805229</v>
      </c>
      <c r="F111" s="3">
        <f t="shared" si="44"/>
        <v>0</v>
      </c>
      <c r="G111" s="3">
        <f t="shared" si="44"/>
        <v>-67974</v>
      </c>
      <c r="H111" s="3">
        <f t="shared" si="44"/>
        <v>1925717</v>
      </c>
      <c r="I111" s="3">
        <f>I366</f>
        <v>502918</v>
      </c>
      <c r="J111" s="3"/>
      <c r="K111" s="3"/>
      <c r="L111" s="3">
        <f t="shared" si="44"/>
        <v>75820.997000000003</v>
      </c>
      <c r="M111" s="65"/>
      <c r="N111" s="26" t="s">
        <v>192</v>
      </c>
    </row>
    <row r="112" spans="1:14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5">
      <c r="A113" s="32" t="s">
        <v>197</v>
      </c>
      <c r="C113" s="3">
        <f>SUM(C368:C370)</f>
        <v>1655604</v>
      </c>
      <c r="D113" s="3">
        <f t="shared" ref="D113:L113" si="45">SUM(D368:D370)</f>
        <v>1145957</v>
      </c>
      <c r="E113" s="3">
        <f t="shared" si="45"/>
        <v>1030171</v>
      </c>
      <c r="F113" s="3">
        <f t="shared" si="45"/>
        <v>0</v>
      </c>
      <c r="G113" s="3">
        <f t="shared" si="45"/>
        <v>124836</v>
      </c>
      <c r="H113" s="3">
        <f t="shared" si="45"/>
        <v>1914303</v>
      </c>
      <c r="I113" s="3">
        <f>I370</f>
        <v>378082</v>
      </c>
      <c r="J113" s="3"/>
      <c r="K113" s="3"/>
      <c r="L113" s="3">
        <f t="shared" si="45"/>
        <v>71190.971999999994</v>
      </c>
      <c r="M113" s="65"/>
      <c r="N113" s="26" t="s">
        <v>201</v>
      </c>
    </row>
    <row r="114" spans="1:14" x14ac:dyDescent="0.25">
      <c r="A114" s="32" t="s">
        <v>198</v>
      </c>
      <c r="C114" s="3">
        <f t="shared" ref="C114:H114" si="46">SUM(C371:C373)</f>
        <v>1715579</v>
      </c>
      <c r="D114" s="3">
        <f t="shared" si="46"/>
        <v>1216488</v>
      </c>
      <c r="E114" s="3">
        <f t="shared" si="46"/>
        <v>881362</v>
      </c>
      <c r="F114" s="3">
        <f t="shared" si="46"/>
        <v>0</v>
      </c>
      <c r="G114" s="3">
        <f t="shared" si="46"/>
        <v>-109949</v>
      </c>
      <c r="H114" s="3">
        <f t="shared" si="46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5">
      <c r="A115" s="32" t="s">
        <v>199</v>
      </c>
      <c r="C115" s="3">
        <f t="shared" ref="C115:H115" si="47">SUM(C374:C376)</f>
        <v>1723938</v>
      </c>
      <c r="D115" s="3">
        <f t="shared" si="47"/>
        <v>1243736</v>
      </c>
      <c r="E115" s="3">
        <f t="shared" si="47"/>
        <v>1233819</v>
      </c>
      <c r="F115" s="3">
        <f t="shared" si="47"/>
        <v>0</v>
      </c>
      <c r="G115" s="3">
        <f t="shared" si="47"/>
        <v>67198</v>
      </c>
      <c r="H115" s="3">
        <f t="shared" si="47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5">
      <c r="A116" s="32" t="s">
        <v>200</v>
      </c>
      <c r="C116" s="3">
        <f t="shared" ref="C116:H116" si="48">SUM(C377:C379)</f>
        <v>1641846</v>
      </c>
      <c r="D116" s="3">
        <f t="shared" si="48"/>
        <v>1184588</v>
      </c>
      <c r="E116" s="3">
        <f t="shared" si="48"/>
        <v>952287</v>
      </c>
      <c r="F116" s="3">
        <f t="shared" si="48"/>
        <v>0</v>
      </c>
      <c r="G116" s="3">
        <f t="shared" si="48"/>
        <v>-50015</v>
      </c>
      <c r="H116" s="3">
        <f t="shared" si="48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5">
      <c r="A118" s="32" t="s">
        <v>205</v>
      </c>
      <c r="C118" s="3">
        <f t="shared" ref="C118:H118" si="49">SUM(C381:C383)</f>
        <v>1447270</v>
      </c>
      <c r="D118" s="3">
        <f t="shared" si="49"/>
        <v>1070334</v>
      </c>
      <c r="E118" s="3">
        <f t="shared" si="49"/>
        <v>680364</v>
      </c>
      <c r="F118" s="3">
        <f t="shared" si="49"/>
        <v>0</v>
      </c>
      <c r="G118" s="3">
        <f>SUM(G381:G383)</f>
        <v>37429</v>
      </c>
      <c r="H118" s="3">
        <f t="shared" si="49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5">
      <c r="A119" s="32" t="s">
        <v>206</v>
      </c>
      <c r="C119" s="3">
        <f t="shared" ref="C119:H119" si="50">SUM(C384:C386)</f>
        <v>1354655</v>
      </c>
      <c r="D119" s="3">
        <f t="shared" si="50"/>
        <v>1443044</v>
      </c>
      <c r="E119" s="3">
        <f t="shared" si="50"/>
        <v>728647</v>
      </c>
      <c r="F119" s="3">
        <f t="shared" si="50"/>
        <v>0</v>
      </c>
      <c r="G119" s="3">
        <f t="shared" si="50"/>
        <v>-44567</v>
      </c>
      <c r="H119" s="3">
        <f t="shared" si="50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5">
      <c r="A120" s="32" t="s">
        <v>207</v>
      </c>
      <c r="C120" s="3">
        <f t="shared" ref="C120:H120" si="51">SUM(C387:C389)</f>
        <v>1302165</v>
      </c>
      <c r="D120" s="3">
        <f t="shared" si="51"/>
        <v>1146071</v>
      </c>
      <c r="E120" s="3">
        <f t="shared" si="51"/>
        <v>615511</v>
      </c>
      <c r="F120" s="3">
        <f t="shared" si="51"/>
        <v>0</v>
      </c>
      <c r="G120" s="3">
        <f t="shared" si="51"/>
        <v>28505</v>
      </c>
      <c r="H120" s="3">
        <f t="shared" si="51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5">
      <c r="A121" s="32" t="s">
        <v>208</v>
      </c>
      <c r="C121" s="3">
        <f t="shared" ref="C121:H121" si="52">SUM(C390:C392)</f>
        <v>1542772</v>
      </c>
      <c r="D121" s="3">
        <f t="shared" si="52"/>
        <v>1202836</v>
      </c>
      <c r="E121" s="3">
        <f t="shared" si="52"/>
        <v>814223</v>
      </c>
      <c r="F121" s="3">
        <f t="shared" si="52"/>
        <v>0</v>
      </c>
      <c r="G121" s="3">
        <f t="shared" si="52"/>
        <v>-46719</v>
      </c>
      <c r="H121" s="3">
        <f t="shared" si="52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5">
      <c r="A123" s="32" t="str">
        <f>'Olieforbrug, TJ'!A123</f>
        <v>1. kvartal 2019</v>
      </c>
      <c r="C123" s="3">
        <f>SUM(C394:C396)</f>
        <v>1389099</v>
      </c>
      <c r="D123" s="3">
        <f t="shared" ref="D123:L123" si="53">SUM(D394:D396)</f>
        <v>1309272</v>
      </c>
      <c r="E123" s="3">
        <f t="shared" si="53"/>
        <v>732929</v>
      </c>
      <c r="F123" s="3">
        <f t="shared" si="53"/>
        <v>0</v>
      </c>
      <c r="G123" s="3">
        <f t="shared" si="53"/>
        <v>-5795</v>
      </c>
      <c r="H123" s="3">
        <f t="shared" si="53"/>
        <v>1974484</v>
      </c>
      <c r="I123" s="3">
        <f>SUM(I396)</f>
        <v>501995</v>
      </c>
      <c r="J123" s="3"/>
      <c r="K123" s="3"/>
      <c r="L123" s="3">
        <f t="shared" si="53"/>
        <v>59731.257000000005</v>
      </c>
      <c r="M123" s="65"/>
      <c r="N123" s="26" t="s">
        <v>216</v>
      </c>
    </row>
    <row r="124" spans="1:14" x14ac:dyDescent="0.25">
      <c r="A124" s="32" t="str">
        <f>'Olieforbrug, TJ'!A124</f>
        <v>2. kvartal 2019</v>
      </c>
      <c r="C124" s="3">
        <f t="shared" ref="C124:H124" si="54">SUM(C397:C399)</f>
        <v>1419963</v>
      </c>
      <c r="D124" s="3">
        <f t="shared" si="54"/>
        <v>1152891</v>
      </c>
      <c r="E124" s="3">
        <f t="shared" si="54"/>
        <v>680134</v>
      </c>
      <c r="F124" s="3">
        <f t="shared" si="54"/>
        <v>0</v>
      </c>
      <c r="G124" s="3">
        <f t="shared" si="54"/>
        <v>15063</v>
      </c>
      <c r="H124" s="3">
        <f t="shared" si="54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5">
      <c r="A125" s="32" t="str">
        <f>'Olieforbrug, TJ'!A125</f>
        <v>3. kvartal 2019</v>
      </c>
      <c r="C125" s="3">
        <f t="shared" ref="C125:H125" si="55">SUM(C400:C402)</f>
        <v>1207236</v>
      </c>
      <c r="D125" s="3">
        <f t="shared" si="55"/>
        <v>1049773</v>
      </c>
      <c r="E125" s="3">
        <f t="shared" si="55"/>
        <v>438678</v>
      </c>
      <c r="F125" s="3">
        <f t="shared" si="55"/>
        <v>0</v>
      </c>
      <c r="G125" s="3">
        <f t="shared" si="55"/>
        <v>-37890</v>
      </c>
      <c r="H125" s="3">
        <f t="shared" si="55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5">
      <c r="A126" s="32" t="str">
        <f>'Olieforbrug, TJ'!A126</f>
        <v>4. kvartal 2019</v>
      </c>
      <c r="C126" s="3">
        <f t="shared" ref="C126:H126" si="56">SUM(C403:C405)</f>
        <v>1000936</v>
      </c>
      <c r="D126" s="3">
        <f t="shared" si="56"/>
        <v>1525224</v>
      </c>
      <c r="E126" s="3">
        <f t="shared" si="56"/>
        <v>449711</v>
      </c>
      <c r="F126" s="3">
        <f t="shared" si="56"/>
        <v>0</v>
      </c>
      <c r="G126" s="3">
        <f t="shared" si="56"/>
        <v>-122431</v>
      </c>
      <c r="H126" s="3">
        <f t="shared" si="56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5">
      <c r="A128" s="32" t="str">
        <f>'Olieforbrug, TJ'!A128</f>
        <v>1. kvartal 2020</v>
      </c>
      <c r="C128" s="3">
        <f t="shared" ref="C128:H128" si="57">SUM(C407:C409)</f>
        <v>975827</v>
      </c>
      <c r="D128" s="3">
        <f t="shared" si="57"/>
        <v>1222879</v>
      </c>
      <c r="E128" s="3">
        <f t="shared" si="57"/>
        <v>380903</v>
      </c>
      <c r="F128" s="3">
        <f t="shared" si="57"/>
        <v>0</v>
      </c>
      <c r="G128" s="3">
        <f t="shared" si="57"/>
        <v>86251</v>
      </c>
      <c r="H128" s="3">
        <f t="shared" si="57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5">
      <c r="A129" s="32" t="str">
        <f>'Olieforbrug, TJ'!A129</f>
        <v>2. kvartal 2020</v>
      </c>
      <c r="C129" s="3">
        <f t="shared" ref="C129:H129" si="58">SUM(C410:C412)</f>
        <v>861851</v>
      </c>
      <c r="D129" s="3">
        <f t="shared" si="58"/>
        <v>1324543</v>
      </c>
      <c r="E129" s="3">
        <f t="shared" si="58"/>
        <v>312568</v>
      </c>
      <c r="F129" s="3">
        <f t="shared" si="58"/>
        <v>0</v>
      </c>
      <c r="G129" s="3">
        <f t="shared" si="58"/>
        <v>-50080</v>
      </c>
      <c r="H129" s="3">
        <f t="shared" si="58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5">
      <c r="A130" s="32" t="str">
        <f>'Olieforbrug, TJ'!A130</f>
        <v>3. kvartal 2020</v>
      </c>
      <c r="C130" s="3">
        <f t="shared" ref="C130:H130" si="59">SUM(C413:C415)</f>
        <v>867792</v>
      </c>
      <c r="D130" s="3">
        <f t="shared" si="59"/>
        <v>927991</v>
      </c>
      <c r="E130" s="3">
        <f t="shared" si="59"/>
        <v>179259</v>
      </c>
      <c r="F130" s="3">
        <f t="shared" si="59"/>
        <v>0</v>
      </c>
      <c r="G130" s="3">
        <f t="shared" si="59"/>
        <v>-88785</v>
      </c>
      <c r="H130" s="3">
        <f t="shared" si="59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5">
      <c r="A131" s="32" t="str">
        <f>'Olieforbrug, TJ'!A131</f>
        <v>4. kvartal 2020</v>
      </c>
      <c r="C131" s="3">
        <f t="shared" ref="C131:H131" si="60">SUM(C416:C418)</f>
        <v>814737</v>
      </c>
      <c r="D131" s="3">
        <f t="shared" si="60"/>
        <v>1192813</v>
      </c>
      <c r="E131" s="3">
        <f t="shared" si="60"/>
        <v>216415</v>
      </c>
      <c r="F131" s="3">
        <f t="shared" si="60"/>
        <v>0</v>
      </c>
      <c r="G131" s="3">
        <f t="shared" si="60"/>
        <v>18424</v>
      </c>
      <c r="H131" s="3">
        <f t="shared" si="60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5">
      <c r="A133" s="32" t="str">
        <f>'Olieforbrug, TJ'!A133</f>
        <v>1. kvartal 2021</v>
      </c>
      <c r="C133" s="3">
        <f>SUM(C420:C422)</f>
        <v>758452</v>
      </c>
      <c r="D133" s="3">
        <f t="shared" ref="D133:L133" si="61">SUM(D420:D422)</f>
        <v>1399786</v>
      </c>
      <c r="E133" s="3">
        <f t="shared" si="61"/>
        <v>227981</v>
      </c>
      <c r="F133" s="3">
        <f t="shared" si="61"/>
        <v>0</v>
      </c>
      <c r="G133" s="3">
        <f t="shared" si="61"/>
        <v>-78623</v>
      </c>
      <c r="H133" s="3">
        <f t="shared" si="61"/>
        <v>1861829</v>
      </c>
      <c r="I133" s="3">
        <f>SUM(I422)</f>
        <v>760066</v>
      </c>
      <c r="J133" s="3"/>
      <c r="K133" s="3"/>
      <c r="L133" s="3">
        <f t="shared" si="61"/>
        <v>32613.436000000002</v>
      </c>
      <c r="M133" s="65"/>
      <c r="N133" s="26" t="str">
        <f>'Olieforbrug, TJ'!M133</f>
        <v>1. Quarter 2021</v>
      </c>
    </row>
    <row r="134" spans="1:14" x14ac:dyDescent="0.25">
      <c r="A134" s="32" t="str">
        <f>'Olieforbrug, TJ'!A134</f>
        <v>2. kvartal 2021</v>
      </c>
      <c r="C134" s="3">
        <f t="shared" ref="C134:H134" si="62">SUM(C423:C425)</f>
        <v>818661</v>
      </c>
      <c r="D134" s="3">
        <f t="shared" si="62"/>
        <v>1341697</v>
      </c>
      <c r="E134" s="3">
        <f t="shared" si="62"/>
        <v>348265</v>
      </c>
      <c r="F134" s="3">
        <f t="shared" si="62"/>
        <v>0</v>
      </c>
      <c r="G134" s="3">
        <f t="shared" si="62"/>
        <v>188521</v>
      </c>
      <c r="H134" s="3">
        <f t="shared" si="62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5">
      <c r="A135" s="32" t="str">
        <f>'Olieforbrug, TJ'!A135</f>
        <v>3. kvartal 2021</v>
      </c>
      <c r="C135" s="3">
        <f t="shared" ref="C135:H135" si="63">SUM(C426:C428)</f>
        <v>831080</v>
      </c>
      <c r="D135" s="3">
        <f t="shared" si="63"/>
        <v>1064607</v>
      </c>
      <c r="E135" s="3">
        <f t="shared" si="63"/>
        <v>97987</v>
      </c>
      <c r="F135" s="3">
        <f t="shared" si="63"/>
        <v>0</v>
      </c>
      <c r="G135" s="3">
        <f t="shared" si="63"/>
        <v>14375</v>
      </c>
      <c r="H135" s="3">
        <f t="shared" si="63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5">
      <c r="A136" s="32" t="str">
        <f>'Olieforbrug, TJ'!A136</f>
        <v>4. kvartal 2021</v>
      </c>
      <c r="C136" s="3">
        <f t="shared" ref="C136:H136" si="64">SUM(C429:C431)</f>
        <v>828559</v>
      </c>
      <c r="D136" s="3">
        <f t="shared" si="64"/>
        <v>1378310</v>
      </c>
      <c r="E136" s="3">
        <f t="shared" si="64"/>
        <v>179583</v>
      </c>
      <c r="F136" s="3">
        <f t="shared" si="64"/>
        <v>0</v>
      </c>
      <c r="G136" s="3">
        <f t="shared" si="64"/>
        <v>-56061</v>
      </c>
      <c r="H136" s="3">
        <f t="shared" si="64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5">
      <c r="A138" s="32" t="str">
        <f>'Olieforbrug, TJ'!A138</f>
        <v>1. kvartal 2022</v>
      </c>
      <c r="C138" s="3">
        <f>SUM(C433:C435)</f>
        <v>828266</v>
      </c>
      <c r="D138" s="3">
        <f t="shared" ref="D138:H138" si="65">SUM(D433:D435)</f>
        <v>1037481</v>
      </c>
      <c r="E138" s="3">
        <f t="shared" si="65"/>
        <v>321318</v>
      </c>
      <c r="F138" s="3">
        <f t="shared" si="65"/>
        <v>0</v>
      </c>
      <c r="G138" s="3">
        <f t="shared" si="65"/>
        <v>145262</v>
      </c>
      <c r="H138" s="3">
        <f t="shared" si="65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5">
      <c r="A139" s="32" t="str">
        <f>'Olieforbrug, TJ'!A139</f>
        <v>2. kvartal 2022</v>
      </c>
      <c r="C139" s="3">
        <f>SUM(C436:C438)</f>
        <v>811528</v>
      </c>
      <c r="D139" s="3">
        <f t="shared" ref="D139:L139" si="66">SUM(D436:D438)</f>
        <v>1285719</v>
      </c>
      <c r="E139" s="3">
        <f t="shared" si="66"/>
        <v>95784</v>
      </c>
      <c r="F139" s="3">
        <f t="shared" si="66"/>
        <v>0</v>
      </c>
      <c r="G139" s="3">
        <f t="shared" si="66"/>
        <v>-37022</v>
      </c>
      <c r="H139" s="3">
        <f t="shared" si="66"/>
        <v>1980099</v>
      </c>
      <c r="I139" s="3">
        <f>SUM(I438)</f>
        <v>504991</v>
      </c>
      <c r="J139" s="3"/>
      <c r="K139" s="3"/>
      <c r="L139" s="3">
        <f t="shared" si="66"/>
        <v>34895.703999999998</v>
      </c>
      <c r="M139" s="65"/>
      <c r="N139" s="26" t="str">
        <f>'Olieforbrug, TJ'!M139</f>
        <v>2. Quarter 2022</v>
      </c>
    </row>
    <row r="140" spans="1:14" x14ac:dyDescent="0.25">
      <c r="A140" s="32" t="str">
        <f>'Olieforbrug, TJ'!A140</f>
        <v>3. kvartal 2022</v>
      </c>
      <c r="C140" s="3">
        <f>SUM(C439:C441)</f>
        <v>765936</v>
      </c>
      <c r="D140" s="3">
        <f t="shared" ref="D140:L140" si="67">SUM(D439:D441)</f>
        <v>1191282</v>
      </c>
      <c r="E140" s="3">
        <f t="shared" si="67"/>
        <v>60495</v>
      </c>
      <c r="F140" s="3">
        <f t="shared" si="67"/>
        <v>0</v>
      </c>
      <c r="G140" s="3">
        <f t="shared" si="67"/>
        <v>34038</v>
      </c>
      <c r="H140" s="3">
        <f t="shared" si="67"/>
        <v>1946198</v>
      </c>
      <c r="I140" s="3">
        <f>SUM(I441)</f>
        <v>470953</v>
      </c>
      <c r="J140" s="3"/>
      <c r="K140" s="3"/>
      <c r="L140" s="3">
        <f t="shared" si="67"/>
        <v>32935.248</v>
      </c>
      <c r="M140" s="65"/>
      <c r="N140" s="26" t="str">
        <f>'Olieforbrug, TJ'!M140</f>
        <v>3. Quarter 2022</v>
      </c>
    </row>
    <row r="141" spans="1:14" x14ac:dyDescent="0.25">
      <c r="A141" s="32" t="str">
        <f>'Olieforbrug, TJ'!A141</f>
        <v>4. kvartal 2022</v>
      </c>
      <c r="C141" s="3">
        <f t="shared" ref="C141:H141" si="68">SUM(C442:C444)</f>
        <v>779130</v>
      </c>
      <c r="D141" s="3">
        <f t="shared" si="68"/>
        <v>943142</v>
      </c>
      <c r="E141" s="3">
        <f t="shared" si="68"/>
        <v>96062</v>
      </c>
      <c r="F141" s="3">
        <f t="shared" si="68"/>
        <v>0</v>
      </c>
      <c r="G141" s="3">
        <f t="shared" si="68"/>
        <v>-57326</v>
      </c>
      <c r="H141" s="3">
        <f t="shared" si="68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5">
      <c r="A143" s="32" t="str">
        <f>'Olieforbrug, TJ'!A143</f>
        <v>1. kvartal 2023</v>
      </c>
      <c r="C143" s="3">
        <f>SUM(C446:C448)</f>
        <v>741440</v>
      </c>
      <c r="D143" s="3">
        <f t="shared" ref="D143:L143" si="69">SUM(D446:D448)</f>
        <v>1100644</v>
      </c>
      <c r="E143" s="3">
        <f t="shared" si="69"/>
        <v>61350</v>
      </c>
      <c r="F143" s="3">
        <f t="shared" si="69"/>
        <v>0</v>
      </c>
      <c r="G143" s="3">
        <f t="shared" si="69"/>
        <v>34993</v>
      </c>
      <c r="H143" s="3">
        <f t="shared" si="69"/>
        <v>1825422</v>
      </c>
      <c r="I143" s="3">
        <f>SUM(I448)</f>
        <v>493286</v>
      </c>
      <c r="J143" s="3"/>
      <c r="K143" s="3"/>
      <c r="L143" s="3">
        <f t="shared" si="69"/>
        <v>31881.919999999998</v>
      </c>
      <c r="M143" s="65"/>
      <c r="N143" s="26" t="str">
        <f>'Olieforbrug, TJ'!M143</f>
        <v>1. Quarter 2023</v>
      </c>
    </row>
    <row r="144" spans="1:14" x14ac:dyDescent="0.25">
      <c r="A144" s="32" t="str">
        <f>'Olieforbrug, TJ'!A144</f>
        <v>2. kvartal 2023</v>
      </c>
      <c r="C144" s="3">
        <f t="shared" ref="C144:H144" si="70">SUM(C449:C451)</f>
        <v>710277</v>
      </c>
      <c r="D144" s="3">
        <f t="shared" si="70"/>
        <v>1085760</v>
      </c>
      <c r="E144" s="3">
        <f t="shared" si="70"/>
        <v>0</v>
      </c>
      <c r="F144" s="3">
        <f t="shared" si="70"/>
        <v>0</v>
      </c>
      <c r="G144" s="3">
        <f t="shared" si="70"/>
        <v>44603</v>
      </c>
      <c r="H144" s="3">
        <f t="shared" si="70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5">
      <c r="A145" s="32" t="str">
        <f>'Olieforbrug, TJ'!A145</f>
        <v>3. kvartal 2023</v>
      </c>
      <c r="C145" s="3">
        <f>SUM(C452:C454)</f>
        <v>739194</v>
      </c>
      <c r="D145" s="3">
        <f t="shared" ref="D145:L145" si="71">SUM(D452:D454)</f>
        <v>1091894</v>
      </c>
      <c r="E145" s="3">
        <f t="shared" si="71"/>
        <v>66133</v>
      </c>
      <c r="F145" s="3">
        <f t="shared" si="71"/>
        <v>0</v>
      </c>
      <c r="G145" s="3">
        <f t="shared" si="71"/>
        <v>19730</v>
      </c>
      <c r="H145" s="3">
        <f t="shared" si="71"/>
        <v>1800264</v>
      </c>
      <c r="I145" s="3">
        <f>SUM(I454)</f>
        <v>428953</v>
      </c>
      <c r="J145" s="3"/>
      <c r="K145" s="3"/>
      <c r="L145" s="3">
        <f t="shared" si="71"/>
        <v>31785.341999999997</v>
      </c>
      <c r="M145" s="65"/>
      <c r="N145" s="26" t="str">
        <f>'Olieforbrug, TJ'!M145</f>
        <v>3. Quarter 2023</v>
      </c>
    </row>
    <row r="146" spans="1:14" x14ac:dyDescent="0.25">
      <c r="A146" s="32" t="str">
        <f>'Olieforbrug, TJ'!A146</f>
        <v>4. kvartal 2023</v>
      </c>
      <c r="C146" s="3">
        <f>SUM(C455:C457)</f>
        <v>731103</v>
      </c>
      <c r="D146" s="3">
        <f t="shared" ref="D146:L146" si="72">SUM(D455:D457)</f>
        <v>1447883</v>
      </c>
      <c r="E146" s="3">
        <f t="shared" si="72"/>
        <v>95850</v>
      </c>
      <c r="F146" s="3">
        <f t="shared" si="72"/>
        <v>0</v>
      </c>
      <c r="G146" s="3">
        <f t="shared" si="72"/>
        <v>-44793</v>
      </c>
      <c r="H146" s="3">
        <f t="shared" si="72"/>
        <v>1967924</v>
      </c>
      <c r="I146" s="3">
        <f>SUM(I457)</f>
        <v>473746</v>
      </c>
      <c r="J146" s="3"/>
      <c r="K146" s="3"/>
      <c r="L146" s="3">
        <f t="shared" si="72"/>
        <v>31437.428999999996</v>
      </c>
      <c r="M146" s="65"/>
      <c r="N146" s="26" t="str">
        <f>'Olieforbrug, TJ'!M146</f>
        <v>4. Quarter 2023</v>
      </c>
    </row>
    <row r="147" spans="1:14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5">
      <c r="A148" s="32" t="str">
        <f>'Olieforbrug, TJ'!A148</f>
        <v>1. kvartal 2024</v>
      </c>
      <c r="C148" s="3">
        <f>SUM(C459:C461)</f>
        <v>700914</v>
      </c>
      <c r="D148" s="3">
        <f t="shared" ref="D148:H148" si="73">SUM(D459:D461)</f>
        <v>1065019</v>
      </c>
      <c r="E148" s="3">
        <f t="shared" si="73"/>
        <v>90320</v>
      </c>
      <c r="F148" s="3">
        <f t="shared" si="73"/>
        <v>0</v>
      </c>
      <c r="G148" s="3">
        <f t="shared" si="73"/>
        <v>51471</v>
      </c>
      <c r="H148" s="3">
        <f t="shared" si="73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5">
      <c r="A149" s="32" t="str">
        <f>'Olieforbrug, TJ'!A149</f>
        <v>2. kvartal 2024</v>
      </c>
      <c r="C149" s="3">
        <f>SUM(C462:C464)</f>
        <v>740975</v>
      </c>
      <c r="D149" s="3">
        <f t="shared" ref="D149:L149" si="74">SUM(D462:D464)</f>
        <v>1131121</v>
      </c>
      <c r="E149" s="3">
        <f t="shared" si="74"/>
        <v>177938</v>
      </c>
      <c r="F149" s="3">
        <f t="shared" si="74"/>
        <v>0</v>
      </c>
      <c r="G149" s="3">
        <f t="shared" si="74"/>
        <v>-67471</v>
      </c>
      <c r="H149" s="3">
        <f t="shared" si="74"/>
        <v>1640341</v>
      </c>
      <c r="I149" s="3">
        <f>SUM(I464)</f>
        <v>489746</v>
      </c>
      <c r="J149" s="3"/>
      <c r="K149" s="3"/>
      <c r="L149" s="3">
        <f t="shared" si="74"/>
        <v>31861.925000000003</v>
      </c>
      <c r="M149" s="65"/>
      <c r="N149" s="26" t="str">
        <f>'Olieforbrug, TJ'!M149</f>
        <v>2. Quarter 2024</v>
      </c>
    </row>
    <row r="150" spans="1:14" x14ac:dyDescent="0.25">
      <c r="A150" s="32" t="str">
        <f>'Olieforbrug, TJ'!A150</f>
        <v>3. kvartal 2024</v>
      </c>
      <c r="C150" s="3">
        <f>SUM(C465:C467)</f>
        <v>726998</v>
      </c>
      <c r="D150" s="3">
        <f t="shared" ref="D150:L150" si="75">SUM(D465:D467)</f>
        <v>1177533</v>
      </c>
      <c r="E150" s="3">
        <f t="shared" si="75"/>
        <v>192442</v>
      </c>
      <c r="F150" s="3">
        <f t="shared" si="75"/>
        <v>0</v>
      </c>
      <c r="G150" s="3">
        <f t="shared" si="75"/>
        <v>-74087</v>
      </c>
      <c r="H150" s="3">
        <f t="shared" si="75"/>
        <v>1573725</v>
      </c>
      <c r="I150" s="3">
        <f>I467</f>
        <v>563833</v>
      </c>
      <c r="J150" s="3"/>
      <c r="K150" s="3"/>
      <c r="L150" s="3">
        <f t="shared" si="75"/>
        <v>31260.914000000001</v>
      </c>
      <c r="M150" s="65"/>
      <c r="N150" s="26" t="str">
        <f>'Olieforbrug, TJ'!M150</f>
        <v>3. Quarter 2024</v>
      </c>
    </row>
    <row r="151" spans="1:14" x14ac:dyDescent="0.25">
      <c r="A151" s="32" t="str">
        <f>'Olieforbrug, TJ'!A151</f>
        <v>4. kvartal 2024</v>
      </c>
      <c r="C151" s="3">
        <f>SUM(C468:C470)</f>
        <v>786778</v>
      </c>
      <c r="D151" s="3">
        <f t="shared" ref="D151:H151" si="76">SUM(D468:D470)</f>
        <v>1128442</v>
      </c>
      <c r="E151" s="3">
        <f t="shared" si="76"/>
        <v>293614</v>
      </c>
      <c r="F151" s="3">
        <f t="shared" si="76"/>
        <v>0</v>
      </c>
      <c r="G151" s="3">
        <f t="shared" si="76"/>
        <v>233357</v>
      </c>
      <c r="H151" s="3">
        <f t="shared" si="76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5">
      <c r="A153" s="170" t="str">
        <f>'Olieforbrug, TJ'!A153</f>
        <v>1. kvartal 2025</v>
      </c>
      <c r="B153"/>
      <c r="C153" s="3">
        <f>SUM(C472:C474)</f>
        <v>772796</v>
      </c>
      <c r="D153" s="3">
        <f t="shared" ref="D153:L153" si="77">SUM(D472:D474)</f>
        <v>1052565</v>
      </c>
      <c r="E153" s="3">
        <f t="shared" si="77"/>
        <v>153843</v>
      </c>
      <c r="F153" s="3">
        <f t="shared" si="77"/>
        <v>0</v>
      </c>
      <c r="G153" s="3">
        <f t="shared" si="77"/>
        <v>14747</v>
      </c>
      <c r="H153" s="3">
        <f t="shared" si="77"/>
        <v>1568308</v>
      </c>
      <c r="I153" s="3">
        <f>I474</f>
        <v>315729</v>
      </c>
      <c r="J153" s="3"/>
      <c r="K153" s="3"/>
      <c r="L153" s="3">
        <f t="shared" si="77"/>
        <v>33230.228000000003</v>
      </c>
      <c r="N153" s="26" t="str">
        <f>'Olieforbrug, TJ'!M153</f>
        <v>1. Quarter 2025</v>
      </c>
    </row>
    <row r="154" spans="1:14" x14ac:dyDescent="0.25">
      <c r="A154" s="170" t="str">
        <f>'Olieforbrug, TJ'!A154</f>
        <v>2. kvartal 2025</v>
      </c>
      <c r="B154"/>
      <c r="C154" s="3">
        <f>SUM(C475:C477)</f>
        <v>915272</v>
      </c>
      <c r="D154" s="3">
        <f t="shared" ref="D154:H154" si="78">SUM(D475:D477)</f>
        <v>1372847</v>
      </c>
      <c r="E154" s="3">
        <f t="shared" si="78"/>
        <v>286016</v>
      </c>
      <c r="F154" s="3">
        <f t="shared" si="78"/>
        <v>0</v>
      </c>
      <c r="G154" s="3">
        <f t="shared" si="78"/>
        <v>-92369</v>
      </c>
      <c r="H154" s="3">
        <f t="shared" si="78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5">
      <c r="A155" s="170" t="str">
        <f>'Olieforbrug, TJ'!A155</f>
        <v>3. kvartal 2025</v>
      </c>
      <c r="B155"/>
      <c r="C155" s="3">
        <f>SUM(C478:C480)</f>
        <v>881404</v>
      </c>
      <c r="D155" s="3">
        <f t="shared" ref="D155:L155" si="79">SUM(D478:D480)</f>
        <v>1390989</v>
      </c>
      <c r="E155" s="3">
        <f t="shared" si="79"/>
        <v>231907</v>
      </c>
      <c r="F155" s="3">
        <f t="shared" si="79"/>
        <v>0</v>
      </c>
      <c r="G155" s="3">
        <f t="shared" si="79"/>
        <v>-4978</v>
      </c>
      <c r="H155" s="3">
        <f t="shared" si="79"/>
        <v>1966777</v>
      </c>
      <c r="I155" s="3">
        <f>I480</f>
        <v>413076</v>
      </c>
      <c r="J155" s="3"/>
      <c r="K155" s="3"/>
      <c r="L155" s="3">
        <f t="shared" si="79"/>
        <v>37900.372000000003</v>
      </c>
      <c r="N155" s="26" t="str">
        <f>'Olieforbrug, TJ'!M155</f>
        <v>3. Quarter 2025</v>
      </c>
    </row>
    <row r="156" spans="1:14" x14ac:dyDescent="0.25">
      <c r="A156" s="170" t="str">
        <f>'Olieforbrug, TJ'!A156</f>
        <v>4. kvartal 2025</v>
      </c>
      <c r="B156" s="3"/>
      <c r="C156" s="3">
        <f>SUM(C481:C483)</f>
        <v>960471</v>
      </c>
      <c r="D156" s="3">
        <f t="shared" ref="D156:H156" si="80">SUM(D481:D483)</f>
        <v>1434144</v>
      </c>
      <c r="E156" s="3">
        <f t="shared" si="80"/>
        <v>279360</v>
      </c>
      <c r="F156" s="3">
        <f t="shared" si="80"/>
        <v>0</v>
      </c>
      <c r="G156" s="3">
        <f t="shared" si="80"/>
        <v>-121259</v>
      </c>
      <c r="H156" s="3">
        <f t="shared" si="80"/>
        <v>1995144</v>
      </c>
      <c r="I156" s="3">
        <f>I483</f>
        <v>534335</v>
      </c>
      <c r="J156"/>
      <c r="K156"/>
      <c r="L156" s="3">
        <f t="shared" ref="L156" si="81">SUM(L481:L483)</f>
        <v>41300.252999999997</v>
      </c>
      <c r="N156" s="26" t="str">
        <f>'Olieforbrug, TJ'!M156</f>
        <v>4. Quarter 2025</v>
      </c>
    </row>
    <row r="157" spans="1:14" x14ac:dyDescent="0.25">
      <c r="A157" s="170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8" thickBot="1" x14ac:dyDescent="0.3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5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5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5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82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5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82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5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82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5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82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5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82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5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82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5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82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5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82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5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82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5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82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8" thickBot="1" x14ac:dyDescent="0.3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82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5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5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5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82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5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82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5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82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5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82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5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82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5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82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5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82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5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82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5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82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5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82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8" thickBot="1" x14ac:dyDescent="0.3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82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5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5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5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82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5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82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5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82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5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82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5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82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5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82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5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82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5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82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5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82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5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82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8" thickBot="1" x14ac:dyDescent="0.3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82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5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5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5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82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5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82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5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82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5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82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5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82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5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82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5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82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5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82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5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82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5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82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8" thickBot="1" x14ac:dyDescent="0.3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82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5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5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5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82"/>
        <v>73855</v>
      </c>
      <c r="H213" s="69">
        <v>633068</v>
      </c>
      <c r="I213" s="69">
        <v>477010</v>
      </c>
      <c r="J213" s="70"/>
      <c r="K213" s="70"/>
      <c r="L213" s="69">
        <f t="shared" ref="L213:L245" si="83">C213*43/1000</f>
        <v>66032.218999999997</v>
      </c>
      <c r="N213" s="32" t="s">
        <v>116</v>
      </c>
    </row>
    <row r="214" spans="1:14" x14ac:dyDescent="0.25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82"/>
        <v>-151175</v>
      </c>
      <c r="H214" s="69">
        <v>700229</v>
      </c>
      <c r="I214" s="69">
        <v>628185</v>
      </c>
      <c r="J214" s="70"/>
      <c r="K214" s="70"/>
      <c r="L214" s="69">
        <f t="shared" si="83"/>
        <v>70155.747000000003</v>
      </c>
      <c r="N214" s="32" t="s">
        <v>117</v>
      </c>
    </row>
    <row r="215" spans="1:14" x14ac:dyDescent="0.25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82"/>
        <v>130933</v>
      </c>
      <c r="H215" s="69">
        <v>455148</v>
      </c>
      <c r="I215" s="69">
        <v>497252</v>
      </c>
      <c r="J215" s="70"/>
      <c r="K215" s="70"/>
      <c r="L215" s="69">
        <f t="shared" si="83"/>
        <v>69035.941000000006</v>
      </c>
      <c r="N215" s="32" t="s">
        <v>118</v>
      </c>
    </row>
    <row r="216" spans="1:14" x14ac:dyDescent="0.25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82"/>
        <v>8888</v>
      </c>
      <c r="H216" s="69">
        <v>606673</v>
      </c>
      <c r="I216" s="69">
        <v>488364</v>
      </c>
      <c r="J216" s="70"/>
      <c r="K216" s="70"/>
      <c r="L216" s="69">
        <f t="shared" si="83"/>
        <v>67409.38</v>
      </c>
      <c r="N216" s="32" t="s">
        <v>119</v>
      </c>
    </row>
    <row r="217" spans="1:14" x14ac:dyDescent="0.25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82"/>
        <v>10188</v>
      </c>
      <c r="H217" s="69">
        <v>686962</v>
      </c>
      <c r="I217" s="69">
        <v>478176</v>
      </c>
      <c r="J217" s="70"/>
      <c r="K217" s="70"/>
      <c r="L217" s="69">
        <f t="shared" si="83"/>
        <v>66245.585000000006</v>
      </c>
      <c r="N217" s="32" t="s">
        <v>120</v>
      </c>
    </row>
    <row r="218" spans="1:14" x14ac:dyDescent="0.25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82"/>
        <v>-63875</v>
      </c>
      <c r="H218" s="69">
        <v>703712</v>
      </c>
      <c r="I218" s="69">
        <v>542051</v>
      </c>
      <c r="J218" s="70"/>
      <c r="K218" s="70"/>
      <c r="L218" s="69">
        <f t="shared" si="83"/>
        <v>65266.389000000003</v>
      </c>
      <c r="N218" s="32" t="s">
        <v>121</v>
      </c>
    </row>
    <row r="219" spans="1:14" x14ac:dyDescent="0.25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82"/>
        <v>35616</v>
      </c>
      <c r="H219" s="69">
        <v>726418</v>
      </c>
      <c r="I219" s="69">
        <v>506435</v>
      </c>
      <c r="J219" s="70"/>
      <c r="K219" s="70"/>
      <c r="L219" s="69">
        <f t="shared" si="83"/>
        <v>68416.956000000006</v>
      </c>
      <c r="N219" s="32" t="s">
        <v>122</v>
      </c>
    </row>
    <row r="220" spans="1:14" x14ac:dyDescent="0.25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82"/>
        <v>-6158</v>
      </c>
      <c r="H220" s="69">
        <v>570770</v>
      </c>
      <c r="I220" s="69">
        <v>512593</v>
      </c>
      <c r="J220" s="70"/>
      <c r="K220" s="70"/>
      <c r="L220" s="69">
        <f t="shared" si="83"/>
        <v>62753.856</v>
      </c>
      <c r="N220" s="32" t="s">
        <v>123</v>
      </c>
    </row>
    <row r="221" spans="1:14" x14ac:dyDescent="0.25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82"/>
        <v>-62</v>
      </c>
      <c r="H221" s="69">
        <v>668019</v>
      </c>
      <c r="I221" s="69">
        <v>512655</v>
      </c>
      <c r="J221" s="70"/>
      <c r="K221" s="70"/>
      <c r="L221" s="69">
        <f t="shared" si="83"/>
        <v>66064.597999999998</v>
      </c>
      <c r="N221" s="32" t="s">
        <v>124</v>
      </c>
    </row>
    <row r="222" spans="1:14" x14ac:dyDescent="0.25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82"/>
        <v>53229</v>
      </c>
      <c r="H222" s="69">
        <v>583991</v>
      </c>
      <c r="I222" s="69">
        <v>459426</v>
      </c>
      <c r="J222" s="70"/>
      <c r="K222" s="70"/>
      <c r="L222" s="69">
        <f t="shared" si="83"/>
        <v>63852.118999999999</v>
      </c>
      <c r="N222" s="32" t="s">
        <v>125</v>
      </c>
    </row>
    <row r="223" spans="1:14" ht="13.8" thickBot="1" x14ac:dyDescent="0.3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82"/>
        <v>-24366</v>
      </c>
      <c r="H223" s="72">
        <v>699957</v>
      </c>
      <c r="I223" s="72">
        <v>483792</v>
      </c>
      <c r="J223" s="66"/>
      <c r="K223" s="66"/>
      <c r="L223" s="72">
        <f t="shared" si="83"/>
        <v>63196.841999999997</v>
      </c>
      <c r="N223" s="73" t="s">
        <v>113</v>
      </c>
    </row>
    <row r="224" spans="1:14" x14ac:dyDescent="0.25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5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83"/>
        <v>62739.536999999997</v>
      </c>
      <c r="N225" s="32" t="s">
        <v>115</v>
      </c>
    </row>
    <row r="226" spans="1:14" x14ac:dyDescent="0.25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82"/>
        <v>-1501</v>
      </c>
      <c r="H226" s="69">
        <v>634806</v>
      </c>
      <c r="I226" s="69">
        <v>472766</v>
      </c>
      <c r="J226" s="70"/>
      <c r="K226" s="70"/>
      <c r="L226" s="69">
        <f t="shared" si="83"/>
        <v>58107.017999999996</v>
      </c>
      <c r="N226" s="32" t="s">
        <v>116</v>
      </c>
    </row>
    <row r="227" spans="1:14" x14ac:dyDescent="0.25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82"/>
        <v>8032</v>
      </c>
      <c r="H227" s="69">
        <v>609801</v>
      </c>
      <c r="I227" s="69">
        <v>464734</v>
      </c>
      <c r="J227" s="70"/>
      <c r="K227" s="70"/>
      <c r="L227" s="69">
        <f t="shared" si="83"/>
        <v>63256.182000000001</v>
      </c>
      <c r="N227" s="32" t="s">
        <v>117</v>
      </c>
    </row>
    <row r="228" spans="1:14" x14ac:dyDescent="0.25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82"/>
        <v>-121709</v>
      </c>
      <c r="H228" s="69">
        <v>683064</v>
      </c>
      <c r="I228" s="69">
        <v>586443</v>
      </c>
      <c r="J228" s="70"/>
      <c r="K228" s="70"/>
      <c r="L228" s="69">
        <f t="shared" si="83"/>
        <v>57181.012999999999</v>
      </c>
      <c r="N228" s="32" t="s">
        <v>118</v>
      </c>
    </row>
    <row r="229" spans="1:14" x14ac:dyDescent="0.25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82"/>
        <v>63840</v>
      </c>
      <c r="H229" s="69">
        <v>722590</v>
      </c>
      <c r="I229" s="69">
        <v>522603</v>
      </c>
      <c r="J229" s="70"/>
      <c r="K229" s="70"/>
      <c r="L229" s="69">
        <f t="shared" si="83"/>
        <v>65279.031000000003</v>
      </c>
      <c r="N229" s="32" t="s">
        <v>119</v>
      </c>
    </row>
    <row r="230" spans="1:14" x14ac:dyDescent="0.25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4">I229-I230</f>
        <v>-3236</v>
      </c>
      <c r="H230" s="69">
        <v>494182</v>
      </c>
      <c r="I230" s="69">
        <v>525839</v>
      </c>
      <c r="J230" s="70"/>
      <c r="K230" s="70"/>
      <c r="L230" s="69">
        <f t="shared" si="83"/>
        <v>59189.843999999997</v>
      </c>
      <c r="N230" s="32" t="s">
        <v>120</v>
      </c>
    </row>
    <row r="231" spans="1:14" x14ac:dyDescent="0.25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4"/>
        <v>119854</v>
      </c>
      <c r="H231" s="69">
        <v>651141</v>
      </c>
      <c r="I231" s="69">
        <v>405985</v>
      </c>
      <c r="J231" s="70"/>
      <c r="K231" s="70"/>
      <c r="L231" s="69">
        <f t="shared" si="83"/>
        <v>66539.232000000004</v>
      </c>
      <c r="N231" s="32" t="s">
        <v>121</v>
      </c>
    </row>
    <row r="232" spans="1:14" x14ac:dyDescent="0.25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4"/>
        <v>-130404</v>
      </c>
      <c r="H232" s="69">
        <v>690213</v>
      </c>
      <c r="I232" s="69">
        <v>536389</v>
      </c>
      <c r="J232" s="70"/>
      <c r="K232" s="70"/>
      <c r="L232" s="69">
        <f t="shared" si="83"/>
        <v>58653.762999999999</v>
      </c>
      <c r="N232" s="32" t="s">
        <v>122</v>
      </c>
    </row>
    <row r="233" spans="1:14" x14ac:dyDescent="0.25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4"/>
        <v>103305</v>
      </c>
      <c r="H233" s="69">
        <v>611993</v>
      </c>
      <c r="I233" s="69">
        <v>433084</v>
      </c>
      <c r="J233" s="70"/>
      <c r="K233" s="70"/>
      <c r="L233" s="69">
        <f t="shared" si="83"/>
        <v>46702.171000000002</v>
      </c>
      <c r="N233" s="32" t="s">
        <v>123</v>
      </c>
    </row>
    <row r="234" spans="1:14" x14ac:dyDescent="0.25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4"/>
        <v>-146660</v>
      </c>
      <c r="H234" s="69">
        <v>717685</v>
      </c>
      <c r="I234" s="69">
        <v>579744</v>
      </c>
      <c r="J234" s="70"/>
      <c r="K234" s="70"/>
      <c r="L234" s="69">
        <f t="shared" si="83"/>
        <v>62610.192999999999</v>
      </c>
      <c r="N234" s="32" t="s">
        <v>124</v>
      </c>
    </row>
    <row r="235" spans="1:14" x14ac:dyDescent="0.25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4"/>
        <v>36013</v>
      </c>
      <c r="H235" s="69">
        <v>686127</v>
      </c>
      <c r="I235" s="69">
        <v>543731</v>
      </c>
      <c r="J235" s="70"/>
      <c r="K235" s="70"/>
      <c r="L235" s="69">
        <f t="shared" si="83"/>
        <v>61447.343999999997</v>
      </c>
      <c r="N235" s="32" t="s">
        <v>125</v>
      </c>
    </row>
    <row r="236" spans="1:14" ht="13.8" thickBot="1" x14ac:dyDescent="0.3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4"/>
        <v>69133</v>
      </c>
      <c r="H236" s="72">
        <v>713977</v>
      </c>
      <c r="I236" s="72">
        <v>474598</v>
      </c>
      <c r="J236" s="66"/>
      <c r="K236" s="66"/>
      <c r="L236" s="72">
        <f t="shared" si="83"/>
        <v>62357.052000000003</v>
      </c>
      <c r="N236" s="73" t="s">
        <v>113</v>
      </c>
    </row>
    <row r="237" spans="1:14" x14ac:dyDescent="0.25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5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83"/>
        <v>54423.508999999998</v>
      </c>
      <c r="N238" s="32" t="s">
        <v>115</v>
      </c>
    </row>
    <row r="239" spans="1:14" x14ac:dyDescent="0.25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4"/>
        <v>-97536</v>
      </c>
      <c r="H239" s="69">
        <v>635235</v>
      </c>
      <c r="I239" s="69">
        <v>561269</v>
      </c>
      <c r="J239" s="70"/>
      <c r="K239" s="70"/>
      <c r="L239" s="69">
        <f t="shared" si="83"/>
        <v>51344.838000000003</v>
      </c>
      <c r="N239" s="32" t="s">
        <v>116</v>
      </c>
    </row>
    <row r="240" spans="1:14" x14ac:dyDescent="0.25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4"/>
        <v>88888</v>
      </c>
      <c r="H240" s="69">
        <v>635859</v>
      </c>
      <c r="I240" s="69">
        <v>472381</v>
      </c>
      <c r="J240" s="70"/>
      <c r="K240" s="70"/>
      <c r="L240" s="69">
        <f t="shared" si="83"/>
        <v>55467.720999999998</v>
      </c>
      <c r="N240" s="32" t="s">
        <v>117</v>
      </c>
    </row>
    <row r="241" spans="1:14" x14ac:dyDescent="0.25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4"/>
        <v>-24460</v>
      </c>
      <c r="H241" s="69">
        <v>559087</v>
      </c>
      <c r="I241" s="69">
        <v>496841</v>
      </c>
      <c r="J241" s="70"/>
      <c r="K241" s="70"/>
      <c r="L241" s="69">
        <f t="shared" si="83"/>
        <v>53987.747000000003</v>
      </c>
      <c r="N241" s="32" t="s">
        <v>118</v>
      </c>
    </row>
    <row r="242" spans="1:14" x14ac:dyDescent="0.25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4"/>
        <v>46083</v>
      </c>
      <c r="H242" s="69">
        <v>509493</v>
      </c>
      <c r="I242" s="69">
        <v>450758</v>
      </c>
      <c r="J242" s="70"/>
      <c r="K242" s="70"/>
      <c r="L242" s="69">
        <f t="shared" si="83"/>
        <v>55471.849000000002</v>
      </c>
      <c r="N242" s="32" t="s">
        <v>119</v>
      </c>
    </row>
    <row r="243" spans="1:14" x14ac:dyDescent="0.25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4"/>
        <v>55907</v>
      </c>
      <c r="H243" s="69">
        <v>674216</v>
      </c>
      <c r="I243" s="69">
        <v>394851</v>
      </c>
      <c r="J243" s="70"/>
      <c r="K243" s="70"/>
      <c r="L243" s="69">
        <f t="shared" si="83"/>
        <v>54105.953999999998</v>
      </c>
      <c r="N243" s="32" t="s">
        <v>120</v>
      </c>
    </row>
    <row r="244" spans="1:14" x14ac:dyDescent="0.25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4"/>
        <v>-53560</v>
      </c>
      <c r="H244" s="69">
        <v>629035</v>
      </c>
      <c r="I244" s="69">
        <v>448411</v>
      </c>
      <c r="J244" s="70"/>
      <c r="K244" s="70"/>
      <c r="L244" s="69">
        <f t="shared" si="83"/>
        <v>53304.692000000003</v>
      </c>
      <c r="N244" s="32" t="s">
        <v>121</v>
      </c>
    </row>
    <row r="245" spans="1:14" x14ac:dyDescent="0.25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4"/>
        <v>58734</v>
      </c>
      <c r="H245" s="69">
        <v>638158</v>
      </c>
      <c r="I245" s="69">
        <v>389677</v>
      </c>
      <c r="J245" s="70"/>
      <c r="K245" s="70"/>
      <c r="L245" s="69">
        <f t="shared" si="83"/>
        <v>57631.050999999999</v>
      </c>
      <c r="N245" s="32" t="s">
        <v>122</v>
      </c>
    </row>
    <row r="246" spans="1:14" x14ac:dyDescent="0.25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4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5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4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5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4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8" thickBot="1" x14ac:dyDescent="0.3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4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5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5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5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5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5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5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5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5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5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5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5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5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8" thickBot="1" x14ac:dyDescent="0.3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5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5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5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5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5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5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5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5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5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5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5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5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8" thickBot="1" x14ac:dyDescent="0.3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5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5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5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5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5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5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5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5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5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5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5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5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8" thickBot="1" x14ac:dyDescent="0.3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5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5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5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5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5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5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5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5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5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5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5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5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8" thickBot="1" x14ac:dyDescent="0.3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5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5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5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5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5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5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5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5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5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5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5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5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8" thickBot="1" x14ac:dyDescent="0.3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5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5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5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5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5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5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5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5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5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5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5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5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8" thickBot="1" x14ac:dyDescent="0.3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5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5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5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5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5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5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5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5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5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5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5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5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8" thickBot="1" x14ac:dyDescent="0.3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5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5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5">C342*43/1000</f>
        <v>28511.794999999998</v>
      </c>
      <c r="M342" s="65"/>
      <c r="N342" s="32" t="str">
        <f>'Olieforbrug, TJ'!M342</f>
        <v>January</v>
      </c>
    </row>
    <row r="343" spans="1:14" x14ac:dyDescent="0.25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6">I342-I343</f>
        <v>855</v>
      </c>
      <c r="H343" s="65">
        <v>563976</v>
      </c>
      <c r="I343" s="65">
        <v>464670</v>
      </c>
      <c r="J343" s="70"/>
      <c r="K343" s="70"/>
      <c r="L343" s="69">
        <f t="shared" si="85"/>
        <v>26020.805</v>
      </c>
      <c r="M343" s="65"/>
      <c r="N343" s="32" t="str">
        <f>'Olieforbrug, TJ'!M343</f>
        <v>February</v>
      </c>
    </row>
    <row r="344" spans="1:14" x14ac:dyDescent="0.25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6"/>
        <v>-26896</v>
      </c>
      <c r="H344" s="65">
        <v>601908</v>
      </c>
      <c r="I344" s="65">
        <v>491566</v>
      </c>
      <c r="J344" s="70"/>
      <c r="K344" s="70"/>
      <c r="L344" s="69">
        <f t="shared" si="85"/>
        <v>27557.754000000001</v>
      </c>
      <c r="M344" s="65"/>
      <c r="N344" s="32" t="str">
        <f>'Olieforbrug, TJ'!M344</f>
        <v>March</v>
      </c>
    </row>
    <row r="345" spans="1:14" x14ac:dyDescent="0.25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6"/>
        <v>65596</v>
      </c>
      <c r="H345" s="65">
        <v>608305</v>
      </c>
      <c r="I345" s="65">
        <v>425970</v>
      </c>
      <c r="J345" s="70"/>
      <c r="K345" s="70"/>
      <c r="L345" s="69">
        <f t="shared" si="85"/>
        <v>28010.544000000002</v>
      </c>
      <c r="M345" s="65"/>
      <c r="N345" s="32" t="str">
        <f>'Olieforbrug, TJ'!M345</f>
        <v>April</v>
      </c>
    </row>
    <row r="346" spans="1:14" x14ac:dyDescent="0.25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6"/>
        <v>-81275</v>
      </c>
      <c r="H346" s="65">
        <v>622315</v>
      </c>
      <c r="I346" s="65">
        <v>507245</v>
      </c>
      <c r="J346" s="70"/>
      <c r="K346" s="70"/>
      <c r="L346" s="69">
        <f t="shared" si="85"/>
        <v>28946.052</v>
      </c>
      <c r="M346" s="65"/>
      <c r="N346" s="32" t="str">
        <f>'Olieforbrug, TJ'!M346</f>
        <v>May</v>
      </c>
    </row>
    <row r="347" spans="1:14" x14ac:dyDescent="0.25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6"/>
        <v>68208</v>
      </c>
      <c r="H347" s="65">
        <v>624127</v>
      </c>
      <c r="I347" s="65">
        <v>439037</v>
      </c>
      <c r="J347" s="70"/>
      <c r="K347" s="70"/>
      <c r="L347" s="69">
        <f t="shared" si="85"/>
        <v>27332.175999999999</v>
      </c>
      <c r="M347" s="65"/>
      <c r="N347" s="32" t="str">
        <f>'Olieforbrug, TJ'!M347</f>
        <v>June</v>
      </c>
    </row>
    <row r="348" spans="1:14" x14ac:dyDescent="0.25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6"/>
        <v>9508</v>
      </c>
      <c r="H348" s="65">
        <v>657761</v>
      </c>
      <c r="I348" s="65">
        <v>429529</v>
      </c>
      <c r="J348" s="70"/>
      <c r="K348" s="70"/>
      <c r="L348" s="69">
        <f t="shared" si="85"/>
        <v>27769.701000000001</v>
      </c>
      <c r="M348" s="65"/>
      <c r="N348" s="32" t="str">
        <f>'Olieforbrug, TJ'!M348</f>
        <v>July</v>
      </c>
    </row>
    <row r="349" spans="1:14" x14ac:dyDescent="0.25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5"/>
        <v>28270.092000000001</v>
      </c>
      <c r="M349" s="65"/>
      <c r="N349" s="32" t="str">
        <f>'Olieforbrug, TJ'!M349</f>
        <v>August</v>
      </c>
    </row>
    <row r="350" spans="1:14" x14ac:dyDescent="0.25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5"/>
        <v>27024.038</v>
      </c>
      <c r="M350" s="65"/>
      <c r="N350" s="32" t="str">
        <f>'Olieforbrug, TJ'!M350</f>
        <v>September</v>
      </c>
    </row>
    <row r="351" spans="1:14" x14ac:dyDescent="0.25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5"/>
        <v>28145.951000000001</v>
      </c>
      <c r="M351" s="65"/>
      <c r="N351" s="32" t="str">
        <f>'Olieforbrug, TJ'!M351</f>
        <v>October</v>
      </c>
    </row>
    <row r="352" spans="1:14" x14ac:dyDescent="0.25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5"/>
        <v>26298.799999999999</v>
      </c>
      <c r="M352" s="65"/>
      <c r="N352" s="32" t="str">
        <f>'Olieforbrug, TJ'!M352</f>
        <v>November</v>
      </c>
    </row>
    <row r="353" spans="1:14" ht="13.8" thickBot="1" x14ac:dyDescent="0.3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5"/>
        <v>26774.207999999999</v>
      </c>
      <c r="M353" s="65"/>
      <c r="N353" s="73" t="str">
        <f>'Olieforbrug, TJ'!M353</f>
        <v>December</v>
      </c>
    </row>
    <row r="354" spans="1:14" x14ac:dyDescent="0.25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5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5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5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5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5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5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5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5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5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5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5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8" thickBot="1" x14ac:dyDescent="0.3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5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5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7">C368*43/1000</f>
        <v>23706.846000000001</v>
      </c>
      <c r="M368" s="65"/>
      <c r="N368" s="32" t="str">
        <f>'Olieforbrug, TJ'!M368</f>
        <v>January</v>
      </c>
    </row>
    <row r="369" spans="1:14" x14ac:dyDescent="0.25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8">I368-I369</f>
        <v>30455</v>
      </c>
      <c r="H369" s="65">
        <v>602660</v>
      </c>
      <c r="I369" s="65">
        <v>453543</v>
      </c>
      <c r="J369" s="70"/>
      <c r="K369" s="70"/>
      <c r="L369" s="69">
        <f t="shared" si="87"/>
        <v>23227.223999999998</v>
      </c>
      <c r="M369" s="65"/>
      <c r="N369" s="32" t="str">
        <f>'Olieforbrug, TJ'!M369</f>
        <v>February</v>
      </c>
    </row>
    <row r="370" spans="1:14" x14ac:dyDescent="0.25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8"/>
        <v>75461</v>
      </c>
      <c r="H370" s="65">
        <v>653528</v>
      </c>
      <c r="I370" s="65">
        <v>378082</v>
      </c>
      <c r="J370" s="70"/>
      <c r="K370" s="70"/>
      <c r="L370" s="69">
        <f t="shared" si="87"/>
        <v>24256.901999999998</v>
      </c>
      <c r="M370" s="65"/>
      <c r="N370" s="32" t="str">
        <f>'Olieforbrug, TJ'!M370</f>
        <v>March</v>
      </c>
    </row>
    <row r="371" spans="1:14" x14ac:dyDescent="0.25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8"/>
        <v>-131008</v>
      </c>
      <c r="H371" s="65">
        <v>638221</v>
      </c>
      <c r="I371" s="65">
        <v>509090</v>
      </c>
      <c r="J371" s="70"/>
      <c r="K371" s="70"/>
      <c r="L371" s="69">
        <f t="shared" si="87"/>
        <v>25040.276000000002</v>
      </c>
      <c r="M371" s="65"/>
      <c r="N371" s="32" t="str">
        <f>'Olieforbrug, TJ'!M371</f>
        <v>April</v>
      </c>
    </row>
    <row r="372" spans="1:14" x14ac:dyDescent="0.25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8"/>
        <v>80800</v>
      </c>
      <c r="H372" s="65">
        <v>676013</v>
      </c>
      <c r="I372" s="65">
        <v>428290</v>
      </c>
      <c r="J372" s="70"/>
      <c r="K372" s="70"/>
      <c r="L372" s="69">
        <f t="shared" si="87"/>
        <v>23968.716</v>
      </c>
      <c r="M372" s="65"/>
      <c r="N372" s="32" t="str">
        <f>'Olieforbrug, TJ'!M372</f>
        <v>May</v>
      </c>
    </row>
    <row r="373" spans="1:14" x14ac:dyDescent="0.25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8"/>
        <v>-59741</v>
      </c>
      <c r="H373" s="65">
        <v>640945</v>
      </c>
      <c r="I373" s="65">
        <v>488031</v>
      </c>
      <c r="J373" s="70"/>
      <c r="K373" s="70"/>
      <c r="L373" s="69">
        <f t="shared" si="87"/>
        <v>24760.904999999999</v>
      </c>
      <c r="M373" s="65"/>
      <c r="N373" s="32" t="str">
        <f>'Olieforbrug, TJ'!M373</f>
        <v>June</v>
      </c>
    </row>
    <row r="374" spans="1:14" x14ac:dyDescent="0.25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8"/>
        <v>90974</v>
      </c>
      <c r="H374" s="65">
        <v>699079</v>
      </c>
      <c r="I374" s="65">
        <v>397057</v>
      </c>
      <c r="J374" s="70"/>
      <c r="K374" s="70"/>
      <c r="L374" s="69">
        <f t="shared" si="87"/>
        <v>24897.171999999999</v>
      </c>
      <c r="M374" s="65"/>
      <c r="N374" s="32" t="str">
        <f>'Olieforbrug, TJ'!M374</f>
        <v>July</v>
      </c>
    </row>
    <row r="375" spans="1:14" x14ac:dyDescent="0.25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7"/>
        <v>25090.328000000001</v>
      </c>
      <c r="M375" s="65"/>
      <c r="N375" s="32" t="str">
        <f>'Olieforbrug, TJ'!M375</f>
        <v>August</v>
      </c>
    </row>
    <row r="376" spans="1:14" x14ac:dyDescent="0.25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7"/>
        <v>24141.833999999999</v>
      </c>
      <c r="M376" s="65"/>
      <c r="N376" s="32" t="str">
        <f>'Olieforbrug, TJ'!M376</f>
        <v>September</v>
      </c>
    </row>
    <row r="377" spans="1:14" x14ac:dyDescent="0.25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7"/>
        <v>23555.787</v>
      </c>
      <c r="M377" s="65"/>
      <c r="N377" s="32" t="str">
        <f>'Olieforbrug, TJ'!M377</f>
        <v>October</v>
      </c>
    </row>
    <row r="378" spans="1:14" x14ac:dyDescent="0.25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7"/>
        <v>23422.1</v>
      </c>
      <c r="M378" s="65"/>
      <c r="N378" s="32" t="str">
        <f>'Olieforbrug, TJ'!M378</f>
        <v>November</v>
      </c>
    </row>
    <row r="379" spans="1:14" ht="13.8" thickBot="1" x14ac:dyDescent="0.3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7"/>
        <v>23621.491000000002</v>
      </c>
      <c r="M379" s="65"/>
      <c r="N379" s="73" t="str">
        <f>'Olieforbrug, TJ'!M379</f>
        <v>December</v>
      </c>
    </row>
    <row r="380" spans="1:14" x14ac:dyDescent="0.25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5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5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9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90">C382*43/1000</f>
        <v>19258.883000000002</v>
      </c>
      <c r="M382" s="65"/>
      <c r="N382" s="32" t="str">
        <f>'Olieforbrug, TJ'!M382</f>
        <v>February</v>
      </c>
    </row>
    <row r="383" spans="1:14" x14ac:dyDescent="0.25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9"/>
        <v>63074</v>
      </c>
      <c r="H383" s="65">
        <v>620816</v>
      </c>
      <c r="I383" s="65">
        <v>433419</v>
      </c>
      <c r="J383" s="70"/>
      <c r="K383" s="70"/>
      <c r="L383" s="69">
        <f t="shared" si="90"/>
        <v>20045.396000000001</v>
      </c>
      <c r="M383" s="65"/>
      <c r="N383" s="32" t="str">
        <f>'Olieforbrug, TJ'!M383</f>
        <v>March</v>
      </c>
    </row>
    <row r="384" spans="1:14" x14ac:dyDescent="0.25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9"/>
        <v>-77169</v>
      </c>
      <c r="H384" s="65">
        <v>629821</v>
      </c>
      <c r="I384" s="65">
        <v>510588</v>
      </c>
      <c r="J384" s="70"/>
      <c r="K384" s="70"/>
      <c r="L384" s="69">
        <f t="shared" si="90"/>
        <v>19881.135999999999</v>
      </c>
      <c r="M384" s="65"/>
      <c r="N384" s="32" t="str">
        <f>'Olieforbrug, TJ'!M384</f>
        <v>April</v>
      </c>
    </row>
    <row r="385" spans="1:16" x14ac:dyDescent="0.25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9"/>
        <v>0</v>
      </c>
      <c r="H385" s="65">
        <v>629821</v>
      </c>
      <c r="I385" s="65">
        <v>510588</v>
      </c>
      <c r="J385" s="70"/>
      <c r="K385" s="70"/>
      <c r="L385" s="69">
        <f t="shared" si="90"/>
        <v>19881.135999999999</v>
      </c>
      <c r="M385" s="65"/>
      <c r="N385" s="32" t="str">
        <f>'Olieforbrug, TJ'!M385</f>
        <v>May</v>
      </c>
    </row>
    <row r="386" spans="1:16" x14ac:dyDescent="0.25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9"/>
        <v>32602</v>
      </c>
      <c r="H386" s="65">
        <v>647132</v>
      </c>
      <c r="I386" s="65">
        <v>477986</v>
      </c>
      <c r="J386" s="70"/>
      <c r="K386" s="70"/>
      <c r="L386" s="69">
        <f t="shared" si="90"/>
        <v>18487.893</v>
      </c>
      <c r="M386" s="65"/>
      <c r="N386" s="32" t="str">
        <f>'Olieforbrug, TJ'!M386</f>
        <v>June</v>
      </c>
    </row>
    <row r="387" spans="1:16" x14ac:dyDescent="0.25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9"/>
        <v>-117542</v>
      </c>
      <c r="H387" s="65">
        <v>668374</v>
      </c>
      <c r="I387" s="65">
        <v>595528</v>
      </c>
      <c r="J387" s="70"/>
      <c r="K387" s="70"/>
      <c r="L387" s="69">
        <f t="shared" si="90"/>
        <v>22134.035</v>
      </c>
      <c r="M387" s="65"/>
      <c r="N387" s="32" t="str">
        <f>'Olieforbrug, TJ'!M387</f>
        <v>July</v>
      </c>
    </row>
    <row r="388" spans="1:16" x14ac:dyDescent="0.25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5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5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5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8" thickBot="1" x14ac:dyDescent="0.3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5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5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91">C394*43/1000</f>
        <v>19467.132000000001</v>
      </c>
      <c r="M394" s="65"/>
      <c r="N394" s="32" t="str">
        <f>'Olieforbrug, TJ'!M394</f>
        <v>January</v>
      </c>
    </row>
    <row r="395" spans="1:16" x14ac:dyDescent="0.25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92">I394-I395</f>
        <v>29361</v>
      </c>
      <c r="H395" s="65">
        <v>622314</v>
      </c>
      <c r="I395" s="65">
        <v>478303</v>
      </c>
      <c r="J395" s="70"/>
      <c r="K395" s="70"/>
      <c r="L395" s="69">
        <f t="shared" si="91"/>
        <v>18945.455999999998</v>
      </c>
      <c r="M395" s="65"/>
      <c r="N395" s="32" t="str">
        <f>'Olieforbrug, TJ'!M395</f>
        <v>February</v>
      </c>
    </row>
    <row r="396" spans="1:16" x14ac:dyDescent="0.25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92"/>
        <v>-23692</v>
      </c>
      <c r="H396" s="65">
        <v>669035</v>
      </c>
      <c r="I396" s="65">
        <v>501995</v>
      </c>
      <c r="J396" s="70"/>
      <c r="K396" s="70"/>
      <c r="L396" s="69">
        <f t="shared" si="91"/>
        <v>21318.669000000002</v>
      </c>
      <c r="M396" s="65"/>
      <c r="N396" s="32" t="str">
        <f>'Olieforbrug, TJ'!M396</f>
        <v>March</v>
      </c>
    </row>
    <row r="397" spans="1:16" x14ac:dyDescent="0.25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92"/>
        <v>21654</v>
      </c>
      <c r="H397" s="65">
        <v>650527</v>
      </c>
      <c r="I397" s="65">
        <v>480341</v>
      </c>
      <c r="J397" s="70"/>
      <c r="K397" s="70"/>
      <c r="L397" s="69">
        <f t="shared" si="91"/>
        <v>20580.273000000001</v>
      </c>
      <c r="M397" s="65"/>
      <c r="N397" s="32" t="str">
        <f>'Olieforbrug, TJ'!M397</f>
        <v>April</v>
      </c>
    </row>
    <row r="398" spans="1:16" x14ac:dyDescent="0.25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92"/>
        <v>66149</v>
      </c>
      <c r="H398" s="65">
        <v>663722</v>
      </c>
      <c r="I398" s="65">
        <v>414192</v>
      </c>
      <c r="J398" s="70"/>
      <c r="K398" s="70"/>
      <c r="L398" s="69">
        <f t="shared" si="91"/>
        <v>21128.394</v>
      </c>
      <c r="M398" s="65"/>
      <c r="N398" s="32" t="str">
        <f>'Olieforbrug, TJ'!M398</f>
        <v>May</v>
      </c>
    </row>
    <row r="399" spans="1:16" x14ac:dyDescent="0.25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92"/>
        <v>-72740</v>
      </c>
      <c r="H399" s="65">
        <v>601097</v>
      </c>
      <c r="I399" s="65">
        <v>486932</v>
      </c>
      <c r="J399" s="70"/>
      <c r="K399" s="70"/>
      <c r="L399" s="69">
        <f t="shared" si="91"/>
        <v>19349.741999999998</v>
      </c>
      <c r="M399" s="65"/>
      <c r="N399" s="32" t="str">
        <f>'Olieforbrug, TJ'!M399</f>
        <v>June</v>
      </c>
    </row>
    <row r="400" spans="1:16" x14ac:dyDescent="0.25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92"/>
        <v>40935</v>
      </c>
      <c r="H400" s="65">
        <v>655856</v>
      </c>
      <c r="I400" s="65">
        <v>445997</v>
      </c>
      <c r="J400" s="70"/>
      <c r="K400" s="70"/>
      <c r="L400" s="69">
        <f t="shared" si="91"/>
        <v>19074.069</v>
      </c>
      <c r="M400" s="65"/>
      <c r="N400" s="32" t="str">
        <f>'Olieforbrug, TJ'!M400</f>
        <v>July</v>
      </c>
    </row>
    <row r="401" spans="1:16" x14ac:dyDescent="0.25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91"/>
        <v>17505.988000000001</v>
      </c>
      <c r="M401" s="65"/>
      <c r="N401" s="32" t="str">
        <f>'Olieforbrug, TJ'!M401</f>
        <v>August</v>
      </c>
    </row>
    <row r="402" spans="1:16" x14ac:dyDescent="0.25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91"/>
        <v>15331.091</v>
      </c>
      <c r="M402" s="65"/>
      <c r="N402" s="32" t="str">
        <f>'Olieforbrug, TJ'!M402</f>
        <v>September</v>
      </c>
    </row>
    <row r="403" spans="1:16" x14ac:dyDescent="0.25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91"/>
        <v>15073.865</v>
      </c>
      <c r="M403" s="65"/>
      <c r="N403" s="32" t="str">
        <f>'Olieforbrug, TJ'!M403</f>
        <v>October</v>
      </c>
    </row>
    <row r="404" spans="1:16" x14ac:dyDescent="0.25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91"/>
        <v>12970.648999999999</v>
      </c>
      <c r="M404" s="65"/>
      <c r="N404" s="32" t="str">
        <f>'Olieforbrug, TJ'!M404</f>
        <v>November</v>
      </c>
    </row>
    <row r="405" spans="1:16" ht="13.8" thickBot="1" x14ac:dyDescent="0.3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91"/>
        <v>14995.734</v>
      </c>
      <c r="M405" s="65"/>
      <c r="N405" s="73" t="str">
        <f>'Olieforbrug, TJ'!M405</f>
        <v>December</v>
      </c>
    </row>
    <row r="406" spans="1:16" x14ac:dyDescent="0.25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5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5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93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5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93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5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93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5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93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5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93"/>
        <v>59885</v>
      </c>
      <c r="H412" s="65">
        <v>611653</v>
      </c>
      <c r="I412" s="65">
        <v>611082</v>
      </c>
      <c r="J412" s="70"/>
      <c r="K412" s="70"/>
      <c r="L412" s="69">
        <f t="shared" ref="L412:L418" si="94">C412*43/1000</f>
        <v>11273.782999999999</v>
      </c>
      <c r="N412" s="32" t="str">
        <f>'Olieforbrug, TJ'!M412</f>
        <v>June</v>
      </c>
    </row>
    <row r="413" spans="1:16" x14ac:dyDescent="0.25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93"/>
        <v>17541</v>
      </c>
      <c r="H413" s="65">
        <v>641209</v>
      </c>
      <c r="I413" s="65">
        <v>593541</v>
      </c>
      <c r="J413" s="70"/>
      <c r="K413" s="70"/>
      <c r="L413" s="69">
        <f t="shared" si="94"/>
        <v>12871.706</v>
      </c>
      <c r="N413" s="32" t="str">
        <f>'Olieforbrug, TJ'!M413</f>
        <v>July</v>
      </c>
    </row>
    <row r="414" spans="1:16" x14ac:dyDescent="0.25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4"/>
        <v>12629.701999999999</v>
      </c>
      <c r="N414" s="32" t="str">
        <f>'Olieforbrug, TJ'!M414</f>
        <v>August</v>
      </c>
    </row>
    <row r="415" spans="1:16" x14ac:dyDescent="0.25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4"/>
        <v>11813.647999999999</v>
      </c>
      <c r="N415" s="32" t="str">
        <f>'Olieforbrug, TJ'!M415</f>
        <v>September</v>
      </c>
    </row>
    <row r="416" spans="1:16" x14ac:dyDescent="0.25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4"/>
        <v>12824.147999999999</v>
      </c>
      <c r="N416" s="32" t="str">
        <f>'Olieforbrug, TJ'!M416</f>
        <v>October</v>
      </c>
    </row>
    <row r="417" spans="1:16" x14ac:dyDescent="0.25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4"/>
        <v>11328.049000000001</v>
      </c>
      <c r="N417" s="32" t="str">
        <f>'Olieforbrug, TJ'!M417</f>
        <v>November</v>
      </c>
    </row>
    <row r="418" spans="1:16" ht="13.8" thickBot="1" x14ac:dyDescent="0.3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4"/>
        <v>10881.494000000001</v>
      </c>
      <c r="M418" s="65"/>
      <c r="N418" s="73" t="str">
        <f>'Olieforbrug, TJ'!M418</f>
        <v>December</v>
      </c>
    </row>
    <row r="419" spans="1:16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5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5">C420*43/1000</f>
        <v>11763.252</v>
      </c>
      <c r="M420" s="65"/>
      <c r="N420" s="32" t="str">
        <f>'Olieforbrug, TJ'!M420</f>
        <v>January</v>
      </c>
      <c r="P420" s="65"/>
    </row>
    <row r="421" spans="1:16" x14ac:dyDescent="0.25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6">I420-I421</f>
        <v>-176967</v>
      </c>
      <c r="H421" s="65">
        <v>572743</v>
      </c>
      <c r="I421" s="65">
        <v>749201</v>
      </c>
      <c r="J421" s="70"/>
      <c r="K421" s="70"/>
      <c r="L421" s="69">
        <f t="shared" si="95"/>
        <v>9593.5580000000009</v>
      </c>
      <c r="M421" s="65"/>
      <c r="N421" s="32" t="str">
        <f>'Olieforbrug, TJ'!M421</f>
        <v>February</v>
      </c>
      <c r="P421" s="65"/>
    </row>
    <row r="422" spans="1:16" x14ac:dyDescent="0.25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6"/>
        <v>-10865</v>
      </c>
      <c r="H422" s="65">
        <v>650984</v>
      </c>
      <c r="I422" s="65">
        <v>760066</v>
      </c>
      <c r="J422" s="70"/>
      <c r="K422" s="70"/>
      <c r="L422" s="69">
        <f t="shared" si="95"/>
        <v>11256.626</v>
      </c>
      <c r="M422" s="65"/>
      <c r="N422" s="32" t="str">
        <f>'Olieforbrug, TJ'!M422</f>
        <v>March</v>
      </c>
      <c r="P422" s="65"/>
    </row>
    <row r="423" spans="1:16" x14ac:dyDescent="0.25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6"/>
        <v>204571</v>
      </c>
      <c r="H423" s="65">
        <v>640086</v>
      </c>
      <c r="I423" s="65">
        <v>555495</v>
      </c>
      <c r="J423" s="70"/>
      <c r="K423" s="70"/>
      <c r="L423" s="69">
        <f t="shared" si="95"/>
        <v>11545.585999999999</v>
      </c>
      <c r="M423" s="65"/>
      <c r="N423" s="32" t="str">
        <f>'Olieforbrug, TJ'!M423</f>
        <v>April</v>
      </c>
    </row>
    <row r="424" spans="1:16" x14ac:dyDescent="0.25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6"/>
        <v>-75060</v>
      </c>
      <c r="H424" s="65">
        <v>642688</v>
      </c>
      <c r="I424" s="65">
        <v>630555</v>
      </c>
      <c r="J424" s="70"/>
      <c r="K424" s="70"/>
      <c r="L424" s="69">
        <f t="shared" si="95"/>
        <v>12367.402</v>
      </c>
      <c r="M424" s="65"/>
      <c r="N424" s="32" t="str">
        <f>'Olieforbrug, TJ'!M424</f>
        <v>May</v>
      </c>
    </row>
    <row r="425" spans="1:16" ht="14.1" customHeight="1" x14ac:dyDescent="0.25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6"/>
        <v>59010</v>
      </c>
      <c r="H425" s="65">
        <v>602690</v>
      </c>
      <c r="I425" s="65">
        <v>571545</v>
      </c>
      <c r="J425" s="70"/>
      <c r="K425" s="70"/>
      <c r="L425" s="69">
        <f t="shared" si="95"/>
        <v>11289.434999999999</v>
      </c>
      <c r="N425" s="32" t="str">
        <f>'Olieforbrug, TJ'!M425</f>
        <v>June</v>
      </c>
    </row>
    <row r="426" spans="1:16" x14ac:dyDescent="0.25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6"/>
        <v>22875</v>
      </c>
      <c r="H426" s="65">
        <v>626789</v>
      </c>
      <c r="I426" s="65">
        <v>548670</v>
      </c>
      <c r="J426" s="70"/>
      <c r="K426" s="70"/>
      <c r="L426" s="69">
        <f t="shared" si="95"/>
        <v>12118.432000000001</v>
      </c>
      <c r="N426" s="32" t="str">
        <f>'Olieforbrug, TJ'!M426</f>
        <v>July</v>
      </c>
    </row>
    <row r="427" spans="1:16" x14ac:dyDescent="0.25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5"/>
        <v>12481.352000000001</v>
      </c>
      <c r="N427" s="32" t="str">
        <f>'Olieforbrug, TJ'!M427</f>
        <v>August</v>
      </c>
    </row>
    <row r="428" spans="1:16" x14ac:dyDescent="0.25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5"/>
        <v>11136.656000000001</v>
      </c>
      <c r="N428" s="32" t="str">
        <f>'Olieforbrug, TJ'!M428</f>
        <v>September</v>
      </c>
    </row>
    <row r="429" spans="1:16" x14ac:dyDescent="0.25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5"/>
        <v>10734.563</v>
      </c>
      <c r="N429" s="32" t="str">
        <f>'Olieforbrug, TJ'!M429</f>
        <v>October</v>
      </c>
    </row>
    <row r="430" spans="1:16" x14ac:dyDescent="0.25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5"/>
        <v>11899.992</v>
      </c>
      <c r="N430" s="32" t="s">
        <v>125</v>
      </c>
    </row>
    <row r="431" spans="1:16" ht="13.8" thickBot="1" x14ac:dyDescent="0.3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5"/>
        <v>12993.482</v>
      </c>
      <c r="N431" s="73" t="s">
        <v>113</v>
      </c>
    </row>
    <row r="432" spans="1:16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5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7">C433*43/1000</f>
        <v>11817.561</v>
      </c>
      <c r="M433" s="65"/>
      <c r="N433" s="32" t="str">
        <f>'Olieforbrug, TJ'!M433</f>
        <v>January</v>
      </c>
    </row>
    <row r="434" spans="1:14" x14ac:dyDescent="0.25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8">I433-I434</f>
        <v>-187504</v>
      </c>
      <c r="H434" s="65">
        <v>583228</v>
      </c>
      <c r="I434" s="65">
        <v>514294</v>
      </c>
      <c r="J434" s="70"/>
      <c r="K434" s="70"/>
      <c r="L434" s="69">
        <f t="shared" si="97"/>
        <v>11217.453</v>
      </c>
      <c r="M434" s="65"/>
      <c r="N434" s="32" t="str">
        <f>'Olieforbrug, TJ'!M434</f>
        <v>February</v>
      </c>
    </row>
    <row r="435" spans="1:14" x14ac:dyDescent="0.25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8"/>
        <v>46325</v>
      </c>
      <c r="H435" s="65">
        <v>473578</v>
      </c>
      <c r="I435" s="65">
        <v>467969</v>
      </c>
      <c r="J435" s="70"/>
      <c r="K435" s="70"/>
      <c r="L435" s="69">
        <f t="shared" si="97"/>
        <v>12580.424000000001</v>
      </c>
      <c r="M435" s="65"/>
      <c r="N435" s="32" t="str">
        <f>'Olieforbrug, TJ'!M435</f>
        <v>March</v>
      </c>
    </row>
    <row r="436" spans="1:14" x14ac:dyDescent="0.25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8"/>
        <v>-64094</v>
      </c>
      <c r="H436" s="65">
        <v>637241</v>
      </c>
      <c r="I436" s="65">
        <v>532063</v>
      </c>
      <c r="J436" s="70"/>
      <c r="K436" s="70"/>
      <c r="L436" s="69">
        <f t="shared" si="97"/>
        <v>12287.293</v>
      </c>
      <c r="M436" s="65"/>
      <c r="N436" s="32" t="str">
        <f>'Olieforbrug, TJ'!M436</f>
        <v>April</v>
      </c>
    </row>
    <row r="437" spans="1:14" x14ac:dyDescent="0.25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8"/>
        <v>-20300</v>
      </c>
      <c r="H437" s="65">
        <v>681834</v>
      </c>
      <c r="I437" s="65">
        <v>552363</v>
      </c>
      <c r="J437" s="70"/>
      <c r="K437" s="70"/>
      <c r="L437" s="69">
        <f t="shared" si="97"/>
        <v>11270.084999999999</v>
      </c>
      <c r="M437" s="65"/>
      <c r="N437" s="32" t="str">
        <f>'Olieforbrug, TJ'!M437</f>
        <v>May</v>
      </c>
    </row>
    <row r="438" spans="1:14" x14ac:dyDescent="0.25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8"/>
        <v>47372</v>
      </c>
      <c r="H438" s="65">
        <v>661024</v>
      </c>
      <c r="I438" s="65">
        <v>504991</v>
      </c>
      <c r="J438" s="70"/>
      <c r="K438" s="70"/>
      <c r="L438" s="69">
        <f t="shared" si="97"/>
        <v>11338.325999999999</v>
      </c>
      <c r="M438" s="65"/>
      <c r="N438" s="32" t="str">
        <f>'Olieforbrug, TJ'!M438</f>
        <v>June</v>
      </c>
    </row>
    <row r="439" spans="1:14" x14ac:dyDescent="0.25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8"/>
        <v>76290</v>
      </c>
      <c r="H439" s="65">
        <v>679329</v>
      </c>
      <c r="I439" s="65">
        <v>428701</v>
      </c>
      <c r="J439" s="70"/>
      <c r="K439" s="70"/>
      <c r="L439" s="69">
        <f t="shared" ref="L439" si="99">C439*43/1000</f>
        <v>11420.929</v>
      </c>
      <c r="M439" s="65"/>
      <c r="N439" s="32" t="str">
        <f>'Olieforbrug, TJ'!M439</f>
        <v>July</v>
      </c>
    </row>
    <row r="440" spans="1:14" x14ac:dyDescent="0.25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100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101">C440*43/1000</f>
        <v>11538.706</v>
      </c>
      <c r="M440" s="65"/>
      <c r="N440" s="32" t="str">
        <f>'Olieforbrug, TJ'!M440</f>
        <v>August</v>
      </c>
    </row>
    <row r="441" spans="1:14" x14ac:dyDescent="0.25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102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103">C441*43/1000</f>
        <v>9975.6129999999994</v>
      </c>
      <c r="M441" s="65"/>
      <c r="N441" s="32" t="str">
        <f>'Olieforbrug, TJ'!M441</f>
        <v>September</v>
      </c>
    </row>
    <row r="442" spans="1:14" x14ac:dyDescent="0.25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4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5">C442*43/1000</f>
        <v>11553.067999999999</v>
      </c>
      <c r="M442" s="65"/>
      <c r="N442" s="32" t="str">
        <f>'Olieforbrug, TJ'!M442</f>
        <v>October</v>
      </c>
    </row>
    <row r="443" spans="1:14" x14ac:dyDescent="0.25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6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7">C443*43/1000</f>
        <v>11268.880999999999</v>
      </c>
      <c r="M443" s="65"/>
      <c r="N443" s="32" t="str">
        <f>'Olieforbrug, TJ'!M443</f>
        <v>November</v>
      </c>
    </row>
    <row r="444" spans="1:14" ht="13.8" thickBot="1" x14ac:dyDescent="0.3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8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9">C444*43/1000</f>
        <v>10680.641</v>
      </c>
      <c r="M444" s="69"/>
      <c r="N444" s="73" t="str">
        <f>'Olieforbrug, TJ'!M444</f>
        <v>December</v>
      </c>
    </row>
    <row r="445" spans="1:14" x14ac:dyDescent="0.25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5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10">C446*43/1000</f>
        <v>11607.162</v>
      </c>
      <c r="N446" s="32" t="str">
        <f>'Olieforbrug, TJ'!M446</f>
        <v>January</v>
      </c>
    </row>
    <row r="447" spans="1:14" x14ac:dyDescent="0.25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11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12">C447*43/1000</f>
        <v>9508.2890000000007</v>
      </c>
      <c r="N447" s="32" t="str">
        <f>'Olieforbrug, TJ'!M447</f>
        <v>February</v>
      </c>
    </row>
    <row r="448" spans="1:14" x14ac:dyDescent="0.25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11"/>
        <v>-34047</v>
      </c>
      <c r="H448" s="69">
        <v>624433</v>
      </c>
      <c r="I448" s="69">
        <v>493286</v>
      </c>
      <c r="J448" s="70"/>
      <c r="K448" s="70"/>
      <c r="L448" s="69">
        <f t="shared" ref="L448" si="113">C448*43/1000</f>
        <v>10766.468999999999</v>
      </c>
      <c r="N448" s="32" t="str">
        <f>'Olieforbrug, TJ'!M448</f>
        <v>March</v>
      </c>
    </row>
    <row r="449" spans="1:14" x14ac:dyDescent="0.25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11"/>
        <v>-112804</v>
      </c>
      <c r="H449" s="69">
        <v>576877</v>
      </c>
      <c r="I449" s="69">
        <v>606090</v>
      </c>
      <c r="J449" s="70"/>
      <c r="K449" s="70"/>
      <c r="L449" s="69">
        <f t="shared" ref="L449" si="114">C449*43/1000</f>
        <v>9830.3160000000007</v>
      </c>
      <c r="N449" s="32" t="str">
        <f>'Olieforbrug, TJ'!M449</f>
        <v>April</v>
      </c>
    </row>
    <row r="450" spans="1:14" x14ac:dyDescent="0.25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11"/>
        <v>146903</v>
      </c>
      <c r="H450" s="69">
        <v>666818</v>
      </c>
      <c r="I450" s="69">
        <v>459187</v>
      </c>
      <c r="J450" s="70"/>
      <c r="K450" s="70"/>
      <c r="L450" s="69">
        <f t="shared" ref="L450" si="115">C450*43/1000</f>
        <v>9706.1319999999996</v>
      </c>
      <c r="N450" s="32" t="str">
        <f>'Olieforbrug, TJ'!M450</f>
        <v>May</v>
      </c>
    </row>
    <row r="451" spans="1:14" x14ac:dyDescent="0.25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11"/>
        <v>10504</v>
      </c>
      <c r="H451" s="69">
        <v>611767</v>
      </c>
      <c r="I451" s="69">
        <v>448683</v>
      </c>
      <c r="J451" s="70"/>
      <c r="K451" s="70"/>
      <c r="L451" s="69">
        <f t="shared" ref="L451" si="116">C451*43/1000</f>
        <v>11005.463</v>
      </c>
      <c r="N451" s="32" t="str">
        <f>'Olieforbrug, TJ'!M451</f>
        <v>June</v>
      </c>
    </row>
    <row r="452" spans="1:14" x14ac:dyDescent="0.25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11"/>
        <v>15514</v>
      </c>
      <c r="H452" s="69">
        <v>634440</v>
      </c>
      <c r="I452" s="69">
        <v>433169</v>
      </c>
      <c r="J452" s="70"/>
      <c r="K452" s="70"/>
      <c r="L452" s="69">
        <f t="shared" ref="L452" si="117">C452*43/1000</f>
        <v>9631.8279999999995</v>
      </c>
      <c r="N452" s="32" t="str">
        <f>'Olieforbrug, TJ'!M452</f>
        <v>July</v>
      </c>
    </row>
    <row r="453" spans="1:14" x14ac:dyDescent="0.25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8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9">C453*43/1000</f>
        <v>11513.035</v>
      </c>
      <c r="N453" s="32" t="str">
        <f>'Olieforbrug, TJ'!M453</f>
        <v>August</v>
      </c>
    </row>
    <row r="454" spans="1:14" x14ac:dyDescent="0.25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20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21">C454*43/1000</f>
        <v>10640.478999999999</v>
      </c>
      <c r="N454" s="32" t="str">
        <f>'Olieforbrug, TJ'!M454</f>
        <v>September</v>
      </c>
    </row>
    <row r="455" spans="1:14" x14ac:dyDescent="0.25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22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23">C455*43/1000</f>
        <v>10937.995999999999</v>
      </c>
      <c r="N455" s="32" t="str">
        <f>'Olieforbrug, TJ'!M455</f>
        <v>October</v>
      </c>
    </row>
    <row r="456" spans="1:14" x14ac:dyDescent="0.25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4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5">C456*43/1000</f>
        <v>10032.588</v>
      </c>
      <c r="N456" s="32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6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7">C457*43/1000</f>
        <v>10466.844999999999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5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8">C459*43/1000</f>
        <v>10296.522000000001</v>
      </c>
      <c r="N459" s="32" t="str">
        <f>'Olieforbrug, TJ'!M459</f>
        <v>January</v>
      </c>
    </row>
    <row r="460" spans="1:14" x14ac:dyDescent="0.25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9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30">C460*43/1000</f>
        <v>9223.8009999999995</v>
      </c>
      <c r="N460" s="130" t="str">
        <f>'Olieforbrug, TJ'!M460</f>
        <v>February</v>
      </c>
    </row>
    <row r="461" spans="1:14" x14ac:dyDescent="0.25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9"/>
        <v>32625</v>
      </c>
      <c r="H461" s="69">
        <v>530327</v>
      </c>
      <c r="I461" s="69">
        <v>422275</v>
      </c>
      <c r="J461" s="70"/>
      <c r="K461" s="70"/>
      <c r="L461" s="69">
        <f t="shared" ref="L461" si="131">C461*43/1000</f>
        <v>10618.978999999999</v>
      </c>
      <c r="N461" s="131" t="str">
        <f>'Olieforbrug, TJ'!M461</f>
        <v>March</v>
      </c>
    </row>
    <row r="462" spans="1:14" x14ac:dyDescent="0.25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9"/>
        <v>-210251</v>
      </c>
      <c r="H462" s="69">
        <v>494975</v>
      </c>
      <c r="I462" s="69">
        <v>632526</v>
      </c>
      <c r="J462" s="70"/>
      <c r="K462" s="70"/>
      <c r="L462" s="69">
        <f t="shared" ref="L462" si="132">C462*43/1000</f>
        <v>10624.01</v>
      </c>
      <c r="N462" s="135" t="str">
        <f>'Olieforbrug, TJ'!M462</f>
        <v>April</v>
      </c>
    </row>
    <row r="463" spans="1:14" x14ac:dyDescent="0.25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9"/>
        <v>89337</v>
      </c>
      <c r="H463" s="69">
        <v>551642</v>
      </c>
      <c r="I463" s="69">
        <v>543189</v>
      </c>
      <c r="J463" s="70"/>
      <c r="K463" s="70"/>
      <c r="L463" s="69">
        <f t="shared" ref="L463" si="133">C463*43/1000</f>
        <v>11641.476000000001</v>
      </c>
      <c r="N463" s="137" t="str">
        <f>'Olieforbrug, TJ'!M463</f>
        <v>Maj</v>
      </c>
    </row>
    <row r="464" spans="1:14" x14ac:dyDescent="0.25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9"/>
        <v>53443</v>
      </c>
      <c r="H464" s="69">
        <v>593724</v>
      </c>
      <c r="I464" s="69">
        <v>489746</v>
      </c>
      <c r="J464" s="70"/>
      <c r="K464" s="70"/>
      <c r="L464" s="69">
        <f t="shared" ref="L464" si="134">C464*43/1000</f>
        <v>9596.4390000000003</v>
      </c>
      <c r="N464" s="140" t="str">
        <f>'Olieforbrug, TJ'!M464</f>
        <v>June</v>
      </c>
    </row>
    <row r="465" spans="1:14" x14ac:dyDescent="0.25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9"/>
        <v>25345</v>
      </c>
      <c r="H465" s="69">
        <v>635681</v>
      </c>
      <c r="I465" s="69">
        <v>464401</v>
      </c>
      <c r="J465" s="70"/>
      <c r="K465" s="70"/>
      <c r="L465" s="69">
        <f t="shared" ref="L465" si="135">C465*43/1000</f>
        <v>10068.493</v>
      </c>
      <c r="N465" s="141" t="str">
        <f>'Olieforbrug, TJ'!M465</f>
        <v>July</v>
      </c>
    </row>
    <row r="466" spans="1:14" x14ac:dyDescent="0.25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6">C466*43/1000</f>
        <v>10443.582</v>
      </c>
      <c r="N466" s="142" t="str">
        <f>'Olieforbrug, TJ'!M466</f>
        <v>August</v>
      </c>
    </row>
    <row r="467" spans="1:14" x14ac:dyDescent="0.25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7">C467*43/1000</f>
        <v>10748.839</v>
      </c>
      <c r="N467" s="143" t="str">
        <f>'Olieforbrug, TJ'!M467</f>
        <v>September</v>
      </c>
    </row>
    <row r="468" spans="1:14" x14ac:dyDescent="0.25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8">C468*43/1000</f>
        <v>11118.897000000001</v>
      </c>
      <c r="N468" s="166" t="str">
        <f>'Olieforbrug, TJ'!M468</f>
        <v>October</v>
      </c>
    </row>
    <row r="469" spans="1:14" x14ac:dyDescent="0.25">
      <c r="A469" s="175" t="str">
        <f>'Olieforbrug, TJ'!A469</f>
        <v>November</v>
      </c>
      <c r="B469" s="108"/>
      <c r="C469" s="173">
        <v>260360</v>
      </c>
      <c r="D469" s="173">
        <v>566379</v>
      </c>
      <c r="E469" s="173">
        <v>138767</v>
      </c>
      <c r="F469" s="173">
        <v>0</v>
      </c>
      <c r="G469" s="173">
        <f>I468-I469</f>
        <v>-75912</v>
      </c>
      <c r="H469" s="173">
        <v>618048</v>
      </c>
      <c r="I469" s="173">
        <v>465178</v>
      </c>
      <c r="J469" s="174"/>
      <c r="K469" s="174"/>
      <c r="L469" s="173">
        <f t="shared" ref="L469" si="139">C469*43/1000</f>
        <v>11195.48</v>
      </c>
      <c r="M469" s="108"/>
      <c r="N469" s="109" t="str">
        <f>'Olieforbrug, TJ'!M469</f>
        <v>November</v>
      </c>
    </row>
    <row r="470" spans="1:14" ht="13.8" thickBot="1" x14ac:dyDescent="0.3">
      <c r="A470" s="176" t="str">
        <f>'Olieforbrug, TJ'!A470</f>
        <v>December</v>
      </c>
      <c r="B470" s="108"/>
      <c r="C470" s="126">
        <v>267839</v>
      </c>
      <c r="D470" s="126">
        <v>343915</v>
      </c>
      <c r="E470" s="126">
        <v>77256</v>
      </c>
      <c r="F470" s="126">
        <v>0</v>
      </c>
      <c r="G470" s="126">
        <f>I469-I470</f>
        <v>134702</v>
      </c>
      <c r="H470" s="126">
        <v>673281</v>
      </c>
      <c r="I470" s="126">
        <v>330476</v>
      </c>
      <c r="J470" s="177"/>
      <c r="K470" s="177"/>
      <c r="L470" s="126">
        <f t="shared" ref="L470" si="140">C470*43/1000</f>
        <v>11517.076999999999</v>
      </c>
      <c r="M470" s="108"/>
      <c r="N470" s="178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73">
        <v>278522</v>
      </c>
      <c r="D472" s="173">
        <v>384696</v>
      </c>
      <c r="E472" s="173">
        <v>25677</v>
      </c>
      <c r="F472" s="173">
        <v>0</v>
      </c>
      <c r="G472" s="173">
        <f>I470-I472</f>
        <v>-95090</v>
      </c>
      <c r="H472" s="173">
        <v>545267</v>
      </c>
      <c r="I472" s="173">
        <v>425566</v>
      </c>
      <c r="J472" s="174"/>
      <c r="K472" s="174"/>
      <c r="L472" s="173">
        <f t="shared" ref="L472" si="141">C472*43/1000</f>
        <v>11976.446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73">
        <v>264982</v>
      </c>
      <c r="D473" s="173">
        <v>327189</v>
      </c>
      <c r="E473" s="173">
        <v>60820</v>
      </c>
      <c r="F473" s="173">
        <v>0</v>
      </c>
      <c r="G473" s="173">
        <f t="shared" ref="G473:G478" si="142">I472-I473</f>
        <v>78528</v>
      </c>
      <c r="H473" s="173">
        <v>563416</v>
      </c>
      <c r="I473" s="173">
        <v>347038</v>
      </c>
      <c r="J473" s="174"/>
      <c r="K473" s="174"/>
      <c r="L473" s="173">
        <f t="shared" ref="L473" si="143">C473*43/1000</f>
        <v>11394.226000000001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73">
        <v>229292</v>
      </c>
      <c r="D474" s="173">
        <v>340680</v>
      </c>
      <c r="E474" s="173">
        <v>67346</v>
      </c>
      <c r="F474" s="173">
        <v>0</v>
      </c>
      <c r="G474" s="173">
        <f t="shared" si="142"/>
        <v>31309</v>
      </c>
      <c r="H474" s="173">
        <v>459625</v>
      </c>
      <c r="I474" s="173">
        <v>315729</v>
      </c>
      <c r="J474" s="174"/>
      <c r="K474" s="174"/>
      <c r="L474" s="173">
        <f t="shared" ref="L474" si="144">C474*43/1000</f>
        <v>9859.5560000000005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73">
        <v>273613</v>
      </c>
      <c r="D475" s="173">
        <v>539141</v>
      </c>
      <c r="E475" s="173">
        <v>44610</v>
      </c>
      <c r="F475" s="173">
        <v>0</v>
      </c>
      <c r="G475" s="173">
        <f t="shared" si="142"/>
        <v>-107263</v>
      </c>
      <c r="H475" s="173">
        <v>577088</v>
      </c>
      <c r="I475" s="173">
        <v>422992</v>
      </c>
      <c r="J475" s="174"/>
      <c r="K475" s="174"/>
      <c r="L475" s="173">
        <f t="shared" ref="L475" si="145">C475*43/1000</f>
        <v>11765.359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73">
        <v>323296</v>
      </c>
      <c r="D476" s="173">
        <v>469743</v>
      </c>
      <c r="E476" s="173">
        <v>106752</v>
      </c>
      <c r="F476" s="173">
        <v>0</v>
      </c>
      <c r="G476" s="173">
        <f t="shared" si="142"/>
        <v>-62668</v>
      </c>
      <c r="H476" s="173">
        <v>635694</v>
      </c>
      <c r="I476" s="173">
        <v>485660</v>
      </c>
      <c r="J476" s="174"/>
      <c r="K476" s="174"/>
      <c r="L476" s="173">
        <f t="shared" ref="L476" si="146">C476*43/1000</f>
        <v>13901.727999999999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73">
        <v>318363</v>
      </c>
      <c r="D477" s="173">
        <v>363963</v>
      </c>
      <c r="E477" s="173">
        <v>134654</v>
      </c>
      <c r="F477" s="173">
        <v>0</v>
      </c>
      <c r="G477" s="173">
        <f t="shared" si="142"/>
        <v>77562</v>
      </c>
      <c r="H477" s="173">
        <v>624519</v>
      </c>
      <c r="I477" s="173">
        <v>408098</v>
      </c>
      <c r="J477" s="174"/>
      <c r="K477" s="174"/>
      <c r="L477" s="173">
        <f t="shared" ref="L477" si="147">C477*43/1000</f>
        <v>13689.609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73">
        <v>303742</v>
      </c>
      <c r="D478" s="173">
        <v>382407</v>
      </c>
      <c r="E478" s="173">
        <v>19684</v>
      </c>
      <c r="F478" s="173">
        <v>0</v>
      </c>
      <c r="G478" s="173">
        <f t="shared" si="142"/>
        <v>-22743</v>
      </c>
      <c r="H478" s="173">
        <v>657231</v>
      </c>
      <c r="I478" s="173">
        <v>430841</v>
      </c>
      <c r="J478" s="174"/>
      <c r="K478" s="174"/>
      <c r="L478" s="173">
        <f t="shared" ref="L478" si="148">C478*43/1000</f>
        <v>13060.906000000001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73">
        <v>273397</v>
      </c>
      <c r="D479" s="173">
        <v>508337</v>
      </c>
      <c r="E479" s="173">
        <v>80431</v>
      </c>
      <c r="F479" s="173">
        <v>0</v>
      </c>
      <c r="G479" s="173">
        <f t="shared" ref="G479" si="149">I478-I479</f>
        <v>-27686</v>
      </c>
      <c r="H479" s="173">
        <v>682103</v>
      </c>
      <c r="I479" s="173">
        <v>458527</v>
      </c>
      <c r="J479" s="174"/>
      <c r="K479" s="174"/>
      <c r="L479" s="173">
        <f t="shared" ref="L479" si="150">C479*43/1000</f>
        <v>11756.071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73">
        <v>304265</v>
      </c>
      <c r="D480" s="173">
        <v>500245</v>
      </c>
      <c r="E480" s="173">
        <v>131792</v>
      </c>
      <c r="F480" s="173">
        <v>0</v>
      </c>
      <c r="G480" s="173">
        <f t="shared" ref="G480" si="151">I479-I480</f>
        <v>45451</v>
      </c>
      <c r="H480" s="173">
        <v>627443</v>
      </c>
      <c r="I480" s="173">
        <v>413076</v>
      </c>
      <c r="J480" s="174"/>
      <c r="K480" s="174"/>
      <c r="L480" s="173">
        <f t="shared" ref="L480" si="152">C480*43/1000</f>
        <v>13083.395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73">
        <v>288697</v>
      </c>
      <c r="D481" s="173">
        <v>406477</v>
      </c>
      <c r="E481" s="173">
        <v>103716</v>
      </c>
      <c r="F481" s="173">
        <v>0</v>
      </c>
      <c r="G481" s="173">
        <f t="shared" ref="G481" si="153">I480-I481</f>
        <v>65680</v>
      </c>
      <c r="H481" s="173">
        <v>682705</v>
      </c>
      <c r="I481" s="173">
        <v>347396</v>
      </c>
      <c r="J481" s="174"/>
      <c r="K481" s="174"/>
      <c r="L481" s="173">
        <f t="shared" ref="L481" si="154">C481*43/1000</f>
        <v>12413.971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73">
        <v>323154</v>
      </c>
      <c r="D482" s="173">
        <v>523624</v>
      </c>
      <c r="E482" s="173">
        <v>33545</v>
      </c>
      <c r="F482" s="173">
        <v>0</v>
      </c>
      <c r="G482" s="173">
        <f t="shared" ref="G482" si="155">I481-I482</f>
        <v>-127716</v>
      </c>
      <c r="H482" s="173">
        <v>660922</v>
      </c>
      <c r="I482" s="173">
        <v>475112</v>
      </c>
      <c r="J482" s="174"/>
      <c r="K482" s="174"/>
      <c r="L482" s="173">
        <f t="shared" ref="L482" si="156">C482*43/1000</f>
        <v>13895.621999999999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73">
        <v>348620</v>
      </c>
      <c r="D483" s="173">
        <v>504043</v>
      </c>
      <c r="E483" s="173">
        <v>142099</v>
      </c>
      <c r="F483" s="173">
        <v>0</v>
      </c>
      <c r="G483" s="173">
        <f t="shared" ref="G483" si="157">I482-I483</f>
        <v>-59223</v>
      </c>
      <c r="H483" s="173">
        <v>651517</v>
      </c>
      <c r="I483" s="173">
        <v>534335</v>
      </c>
      <c r="J483" s="174"/>
      <c r="K483" s="174"/>
      <c r="L483" s="173">
        <f t="shared" ref="L483" si="158">C483*43/1000</f>
        <v>14990.66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83"/>
  <sheetViews>
    <sheetView zoomScale="80" zoomScaleNormal="80" workbookViewId="0">
      <pane xSplit="2" ySplit="5" topLeftCell="C457" activePane="bottomRight" state="frozen"/>
      <selection pane="topRight" activeCell="C1" sqref="C1"/>
      <selection pane="bottomLeft" activeCell="A6" sqref="A6"/>
      <selection pane="bottomRight" activeCell="I485" sqref="I485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7.44140625" customWidth="1"/>
    <col min="11" max="11" width="20.5546875" customWidth="1"/>
    <col min="12" max="12" width="9.5546875" customWidth="1"/>
  </cols>
  <sheetData>
    <row r="1" spans="1:16" x14ac:dyDescent="0.25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5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8" thickBot="1" x14ac:dyDescent="0.3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5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5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5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5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5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5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5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5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5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5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5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5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5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5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5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5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5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5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5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5">
      <c r="A27" s="22">
        <v>2025</v>
      </c>
      <c r="C27" s="3">
        <f>SUM(C472:C483)</f>
        <v>115473</v>
      </c>
      <c r="D27" s="3">
        <f t="shared" ref="D27:H27" si="11">SUM(D472:D483)</f>
        <v>24280</v>
      </c>
      <c r="E27" s="3">
        <f t="shared" si="11"/>
        <v>155890</v>
      </c>
      <c r="F27" s="3">
        <f t="shared" si="11"/>
        <v>0</v>
      </c>
      <c r="G27" s="3">
        <f>SUM(G472:G483)</f>
        <v>12436</v>
      </c>
      <c r="H27" s="3">
        <f t="shared" si="11"/>
        <v>18004</v>
      </c>
      <c r="I27" s="3">
        <f>I483</f>
        <v>28079</v>
      </c>
      <c r="J27" s="3"/>
      <c r="K27" s="22">
        <v>2025</v>
      </c>
    </row>
    <row r="28" spans="1:37" x14ac:dyDescent="0.25">
      <c r="A28" s="22"/>
      <c r="J28" s="3"/>
      <c r="K28" s="22"/>
    </row>
    <row r="29" spans="1:37" x14ac:dyDescent="0.25">
      <c r="A29" s="22" t="str">
        <f>'Olieforbrug, TJ'!A29</f>
        <v>Januar - December</v>
      </c>
      <c r="J29" s="3"/>
      <c r="K29" s="22" t="str">
        <f>'Olieforbrug, TJ'!M29</f>
        <v>January - December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5">
      <c r="A30" s="22">
        <f>'Olieforbrug, TJ'!A30</f>
        <v>2005</v>
      </c>
      <c r="B30" s="3"/>
      <c r="C30" s="3">
        <f t="shared" ref="C30:H30" si="12">SUM(C212:C223)</f>
        <v>155802</v>
      </c>
      <c r="D30" s="3">
        <f t="shared" si="12"/>
        <v>64258</v>
      </c>
      <c r="E30" s="3">
        <f t="shared" si="12"/>
        <v>133511</v>
      </c>
      <c r="F30" s="3">
        <f t="shared" si="12"/>
        <v>0</v>
      </c>
      <c r="G30" s="3">
        <f t="shared" si="12"/>
        <v>-872</v>
      </c>
      <c r="H30" s="3">
        <f t="shared" si="12"/>
        <v>97367</v>
      </c>
      <c r="I30" s="3">
        <f>I223</f>
        <v>185004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5">
      <c r="A31" s="22">
        <f>'Olieforbrug, TJ'!A31</f>
        <v>2006</v>
      </c>
      <c r="B31" s="3"/>
      <c r="C31" s="3">
        <f t="shared" ref="C31:H31" si="13">SUM(C225:C236)</f>
        <v>90045</v>
      </c>
      <c r="D31" s="3">
        <f t="shared" si="13"/>
        <v>9159</v>
      </c>
      <c r="E31" s="3">
        <f t="shared" si="13"/>
        <v>94504</v>
      </c>
      <c r="F31" s="3">
        <f t="shared" si="13"/>
        <v>0</v>
      </c>
      <c r="G31" s="3">
        <f t="shared" si="13"/>
        <v>7727</v>
      </c>
      <c r="H31" s="3">
        <f t="shared" si="13"/>
        <v>14183</v>
      </c>
      <c r="I31" s="3">
        <f>I236</f>
        <v>177277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5">
      <c r="A32" s="22">
        <f>'Olieforbrug, TJ'!A32</f>
        <v>2007</v>
      </c>
      <c r="B32" s="3"/>
      <c r="C32" s="3">
        <f t="shared" ref="C32:H32" si="14">SUM(C238:C249)</f>
        <v>128549</v>
      </c>
      <c r="D32" s="3">
        <f t="shared" si="14"/>
        <v>21704</v>
      </c>
      <c r="E32" s="3">
        <f t="shared" si="14"/>
        <v>113568</v>
      </c>
      <c r="F32" s="3">
        <f t="shared" si="14"/>
        <v>0</v>
      </c>
      <c r="G32" s="3">
        <f t="shared" si="14"/>
        <v>-11829</v>
      </c>
      <c r="H32" s="3">
        <f t="shared" si="14"/>
        <v>19007</v>
      </c>
      <c r="I32" s="3">
        <f>I249</f>
        <v>189106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5">
      <c r="A33" s="22">
        <f>'Olieforbrug, TJ'!A33</f>
        <v>2008</v>
      </c>
      <c r="B33" s="3"/>
      <c r="C33" s="3">
        <f t="shared" ref="C33:H33" si="15">SUM(C251:C262)</f>
        <v>380425</v>
      </c>
      <c r="D33" s="3">
        <f t="shared" si="15"/>
        <v>120399</v>
      </c>
      <c r="E33" s="3">
        <f t="shared" si="15"/>
        <v>481084</v>
      </c>
      <c r="F33" s="3">
        <f t="shared" si="15"/>
        <v>0</v>
      </c>
      <c r="G33" s="3">
        <f t="shared" si="15"/>
        <v>-44474</v>
      </c>
      <c r="H33" s="3">
        <f t="shared" si="15"/>
        <v>70348</v>
      </c>
      <c r="I33" s="3">
        <f>I262</f>
        <v>233580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5">
      <c r="A34" s="22">
        <f>'Olieforbrug, TJ'!A34</f>
        <v>2009</v>
      </c>
      <c r="B34" s="3"/>
      <c r="C34" s="3">
        <f t="shared" ref="C34:H34" si="16">SUM(C264:C275)</f>
        <v>292291</v>
      </c>
      <c r="D34" s="3">
        <f t="shared" si="16"/>
        <v>5383</v>
      </c>
      <c r="E34" s="3">
        <f t="shared" si="16"/>
        <v>286322</v>
      </c>
      <c r="F34" s="3">
        <f t="shared" si="16"/>
        <v>0</v>
      </c>
      <c r="G34" s="3">
        <f t="shared" si="16"/>
        <v>57617</v>
      </c>
      <c r="H34" s="3">
        <f t="shared" si="16"/>
        <v>38048</v>
      </c>
      <c r="I34" s="3">
        <f>I275</f>
        <v>175963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5">
      <c r="A35" s="22">
        <f>'Olieforbrug, TJ'!A35</f>
        <v>2010</v>
      </c>
      <c r="B35" s="3"/>
      <c r="C35" s="3">
        <f t="shared" ref="C35:H35" si="17">SUM(C277:C288)</f>
        <v>256828</v>
      </c>
      <c r="D35" s="3">
        <f t="shared" si="17"/>
        <v>6892</v>
      </c>
      <c r="E35" s="3">
        <f t="shared" si="17"/>
        <v>97603</v>
      </c>
      <c r="F35" s="3">
        <f t="shared" si="17"/>
        <v>0</v>
      </c>
      <c r="G35" s="3">
        <f t="shared" si="17"/>
        <v>-15912</v>
      </c>
      <c r="H35" s="3">
        <f t="shared" si="17"/>
        <v>100191</v>
      </c>
      <c r="I35" s="3">
        <f>I288</f>
        <v>191875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5">
      <c r="A36" s="22">
        <f>'Olieforbrug, TJ'!A36</f>
        <v>2011</v>
      </c>
      <c r="B36" s="3"/>
      <c r="C36" s="3">
        <f t="shared" ref="C36:H36" si="18">SUM(C290:C301)</f>
        <v>233607</v>
      </c>
      <c r="D36" s="3">
        <f t="shared" si="18"/>
        <v>0</v>
      </c>
      <c r="E36" s="3">
        <f t="shared" si="18"/>
        <v>156905</v>
      </c>
      <c r="F36" s="3">
        <f t="shared" si="18"/>
        <v>0</v>
      </c>
      <c r="G36" s="3">
        <f t="shared" si="18"/>
        <v>-708</v>
      </c>
      <c r="H36" s="3">
        <f t="shared" si="18"/>
        <v>51342</v>
      </c>
      <c r="I36" s="3">
        <f>I301</f>
        <v>192583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5">
      <c r="A37" s="22">
        <f>'Olieforbrug, TJ'!A37</f>
        <v>2012</v>
      </c>
      <c r="B37" s="3"/>
      <c r="C37" s="3">
        <f t="shared" ref="C37:H37" si="19">SUM(C303:C314)</f>
        <v>179988</v>
      </c>
      <c r="D37" s="3">
        <f t="shared" si="19"/>
        <v>633722</v>
      </c>
      <c r="E37" s="3">
        <f t="shared" si="19"/>
        <v>722492</v>
      </c>
      <c r="F37" s="3">
        <f t="shared" si="19"/>
        <v>0</v>
      </c>
      <c r="G37" s="3">
        <f t="shared" si="19"/>
        <v>-38846</v>
      </c>
      <c r="H37" s="3">
        <f t="shared" si="19"/>
        <v>47143</v>
      </c>
      <c r="I37" s="3">
        <f>I314</f>
        <v>231429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5">
      <c r="A38" s="22">
        <f>'Olieforbrug, TJ'!A38</f>
        <v>2013</v>
      </c>
      <c r="B38" s="3"/>
      <c r="C38" s="3">
        <f t="shared" ref="C38:H38" si="20">SUM(C316:C327)</f>
        <v>238933</v>
      </c>
      <c r="D38" s="3">
        <f t="shared" si="20"/>
        <v>360910</v>
      </c>
      <c r="E38" s="3">
        <f t="shared" si="20"/>
        <v>570977</v>
      </c>
      <c r="F38" s="3">
        <f t="shared" si="20"/>
        <v>0</v>
      </c>
      <c r="G38" s="3">
        <f t="shared" si="20"/>
        <v>11381</v>
      </c>
      <c r="H38" s="3">
        <f t="shared" si="20"/>
        <v>64722</v>
      </c>
      <c r="I38" s="3">
        <f>I327</f>
        <v>158541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5">
      <c r="A39" s="22">
        <f>'Olieforbrug, TJ'!A39</f>
        <v>2014</v>
      </c>
      <c r="B39" s="3"/>
      <c r="C39" s="3">
        <f t="shared" ref="C39:H39" si="21">SUM(C329:C340)</f>
        <v>334424</v>
      </c>
      <c r="D39" s="3">
        <f t="shared" si="21"/>
        <v>516191</v>
      </c>
      <c r="E39" s="3">
        <f t="shared" si="21"/>
        <v>811623</v>
      </c>
      <c r="F39" s="3">
        <f t="shared" si="21"/>
        <v>4580</v>
      </c>
      <c r="G39" s="3">
        <f t="shared" si="21"/>
        <v>6366</v>
      </c>
      <c r="H39" s="3">
        <f t="shared" si="21"/>
        <v>97285</v>
      </c>
      <c r="I39" s="3">
        <f>I340</f>
        <v>152175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5">
      <c r="A40" s="22">
        <f>'Olieforbrug, TJ'!A40</f>
        <v>2015</v>
      </c>
      <c r="B40" s="3"/>
      <c r="C40" s="3">
        <f t="shared" ref="C40:H40" si="22">SUM(C342:C353)</f>
        <v>262456</v>
      </c>
      <c r="D40" s="3">
        <f t="shared" si="22"/>
        <v>112847</v>
      </c>
      <c r="E40" s="3">
        <f t="shared" si="22"/>
        <v>328407</v>
      </c>
      <c r="F40" s="3">
        <f t="shared" si="22"/>
        <v>0</v>
      </c>
      <c r="G40" s="3">
        <f t="shared" si="22"/>
        <v>39802</v>
      </c>
      <c r="H40" s="3">
        <f t="shared" si="22"/>
        <v>49195</v>
      </c>
      <c r="I40" s="3">
        <f>I353</f>
        <v>112373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5">
      <c r="A41" s="22">
        <f>'Olieforbrug, TJ'!A41</f>
        <v>2016</v>
      </c>
      <c r="B41" s="3"/>
      <c r="C41" s="3">
        <f t="shared" ref="C41:H41" si="23">SUM(C355:C366)</f>
        <v>531039</v>
      </c>
      <c r="D41" s="3">
        <f t="shared" si="23"/>
        <v>0</v>
      </c>
      <c r="E41" s="3">
        <f t="shared" si="23"/>
        <v>407131</v>
      </c>
      <c r="F41" s="3">
        <f t="shared" si="23"/>
        <v>0</v>
      </c>
      <c r="G41" s="3">
        <f t="shared" si="23"/>
        <v>53503</v>
      </c>
      <c r="H41" s="3">
        <f t="shared" si="23"/>
        <v>89481</v>
      </c>
      <c r="I41" s="3">
        <f>I366</f>
        <v>58870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5">
      <c r="A42" s="22">
        <f>'Olieforbrug, TJ'!A42</f>
        <v>2017</v>
      </c>
      <c r="B42" s="3"/>
      <c r="C42" s="3">
        <f t="shared" ref="C42:H42" si="24">SUM(C368:C379)</f>
        <v>411733</v>
      </c>
      <c r="D42" s="3">
        <f t="shared" si="24"/>
        <v>83838</v>
      </c>
      <c r="E42" s="3">
        <f t="shared" si="24"/>
        <v>455594</v>
      </c>
      <c r="F42" s="3">
        <f t="shared" si="24"/>
        <v>0</v>
      </c>
      <c r="G42" s="3">
        <f t="shared" si="24"/>
        <v>-2265</v>
      </c>
      <c r="H42" s="3">
        <f t="shared" si="24"/>
        <v>5424</v>
      </c>
      <c r="I42" s="3">
        <f>I379</f>
        <v>61135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5">
      <c r="A43" s="22">
        <f>'Olieforbrug, TJ'!A43</f>
        <v>2018</v>
      </c>
      <c r="B43" s="3"/>
      <c r="C43" s="3">
        <f t="shared" ref="C43:H43" si="25">SUM(C381:C392)</f>
        <v>600123</v>
      </c>
      <c r="D43" s="3">
        <f t="shared" si="25"/>
        <v>60521</v>
      </c>
      <c r="E43" s="3">
        <f t="shared" si="25"/>
        <v>659033</v>
      </c>
      <c r="F43" s="3">
        <f t="shared" si="25"/>
        <v>0</v>
      </c>
      <c r="G43" s="3">
        <f t="shared" si="25"/>
        <v>-12458</v>
      </c>
      <c r="H43" s="3">
        <f t="shared" si="25"/>
        <v>13282</v>
      </c>
      <c r="I43" s="3">
        <f>I392</f>
        <v>73593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5">
      <c r="A44" s="22">
        <f>'Olieforbrug, TJ'!A44</f>
        <v>2019</v>
      </c>
      <c r="B44" s="3"/>
      <c r="C44" s="3">
        <f t="shared" ref="C44:H44" si="26">SUM(C394:C405)</f>
        <v>187174</v>
      </c>
      <c r="D44" s="3">
        <f t="shared" si="26"/>
        <v>89987</v>
      </c>
      <c r="E44" s="3">
        <f t="shared" si="26"/>
        <v>237389</v>
      </c>
      <c r="F44" s="3">
        <f t="shared" si="26"/>
        <v>0</v>
      </c>
      <c r="G44" s="3">
        <f t="shared" si="26"/>
        <v>-15466</v>
      </c>
      <c r="H44" s="3">
        <f t="shared" si="26"/>
        <v>23702</v>
      </c>
      <c r="I44" s="3">
        <f>I405</f>
        <v>89059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5">
      <c r="A45" s="22">
        <f>'Olieforbrug, TJ'!A45</f>
        <v>2020</v>
      </c>
      <c r="B45" s="3"/>
      <c r="C45" s="3">
        <f t="shared" ref="C45:H45" si="27">SUM(C407:C418)</f>
        <v>110899</v>
      </c>
      <c r="D45" s="3">
        <f t="shared" si="27"/>
        <v>0</v>
      </c>
      <c r="E45" s="3">
        <f t="shared" si="27"/>
        <v>54912</v>
      </c>
      <c r="F45" s="3">
        <f t="shared" si="27"/>
        <v>0</v>
      </c>
      <c r="G45" s="3">
        <f t="shared" si="27"/>
        <v>62914</v>
      </c>
      <c r="H45" s="3">
        <f t="shared" si="27"/>
        <v>44159</v>
      </c>
      <c r="I45" s="3">
        <f>I418</f>
        <v>26145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5">
      <c r="A46" s="22">
        <f>'Olieforbrug, TJ'!A46</f>
        <v>2021</v>
      </c>
      <c r="B46" s="3"/>
      <c r="C46" s="3">
        <f t="shared" ref="C46:H46" si="28">SUM(C420:C431)</f>
        <v>98908</v>
      </c>
      <c r="D46" s="3">
        <f t="shared" si="28"/>
        <v>0</v>
      </c>
      <c r="E46" s="3">
        <f t="shared" si="28"/>
        <v>80626</v>
      </c>
      <c r="F46" s="3">
        <f t="shared" si="28"/>
        <v>0</v>
      </c>
      <c r="G46" s="3">
        <f t="shared" si="28"/>
        <v>-6232</v>
      </c>
      <c r="H46" s="3">
        <f t="shared" si="28"/>
        <v>8857</v>
      </c>
      <c r="I46" s="3">
        <f>I431</f>
        <v>32377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5">
      <c r="A47" s="22">
        <f>'Olieforbrug, TJ'!A47</f>
        <v>2022</v>
      </c>
      <c r="B47" s="3"/>
      <c r="C47" s="3">
        <f t="shared" ref="C47:H47" si="29">SUM(C433:C444)</f>
        <v>96741</v>
      </c>
      <c r="D47" s="3">
        <f t="shared" si="29"/>
        <v>15530</v>
      </c>
      <c r="E47" s="3">
        <f t="shared" si="29"/>
        <v>61606</v>
      </c>
      <c r="F47" s="3">
        <f t="shared" si="29"/>
        <v>0</v>
      </c>
      <c r="G47" s="3">
        <f t="shared" si="29"/>
        <v>-3952</v>
      </c>
      <c r="H47" s="3">
        <f t="shared" si="29"/>
        <v>13988</v>
      </c>
      <c r="I47" s="3">
        <f>I444</f>
        <v>36329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5">
      <c r="A48" s="22">
        <f>'Olieforbrug, TJ'!A48</f>
        <v>2023</v>
      </c>
      <c r="B48" s="3"/>
      <c r="C48" s="3">
        <f t="shared" ref="C48:H48" si="30">SUM(C446:C457)</f>
        <v>132579</v>
      </c>
      <c r="D48" s="3">
        <f t="shared" si="30"/>
        <v>47421</v>
      </c>
      <c r="E48" s="3">
        <f t="shared" si="30"/>
        <v>77032</v>
      </c>
      <c r="F48" s="3">
        <f t="shared" si="30"/>
        <v>0</v>
      </c>
      <c r="G48" s="3">
        <f t="shared" si="30"/>
        <v>-5118</v>
      </c>
      <c r="H48" s="3">
        <f t="shared" si="30"/>
        <v>59339</v>
      </c>
      <c r="I48" s="3">
        <f>I457</f>
        <v>41447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5">
      <c r="A49" s="22">
        <f>'Olieforbrug, TJ'!A49</f>
        <v>2024</v>
      </c>
      <c r="B49" s="3"/>
      <c r="C49" s="3">
        <f t="shared" ref="C49:H49" si="31">SUM(C459:C470)</f>
        <v>116746</v>
      </c>
      <c r="D49" s="3">
        <f t="shared" si="31"/>
        <v>36269</v>
      </c>
      <c r="E49" s="3">
        <f t="shared" si="31"/>
        <v>78532</v>
      </c>
      <c r="F49" s="3">
        <f t="shared" si="31"/>
        <v>0</v>
      </c>
      <c r="G49" s="3">
        <f t="shared" si="31"/>
        <v>932</v>
      </c>
      <c r="H49" s="3">
        <f t="shared" si="31"/>
        <v>33408</v>
      </c>
      <c r="I49" s="3">
        <f>I470</f>
        <v>40515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5">
      <c r="A50" s="22">
        <f>'Olieforbrug, TJ'!A50</f>
        <v>2025</v>
      </c>
      <c r="B50" s="3"/>
      <c r="C50" s="3">
        <f t="shared" ref="C50:H50" si="32">SUM(C472:C483)</f>
        <v>115473</v>
      </c>
      <c r="D50" s="3">
        <f t="shared" si="32"/>
        <v>24280</v>
      </c>
      <c r="E50" s="3">
        <f t="shared" si="32"/>
        <v>155890</v>
      </c>
      <c r="F50" s="3">
        <f t="shared" si="32"/>
        <v>0</v>
      </c>
      <c r="G50" s="3">
        <f t="shared" si="32"/>
        <v>12436</v>
      </c>
      <c r="H50" s="3">
        <f t="shared" si="32"/>
        <v>18004</v>
      </c>
      <c r="I50" s="3">
        <f>I483</f>
        <v>28079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5">
      <c r="A51" s="22"/>
      <c r="J51" s="51"/>
      <c r="K51" s="22"/>
    </row>
    <row r="52" spans="1:37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5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5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5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5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5">
      <c r="A57" s="23"/>
      <c r="J57" s="3"/>
    </row>
    <row r="58" spans="1:37" x14ac:dyDescent="0.25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5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5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5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5">
      <c r="A62" s="23"/>
      <c r="J62" s="3"/>
    </row>
    <row r="63" spans="1:37" x14ac:dyDescent="0.25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5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5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5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5">
      <c r="A67" s="23"/>
      <c r="J67" s="3"/>
    </row>
    <row r="68" spans="1:11" x14ac:dyDescent="0.25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5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5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5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5">
      <c r="A72" s="23"/>
      <c r="J72" s="3"/>
    </row>
    <row r="73" spans="1:11" x14ac:dyDescent="0.25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5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5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5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5">
      <c r="A77" s="23"/>
      <c r="J77" s="3"/>
      <c r="K77" s="26"/>
    </row>
    <row r="78" spans="1:11" x14ac:dyDescent="0.25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5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5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5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5">
      <c r="A82" s="32"/>
      <c r="J82" s="3"/>
      <c r="K82" s="26"/>
    </row>
    <row r="83" spans="1:11" x14ac:dyDescent="0.25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5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5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5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5">
      <c r="A87" s="32"/>
      <c r="J87" s="3"/>
      <c r="K87" s="26"/>
    </row>
    <row r="88" spans="1:11" x14ac:dyDescent="0.25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5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5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5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5">
      <c r="A92" s="32"/>
      <c r="J92" s="3"/>
      <c r="K92" s="26"/>
    </row>
    <row r="93" spans="1:11" x14ac:dyDescent="0.25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5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5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5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5">
      <c r="A97" s="32"/>
      <c r="J97" s="3"/>
      <c r="M97" s="26"/>
    </row>
    <row r="98" spans="1:14" x14ac:dyDescent="0.25">
      <c r="A98" s="32" t="s">
        <v>173</v>
      </c>
      <c r="C98" s="3">
        <f t="shared" ref="C98:H98" si="33">SUM(C329:C331)</f>
        <v>142736</v>
      </c>
      <c r="D98" s="3">
        <f t="shared" si="33"/>
        <v>163066</v>
      </c>
      <c r="E98" s="3">
        <f t="shared" si="33"/>
        <v>353166</v>
      </c>
      <c r="F98" s="3">
        <f t="shared" si="33"/>
        <v>4580</v>
      </c>
      <c r="G98" s="3">
        <f t="shared" si="33"/>
        <v>-66632</v>
      </c>
      <c r="H98" s="3">
        <f t="shared" si="33"/>
        <v>16299</v>
      </c>
      <c r="I98" s="3">
        <f>I331</f>
        <v>225173</v>
      </c>
      <c r="J98" s="3"/>
      <c r="K98" s="26" t="s">
        <v>174</v>
      </c>
    </row>
    <row r="99" spans="1:14" x14ac:dyDescent="0.25">
      <c r="A99" s="32" t="s">
        <v>175</v>
      </c>
      <c r="C99" s="3">
        <f t="shared" ref="C99:H99" si="34">SUM(C332:C334)</f>
        <v>25429</v>
      </c>
      <c r="D99" s="3">
        <f t="shared" si="34"/>
        <v>149911</v>
      </c>
      <c r="E99" s="3">
        <f t="shared" si="34"/>
        <v>163135</v>
      </c>
      <c r="F99" s="3">
        <f t="shared" si="34"/>
        <v>0</v>
      </c>
      <c r="G99" s="3">
        <f t="shared" si="34"/>
        <v>33156</v>
      </c>
      <c r="H99" s="3">
        <f t="shared" si="34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5">
      <c r="A100" s="32" t="s">
        <v>177</v>
      </c>
      <c r="C100" s="3">
        <f t="shared" ref="C100:H100" si="35">SUM(C335:C337)</f>
        <v>52363</v>
      </c>
      <c r="D100" s="3">
        <f t="shared" si="35"/>
        <v>71539</v>
      </c>
      <c r="E100" s="3">
        <f t="shared" si="35"/>
        <v>46716</v>
      </c>
      <c r="F100" s="3">
        <f t="shared" si="35"/>
        <v>0</v>
      </c>
      <c r="G100" s="3">
        <f t="shared" si="35"/>
        <v>-66794</v>
      </c>
      <c r="H100" s="3">
        <f t="shared" si="35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5">
      <c r="A101" s="32" t="s">
        <v>179</v>
      </c>
      <c r="C101" s="3">
        <f t="shared" ref="C101:H101" si="36">SUM(C338:C340)</f>
        <v>113896</v>
      </c>
      <c r="D101" s="3">
        <f t="shared" si="36"/>
        <v>131675</v>
      </c>
      <c r="E101" s="3">
        <f t="shared" si="36"/>
        <v>248606</v>
      </c>
      <c r="F101" s="3">
        <f t="shared" si="36"/>
        <v>0</v>
      </c>
      <c r="G101" s="3">
        <f t="shared" si="36"/>
        <v>106636</v>
      </c>
      <c r="H101" s="3">
        <f t="shared" si="36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5">
      <c r="A102" s="32"/>
      <c r="J102" s="3"/>
      <c r="K102" s="26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45016</v>
      </c>
      <c r="D103" s="3">
        <f t="shared" si="37"/>
        <v>112847</v>
      </c>
      <c r="E103" s="3">
        <f t="shared" si="37"/>
        <v>100048</v>
      </c>
      <c r="F103" s="3">
        <f t="shared" si="37"/>
        <v>0</v>
      </c>
      <c r="G103" s="3">
        <f t="shared" si="37"/>
        <v>-54552</v>
      </c>
      <c r="H103" s="3">
        <f t="shared" si="37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5">
      <c r="A104" s="32" t="s">
        <v>182</v>
      </c>
      <c r="C104" s="3">
        <f t="shared" ref="C104:H104" si="38">SUM(C345:C347)</f>
        <v>62186</v>
      </c>
      <c r="D104" s="3">
        <f t="shared" si="38"/>
        <v>0</v>
      </c>
      <c r="E104" s="3">
        <f t="shared" si="38"/>
        <v>105990</v>
      </c>
      <c r="F104" s="3">
        <f t="shared" si="38"/>
        <v>0</v>
      </c>
      <c r="G104" s="3">
        <f t="shared" si="38"/>
        <v>85301</v>
      </c>
      <c r="H104" s="3">
        <f t="shared" si="38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5">
      <c r="A105" s="32" t="s">
        <v>183</v>
      </c>
      <c r="C105" s="3">
        <f t="shared" ref="C105:H105" si="39">SUM(C348:C350)</f>
        <v>76662</v>
      </c>
      <c r="D105" s="3">
        <f t="shared" si="39"/>
        <v>0</v>
      </c>
      <c r="E105" s="3">
        <f t="shared" si="39"/>
        <v>68671</v>
      </c>
      <c r="F105" s="3">
        <f t="shared" si="39"/>
        <v>0</v>
      </c>
      <c r="G105" s="3">
        <f t="shared" si="39"/>
        <v>20296</v>
      </c>
      <c r="H105" s="3">
        <f t="shared" si="39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5">
      <c r="A106" s="32" t="s">
        <v>184</v>
      </c>
      <c r="C106" s="3">
        <f t="shared" ref="C106:H106" si="40">SUM(C351:C353)</f>
        <v>78592</v>
      </c>
      <c r="D106" s="3">
        <f t="shared" si="40"/>
        <v>0</v>
      </c>
      <c r="E106" s="3">
        <f t="shared" si="40"/>
        <v>53698</v>
      </c>
      <c r="F106" s="3">
        <f t="shared" si="40"/>
        <v>0</v>
      </c>
      <c r="G106" s="3">
        <f t="shared" si="40"/>
        <v>-11243</v>
      </c>
      <c r="H106" s="3">
        <f t="shared" si="40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5">
      <c r="A108" s="32" t="s">
        <v>193</v>
      </c>
      <c r="C108" s="3">
        <f t="shared" ref="C108:H108" si="41">SUM(C355:C357)</f>
        <v>65512</v>
      </c>
      <c r="D108" s="3">
        <f t="shared" si="41"/>
        <v>0</v>
      </c>
      <c r="E108" s="3">
        <f t="shared" si="41"/>
        <v>64832</v>
      </c>
      <c r="F108" s="3">
        <f t="shared" si="41"/>
        <v>0</v>
      </c>
      <c r="G108" s="3">
        <f t="shared" si="41"/>
        <v>16693</v>
      </c>
      <c r="H108" s="3">
        <f t="shared" si="41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5">
      <c r="A109" s="32" t="s">
        <v>194</v>
      </c>
      <c r="C109" s="3">
        <f t="shared" ref="C109:H109" si="42">SUM(C358:C360)</f>
        <v>139779</v>
      </c>
      <c r="D109" s="3">
        <f t="shared" si="42"/>
        <v>0</v>
      </c>
      <c r="E109" s="3">
        <f t="shared" si="42"/>
        <v>62590</v>
      </c>
      <c r="F109" s="3">
        <f t="shared" si="42"/>
        <v>0</v>
      </c>
      <c r="G109" s="3">
        <f t="shared" si="42"/>
        <v>-32753</v>
      </c>
      <c r="H109" s="3">
        <f t="shared" si="42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5">
      <c r="A110" s="32" t="s">
        <v>195</v>
      </c>
      <c r="C110" s="3">
        <f t="shared" ref="C110:H110" si="43">SUM(C361:C363)</f>
        <v>166804</v>
      </c>
      <c r="D110" s="3">
        <f t="shared" si="43"/>
        <v>0</v>
      </c>
      <c r="E110" s="3">
        <f t="shared" si="43"/>
        <v>164505</v>
      </c>
      <c r="F110" s="3">
        <f t="shared" si="43"/>
        <v>0</v>
      </c>
      <c r="G110" s="3">
        <f t="shared" si="43"/>
        <v>75941</v>
      </c>
      <c r="H110" s="3">
        <f t="shared" si="43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5">
      <c r="A111" s="32" t="s">
        <v>196</v>
      </c>
      <c r="C111" s="3">
        <f t="shared" ref="C111:H111" si="44">SUM(C364:C366)</f>
        <v>158944</v>
      </c>
      <c r="D111" s="3">
        <f t="shared" si="44"/>
        <v>0</v>
      </c>
      <c r="E111" s="3">
        <f t="shared" si="44"/>
        <v>115204</v>
      </c>
      <c r="F111" s="3">
        <f t="shared" si="44"/>
        <v>0</v>
      </c>
      <c r="G111" s="3">
        <f t="shared" si="44"/>
        <v>-6378</v>
      </c>
      <c r="H111" s="3">
        <f t="shared" si="44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5">
      <c r="A113" s="32" t="s">
        <v>197</v>
      </c>
      <c r="C113" s="3">
        <f t="shared" ref="C113:H113" si="45">SUM(C368:C370)</f>
        <v>65950</v>
      </c>
      <c r="D113" s="3">
        <f t="shared" si="45"/>
        <v>32570</v>
      </c>
      <c r="E113" s="3">
        <f t="shared" si="45"/>
        <v>52806</v>
      </c>
      <c r="F113" s="3">
        <f t="shared" si="45"/>
        <v>0</v>
      </c>
      <c r="G113" s="3">
        <f t="shared" si="45"/>
        <v>-13165</v>
      </c>
      <c r="H113" s="3">
        <f t="shared" si="45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5">
      <c r="A114" s="32" t="s">
        <v>198</v>
      </c>
      <c r="C114" s="3">
        <f t="shared" ref="C114:H114" si="46">SUM(C371:C373)</f>
        <v>48791</v>
      </c>
      <c r="D114" s="3">
        <f t="shared" si="46"/>
        <v>51268</v>
      </c>
      <c r="E114" s="3">
        <f t="shared" si="46"/>
        <v>127693</v>
      </c>
      <c r="F114" s="3">
        <f t="shared" si="46"/>
        <v>0</v>
      </c>
      <c r="G114" s="3">
        <f t="shared" si="46"/>
        <v>24871</v>
      </c>
      <c r="H114" s="3">
        <f t="shared" si="46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5">
      <c r="A115" s="32" t="s">
        <v>199</v>
      </c>
      <c r="C115" s="3">
        <f t="shared" ref="C115:H115" si="47">SUM(C374:C376)</f>
        <v>238854</v>
      </c>
      <c r="D115" s="3">
        <f t="shared" si="47"/>
        <v>0</v>
      </c>
      <c r="E115" s="3">
        <f t="shared" si="47"/>
        <v>174715</v>
      </c>
      <c r="F115" s="3">
        <f t="shared" si="47"/>
        <v>0</v>
      </c>
      <c r="G115" s="3">
        <f t="shared" si="47"/>
        <v>-59114</v>
      </c>
      <c r="H115" s="3">
        <f t="shared" si="47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5">
      <c r="A116" s="32" t="s">
        <v>200</v>
      </c>
      <c r="C116" s="3">
        <f t="shared" ref="C116:H116" si="48">SUM(C377:C379)</f>
        <v>58138</v>
      </c>
      <c r="D116" s="3">
        <f t="shared" si="48"/>
        <v>0</v>
      </c>
      <c r="E116" s="3">
        <f t="shared" si="48"/>
        <v>100380</v>
      </c>
      <c r="F116" s="3">
        <f t="shared" si="48"/>
        <v>0</v>
      </c>
      <c r="G116" s="3">
        <f t="shared" si="48"/>
        <v>45143</v>
      </c>
      <c r="H116" s="3">
        <f t="shared" si="48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5">
      <c r="A117" s="32"/>
      <c r="J117" s="3"/>
      <c r="K117" s="26"/>
    </row>
    <row r="118" spans="1:21" s="57" customFormat="1" x14ac:dyDescent="0.25">
      <c r="A118" s="32" t="str">
        <f>'Olieforbrug, TJ'!A118</f>
        <v>1. kvartal 2018</v>
      </c>
      <c r="C118" s="3">
        <f t="shared" ref="C118:H118" si="49">SUM(C381:C383)</f>
        <v>99161</v>
      </c>
      <c r="D118" s="3">
        <f t="shared" si="49"/>
        <v>0</v>
      </c>
      <c r="E118" s="3">
        <f t="shared" si="49"/>
        <v>68641</v>
      </c>
      <c r="F118" s="3">
        <f t="shared" si="49"/>
        <v>0</v>
      </c>
      <c r="G118" s="3">
        <f>SUM(G381:G383)</f>
        <v>-22208</v>
      </c>
      <c r="H118" s="3">
        <f t="shared" si="49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5">
      <c r="A119" s="32" t="str">
        <f>'Olieforbrug, TJ'!A119</f>
        <v>2. kvartal 2018</v>
      </c>
      <c r="C119" s="3">
        <f t="shared" ref="C119:H119" si="50">SUM(C384:C386)</f>
        <v>184556</v>
      </c>
      <c r="D119" s="3">
        <f t="shared" si="50"/>
        <v>0</v>
      </c>
      <c r="E119" s="3">
        <f t="shared" si="50"/>
        <v>165978</v>
      </c>
      <c r="F119" s="3">
        <f t="shared" si="50"/>
        <v>0</v>
      </c>
      <c r="G119" s="3">
        <f t="shared" si="50"/>
        <v>-15944</v>
      </c>
      <c r="H119" s="3">
        <f t="shared" si="50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5">
      <c r="A120" s="32" t="str">
        <f>'Olieforbrug, TJ'!A120</f>
        <v>3. kvartal 2018</v>
      </c>
      <c r="C120" s="3">
        <f t="shared" ref="C120:H120" si="51">SUM(C387:C389)</f>
        <v>214287</v>
      </c>
      <c r="D120" s="3">
        <f t="shared" si="51"/>
        <v>30327</v>
      </c>
      <c r="E120" s="3">
        <f t="shared" si="51"/>
        <v>290548</v>
      </c>
      <c r="F120" s="3">
        <f t="shared" si="51"/>
        <v>0</v>
      </c>
      <c r="G120" s="3">
        <f t="shared" si="51"/>
        <v>51006</v>
      </c>
      <c r="H120" s="3">
        <f t="shared" si="51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5">
      <c r="A121" s="32" t="str">
        <f>'Olieforbrug, TJ'!A121</f>
        <v>4. kvartal 2018</v>
      </c>
      <c r="C121" s="3">
        <f t="shared" ref="C121:H121" si="52">SUM(C390:C392)</f>
        <v>102119</v>
      </c>
      <c r="D121" s="3">
        <f t="shared" si="52"/>
        <v>30194</v>
      </c>
      <c r="E121" s="3">
        <f t="shared" si="52"/>
        <v>133866</v>
      </c>
      <c r="F121" s="3">
        <f t="shared" si="52"/>
        <v>0</v>
      </c>
      <c r="G121" s="3">
        <f t="shared" si="52"/>
        <v>-25312</v>
      </c>
      <c r="H121" s="3">
        <f t="shared" si="52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5">
      <c r="A123" s="32" t="str">
        <f>'Olieforbrug, TJ'!A123</f>
        <v>1. kvartal 2019</v>
      </c>
      <c r="C123" s="3">
        <f t="shared" ref="C123:H123" si="53">SUM(C394:C396)</f>
        <v>37175</v>
      </c>
      <c r="D123" s="3">
        <f t="shared" si="53"/>
        <v>30233</v>
      </c>
      <c r="E123" s="3">
        <f t="shared" si="53"/>
        <v>58364</v>
      </c>
      <c r="F123" s="3">
        <f t="shared" si="53"/>
        <v>0</v>
      </c>
      <c r="G123" s="3">
        <f t="shared" si="53"/>
        <v>-7335</v>
      </c>
      <c r="H123" s="3">
        <f t="shared" si="53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5">
      <c r="A124" s="32" t="str">
        <f>'Olieforbrug, TJ'!A124</f>
        <v>2. kvartal 2019</v>
      </c>
      <c r="C124" s="3">
        <f t="shared" ref="C124:H124" si="54">SUM(C397:C399)</f>
        <v>53347</v>
      </c>
      <c r="D124" s="3">
        <f t="shared" si="54"/>
        <v>0</v>
      </c>
      <c r="E124" s="3">
        <f t="shared" si="54"/>
        <v>80604</v>
      </c>
      <c r="F124" s="3">
        <f t="shared" si="54"/>
        <v>0</v>
      </c>
      <c r="G124" s="3">
        <f t="shared" si="54"/>
        <v>30044</v>
      </c>
      <c r="H124" s="3">
        <f t="shared" si="54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5">
      <c r="A125" s="32" t="str">
        <f>'Olieforbrug, TJ'!A125</f>
        <v>3. kvartal 2019</v>
      </c>
      <c r="C125" s="3">
        <f t="shared" ref="C125:H125" si="55">SUM(C400:C402)</f>
        <v>73864</v>
      </c>
      <c r="D125" s="3">
        <f t="shared" si="55"/>
        <v>0</v>
      </c>
      <c r="E125" s="3">
        <f t="shared" si="55"/>
        <v>25328</v>
      </c>
      <c r="F125" s="3">
        <f t="shared" si="55"/>
        <v>0</v>
      </c>
      <c r="G125" s="3">
        <f t="shared" si="55"/>
        <v>-45776</v>
      </c>
      <c r="H125" s="3">
        <f t="shared" si="55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5">
      <c r="A126" s="32" t="str">
        <f>'Olieforbrug, TJ'!A126</f>
        <v>4. kvartal 2019</v>
      </c>
      <c r="C126" s="3">
        <f t="shared" ref="C126:H126" si="56">SUM(C403:C405)</f>
        <v>22788</v>
      </c>
      <c r="D126" s="3">
        <f t="shared" si="56"/>
        <v>59754</v>
      </c>
      <c r="E126" s="3">
        <f t="shared" si="56"/>
        <v>73093</v>
      </c>
      <c r="F126" s="3">
        <f t="shared" si="56"/>
        <v>0</v>
      </c>
      <c r="G126" s="3">
        <f t="shared" si="56"/>
        <v>7601</v>
      </c>
      <c r="H126" s="3">
        <f t="shared" si="56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5">
      <c r="A128" s="32" t="str">
        <f>'Olieforbrug, TJ'!A128</f>
        <v>1. kvartal 2020</v>
      </c>
      <c r="C128" s="3">
        <f t="shared" ref="C128:H128" si="57">SUM(C407:C409)</f>
        <v>30284</v>
      </c>
      <c r="D128" s="3">
        <f t="shared" si="57"/>
        <v>0</v>
      </c>
      <c r="E128" s="3">
        <f t="shared" si="57"/>
        <v>17609</v>
      </c>
      <c r="F128" s="3">
        <f t="shared" si="57"/>
        <v>0</v>
      </c>
      <c r="G128" s="3">
        <f t="shared" si="57"/>
        <v>46301</v>
      </c>
      <c r="H128" s="3">
        <f t="shared" si="57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5">
      <c r="A129" s="32" t="str">
        <f>'Olieforbrug, TJ'!A129</f>
        <v>2. kvartal 2020</v>
      </c>
      <c r="C129" s="3">
        <f t="shared" ref="C129:H129" si="58">SUM(C410:C412)</f>
        <v>18458</v>
      </c>
      <c r="D129" s="3">
        <f t="shared" si="58"/>
        <v>0</v>
      </c>
      <c r="E129" s="3">
        <f t="shared" si="58"/>
        <v>14096</v>
      </c>
      <c r="F129" s="3">
        <f t="shared" si="58"/>
        <v>0</v>
      </c>
      <c r="G129" s="3">
        <f t="shared" si="58"/>
        <v>7277</v>
      </c>
      <c r="H129" s="3">
        <f t="shared" si="58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5">
      <c r="A130" s="32" t="str">
        <f>'Olieforbrug, TJ'!A130</f>
        <v>3. kvartal 2020</v>
      </c>
      <c r="C130" s="3">
        <f t="shared" ref="C130:H130" si="59">SUM(C413:C415)</f>
        <v>24517</v>
      </c>
      <c r="D130" s="3">
        <f t="shared" si="59"/>
        <v>0</v>
      </c>
      <c r="E130" s="3">
        <f t="shared" si="59"/>
        <v>10658</v>
      </c>
      <c r="F130" s="3">
        <f t="shared" si="59"/>
        <v>0</v>
      </c>
      <c r="G130" s="3">
        <f t="shared" si="59"/>
        <v>-646</v>
      </c>
      <c r="H130" s="3">
        <f t="shared" si="59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5">
      <c r="A131" s="32" t="str">
        <f>'Olieforbrug, TJ'!A131</f>
        <v>4. kvartal 2020</v>
      </c>
      <c r="C131" s="3">
        <f t="shared" ref="C131:H131" si="60">SUM(C416:C418)</f>
        <v>37640</v>
      </c>
      <c r="D131" s="3">
        <f t="shared" si="60"/>
        <v>0</v>
      </c>
      <c r="E131" s="3">
        <f t="shared" si="60"/>
        <v>12549</v>
      </c>
      <c r="F131" s="3">
        <f t="shared" si="60"/>
        <v>0</v>
      </c>
      <c r="G131" s="3">
        <f t="shared" si="60"/>
        <v>9982</v>
      </c>
      <c r="H131" s="3">
        <f t="shared" si="60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5">
      <c r="A133" s="32" t="str">
        <f>'Olieforbrug, TJ'!A133</f>
        <v>1. kvartal 2021</v>
      </c>
      <c r="C133" s="3">
        <f t="shared" ref="C133:H133" si="61">SUM(C420:C422)</f>
        <v>19036</v>
      </c>
      <c r="D133" s="3">
        <f t="shared" si="61"/>
        <v>0</v>
      </c>
      <c r="E133" s="3">
        <f t="shared" si="61"/>
        <v>16072</v>
      </c>
      <c r="F133" s="3">
        <f t="shared" si="61"/>
        <v>0</v>
      </c>
      <c r="G133" s="3">
        <f t="shared" si="61"/>
        <v>-2126</v>
      </c>
      <c r="H133" s="3">
        <f t="shared" si="61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5">
      <c r="A134" s="32" t="str">
        <f>'Olieforbrug, TJ'!A134</f>
        <v>2. kvartal 2021</v>
      </c>
      <c r="C134" s="3">
        <f t="shared" ref="C134:H134" si="62">SUM(C423:C425)</f>
        <v>21999</v>
      </c>
      <c r="D134" s="3">
        <f t="shared" si="62"/>
        <v>0</v>
      </c>
      <c r="E134" s="3">
        <f t="shared" si="62"/>
        <v>26675</v>
      </c>
      <c r="F134" s="3">
        <f t="shared" si="62"/>
        <v>0</v>
      </c>
      <c r="G134" s="3">
        <f t="shared" si="62"/>
        <v>8499</v>
      </c>
      <c r="H134" s="3">
        <f t="shared" si="62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5">
      <c r="A135" s="32" t="str">
        <f>'Olieforbrug, TJ'!A135</f>
        <v>3. kvartal 2021</v>
      </c>
      <c r="C135" s="3">
        <f t="shared" ref="C135:H135" si="63">SUM(C426:C428)</f>
        <v>36227</v>
      </c>
      <c r="D135" s="3">
        <f t="shared" si="63"/>
        <v>0</v>
      </c>
      <c r="E135" s="3">
        <f t="shared" si="63"/>
        <v>20906</v>
      </c>
      <c r="F135" s="3">
        <f t="shared" si="63"/>
        <v>0</v>
      </c>
      <c r="G135" s="3">
        <f t="shared" si="63"/>
        <v>-12339</v>
      </c>
      <c r="H135" s="3">
        <f t="shared" si="63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5">
      <c r="A136" s="32" t="str">
        <f>'Olieforbrug, TJ'!A136</f>
        <v>4. kvartal 2021</v>
      </c>
      <c r="C136" s="3">
        <f t="shared" ref="C136:H136" si="64">SUM(C429:C431)</f>
        <v>21646</v>
      </c>
      <c r="D136" s="3">
        <f t="shared" si="64"/>
        <v>0</v>
      </c>
      <c r="E136" s="3">
        <f t="shared" si="64"/>
        <v>16973</v>
      </c>
      <c r="F136" s="3">
        <f t="shared" si="64"/>
        <v>0</v>
      </c>
      <c r="G136" s="3">
        <f t="shared" si="64"/>
        <v>-266</v>
      </c>
      <c r="H136" s="3">
        <f t="shared" si="64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5">
      <c r="A138" s="32" t="str">
        <f>'Olieforbrug, TJ'!A138</f>
        <v>1. kvartal 2022</v>
      </c>
      <c r="C138" s="3">
        <f>SUM(C433:C435)</f>
        <v>38857</v>
      </c>
      <c r="D138" s="3">
        <f t="shared" ref="D138:H138" si="65">SUM(D433:D435)</f>
        <v>0</v>
      </c>
      <c r="E138" s="3">
        <f t="shared" si="65"/>
        <v>11934</v>
      </c>
      <c r="F138" s="3">
        <f t="shared" si="65"/>
        <v>0</v>
      </c>
      <c r="G138" s="3">
        <f t="shared" si="65"/>
        <v>-11339</v>
      </c>
      <c r="H138" s="3">
        <f t="shared" si="65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5">
      <c r="A139" s="32" t="str">
        <f>'Olieforbrug, TJ'!A139</f>
        <v>2. kvartal 2022</v>
      </c>
      <c r="C139" s="3">
        <f>SUM(C436:C438)</f>
        <v>9727</v>
      </c>
      <c r="D139" s="3">
        <f t="shared" ref="D139:H139" si="66">SUM(D436:D438)</f>
        <v>15530</v>
      </c>
      <c r="E139" s="3">
        <f t="shared" si="66"/>
        <v>12084</v>
      </c>
      <c r="F139" s="3">
        <f t="shared" si="66"/>
        <v>0</v>
      </c>
      <c r="G139" s="3">
        <f t="shared" si="66"/>
        <v>-2852</v>
      </c>
      <c r="H139" s="3">
        <f t="shared" si="66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5">
      <c r="A140" s="32" t="str">
        <f>'Olieforbrug, TJ'!A140</f>
        <v>3. kvartal 2022</v>
      </c>
      <c r="C140" s="3">
        <f>SUM(C439:C441)</f>
        <v>17870</v>
      </c>
      <c r="D140" s="3">
        <f t="shared" ref="D140:H140" si="67">SUM(D439:D441)</f>
        <v>0</v>
      </c>
      <c r="E140" s="3">
        <f t="shared" si="67"/>
        <v>19215</v>
      </c>
      <c r="F140" s="3">
        <f t="shared" si="67"/>
        <v>0</v>
      </c>
      <c r="G140" s="3">
        <f t="shared" si="67"/>
        <v>20056</v>
      </c>
      <c r="H140" s="3">
        <f t="shared" si="67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5">
      <c r="A141" s="32" t="str">
        <f>'Olieforbrug, TJ'!A141</f>
        <v>4. kvartal 2022</v>
      </c>
      <c r="C141" s="3">
        <f t="shared" ref="C141:H141" si="68">SUM(C442:C444)</f>
        <v>30287</v>
      </c>
      <c r="D141" s="3">
        <f t="shared" si="68"/>
        <v>0</v>
      </c>
      <c r="E141" s="3">
        <f t="shared" si="68"/>
        <v>18373</v>
      </c>
      <c r="F141" s="3">
        <f t="shared" si="68"/>
        <v>0</v>
      </c>
      <c r="G141" s="3">
        <f t="shared" si="68"/>
        <v>-9817</v>
      </c>
      <c r="H141" s="3">
        <f t="shared" si="68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5">
      <c r="A143" s="32" t="str">
        <f>'Olieforbrug, TJ'!A143</f>
        <v>1. kvartal 2023</v>
      </c>
      <c r="C143" s="3">
        <f>SUM(C446:C448)</f>
        <v>10499</v>
      </c>
      <c r="D143" s="3">
        <f t="shared" ref="D143:H143" si="69">SUM(D446:D448)</f>
        <v>26383</v>
      </c>
      <c r="E143" s="3">
        <f t="shared" si="69"/>
        <v>6017</v>
      </c>
      <c r="F143" s="3">
        <f t="shared" si="69"/>
        <v>0</v>
      </c>
      <c r="G143" s="3">
        <f t="shared" si="69"/>
        <v>-8212</v>
      </c>
      <c r="H143" s="3">
        <f t="shared" si="69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5">
      <c r="A144" s="32" t="str">
        <f>'Olieforbrug, TJ'!A144</f>
        <v>2. kvartal 2023</v>
      </c>
      <c r="C144" s="3">
        <f t="shared" ref="C144:H144" si="70">SUM(C449:C451)</f>
        <v>37760</v>
      </c>
      <c r="D144" s="3">
        <f t="shared" si="70"/>
        <v>15494</v>
      </c>
      <c r="E144" s="3">
        <f t="shared" si="70"/>
        <v>24555</v>
      </c>
      <c r="F144" s="3">
        <f t="shared" si="70"/>
        <v>0</v>
      </c>
      <c r="G144" s="3">
        <f t="shared" si="70"/>
        <v>-2166</v>
      </c>
      <c r="H144" s="3">
        <f t="shared" si="70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5">
      <c r="A145" s="32" t="str">
        <f>'Olieforbrug, TJ'!A145</f>
        <v>3. kvartal 2023</v>
      </c>
      <c r="C145" s="3">
        <f t="shared" ref="C145:H145" si="71">SUM(C452:C454)</f>
        <v>23917</v>
      </c>
      <c r="D145" s="3">
        <f t="shared" si="71"/>
        <v>0</v>
      </c>
      <c r="E145" s="3">
        <f t="shared" si="71"/>
        <v>8729</v>
      </c>
      <c r="F145" s="3">
        <f t="shared" si="71"/>
        <v>0</v>
      </c>
      <c r="G145" s="3">
        <f t="shared" si="71"/>
        <v>5915</v>
      </c>
      <c r="H145" s="3">
        <f t="shared" si="71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5">
      <c r="A146" s="32" t="str">
        <f>'Olieforbrug, TJ'!A146</f>
        <v>4. kvartal 2023</v>
      </c>
      <c r="C146" s="3">
        <f>SUM(C455:C457)</f>
        <v>60403</v>
      </c>
      <c r="D146" s="3">
        <f t="shared" ref="D146:H146" si="72">SUM(D455:D457)</f>
        <v>5544</v>
      </c>
      <c r="E146" s="3">
        <f t="shared" si="72"/>
        <v>37731</v>
      </c>
      <c r="F146" s="3">
        <f t="shared" si="72"/>
        <v>0</v>
      </c>
      <c r="G146" s="3">
        <f t="shared" si="72"/>
        <v>-655</v>
      </c>
      <c r="H146" s="3">
        <f t="shared" si="72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5">
      <c r="A148" s="32" t="str">
        <f>'Olieforbrug, TJ'!A148</f>
        <v>1. kvartal 2024</v>
      </c>
      <c r="C148" s="3">
        <f t="shared" ref="C148:H148" si="73">SUM(C459:C461)</f>
        <v>41617</v>
      </c>
      <c r="D148" s="3">
        <f t="shared" si="73"/>
        <v>6978</v>
      </c>
      <c r="E148" s="3">
        <f t="shared" si="73"/>
        <v>18924</v>
      </c>
      <c r="F148" s="3">
        <f t="shared" si="73"/>
        <v>0</v>
      </c>
      <c r="G148" s="3">
        <f t="shared" si="73"/>
        <v>-15912</v>
      </c>
      <c r="H148" s="3">
        <f t="shared" si="73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5">
      <c r="A149" s="32" t="str">
        <f>'Olieforbrug, TJ'!A149</f>
        <v>2. kvartal 2024</v>
      </c>
      <c r="C149" s="3">
        <f>SUM(C462:C464)</f>
        <v>18046</v>
      </c>
      <c r="D149" s="3">
        <f t="shared" ref="D149:H149" si="74">SUM(D462:D464)</f>
        <v>6811</v>
      </c>
      <c r="E149" s="3">
        <f t="shared" si="74"/>
        <v>27118</v>
      </c>
      <c r="F149" s="3">
        <f t="shared" si="74"/>
        <v>0</v>
      </c>
      <c r="G149" s="3">
        <f t="shared" si="74"/>
        <v>31703</v>
      </c>
      <c r="H149" s="3">
        <f t="shared" si="74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5">
      <c r="A150" s="32" t="str">
        <f>'Olieforbrug, TJ'!A150</f>
        <v>3. kvartal 2024</v>
      </c>
      <c r="C150" s="3">
        <f>SUM(C465:C467)</f>
        <v>12470</v>
      </c>
      <c r="D150" s="3">
        <f t="shared" ref="D150:H150" si="75">SUM(D465:D467)</f>
        <v>17286</v>
      </c>
      <c r="E150" s="3">
        <f t="shared" si="75"/>
        <v>14010</v>
      </c>
      <c r="F150" s="3">
        <f t="shared" si="75"/>
        <v>0</v>
      </c>
      <c r="G150" s="3">
        <f t="shared" si="75"/>
        <v>-456</v>
      </c>
      <c r="H150" s="3">
        <f t="shared" si="75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5">
      <c r="A151" s="32" t="str">
        <f>'Olieforbrug, TJ'!A151</f>
        <v>4. kvartal 2024</v>
      </c>
      <c r="C151" s="3">
        <f>SUM(C468:C470)</f>
        <v>44613</v>
      </c>
      <c r="D151" s="3">
        <f t="shared" ref="D151:H151" si="76">SUM(D468:D470)</f>
        <v>5194</v>
      </c>
      <c r="E151" s="3">
        <f t="shared" si="76"/>
        <v>18480</v>
      </c>
      <c r="F151" s="3">
        <f t="shared" si="76"/>
        <v>0</v>
      </c>
      <c r="G151" s="3">
        <f t="shared" si="76"/>
        <v>-14403</v>
      </c>
      <c r="H151" s="3">
        <f t="shared" si="76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5">
      <c r="A153" s="170" t="str">
        <f>'Olieforbrug, TJ'!A153</f>
        <v>1. kvartal 2025</v>
      </c>
      <c r="C153" s="3">
        <f>SUM(C472:C474)</f>
        <v>33064</v>
      </c>
      <c r="D153" s="3">
        <f t="shared" ref="D153:H153" si="77">SUM(D472:D474)</f>
        <v>6527</v>
      </c>
      <c r="E153" s="3">
        <f t="shared" si="77"/>
        <v>37333</v>
      </c>
      <c r="F153" s="3">
        <f t="shared" si="77"/>
        <v>0</v>
      </c>
      <c r="G153" s="3">
        <f t="shared" si="77"/>
        <v>1260</v>
      </c>
      <c r="H153" s="3">
        <f t="shared" si="77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5">
      <c r="A154" s="170" t="str">
        <f>'Olieforbrug, TJ'!A154</f>
        <v>2. kvartal 2025</v>
      </c>
      <c r="C154" s="3">
        <f>SUM(C475:C477)</f>
        <v>9375</v>
      </c>
      <c r="D154" s="3">
        <f t="shared" ref="D154:H154" si="78">SUM(D475:D477)</f>
        <v>5785</v>
      </c>
      <c r="E154" s="3">
        <f t="shared" si="78"/>
        <v>18451</v>
      </c>
      <c r="F154" s="3">
        <f t="shared" si="78"/>
        <v>0</v>
      </c>
      <c r="G154" s="3">
        <f t="shared" si="78"/>
        <v>17120</v>
      </c>
      <c r="H154" s="3">
        <f t="shared" si="78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5">
      <c r="A155" s="170" t="str">
        <f>'Olieforbrug, TJ'!A155</f>
        <v>3. kvartal 2025</v>
      </c>
      <c r="C155" s="3">
        <f>SUM(C478:C480)</f>
        <v>29276</v>
      </c>
      <c r="D155" s="3">
        <f t="shared" ref="D155:H155" si="79">SUM(D478:D480)</f>
        <v>0</v>
      </c>
      <c r="E155" s="3">
        <f t="shared" si="79"/>
        <v>16944</v>
      </c>
      <c r="F155" s="3">
        <f t="shared" si="79"/>
        <v>0</v>
      </c>
      <c r="G155" s="3">
        <f t="shared" si="79"/>
        <v>-9504</v>
      </c>
      <c r="H155" s="3">
        <f t="shared" si="79"/>
        <v>2828</v>
      </c>
      <c r="I155" s="3">
        <f>I480</f>
        <v>31639</v>
      </c>
      <c r="J155" s="3"/>
      <c r="K155" s="26" t="str">
        <f>'Olieforbrug, TJ'!M155</f>
        <v>3. Quarter 2025</v>
      </c>
      <c r="M155" s="65"/>
    </row>
    <row r="156" spans="1:13" s="57" customFormat="1" x14ac:dyDescent="0.25">
      <c r="A156" s="170" t="str">
        <f>'Olieforbrug, TJ'!A156</f>
        <v>4. kvartal 2025</v>
      </c>
      <c r="C156" s="3">
        <f>SUM(C481:C483)</f>
        <v>43758</v>
      </c>
      <c r="D156" s="3">
        <f t="shared" ref="D156:H156" si="80">SUM(D481:D483)</f>
        <v>11968</v>
      </c>
      <c r="E156" s="3">
        <f t="shared" si="80"/>
        <v>83162</v>
      </c>
      <c r="F156" s="3">
        <f t="shared" si="80"/>
        <v>0</v>
      </c>
      <c r="G156" s="3">
        <f t="shared" si="80"/>
        <v>3560</v>
      </c>
      <c r="H156" s="3">
        <f t="shared" si="80"/>
        <v>3359</v>
      </c>
      <c r="I156" s="3">
        <f>I483</f>
        <v>28079</v>
      </c>
      <c r="J156" s="3"/>
      <c r="K156" s="26" t="str">
        <f>'Olieforbrug, TJ'!M156</f>
        <v>4. Quarter 2025</v>
      </c>
      <c r="M156" s="65"/>
    </row>
    <row r="157" spans="1:13" s="181" customFormat="1" x14ac:dyDescent="0.25"/>
    <row r="158" spans="1:13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5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5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5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5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5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5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5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5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5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5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5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8" thickBot="1" x14ac:dyDescent="0.3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5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5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5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5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5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5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5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5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5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5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5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8" thickBot="1" x14ac:dyDescent="0.3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5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5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5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5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5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5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5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5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5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5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5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8" thickBot="1" x14ac:dyDescent="0.3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5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5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5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5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5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5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5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5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5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5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5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8" thickBot="1" x14ac:dyDescent="0.3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5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5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5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5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5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5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5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5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5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5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5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8" thickBot="1" x14ac:dyDescent="0.3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5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5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5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5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5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5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5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5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5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5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5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8" thickBot="1" x14ac:dyDescent="0.3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5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5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5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5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5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5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5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5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5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5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5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8" thickBot="1" x14ac:dyDescent="0.3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5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5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5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5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5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5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5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5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5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5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5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8" thickBot="1" x14ac:dyDescent="0.3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5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5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5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5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5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5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5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5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5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5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5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8" thickBot="1" x14ac:dyDescent="0.3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5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5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5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5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5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5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5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5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5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5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5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8" thickBot="1" x14ac:dyDescent="0.3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5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5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5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5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5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5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5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5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5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5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5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8" thickBot="1" x14ac:dyDescent="0.3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5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5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5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5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5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5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5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5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5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5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5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8" thickBot="1" x14ac:dyDescent="0.3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5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5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5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5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5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5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5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5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5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5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5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8" thickBot="1" x14ac:dyDescent="0.3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5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5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5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5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5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5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5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5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5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5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5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8" thickBot="1" x14ac:dyDescent="0.3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5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5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81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5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81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5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81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5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81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5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81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5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81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5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81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5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81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5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81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5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81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8" thickBot="1" x14ac:dyDescent="0.3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81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5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5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5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5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5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5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5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5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5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5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5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8" thickBot="1" x14ac:dyDescent="0.3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5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5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82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5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82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5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82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5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82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5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82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5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82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5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5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5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5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8" thickBot="1" x14ac:dyDescent="0.3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5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5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3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5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3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5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3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5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3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5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3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5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3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5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5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5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5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8" thickBot="1" x14ac:dyDescent="0.3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5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5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4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5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4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5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4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5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4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5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4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5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4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5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5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5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5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8" thickBot="1" x14ac:dyDescent="0.3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5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5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5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5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5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5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5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5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5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5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5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5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5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5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5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5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5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8" thickBot="1" x14ac:dyDescent="0.3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5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5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5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6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5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6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5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6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5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6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5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6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5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6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5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5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5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5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8" thickBot="1" x14ac:dyDescent="0.3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5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5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5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7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5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7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5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7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5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7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5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7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5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7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5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8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5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9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5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90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5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91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8" thickBot="1" x14ac:dyDescent="0.3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92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5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5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3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5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3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5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3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5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3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5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3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5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3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5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4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5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5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5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5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8" thickBot="1" x14ac:dyDescent="0.3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5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5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6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5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6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5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6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5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6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5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6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5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6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5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7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5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8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5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9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5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3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8" thickBot="1" x14ac:dyDescent="0.3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6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5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3">
        <f>I470-I472</f>
        <v>7727</v>
      </c>
      <c r="H472" s="77">
        <v>1595</v>
      </c>
      <c r="I472" s="77">
        <v>32788</v>
      </c>
      <c r="J472" s="174"/>
      <c r="K472" s="74" t="str">
        <f>'Olieforbrug, TJ'!M472</f>
        <v>January</v>
      </c>
      <c r="L472" s="69"/>
      <c r="M472" s="57"/>
    </row>
    <row r="473" spans="1:13" x14ac:dyDescent="0.25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3">
        <f t="shared" ref="G473:G478" si="100">I472-I473</f>
        <v>3431</v>
      </c>
      <c r="H473" s="77">
        <v>1850</v>
      </c>
      <c r="I473" s="77">
        <v>29357</v>
      </c>
      <c r="J473" s="174"/>
      <c r="K473" s="74" t="str">
        <f>'Olieforbrug, TJ'!M473</f>
        <v>February</v>
      </c>
    </row>
    <row r="474" spans="1:13" x14ac:dyDescent="0.25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3">
        <f t="shared" si="100"/>
        <v>-9898</v>
      </c>
      <c r="H474" s="77">
        <v>73</v>
      </c>
      <c r="I474" s="77">
        <v>39255</v>
      </c>
      <c r="J474" s="174"/>
      <c r="K474" s="74" t="str">
        <f>'Olieforbrug, TJ'!M474</f>
        <v>March</v>
      </c>
    </row>
    <row r="475" spans="1:13" x14ac:dyDescent="0.25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3">
        <f t="shared" si="100"/>
        <v>12217</v>
      </c>
      <c r="H475" s="77">
        <v>5200</v>
      </c>
      <c r="I475" s="77">
        <v>27038</v>
      </c>
      <c r="J475" s="174"/>
      <c r="K475" s="74" t="str">
        <f>'Olieforbrug, TJ'!M475</f>
        <v>April</v>
      </c>
    </row>
    <row r="476" spans="1:13" x14ac:dyDescent="0.25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3">
        <f t="shared" si="100"/>
        <v>4983</v>
      </c>
      <c r="H476" s="77">
        <v>137</v>
      </c>
      <c r="I476" s="77">
        <v>22055</v>
      </c>
      <c r="J476" s="174"/>
      <c r="K476" s="74" t="str">
        <f>'Olieforbrug, TJ'!M476</f>
        <v>May</v>
      </c>
    </row>
    <row r="477" spans="1:13" x14ac:dyDescent="0.25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3">
        <f t="shared" si="100"/>
        <v>-80</v>
      </c>
      <c r="H477" s="77">
        <v>2962</v>
      </c>
      <c r="I477" s="77">
        <v>22135</v>
      </c>
      <c r="J477" s="174"/>
      <c r="K477" s="74" t="str">
        <f>'Olieforbrug, TJ'!M477</f>
        <v>June</v>
      </c>
    </row>
    <row r="478" spans="1:13" x14ac:dyDescent="0.25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3">
        <f t="shared" si="100"/>
        <v>4533</v>
      </c>
      <c r="H478" s="77">
        <v>2474</v>
      </c>
      <c r="I478" s="77">
        <v>17602</v>
      </c>
      <c r="J478" s="174"/>
      <c r="K478" s="74" t="str">
        <f>'Olieforbrug, TJ'!M478</f>
        <v>July</v>
      </c>
    </row>
    <row r="479" spans="1:13" x14ac:dyDescent="0.25">
      <c r="A479" s="74" t="str">
        <f>'Olieforbrug, TJ'!A479</f>
        <v>August</v>
      </c>
      <c r="B479" s="7"/>
      <c r="C479" s="77">
        <v>9797</v>
      </c>
      <c r="D479" s="77">
        <v>0</v>
      </c>
      <c r="E479" s="77">
        <v>0</v>
      </c>
      <c r="F479" s="77">
        <v>0</v>
      </c>
      <c r="G479" s="173">
        <f t="shared" ref="G479" si="101">I478-I479</f>
        <v>-9443</v>
      </c>
      <c r="H479" s="77">
        <v>354</v>
      </c>
      <c r="I479" s="77">
        <v>27045</v>
      </c>
      <c r="J479" s="174"/>
      <c r="K479" s="74" t="str">
        <f>'Olieforbrug, TJ'!M479</f>
        <v>August</v>
      </c>
    </row>
    <row r="480" spans="1:13" x14ac:dyDescent="0.25">
      <c r="A480" s="74" t="str">
        <f>'Olieforbrug, TJ'!A480</f>
        <v>September</v>
      </c>
      <c r="B480" s="7"/>
      <c r="C480" s="77">
        <v>12508</v>
      </c>
      <c r="D480" s="77">
        <v>0</v>
      </c>
      <c r="E480" s="77">
        <v>7914</v>
      </c>
      <c r="F480" s="77">
        <v>0</v>
      </c>
      <c r="G480" s="173">
        <f t="shared" ref="G480" si="102">I479-I480</f>
        <v>-4594</v>
      </c>
      <c r="H480" s="77">
        <v>0</v>
      </c>
      <c r="I480" s="77">
        <v>31639</v>
      </c>
      <c r="J480" s="174"/>
      <c r="K480" s="74" t="str">
        <f>'Olieforbrug, TJ'!M480</f>
        <v>September</v>
      </c>
    </row>
    <row r="481" spans="1:11" x14ac:dyDescent="0.25">
      <c r="A481" s="74" t="str">
        <f>'Olieforbrug, TJ'!A481</f>
        <v>Oktober</v>
      </c>
      <c r="B481" s="7"/>
      <c r="C481" s="77">
        <v>14522</v>
      </c>
      <c r="D481" s="77">
        <v>11968</v>
      </c>
      <c r="E481" s="77">
        <v>17751</v>
      </c>
      <c r="F481" s="77">
        <v>0</v>
      </c>
      <c r="G481" s="173">
        <f t="shared" ref="G481" si="103">I480-I481</f>
        <v>4976</v>
      </c>
      <c r="H481" s="77">
        <v>367</v>
      </c>
      <c r="I481" s="77">
        <v>26663</v>
      </c>
      <c r="J481" s="174"/>
      <c r="K481" s="74" t="str">
        <f>'Olieforbrug, TJ'!M481</f>
        <v>October</v>
      </c>
    </row>
    <row r="482" spans="1:11" x14ac:dyDescent="0.25">
      <c r="A482" s="74" t="str">
        <f>'Olieforbrug, TJ'!A482</f>
        <v>November</v>
      </c>
      <c r="B482" s="7"/>
      <c r="C482" s="77">
        <v>13675</v>
      </c>
      <c r="D482" s="77">
        <v>0</v>
      </c>
      <c r="E482" s="77">
        <v>19114</v>
      </c>
      <c r="F482" s="77">
        <v>0</v>
      </c>
      <c r="G482" s="173">
        <f t="shared" ref="G482" si="104">I481-I482</f>
        <v>7308</v>
      </c>
      <c r="H482" s="77">
        <v>1869</v>
      </c>
      <c r="I482" s="77">
        <v>19355</v>
      </c>
      <c r="J482" s="174"/>
      <c r="K482" s="74" t="str">
        <f>'Olieforbrug, TJ'!M482</f>
        <v>November</v>
      </c>
    </row>
    <row r="483" spans="1:11" x14ac:dyDescent="0.25">
      <c r="A483" s="74" t="str">
        <f>'Olieforbrug, TJ'!A483</f>
        <v>December</v>
      </c>
      <c r="B483" s="7"/>
      <c r="C483" s="77">
        <v>15561</v>
      </c>
      <c r="D483" s="77">
        <v>0</v>
      </c>
      <c r="E483" s="77">
        <v>46297</v>
      </c>
      <c r="F483" s="77">
        <v>0</v>
      </c>
      <c r="G483" s="173">
        <f t="shared" ref="G483" si="105">I482-I483</f>
        <v>-8724</v>
      </c>
      <c r="H483" s="77">
        <v>1123</v>
      </c>
      <c r="I483" s="77">
        <v>28079</v>
      </c>
      <c r="J483" s="174"/>
      <c r="K483" s="74" t="str">
        <f>'Olieforbrug, TJ'!M483</f>
        <v>December</v>
      </c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83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M487" sqref="M487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2" bestFit="1" customWidth="1"/>
  </cols>
  <sheetData>
    <row r="1" spans="1:16" x14ac:dyDescent="0.25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5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5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5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5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5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5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5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5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5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5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5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5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5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5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5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5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5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5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5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5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5">
      <c r="A27" s="22">
        <v>2025</v>
      </c>
      <c r="C27" s="3">
        <f>SUM(C472:C483)</f>
        <v>2633341</v>
      </c>
      <c r="D27" s="3">
        <f t="shared" ref="D27:L27" si="11">SUM(D472:D483)</f>
        <v>822010</v>
      </c>
      <c r="E27" s="3">
        <f t="shared" si="11"/>
        <v>1884250</v>
      </c>
      <c r="F27" s="3">
        <f t="shared" si="11"/>
        <v>0</v>
      </c>
      <c r="G27" s="3">
        <f t="shared" si="11"/>
        <v>33149</v>
      </c>
      <c r="H27" s="3">
        <f t="shared" si="11"/>
        <v>1563327</v>
      </c>
      <c r="I27" s="3">
        <f>I483</f>
        <v>545691</v>
      </c>
      <c r="J27" s="3"/>
      <c r="K27" s="3"/>
      <c r="L27" s="3">
        <f t="shared" si="11"/>
        <v>51355.291949999999</v>
      </c>
      <c r="M27" s="57"/>
      <c r="N27" s="22">
        <v>2025</v>
      </c>
    </row>
    <row r="28" spans="1:45" x14ac:dyDescent="0.25">
      <c r="A28" s="22"/>
      <c r="J28" s="3"/>
      <c r="L28" s="3"/>
      <c r="M28" s="57"/>
      <c r="N28" s="22"/>
    </row>
    <row r="29" spans="1:45" x14ac:dyDescent="0.25">
      <c r="A29" s="22" t="str">
        <f>'Olieforbrug, TJ'!A29</f>
        <v>Januar - December</v>
      </c>
      <c r="J29" s="3"/>
      <c r="L29" s="3"/>
      <c r="M29" s="3"/>
      <c r="N29" s="22" t="str">
        <f>'Olieforbrug, TJ'!M29</f>
        <v>January - December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5">
      <c r="A30" s="22">
        <f>'Olieforbrug, TJ'!A30</f>
        <v>2005</v>
      </c>
      <c r="C30" s="3">
        <f t="shared" ref="C30:H30" si="12">SUM(C212:C223)</f>
        <v>2558248</v>
      </c>
      <c r="D30" s="3">
        <f t="shared" si="12"/>
        <v>1382952</v>
      </c>
      <c r="E30" s="3">
        <f t="shared" si="12"/>
        <v>1414365</v>
      </c>
      <c r="F30" s="3">
        <f t="shared" si="12"/>
        <v>2</v>
      </c>
      <c r="G30" s="3">
        <f t="shared" si="12"/>
        <v>-42622</v>
      </c>
      <c r="H30" s="3">
        <f t="shared" si="12"/>
        <v>2491289</v>
      </c>
      <c r="I30" s="3">
        <f>I223</f>
        <v>540820</v>
      </c>
      <c r="J30" s="3"/>
      <c r="K30" s="3"/>
      <c r="L30" s="3">
        <f>SUM(L212:L223)</f>
        <v>81812.892150000014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5">
      <c r="A31" s="22">
        <f>'Olieforbrug, TJ'!A31</f>
        <v>2006</v>
      </c>
      <c r="C31" s="3">
        <f t="shared" ref="C31:H31" si="13">SUM(C225:C236)</f>
        <v>2648694</v>
      </c>
      <c r="D31" s="3">
        <f t="shared" si="13"/>
        <v>1220885.7</v>
      </c>
      <c r="E31" s="3">
        <f t="shared" si="13"/>
        <v>1446940</v>
      </c>
      <c r="F31" s="3">
        <f t="shared" si="13"/>
        <v>1</v>
      </c>
      <c r="G31" s="3">
        <f t="shared" si="13"/>
        <v>-21</v>
      </c>
      <c r="H31" s="3">
        <f t="shared" si="13"/>
        <v>2451733</v>
      </c>
      <c r="I31" s="3">
        <f>I236</f>
        <v>540841</v>
      </c>
      <c r="J31" s="3"/>
      <c r="K31" s="3"/>
      <c r="L31" s="3">
        <f>SUM(L225:L236)</f>
        <v>80539.429050000006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5">
      <c r="A32" s="22">
        <f>'Olieforbrug, TJ'!A32</f>
        <v>2007</v>
      </c>
      <c r="C32" s="3">
        <f t="shared" ref="C32:H32" si="14">SUM(C238:C249)</f>
        <v>2615771</v>
      </c>
      <c r="D32" s="3">
        <f t="shared" si="14"/>
        <v>1302360</v>
      </c>
      <c r="E32" s="3">
        <f t="shared" si="14"/>
        <v>1495036</v>
      </c>
      <c r="F32" s="3">
        <f t="shared" si="14"/>
        <v>0</v>
      </c>
      <c r="G32" s="3">
        <f t="shared" si="14"/>
        <v>27136</v>
      </c>
      <c r="H32" s="3">
        <f t="shared" si="14"/>
        <v>2434944</v>
      </c>
      <c r="I32" s="3">
        <f>I249</f>
        <v>513705</v>
      </c>
      <c r="J32" s="3"/>
      <c r="K32" s="3"/>
      <c r="L32" s="3">
        <f>SUM(L238:L249)</f>
        <v>79987.910399999993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5">
      <c r="A33" s="22">
        <f>'Olieforbrug, TJ'!A33</f>
        <v>2008</v>
      </c>
      <c r="C33" s="3">
        <f t="shared" ref="C33:H33" si="15">SUM(C251:C262)</f>
        <v>2564835</v>
      </c>
      <c r="D33" s="3">
        <f t="shared" si="15"/>
        <v>1103156</v>
      </c>
      <c r="E33" s="3">
        <f t="shared" si="15"/>
        <v>1416890</v>
      </c>
      <c r="F33" s="3">
        <f t="shared" si="15"/>
        <v>0</v>
      </c>
      <c r="G33" s="3">
        <f t="shared" si="15"/>
        <v>53514</v>
      </c>
      <c r="H33" s="3">
        <f t="shared" si="15"/>
        <v>2316027</v>
      </c>
      <c r="I33" s="3">
        <f>I262</f>
        <v>460191</v>
      </c>
      <c r="J33" s="3"/>
      <c r="K33" s="3"/>
      <c r="L33" s="3">
        <f>SUM(L251:L262)</f>
        <v>76081.486949999991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5">
      <c r="A34" s="22">
        <f>'Olieforbrug, TJ'!A34</f>
        <v>2009</v>
      </c>
      <c r="C34" s="3">
        <f t="shared" ref="C34:H34" si="16">SUM(C264:C275)</f>
        <v>2788779</v>
      </c>
      <c r="D34" s="3">
        <f t="shared" si="16"/>
        <v>979500</v>
      </c>
      <c r="E34" s="3">
        <f t="shared" si="16"/>
        <v>1525185</v>
      </c>
      <c r="F34" s="3">
        <f t="shared" si="16"/>
        <v>0</v>
      </c>
      <c r="G34" s="3">
        <f t="shared" si="16"/>
        <v>-36152</v>
      </c>
      <c r="H34" s="3">
        <f t="shared" si="16"/>
        <v>2205096</v>
      </c>
      <c r="I34" s="3">
        <f>I275</f>
        <v>496343</v>
      </c>
      <c r="J34" s="3"/>
      <c r="K34" s="3"/>
      <c r="L34" s="3">
        <f>SUM(L264:L275)</f>
        <v>72437.403599999991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5">
      <c r="A35" s="22">
        <f>'Olieforbrug, TJ'!A35</f>
        <v>2010</v>
      </c>
      <c r="C35" s="3">
        <f t="shared" ref="C35:H35" si="17">SUM(C277:C288)</f>
        <v>2422861</v>
      </c>
      <c r="D35" s="3">
        <f t="shared" si="17"/>
        <v>943862</v>
      </c>
      <c r="E35" s="3">
        <f t="shared" si="17"/>
        <v>1272931</v>
      </c>
      <c r="F35" s="3">
        <f t="shared" si="17"/>
        <v>0</v>
      </c>
      <c r="G35" s="3">
        <f t="shared" si="17"/>
        <v>-10008</v>
      </c>
      <c r="H35" s="3">
        <f t="shared" si="17"/>
        <v>2089818</v>
      </c>
      <c r="I35" s="3">
        <f>I288</f>
        <v>506351</v>
      </c>
      <c r="J35" s="3"/>
      <c r="K35" s="3"/>
      <c r="L35" s="3">
        <f>SUM(L277:L288)</f>
        <v>68650.521299999993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5">
      <c r="A36" s="22">
        <f>'Olieforbrug, TJ'!A36</f>
        <v>2011</v>
      </c>
      <c r="C36" s="3">
        <f t="shared" ref="C36:H36" si="18">SUM(C290:C301)</f>
        <v>2477592</v>
      </c>
      <c r="D36" s="3">
        <f t="shared" si="18"/>
        <v>957293</v>
      </c>
      <c r="E36" s="3">
        <f t="shared" si="18"/>
        <v>1417971</v>
      </c>
      <c r="F36" s="3">
        <f t="shared" si="18"/>
        <v>0</v>
      </c>
      <c r="G36" s="3">
        <f t="shared" si="18"/>
        <v>-50803</v>
      </c>
      <c r="H36" s="3">
        <f t="shared" si="18"/>
        <v>1994026</v>
      </c>
      <c r="I36" s="3">
        <f>I301</f>
        <v>557154</v>
      </c>
      <c r="J36" s="3"/>
      <c r="K36" s="3"/>
      <c r="L36" s="3">
        <f>SUM(L290:L301)</f>
        <v>65503.754099999998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5">
      <c r="A37" s="22">
        <f>'Olieforbrug, TJ'!A37</f>
        <v>2012</v>
      </c>
      <c r="C37" s="3">
        <f t="shared" ref="C37:H37" si="19">SUM(C303:C314)</f>
        <v>2681259</v>
      </c>
      <c r="D37" s="3">
        <f t="shared" si="19"/>
        <v>1010195</v>
      </c>
      <c r="E37" s="3">
        <f t="shared" si="19"/>
        <v>1818533</v>
      </c>
      <c r="F37" s="3">
        <f t="shared" si="19"/>
        <v>0</v>
      </c>
      <c r="G37" s="3">
        <f t="shared" si="19"/>
        <v>16565</v>
      </c>
      <c r="H37" s="3">
        <f t="shared" si="19"/>
        <v>1883307</v>
      </c>
      <c r="I37" s="3">
        <f>I314</f>
        <v>540589</v>
      </c>
      <c r="J37" s="3"/>
      <c r="K37" s="3"/>
      <c r="L37" s="3">
        <f>SUM(L303:L314)</f>
        <v>61866.63495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5">
      <c r="A38" s="22">
        <f>'Olieforbrug, TJ'!A38</f>
        <v>2013</v>
      </c>
      <c r="C38" s="3">
        <f t="shared" ref="C38:H38" si="20">SUM(C316:C327)</f>
        <v>2710738</v>
      </c>
      <c r="D38" s="3">
        <f t="shared" si="20"/>
        <v>926830</v>
      </c>
      <c r="E38" s="3">
        <f t="shared" si="20"/>
        <v>1799261</v>
      </c>
      <c r="F38" s="3">
        <f t="shared" si="20"/>
        <v>0</v>
      </c>
      <c r="G38" s="3">
        <f t="shared" si="20"/>
        <v>31828</v>
      </c>
      <c r="H38" s="3">
        <f t="shared" si="20"/>
        <v>1825332.5</v>
      </c>
      <c r="I38" s="3">
        <f>I327</f>
        <v>542102</v>
      </c>
      <c r="J38" s="3"/>
      <c r="K38" s="3"/>
      <c r="L38" s="3">
        <f>SUM(L316:L327)</f>
        <v>59962.172624999992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5">
      <c r="A39" s="22">
        <f>'Olieforbrug, TJ'!A39</f>
        <v>2014</v>
      </c>
      <c r="C39" s="3">
        <f t="shared" ref="C39:H39" si="21">SUM(C329:C340)</f>
        <v>2472050</v>
      </c>
      <c r="D39" s="3">
        <f t="shared" si="21"/>
        <v>952808</v>
      </c>
      <c r="E39" s="3">
        <f t="shared" si="21"/>
        <v>1620009</v>
      </c>
      <c r="F39" s="3">
        <f t="shared" si="21"/>
        <v>0</v>
      </c>
      <c r="G39" s="3">
        <f t="shared" si="21"/>
        <v>7487</v>
      </c>
      <c r="H39" s="3">
        <f t="shared" si="21"/>
        <v>1804182.15</v>
      </c>
      <c r="I39" s="3">
        <f>I340</f>
        <v>534615</v>
      </c>
      <c r="J39" s="3"/>
      <c r="K39" s="3"/>
      <c r="L39" s="3">
        <f>SUM(L329:L340)</f>
        <v>59267.383627499999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5">
      <c r="A40" s="22">
        <f>'Olieforbrug, TJ'!A40</f>
        <v>2015</v>
      </c>
      <c r="C40" s="3">
        <f t="shared" ref="C40:H40" si="22">SUM(C342:C353)</f>
        <v>2645576</v>
      </c>
      <c r="D40" s="3">
        <f t="shared" si="22"/>
        <v>976240</v>
      </c>
      <c r="E40" s="3">
        <f t="shared" si="22"/>
        <v>1780740</v>
      </c>
      <c r="F40" s="3">
        <f t="shared" si="22"/>
        <v>0</v>
      </c>
      <c r="G40" s="3">
        <f t="shared" si="22"/>
        <v>-33152</v>
      </c>
      <c r="H40" s="3">
        <f t="shared" si="22"/>
        <v>1795276</v>
      </c>
      <c r="I40" s="3">
        <f>I353</f>
        <v>567318</v>
      </c>
      <c r="J40" s="3"/>
      <c r="K40" s="3"/>
      <c r="L40" s="3">
        <f>SUM(L342:L353)</f>
        <v>58974.816599999991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5">
      <c r="A41" s="22">
        <f>'Olieforbrug, TJ'!A41</f>
        <v>2016</v>
      </c>
      <c r="C41" s="3">
        <f t="shared" ref="C41:H41" si="23">SUM(C355:C366)</f>
        <v>2495964</v>
      </c>
      <c r="D41" s="3">
        <f t="shared" si="23"/>
        <v>734729</v>
      </c>
      <c r="E41" s="3">
        <f t="shared" si="23"/>
        <v>1449464</v>
      </c>
      <c r="F41" s="3">
        <f t="shared" si="23"/>
        <v>0</v>
      </c>
      <c r="G41" s="3">
        <f t="shared" si="23"/>
        <v>27651</v>
      </c>
      <c r="H41" s="3">
        <f t="shared" si="23"/>
        <v>1800163</v>
      </c>
      <c r="I41" s="3">
        <f>I366</f>
        <v>540052</v>
      </c>
      <c r="J41" s="3"/>
      <c r="K41" s="3"/>
      <c r="L41" s="3">
        <f>SUM(L355:L366)</f>
        <v>59135.354550000004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5">
      <c r="A42" s="22">
        <f>'Olieforbrug, TJ'!A42</f>
        <v>2017</v>
      </c>
      <c r="C42" s="3">
        <f t="shared" ref="C42:H42" si="24">SUM(C368:C379)</f>
        <v>2778284</v>
      </c>
      <c r="D42" s="3">
        <f t="shared" si="24"/>
        <v>612224</v>
      </c>
      <c r="E42" s="3">
        <f t="shared" si="24"/>
        <v>1629908</v>
      </c>
      <c r="F42" s="3">
        <f t="shared" si="24"/>
        <v>0</v>
      </c>
      <c r="G42" s="3">
        <f t="shared" si="24"/>
        <v>34685</v>
      </c>
      <c r="H42" s="3">
        <f t="shared" si="24"/>
        <v>1789046</v>
      </c>
      <c r="I42" s="3">
        <f>I379</f>
        <v>504896</v>
      </c>
      <c r="J42" s="3"/>
      <c r="K42" s="3"/>
      <c r="L42" s="3">
        <f>SUM(L368:L379)</f>
        <v>58770.16109999999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5">
      <c r="A43" s="22">
        <f>'Olieforbrug, TJ'!A43</f>
        <v>2018</v>
      </c>
      <c r="C43" s="3">
        <f t="shared" ref="C43:H43" si="25">SUM(C381:C392)</f>
        <v>2677377</v>
      </c>
      <c r="D43" s="3">
        <f t="shared" si="25"/>
        <v>687975</v>
      </c>
      <c r="E43" s="3">
        <f t="shared" si="25"/>
        <v>1596225</v>
      </c>
      <c r="F43" s="3">
        <f t="shared" si="25"/>
        <v>0</v>
      </c>
      <c r="G43" s="3">
        <f t="shared" si="25"/>
        <v>42751</v>
      </c>
      <c r="H43" s="3">
        <f t="shared" si="25"/>
        <v>1767811</v>
      </c>
      <c r="I43" s="3">
        <f>I392</f>
        <v>463366</v>
      </c>
      <c r="J43" s="3"/>
      <c r="K43" s="3"/>
      <c r="L43" s="3">
        <f>SUM(L381:L392)</f>
        <v>58072.591350000002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5">
      <c r="A44" s="22">
        <f>'Olieforbrug, TJ'!A44</f>
        <v>2019</v>
      </c>
      <c r="C44" s="3">
        <f t="shared" ref="C44:H44" si="26">SUM(C394:C405)</f>
        <v>2785810</v>
      </c>
      <c r="D44" s="3">
        <f t="shared" si="26"/>
        <v>708157</v>
      </c>
      <c r="E44" s="3">
        <f t="shared" si="26"/>
        <v>1707008</v>
      </c>
      <c r="F44" s="3">
        <f t="shared" si="26"/>
        <v>0</v>
      </c>
      <c r="G44" s="3">
        <f t="shared" si="26"/>
        <v>10018</v>
      </c>
      <c r="H44" s="3">
        <f t="shared" si="26"/>
        <v>1793959</v>
      </c>
      <c r="I44" s="3">
        <f>I405</f>
        <v>452610</v>
      </c>
      <c r="J44" s="3"/>
      <c r="K44" s="3"/>
      <c r="L44" s="3">
        <f>SUM(L394:L405)</f>
        <v>58931.553149999992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5">
      <c r="A45" s="22">
        <f>'Olieforbrug, TJ'!A45</f>
        <v>2020</v>
      </c>
      <c r="C45" s="3">
        <f t="shared" ref="C45:H45" si="27">SUM(C407:C418)</f>
        <v>2527441</v>
      </c>
      <c r="D45" s="3">
        <f t="shared" si="27"/>
        <v>753044</v>
      </c>
      <c r="E45" s="3">
        <f t="shared" si="27"/>
        <v>1515265</v>
      </c>
      <c r="F45" s="3">
        <f t="shared" si="27"/>
        <v>0</v>
      </c>
      <c r="G45" s="3">
        <f t="shared" si="27"/>
        <v>-85970</v>
      </c>
      <c r="H45" s="3">
        <f t="shared" si="27"/>
        <v>1680649</v>
      </c>
      <c r="I45" s="3">
        <f>I418</f>
        <v>538591</v>
      </c>
      <c r="J45" s="3"/>
      <c r="K45" s="3"/>
      <c r="L45" s="3">
        <f>SUM(L407:L418)</f>
        <v>55209.319649999998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5">
      <c r="A46" s="22">
        <f>'Olieforbrug, TJ'!A46</f>
        <v>2021</v>
      </c>
      <c r="C46" s="3">
        <f t="shared" ref="C46:H46" si="28">SUM(C420:C431)</f>
        <v>2703235</v>
      </c>
      <c r="D46" s="3">
        <f t="shared" si="28"/>
        <v>617957</v>
      </c>
      <c r="E46" s="3">
        <f t="shared" si="28"/>
        <v>1610927</v>
      </c>
      <c r="F46" s="3">
        <f t="shared" si="28"/>
        <v>0</v>
      </c>
      <c r="G46" s="3">
        <f t="shared" si="28"/>
        <v>32196</v>
      </c>
      <c r="H46" s="3">
        <f t="shared" si="28"/>
        <v>1724317</v>
      </c>
      <c r="I46" s="3">
        <f>I431</f>
        <v>505901</v>
      </c>
      <c r="J46" s="3"/>
      <c r="K46" s="3"/>
      <c r="L46" s="3">
        <f>SUM(L420:L431)</f>
        <v>56643.813450000001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5">
      <c r="A47" s="22">
        <f>'Olieforbrug, TJ'!A47</f>
        <v>2022</v>
      </c>
      <c r="C47" s="3">
        <f t="shared" ref="C47:H47" si="29">SUM(C433:C444)</f>
        <v>2571998</v>
      </c>
      <c r="D47" s="3">
        <f t="shared" si="29"/>
        <v>654452</v>
      </c>
      <c r="E47" s="3">
        <f t="shared" si="29"/>
        <v>1464345</v>
      </c>
      <c r="F47" s="3">
        <f t="shared" si="29"/>
        <v>0</v>
      </c>
      <c r="G47" s="3">
        <f t="shared" si="29"/>
        <v>-18747</v>
      </c>
      <c r="H47" s="3">
        <f t="shared" si="29"/>
        <v>1707912</v>
      </c>
      <c r="I47" s="3">
        <f>I444</f>
        <v>524648</v>
      </c>
      <c r="J47" s="3"/>
      <c r="K47" s="3"/>
      <c r="L47" s="3">
        <f>SUM(L433:L444)</f>
        <v>56104.909199999995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5">
      <c r="A48" s="22">
        <f>'Olieforbrug, TJ'!A48</f>
        <v>2023</v>
      </c>
      <c r="C48" s="3">
        <f t="shared" ref="C48:H48" si="30">SUM(C446:C457)</f>
        <v>2608716</v>
      </c>
      <c r="D48" s="3">
        <f t="shared" si="30"/>
        <v>763969</v>
      </c>
      <c r="E48" s="3">
        <f t="shared" si="30"/>
        <v>1628687</v>
      </c>
      <c r="F48" s="3">
        <f t="shared" si="30"/>
        <v>0</v>
      </c>
      <c r="G48" s="3">
        <f t="shared" si="30"/>
        <v>11666</v>
      </c>
      <c r="H48" s="3">
        <f t="shared" si="30"/>
        <v>1730921</v>
      </c>
      <c r="I48" s="3">
        <f>I457</f>
        <v>512982</v>
      </c>
      <c r="J48" s="3"/>
      <c r="K48" s="3"/>
      <c r="L48" s="3">
        <f>SUM(L446:L457)</f>
        <v>56860.754849999998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5">
      <c r="A49" s="22">
        <f>'Olieforbrug, TJ'!A49</f>
        <v>2024</v>
      </c>
      <c r="C49" s="3">
        <f t="shared" ref="C49:H49" si="31">SUM(C459:C470)</f>
        <v>2451448</v>
      </c>
      <c r="D49" s="3">
        <f t="shared" si="31"/>
        <v>782744</v>
      </c>
      <c r="E49" s="3">
        <f t="shared" si="31"/>
        <v>1503035</v>
      </c>
      <c r="F49" s="3">
        <f t="shared" si="31"/>
        <v>0</v>
      </c>
      <c r="G49" s="3">
        <f t="shared" si="31"/>
        <v>-65858</v>
      </c>
      <c r="H49" s="3">
        <f t="shared" si="31"/>
        <v>1652912</v>
      </c>
      <c r="I49" s="3">
        <f>I470</f>
        <v>578840</v>
      </c>
      <c r="J49" s="3"/>
      <c r="K49" s="3"/>
      <c r="L49" s="3">
        <f>SUM(L459:L470)</f>
        <v>54298.159199999995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5">
      <c r="A50" s="22">
        <f>'Olieforbrug, TJ'!A50</f>
        <v>2025</v>
      </c>
      <c r="C50" s="3">
        <f t="shared" ref="C50:H50" si="32">SUM(C472:C483)</f>
        <v>2633341</v>
      </c>
      <c r="D50" s="3">
        <f t="shared" si="32"/>
        <v>822010</v>
      </c>
      <c r="E50" s="3">
        <f t="shared" si="32"/>
        <v>1884250</v>
      </c>
      <c r="F50" s="3">
        <f t="shared" si="32"/>
        <v>0</v>
      </c>
      <c r="G50" s="3">
        <f t="shared" si="32"/>
        <v>33149</v>
      </c>
      <c r="H50" s="3">
        <f t="shared" si="32"/>
        <v>1563327</v>
      </c>
      <c r="I50" s="3">
        <f>I483</f>
        <v>545691</v>
      </c>
      <c r="J50" s="3"/>
      <c r="K50" s="3"/>
      <c r="L50" s="3">
        <f>SUM(L472:L483)</f>
        <v>51355.291949999999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5">
      <c r="A51" s="22"/>
      <c r="J51" s="3"/>
      <c r="K51" s="3"/>
      <c r="L51" s="83"/>
      <c r="M51" s="3"/>
      <c r="N51" s="22"/>
    </row>
    <row r="52" spans="1:45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5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5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5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5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5">
      <c r="A57" s="23"/>
      <c r="L57" s="3"/>
    </row>
    <row r="58" spans="1:45" x14ac:dyDescent="0.25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5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5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5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5">
      <c r="A62" s="23"/>
      <c r="L62" s="3"/>
    </row>
    <row r="63" spans="1:45" x14ac:dyDescent="0.25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5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5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5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5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5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5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5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5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5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5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5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5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5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5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5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5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5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5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5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5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5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618931</v>
      </c>
      <c r="D98" s="3">
        <f t="shared" si="33"/>
        <v>227855</v>
      </c>
      <c r="E98" s="3">
        <f t="shared" si="33"/>
        <v>422752</v>
      </c>
      <c r="F98" s="3">
        <f t="shared" si="33"/>
        <v>0</v>
      </c>
      <c r="G98" s="3">
        <f t="shared" si="33"/>
        <v>-5003</v>
      </c>
      <c r="H98" s="3">
        <f t="shared" si="33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656118</v>
      </c>
      <c r="D99" s="3">
        <f t="shared" si="34"/>
        <v>224446</v>
      </c>
      <c r="E99" s="3">
        <f t="shared" si="34"/>
        <v>436061</v>
      </c>
      <c r="F99" s="3">
        <f t="shared" si="34"/>
        <v>0</v>
      </c>
      <c r="G99" s="3">
        <f t="shared" si="34"/>
        <v>30714</v>
      </c>
      <c r="H99" s="3">
        <f t="shared" si="34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635275</v>
      </c>
      <c r="D100" s="3">
        <f t="shared" si="35"/>
        <v>245464</v>
      </c>
      <c r="E100" s="3">
        <f t="shared" si="35"/>
        <v>425876</v>
      </c>
      <c r="F100" s="3">
        <f t="shared" si="35"/>
        <v>0</v>
      </c>
      <c r="G100" s="3">
        <f t="shared" si="35"/>
        <v>17826</v>
      </c>
      <c r="H100" s="3">
        <f t="shared" si="35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561726</v>
      </c>
      <c r="D101" s="3">
        <f t="shared" si="36"/>
        <v>255043</v>
      </c>
      <c r="E101" s="3">
        <f t="shared" si="36"/>
        <v>335320</v>
      </c>
      <c r="F101" s="3">
        <f t="shared" si="36"/>
        <v>0</v>
      </c>
      <c r="G101" s="3">
        <f t="shared" si="36"/>
        <v>-36050</v>
      </c>
      <c r="H101" s="3">
        <f t="shared" si="36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664512</v>
      </c>
      <c r="D103" s="3">
        <f t="shared" si="37"/>
        <v>245373</v>
      </c>
      <c r="E103" s="3">
        <f t="shared" si="37"/>
        <v>455446</v>
      </c>
      <c r="F103" s="3">
        <f t="shared" si="37"/>
        <v>0</v>
      </c>
      <c r="G103" s="3">
        <f t="shared" si="37"/>
        <v>-32916</v>
      </c>
      <c r="H103" s="3">
        <f t="shared" si="37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618803</v>
      </c>
      <c r="D104" s="3">
        <f t="shared" si="38"/>
        <v>262110</v>
      </c>
      <c r="E104" s="3">
        <f t="shared" si="38"/>
        <v>462738</v>
      </c>
      <c r="F104" s="3">
        <f t="shared" si="38"/>
        <v>0</v>
      </c>
      <c r="G104" s="3">
        <f t="shared" si="38"/>
        <v>50603</v>
      </c>
      <c r="H104" s="3">
        <f t="shared" si="38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622695</v>
      </c>
      <c r="D105" s="3">
        <f t="shared" si="39"/>
        <v>245033</v>
      </c>
      <c r="E105" s="3">
        <f t="shared" si="39"/>
        <v>409980</v>
      </c>
      <c r="F105" s="3">
        <f t="shared" si="39"/>
        <v>0</v>
      </c>
      <c r="G105" s="3">
        <f t="shared" si="39"/>
        <v>13725</v>
      </c>
      <c r="H105" s="3">
        <f t="shared" si="39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739566</v>
      </c>
      <c r="D106" s="3">
        <f t="shared" si="40"/>
        <v>223724</v>
      </c>
      <c r="E106" s="3">
        <f t="shared" si="40"/>
        <v>452576</v>
      </c>
      <c r="F106" s="3">
        <f t="shared" si="40"/>
        <v>0</v>
      </c>
      <c r="G106" s="3">
        <f t="shared" si="40"/>
        <v>-64564</v>
      </c>
      <c r="H106" s="3">
        <f t="shared" si="40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1">SUM(C355:C357)</f>
        <v>707941</v>
      </c>
      <c r="D108" s="3">
        <f t="shared" si="41"/>
        <v>164267</v>
      </c>
      <c r="E108" s="3">
        <f t="shared" si="41"/>
        <v>461161</v>
      </c>
      <c r="F108" s="3">
        <f t="shared" si="41"/>
        <v>0</v>
      </c>
      <c r="G108" s="3">
        <f t="shared" si="41"/>
        <v>5553</v>
      </c>
      <c r="H108" s="3">
        <f t="shared" si="41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368338</v>
      </c>
      <c r="D109" s="3">
        <f t="shared" si="42"/>
        <v>209415</v>
      </c>
      <c r="E109" s="3">
        <f t="shared" si="42"/>
        <v>212998</v>
      </c>
      <c r="F109" s="3">
        <f t="shared" si="42"/>
        <v>0</v>
      </c>
      <c r="G109" s="3">
        <f t="shared" si="42"/>
        <v>115490</v>
      </c>
      <c r="H109" s="3">
        <f t="shared" si="42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694334</v>
      </c>
      <c r="D110" s="3">
        <f t="shared" ref="D110:L110" si="43">SUM(D361:D363)</f>
        <v>232500</v>
      </c>
      <c r="E110" s="3">
        <f t="shared" si="43"/>
        <v>370167</v>
      </c>
      <c r="F110" s="3">
        <f t="shared" si="43"/>
        <v>0</v>
      </c>
      <c r="G110" s="3">
        <f t="shared" si="43"/>
        <v>-91536</v>
      </c>
      <c r="H110" s="3">
        <f t="shared" si="43"/>
        <v>466101</v>
      </c>
      <c r="I110" s="3">
        <f>I363</f>
        <v>538767</v>
      </c>
      <c r="J110" s="3"/>
      <c r="K110" s="3"/>
      <c r="L110" s="3">
        <f t="shared" si="43"/>
        <v>15311.417849999998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725351</v>
      </c>
      <c r="D111" s="3">
        <f t="shared" ref="D111:L111" si="44">SUM(D364:D366)</f>
        <v>128547</v>
      </c>
      <c r="E111" s="3">
        <f t="shared" si="44"/>
        <v>405138</v>
      </c>
      <c r="F111" s="3">
        <f t="shared" si="44"/>
        <v>0</v>
      </c>
      <c r="G111" s="3">
        <f t="shared" si="44"/>
        <v>-1856</v>
      </c>
      <c r="H111" s="3">
        <f t="shared" si="44"/>
        <v>441948</v>
      </c>
      <c r="I111" s="3">
        <f>I366</f>
        <v>540052</v>
      </c>
      <c r="J111" s="3"/>
      <c r="K111" s="3"/>
      <c r="L111" s="3">
        <f t="shared" si="44"/>
        <v>14517.9918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719052</v>
      </c>
      <c r="D113" s="3">
        <f t="shared" si="45"/>
        <v>121304</v>
      </c>
      <c r="E113" s="3">
        <f t="shared" si="45"/>
        <v>452245</v>
      </c>
      <c r="F113" s="3">
        <f t="shared" si="45"/>
        <v>0</v>
      </c>
      <c r="G113" s="3">
        <f t="shared" si="45"/>
        <v>26530</v>
      </c>
      <c r="H113" s="3">
        <f t="shared" si="45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690572</v>
      </c>
      <c r="D114" s="3">
        <f t="shared" si="46"/>
        <v>189641</v>
      </c>
      <c r="E114" s="3">
        <f t="shared" si="46"/>
        <v>416844</v>
      </c>
      <c r="F114" s="3">
        <f t="shared" si="46"/>
        <v>0</v>
      </c>
      <c r="G114" s="3">
        <f t="shared" si="46"/>
        <v>12754</v>
      </c>
      <c r="H114" s="3">
        <f t="shared" si="46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655264</v>
      </c>
      <c r="D115" s="3">
        <f t="shared" ref="D115:L115" si="47">SUM(D374:D376)</f>
        <v>151112</v>
      </c>
      <c r="E115" s="3">
        <f t="shared" si="47"/>
        <v>379494</v>
      </c>
      <c r="F115" s="3">
        <f t="shared" si="47"/>
        <v>0</v>
      </c>
      <c r="G115" s="3">
        <f t="shared" si="47"/>
        <v>28059</v>
      </c>
      <c r="H115" s="3">
        <f t="shared" si="47"/>
        <v>454853</v>
      </c>
      <c r="I115" s="3">
        <f>I376</f>
        <v>472300</v>
      </c>
      <c r="J115" s="3"/>
      <c r="K115" s="3"/>
      <c r="L115" s="3">
        <f t="shared" si="47"/>
        <v>14941.921049999997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713396</v>
      </c>
      <c r="D116" s="3">
        <f t="shared" si="48"/>
        <v>150167</v>
      </c>
      <c r="E116" s="3">
        <f t="shared" si="48"/>
        <v>381325</v>
      </c>
      <c r="F116" s="3">
        <f t="shared" si="48"/>
        <v>0</v>
      </c>
      <c r="G116" s="3">
        <f t="shared" si="48"/>
        <v>-32658</v>
      </c>
      <c r="H116" s="3">
        <f t="shared" si="48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710175</v>
      </c>
      <c r="D118" s="3">
        <f t="shared" si="49"/>
        <v>143243</v>
      </c>
      <c r="E118" s="3">
        <f t="shared" si="49"/>
        <v>407055</v>
      </c>
      <c r="F118" s="3">
        <f t="shared" si="49"/>
        <v>0</v>
      </c>
      <c r="G118" s="3">
        <f t="shared" si="49"/>
        <v>-33140</v>
      </c>
      <c r="H118" s="3">
        <f t="shared" si="49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50">SUM(C384:C386)</f>
        <v>655958</v>
      </c>
      <c r="D119" s="3">
        <f t="shared" si="50"/>
        <v>191084</v>
      </c>
      <c r="E119" s="3">
        <f t="shared" si="50"/>
        <v>416447</v>
      </c>
      <c r="F119" s="3">
        <f t="shared" si="50"/>
        <v>0</v>
      </c>
      <c r="G119" s="3">
        <f t="shared" si="50"/>
        <v>54037</v>
      </c>
      <c r="H119" s="3">
        <f t="shared" si="50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621436</v>
      </c>
      <c r="D120" s="3">
        <f t="shared" si="51"/>
        <v>199080</v>
      </c>
      <c r="E120" s="3">
        <f t="shared" si="51"/>
        <v>353932</v>
      </c>
      <c r="F120" s="3">
        <f t="shared" si="51"/>
        <v>0</v>
      </c>
      <c r="G120" s="3">
        <f t="shared" si="51"/>
        <v>-5523</v>
      </c>
      <c r="H120" s="3">
        <f t="shared" si="51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689808</v>
      </c>
      <c r="D121" s="3">
        <f t="shared" si="52"/>
        <v>154568</v>
      </c>
      <c r="E121" s="3">
        <f t="shared" si="52"/>
        <v>418791</v>
      </c>
      <c r="F121" s="3">
        <f t="shared" si="52"/>
        <v>0</v>
      </c>
      <c r="G121" s="3">
        <f t="shared" si="52"/>
        <v>27377</v>
      </c>
      <c r="H121" s="3">
        <f t="shared" si="52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712124</v>
      </c>
      <c r="D123" s="3">
        <f t="shared" si="53"/>
        <v>173621</v>
      </c>
      <c r="E123" s="3">
        <f t="shared" si="53"/>
        <v>393522</v>
      </c>
      <c r="F123" s="3">
        <f t="shared" si="53"/>
        <v>0</v>
      </c>
      <c r="G123" s="3">
        <f t="shared" si="53"/>
        <v>-84625</v>
      </c>
      <c r="H123" s="3">
        <f t="shared" si="53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680327</v>
      </c>
      <c r="D124" s="3">
        <f t="shared" si="54"/>
        <v>161877</v>
      </c>
      <c r="E124" s="3">
        <f t="shared" si="54"/>
        <v>462797</v>
      </c>
      <c r="F124" s="3">
        <f t="shared" si="54"/>
        <v>0</v>
      </c>
      <c r="G124" s="3">
        <f t="shared" si="54"/>
        <v>96538</v>
      </c>
      <c r="H124" s="3">
        <f t="shared" si="54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644888</v>
      </c>
      <c r="D125" s="3">
        <f t="shared" si="55"/>
        <v>184950</v>
      </c>
      <c r="E125" s="3">
        <f t="shared" si="55"/>
        <v>384322</v>
      </c>
      <c r="F125" s="3">
        <f t="shared" si="55"/>
        <v>0</v>
      </c>
      <c r="G125" s="3">
        <f t="shared" si="55"/>
        <v>21966</v>
      </c>
      <c r="H125" s="3">
        <f t="shared" si="55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748471</v>
      </c>
      <c r="D126" s="3">
        <f t="shared" si="56"/>
        <v>187709</v>
      </c>
      <c r="E126" s="3">
        <f t="shared" si="56"/>
        <v>466367</v>
      </c>
      <c r="F126" s="3">
        <f t="shared" si="56"/>
        <v>0</v>
      </c>
      <c r="G126" s="3">
        <f t="shared" si="56"/>
        <v>-23861</v>
      </c>
      <c r="H126" s="3">
        <f t="shared" si="56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657588</v>
      </c>
      <c r="D128" s="3">
        <f t="shared" si="57"/>
        <v>225936</v>
      </c>
      <c r="E128" s="3">
        <f t="shared" si="57"/>
        <v>386788</v>
      </c>
      <c r="F128" s="3">
        <f t="shared" si="57"/>
        <v>0</v>
      </c>
      <c r="G128" s="3">
        <f t="shared" si="57"/>
        <v>-100922</v>
      </c>
      <c r="H128" s="3">
        <f t="shared" si="57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619142</v>
      </c>
      <c r="D129" s="3">
        <f t="shared" si="58"/>
        <v>186540</v>
      </c>
      <c r="E129" s="3">
        <f t="shared" si="58"/>
        <v>428630</v>
      </c>
      <c r="F129" s="3">
        <f t="shared" si="58"/>
        <v>0</v>
      </c>
      <c r="G129" s="3">
        <f t="shared" si="58"/>
        <v>20325</v>
      </c>
      <c r="H129" s="3">
        <f t="shared" si="58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527534</v>
      </c>
      <c r="D130" s="3">
        <f t="shared" si="59"/>
        <v>187714</v>
      </c>
      <c r="E130" s="3">
        <f t="shared" si="59"/>
        <v>308436</v>
      </c>
      <c r="F130" s="3">
        <f t="shared" si="59"/>
        <v>0</v>
      </c>
      <c r="G130" s="3">
        <f t="shared" si="59"/>
        <v>63276</v>
      </c>
      <c r="H130" s="3">
        <f t="shared" si="59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723177</v>
      </c>
      <c r="D131" s="3">
        <f t="shared" si="60"/>
        <v>152854</v>
      </c>
      <c r="E131" s="3">
        <f t="shared" si="60"/>
        <v>391411</v>
      </c>
      <c r="F131" s="3">
        <f t="shared" si="60"/>
        <v>0</v>
      </c>
      <c r="G131" s="3">
        <f t="shared" si="60"/>
        <v>-68649</v>
      </c>
      <c r="H131" s="3">
        <f t="shared" si="60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653998</v>
      </c>
      <c r="D133" s="3">
        <f t="shared" si="61"/>
        <v>135429</v>
      </c>
      <c r="E133" s="3">
        <f t="shared" si="61"/>
        <v>446664</v>
      </c>
      <c r="F133" s="3">
        <f t="shared" si="61"/>
        <v>0</v>
      </c>
      <c r="G133" s="3">
        <f t="shared" si="61"/>
        <v>6133</v>
      </c>
      <c r="H133" s="3">
        <f t="shared" si="61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644313</v>
      </c>
      <c r="D134" s="3">
        <f t="shared" si="62"/>
        <v>159447</v>
      </c>
      <c r="E134" s="3">
        <f t="shared" si="62"/>
        <v>458632</v>
      </c>
      <c r="F134" s="3">
        <f t="shared" si="62"/>
        <v>0</v>
      </c>
      <c r="G134" s="3">
        <f t="shared" si="62"/>
        <v>110095</v>
      </c>
      <c r="H134" s="3">
        <f t="shared" si="62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679166</v>
      </c>
      <c r="D135" s="3">
        <f t="shared" si="63"/>
        <v>161172</v>
      </c>
      <c r="E135" s="3">
        <f t="shared" si="63"/>
        <v>307381</v>
      </c>
      <c r="F135" s="3">
        <f t="shared" si="63"/>
        <v>0</v>
      </c>
      <c r="G135" s="3">
        <f t="shared" si="63"/>
        <v>-47225</v>
      </c>
      <c r="H135" s="3">
        <f t="shared" si="63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725758</v>
      </c>
      <c r="D136" s="3">
        <f t="shared" si="64"/>
        <v>161909</v>
      </c>
      <c r="E136" s="3">
        <f t="shared" si="64"/>
        <v>398250</v>
      </c>
      <c r="F136" s="3">
        <f t="shared" si="64"/>
        <v>0</v>
      </c>
      <c r="G136" s="3">
        <f t="shared" si="64"/>
        <v>-36807</v>
      </c>
      <c r="H136" s="3">
        <f t="shared" si="64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633419</v>
      </c>
      <c r="D138" s="3">
        <f t="shared" ref="D138:H138" si="65">SUM(D433:D435)</f>
        <v>133939</v>
      </c>
      <c r="E138" s="3">
        <f t="shared" si="65"/>
        <v>369184</v>
      </c>
      <c r="F138" s="3">
        <f t="shared" si="65"/>
        <v>0</v>
      </c>
      <c r="G138" s="3">
        <f t="shared" si="65"/>
        <v>20242</v>
      </c>
      <c r="H138" s="3">
        <f t="shared" si="65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681122</v>
      </c>
      <c r="D139" s="3">
        <f t="shared" ref="D139:L139" si="66">SUM(D436:D438)</f>
        <v>186834</v>
      </c>
      <c r="E139" s="3">
        <f t="shared" si="66"/>
        <v>410023</v>
      </c>
      <c r="F139" s="3">
        <f t="shared" si="66"/>
        <v>0</v>
      </c>
      <c r="G139" s="3">
        <f t="shared" si="66"/>
        <v>-7441</v>
      </c>
      <c r="H139" s="3">
        <f t="shared" si="66"/>
        <v>446562</v>
      </c>
      <c r="I139" s="3">
        <f>SUM(I438)</f>
        <v>493100</v>
      </c>
      <c r="J139" s="3"/>
      <c r="K139" s="3"/>
      <c r="L139" s="3">
        <f t="shared" si="66"/>
        <v>14669.561699999998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659586</v>
      </c>
      <c r="D140" s="3">
        <f t="shared" ref="D140:L140" si="67">SUM(D439:D441)</f>
        <v>167745</v>
      </c>
      <c r="E140" s="3">
        <f t="shared" si="67"/>
        <v>356524</v>
      </c>
      <c r="F140" s="3">
        <f t="shared" si="67"/>
        <v>0</v>
      </c>
      <c r="G140" s="3">
        <f t="shared" si="67"/>
        <v>-30014</v>
      </c>
      <c r="H140" s="3">
        <f t="shared" si="67"/>
        <v>435512</v>
      </c>
      <c r="I140" s="3">
        <f>SUM(I441)</f>
        <v>523114</v>
      </c>
      <c r="J140" s="3"/>
      <c r="K140" s="3"/>
      <c r="L140" s="3">
        <f t="shared" si="67"/>
        <v>14306.569199999998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597871</v>
      </c>
      <c r="D141" s="3">
        <f t="shared" si="68"/>
        <v>165934</v>
      </c>
      <c r="E141" s="3">
        <f t="shared" si="68"/>
        <v>328614</v>
      </c>
      <c r="F141" s="3">
        <f t="shared" si="68"/>
        <v>0</v>
      </c>
      <c r="G141" s="3">
        <f t="shared" si="68"/>
        <v>-1534</v>
      </c>
      <c r="H141" s="3">
        <f t="shared" si="68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625050</v>
      </c>
      <c r="D143" s="3">
        <f t="shared" ref="D143:L143" si="69">SUM(D446:D448)</f>
        <v>150967</v>
      </c>
      <c r="E143" s="3">
        <f t="shared" si="69"/>
        <v>377041</v>
      </c>
      <c r="F143" s="3">
        <f t="shared" si="69"/>
        <v>0</v>
      </c>
      <c r="G143" s="3">
        <f t="shared" si="69"/>
        <v>12924</v>
      </c>
      <c r="H143" s="3">
        <f t="shared" si="69"/>
        <v>406817</v>
      </c>
      <c r="I143" s="3">
        <f>SUM(I448)</f>
        <v>511724</v>
      </c>
      <c r="J143" s="3"/>
      <c r="K143" s="3"/>
      <c r="L143" s="3">
        <f t="shared" si="69"/>
        <v>13363.93845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646594</v>
      </c>
      <c r="D144" s="3">
        <f t="shared" si="70"/>
        <v>214078</v>
      </c>
      <c r="E144" s="3">
        <f t="shared" si="70"/>
        <v>434332</v>
      </c>
      <c r="F144" s="3">
        <f t="shared" si="70"/>
        <v>0</v>
      </c>
      <c r="G144" s="3">
        <f t="shared" si="70"/>
        <v>36396</v>
      </c>
      <c r="H144" s="3">
        <f t="shared" si="70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642966</v>
      </c>
      <c r="D145" s="3">
        <f t="shared" ref="D145:L145" si="71">SUM(D452:D454)</f>
        <v>208954</v>
      </c>
      <c r="E145" s="3">
        <f t="shared" si="71"/>
        <v>344978</v>
      </c>
      <c r="F145" s="3">
        <f t="shared" si="71"/>
        <v>0</v>
      </c>
      <c r="G145" s="3">
        <f t="shared" si="71"/>
        <v>-58541</v>
      </c>
      <c r="H145" s="3">
        <f t="shared" si="71"/>
        <v>440129</v>
      </c>
      <c r="I145" s="3">
        <f>SUM(I454)</f>
        <v>533869</v>
      </c>
      <c r="J145" s="3"/>
      <c r="K145" s="3"/>
      <c r="L145" s="3">
        <f t="shared" si="71"/>
        <v>14458.237649999999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694106</v>
      </c>
      <c r="D146" s="3">
        <f t="shared" ref="D146:L146" si="72">SUM(D455:D457)</f>
        <v>189970</v>
      </c>
      <c r="E146" s="3">
        <f t="shared" si="72"/>
        <v>472336</v>
      </c>
      <c r="F146" s="3">
        <f t="shared" si="72"/>
        <v>0</v>
      </c>
      <c r="G146" s="3">
        <f t="shared" si="72"/>
        <v>20887</v>
      </c>
      <c r="H146" s="3">
        <f t="shared" si="72"/>
        <v>428676</v>
      </c>
      <c r="I146" s="3">
        <f>SUM(I457)</f>
        <v>512982</v>
      </c>
      <c r="J146" s="3"/>
      <c r="K146" s="3"/>
      <c r="L146" s="3">
        <f t="shared" si="72"/>
        <v>14082.006600000001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648537</v>
      </c>
      <c r="D148" s="3">
        <f t="shared" si="73"/>
        <v>174880</v>
      </c>
      <c r="E148" s="3">
        <f t="shared" si="73"/>
        <v>404417</v>
      </c>
      <c r="F148" s="3">
        <f t="shared" si="73"/>
        <v>0</v>
      </c>
      <c r="G148" s="3">
        <f t="shared" si="73"/>
        <v>-24820</v>
      </c>
      <c r="H148" s="3">
        <f t="shared" si="73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504703</v>
      </c>
      <c r="D149" s="3">
        <f t="shared" ref="D149:L149" si="74">SUM(D462:D464)</f>
        <v>229744</v>
      </c>
      <c r="E149" s="3">
        <f t="shared" si="74"/>
        <v>322240</v>
      </c>
      <c r="F149" s="3">
        <f t="shared" si="74"/>
        <v>0</v>
      </c>
      <c r="G149" s="3">
        <f t="shared" si="74"/>
        <v>29338</v>
      </c>
      <c r="H149" s="3">
        <f t="shared" si="74"/>
        <v>440137</v>
      </c>
      <c r="I149" s="3">
        <f>SUM(I464)</f>
        <v>508464</v>
      </c>
      <c r="J149" s="3"/>
      <c r="K149" s="3"/>
      <c r="L149" s="3">
        <f t="shared" si="74"/>
        <v>14458.50045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613139</v>
      </c>
      <c r="D150" s="3">
        <f t="shared" ref="D150:L150" si="75">SUM(D465:D467)</f>
        <v>208059</v>
      </c>
      <c r="E150" s="3">
        <f t="shared" si="75"/>
        <v>370529</v>
      </c>
      <c r="F150" s="3">
        <f t="shared" si="75"/>
        <v>0</v>
      </c>
      <c r="G150" s="3">
        <f t="shared" si="75"/>
        <v>-23912</v>
      </c>
      <c r="H150" s="3">
        <f t="shared" si="75"/>
        <v>423801</v>
      </c>
      <c r="I150" s="3">
        <f>I467</f>
        <v>532376</v>
      </c>
      <c r="J150" s="3"/>
      <c r="K150" s="3"/>
      <c r="L150" s="3">
        <f t="shared" si="75"/>
        <v>13921.862849999998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685069</v>
      </c>
      <c r="D151" s="3">
        <f t="shared" ref="D151:H151" si="76">SUM(D468:D470)</f>
        <v>170061</v>
      </c>
      <c r="E151" s="3">
        <f t="shared" si="76"/>
        <v>405849</v>
      </c>
      <c r="F151" s="3">
        <f t="shared" si="76"/>
        <v>0</v>
      </c>
      <c r="G151" s="3">
        <f t="shared" si="76"/>
        <v>-46464</v>
      </c>
      <c r="H151" s="3">
        <f t="shared" si="76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590650</v>
      </c>
      <c r="D153" s="3">
        <f t="shared" ref="D153:L153" si="77">SUM(D472:D474)</f>
        <v>179833</v>
      </c>
      <c r="E153" s="3">
        <f t="shared" si="77"/>
        <v>395789</v>
      </c>
      <c r="F153" s="3">
        <f t="shared" si="77"/>
        <v>0</v>
      </c>
      <c r="G153" s="3">
        <f t="shared" si="77"/>
        <v>21177</v>
      </c>
      <c r="H153" s="3">
        <f t="shared" si="77"/>
        <v>369264</v>
      </c>
      <c r="I153" s="3">
        <f>I474</f>
        <v>557663</v>
      </c>
      <c r="J153" s="3"/>
      <c r="K153" s="3"/>
      <c r="L153" s="3">
        <f t="shared" si="77"/>
        <v>12130.322400000001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654065</v>
      </c>
      <c r="D154" s="3">
        <f t="shared" ref="D154:H154" si="78">SUM(D475:D477)</f>
        <v>248347</v>
      </c>
      <c r="E154" s="3">
        <f t="shared" si="78"/>
        <v>519659</v>
      </c>
      <c r="F154" s="3">
        <f t="shared" si="78"/>
        <v>0</v>
      </c>
      <c r="G154" s="3">
        <f t="shared" si="78"/>
        <v>23430</v>
      </c>
      <c r="H154" s="3">
        <f t="shared" si="78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698679</v>
      </c>
      <c r="D155" s="3">
        <f t="shared" ref="D155:L155" si="79">SUM(D478:D480)</f>
        <v>199978</v>
      </c>
      <c r="E155" s="3">
        <f t="shared" si="79"/>
        <v>487025</v>
      </c>
      <c r="F155" s="3">
        <f t="shared" si="79"/>
        <v>0</v>
      </c>
      <c r="G155" s="3">
        <f t="shared" si="79"/>
        <v>-7588</v>
      </c>
      <c r="H155" s="3">
        <f t="shared" si="79"/>
        <v>400431</v>
      </c>
      <c r="I155" s="3">
        <f>I480</f>
        <v>541821</v>
      </c>
      <c r="J155" s="3"/>
      <c r="K155" s="3"/>
      <c r="L155" s="3">
        <f t="shared" si="79"/>
        <v>13154.158349999998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689947</v>
      </c>
      <c r="D156" s="3">
        <f t="shared" ref="D156:H156" si="80">SUM(D481:D483)</f>
        <v>193852</v>
      </c>
      <c r="E156" s="3">
        <f t="shared" si="80"/>
        <v>481777</v>
      </c>
      <c r="F156" s="3">
        <f t="shared" si="80"/>
        <v>0</v>
      </c>
      <c r="G156" s="3">
        <f t="shared" si="80"/>
        <v>-3870</v>
      </c>
      <c r="H156" s="3">
        <f t="shared" si="80"/>
        <v>377752</v>
      </c>
      <c r="I156" s="3">
        <f>I483</f>
        <v>545691</v>
      </c>
      <c r="J156"/>
      <c r="K156"/>
      <c r="L156" s="3">
        <f t="shared" ref="L156" si="81">SUM(L481:L483)</f>
        <v>12409.153199999999</v>
      </c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5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5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5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5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5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5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5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5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5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5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5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5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5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8" thickBot="1" x14ac:dyDescent="0.3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5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5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5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5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5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5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5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5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5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5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8" thickBot="1" x14ac:dyDescent="0.3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5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5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5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5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5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5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5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5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5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5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8" thickBot="1" x14ac:dyDescent="0.3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5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5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5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5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5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5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5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5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5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5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8" thickBot="1" x14ac:dyDescent="0.3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5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5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5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5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8" thickBot="1" x14ac:dyDescent="0.3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5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5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5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5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5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5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5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5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5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5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8" thickBot="1" x14ac:dyDescent="0.3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5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5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5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5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5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5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5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5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5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5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8" thickBot="1" x14ac:dyDescent="0.3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5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5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5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5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5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5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5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5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5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5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8" thickBot="1" x14ac:dyDescent="0.3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5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5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5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5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5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5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5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5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5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5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8" thickBot="1" x14ac:dyDescent="0.3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5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82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5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82"/>
        <v>4081.7110499999999</v>
      </c>
      <c r="N343" s="23" t="str">
        <f>'Olieforbrug, TJ'!M343</f>
        <v>February</v>
      </c>
      <c r="P343" s="16"/>
      <c r="R343" s="3"/>
    </row>
    <row r="344" spans="1:18" x14ac:dyDescent="0.25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82"/>
        <v>4870.5052500000002</v>
      </c>
      <c r="N344" s="23" t="str">
        <f>'Olieforbrug, TJ'!M344</f>
        <v>March</v>
      </c>
      <c r="P344" s="16"/>
      <c r="R344" s="3"/>
    </row>
    <row r="345" spans="1:18" x14ac:dyDescent="0.25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82"/>
        <v>5011.9573499999997</v>
      </c>
      <c r="N345" s="23" t="str">
        <f>'Olieforbrug, TJ'!M345</f>
        <v>April</v>
      </c>
    </row>
    <row r="346" spans="1:18" x14ac:dyDescent="0.25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82"/>
        <v>5153.1466499999997</v>
      </c>
      <c r="N346" s="23" t="str">
        <f>'Olieforbrug, TJ'!M346</f>
        <v>May</v>
      </c>
    </row>
    <row r="347" spans="1:18" x14ac:dyDescent="0.25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82"/>
        <v>5176.0759499999995</v>
      </c>
      <c r="N347" s="23" t="str">
        <f>'Olieforbrug, TJ'!M347</f>
        <v>June</v>
      </c>
    </row>
    <row r="348" spans="1:18" x14ac:dyDescent="0.25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82"/>
        <v>5265.7235999999994</v>
      </c>
      <c r="N348" s="23" t="str">
        <f>'Olieforbrug, TJ'!M348</f>
        <v>July</v>
      </c>
    </row>
    <row r="349" spans="1:18" x14ac:dyDescent="0.25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82"/>
        <v>5159.4538499999999</v>
      </c>
      <c r="N349" s="23" t="str">
        <f>'Olieforbrug, TJ'!M349</f>
        <v>August</v>
      </c>
    </row>
    <row r="350" spans="1:18" x14ac:dyDescent="0.25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82"/>
        <v>5036.9561999999996</v>
      </c>
      <c r="N350" s="23" t="str">
        <f>'Olieforbrug, TJ'!M350</f>
        <v>September</v>
      </c>
    </row>
    <row r="351" spans="1:18" x14ac:dyDescent="0.25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82"/>
        <v>4996.5178499999993</v>
      </c>
      <c r="N351" s="23" t="str">
        <f>'Olieforbrug, TJ'!M351</f>
        <v>October</v>
      </c>
    </row>
    <row r="352" spans="1:18" x14ac:dyDescent="0.25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82"/>
        <v>4596.0763499999994</v>
      </c>
      <c r="N352" s="23" t="str">
        <f>'Olieforbrug, TJ'!M352</f>
        <v>November</v>
      </c>
    </row>
    <row r="353" spans="1:18" ht="13.8" thickBot="1" x14ac:dyDescent="0.3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82"/>
        <v>4905.9503999999997</v>
      </c>
      <c r="N353" s="43" t="str">
        <f>'Olieforbrug, TJ'!M353</f>
        <v>December</v>
      </c>
    </row>
    <row r="354" spans="1:18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5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5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5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5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5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5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5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5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5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5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5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8" thickBot="1" x14ac:dyDescent="0.3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5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83">H368*0.75*43.8/1000</f>
        <v>4493.5843499999992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83"/>
        <v>4095.0481500000001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83"/>
        <v>4942.085399999999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83"/>
        <v>4635.3320999999996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83"/>
        <v>5665.2124499999991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83"/>
        <v>5308.9870499999997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4">H374*0.75*43.8/1000</f>
        <v>5115.040649999999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4"/>
        <v>4942.7752499999997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4"/>
        <v>4884.1051499999994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4"/>
        <v>5094.1151999999993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4"/>
        <v>4910.4836999999989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4"/>
        <v>4683.3916499999996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5">H383*0.75*43.8/1000</f>
        <v>4540.1327999999994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5"/>
        <v>4830.5596499999992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5"/>
        <v>4830.5596499999992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5"/>
        <v>5086.1655000000001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5"/>
        <v>5011.1689499999993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5"/>
        <v>5329.9781999999996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6">H399*0.75*43.8/1000</f>
        <v>5087.0524499999992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6"/>
        <v>5147.0365499999998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6"/>
        <v>5214.9375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6"/>
        <v>4982.7208499999997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6"/>
        <v>5036.857649999999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6"/>
        <v>4695.6775499999994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7">H410*0.75*43.8/1000</f>
        <v>3758.1385499999997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7"/>
        <v>4308.44175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7"/>
        <v>4940.0815499999999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7"/>
        <v>5397.9120000000003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7"/>
        <v>5226.0736499999994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7"/>
        <v>5088.8920499999995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8">H420*0.75*43.8/1000</f>
        <v>3364.5298499999994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8"/>
        <v>3519.6146999999996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8"/>
        <v>4525.6459499999992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8"/>
        <v>4613.6839499999996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8"/>
        <v>4964.7847499999998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8"/>
        <v>5369.5624499999994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8"/>
        <v>5317.5608999999995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8"/>
        <v>5234.9431499999992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8"/>
        <v>5187.4748999999993</v>
      </c>
      <c r="N428" s="23" t="str">
        <f>'Olieforbrug, TJ'!M428</f>
        <v>September</v>
      </c>
    </row>
    <row r="429" spans="1:14" s="57" customFormat="1" x14ac:dyDescent="0.25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8"/>
        <v>4883.31675</v>
      </c>
      <c r="N429" s="32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8"/>
        <v>4958.0505000000003</v>
      </c>
      <c r="N430" s="32" t="s">
        <v>125</v>
      </c>
    </row>
    <row r="431" spans="1:14" ht="13.8" thickBot="1" x14ac:dyDescent="0.3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8"/>
        <v>4704.6455999999998</v>
      </c>
      <c r="N431" s="73" t="s">
        <v>113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9">H433*0.75*43.8/1000</f>
        <v>4137.0304499999993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9"/>
        <v>4271.3540999999996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9"/>
        <v>4838.1808499999997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9"/>
        <v>4757.9611499999992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9"/>
        <v>5039.7812999999996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9"/>
        <v>4871.8192499999996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90">H439*0.75*43.8/1000</f>
        <v>4513.9513499999994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91">H440*0.75*43.8/1000</f>
        <v>5109.4889999999996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92">H441*0.75*43.8/1000</f>
        <v>4683.1288500000001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93">H442*0.75*43.8/1000</f>
        <v>4597.7516999999989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4">H443*0.75*43.8/1000</f>
        <v>4717.9170000000004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5">H444*0.75*43.8/1000</f>
        <v>4566.5441999999994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6">H446*0.75*43.8/1000</f>
        <v>4349.3071499999996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7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8">H447*0.75*43.8/1000</f>
        <v>4238.5698000000002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7"/>
        <v>6389</v>
      </c>
      <c r="H448" s="16">
        <v>145390</v>
      </c>
      <c r="I448" s="16">
        <v>511724</v>
      </c>
      <c r="J448" s="15"/>
      <c r="K448" s="15"/>
      <c r="L448" s="14">
        <f t="shared" ref="L448" si="99">H448*0.75*43.8/1000</f>
        <v>4776.0614999999998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7"/>
        <v>-12703</v>
      </c>
      <c r="H449" s="16">
        <v>141796</v>
      </c>
      <c r="I449" s="16">
        <v>524427</v>
      </c>
      <c r="J449" s="15"/>
      <c r="K449" s="15"/>
      <c r="L449" s="14">
        <f t="shared" ref="L449" si="100">H449*0.75*43.8/1000</f>
        <v>4657.9985999999999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7"/>
        <v>23876</v>
      </c>
      <c r="H450" s="16">
        <v>159447</v>
      </c>
      <c r="I450" s="16">
        <v>500551</v>
      </c>
      <c r="J450" s="15"/>
      <c r="K450" s="15"/>
      <c r="L450" s="14">
        <f t="shared" ref="L450" si="101">H450*0.75*43.8/1000</f>
        <v>5237.8339499999993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7"/>
        <v>25223</v>
      </c>
      <c r="H451" s="16">
        <v>154056</v>
      </c>
      <c r="I451" s="16">
        <v>475328</v>
      </c>
      <c r="J451" s="15"/>
      <c r="K451" s="15"/>
      <c r="L451" s="14">
        <f t="shared" ref="L451" si="102">H451*0.75*43.8/1000</f>
        <v>5060.7395999999999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7"/>
        <v>-39260</v>
      </c>
      <c r="H452" s="16">
        <v>138707</v>
      </c>
      <c r="I452" s="16">
        <v>514588</v>
      </c>
      <c r="J452" s="15"/>
      <c r="K452" s="15"/>
      <c r="L452" s="14">
        <f t="shared" ref="L452" si="103">H452*0.75*43.8/1000</f>
        <v>4556.5249499999991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4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5">H453*0.75*43.8/1000</f>
        <v>5150.223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6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7">H454*0.75*43.8/1000</f>
        <v>4751.4896999999992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8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9">H455*0.75*43.8/1000</f>
        <v>4772.8093499999995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10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11">H456*0.75*43.8/1000</f>
        <v>4748.0075999999999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12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13">H457*0.75*43.8/1000</f>
        <v>4561.1896499999993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4">H459*0.75*43.8/1000</f>
        <v>4280.4535500000002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5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6">H460*0.75*43.8/1000</f>
        <v>4118.1088499999996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5"/>
        <v>27551</v>
      </c>
      <c r="H461" s="16">
        <v>134555</v>
      </c>
      <c r="I461" s="16">
        <v>537802</v>
      </c>
      <c r="J461" s="15"/>
      <c r="K461" s="15"/>
      <c r="L461" s="14">
        <f t="shared" ref="L461" si="117">H461*0.75*43.8/1000</f>
        <v>4420.1317499999996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5"/>
        <v>-10282</v>
      </c>
      <c r="H462" s="16">
        <v>146821</v>
      </c>
      <c r="I462" s="16">
        <v>548084</v>
      </c>
      <c r="J462" s="15"/>
      <c r="K462" s="15"/>
      <c r="L462" s="14">
        <f t="shared" ref="L462" si="118">H462*0.75*43.8/1000</f>
        <v>4823.0698499999999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5"/>
        <v>55157</v>
      </c>
      <c r="H463" s="16">
        <v>155197</v>
      </c>
      <c r="I463" s="16">
        <v>492927</v>
      </c>
      <c r="J463" s="15"/>
      <c r="K463" s="15"/>
      <c r="L463" s="14">
        <f t="shared" ref="L463" si="119">H463*0.75*43.8/1000</f>
        <v>5098.2214499999991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5"/>
        <v>-15537</v>
      </c>
      <c r="H464" s="16">
        <v>138119</v>
      </c>
      <c r="I464" s="16">
        <v>508464</v>
      </c>
      <c r="J464" s="15"/>
      <c r="K464" s="15"/>
      <c r="L464" s="14">
        <f t="shared" ref="L464" si="120">H464*0.75*43.8/1000</f>
        <v>4537.2091499999997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5"/>
        <v>2475</v>
      </c>
      <c r="H465" s="16">
        <v>140902</v>
      </c>
      <c r="I465" s="16">
        <v>505989</v>
      </c>
      <c r="J465" s="15"/>
      <c r="K465" s="15"/>
      <c r="L465" s="14">
        <f t="shared" ref="L465" si="121">H465*0.75*43.8/1000</f>
        <v>4628.6306999999997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22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23">H466*0.75*43.8/1000</f>
        <v>4763.6113499999992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4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5">H467*0.75*43.8/1000</f>
        <v>4529.6207999999997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6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7">H468*0.75*43.8/1000</f>
        <v>4589.5720499999998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8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9">H469*0.75*43.8/1000</f>
        <v>4216.4617500000004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30">H470*0.75*43.8/1000</f>
        <v>4293.0679500000006</v>
      </c>
      <c r="N470" s="43" t="str">
        <f>'Olieforbrug, TJ'!M470</f>
        <v>December</v>
      </c>
    </row>
    <row r="471" spans="1:14" x14ac:dyDescent="0.25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5">
      <c r="A472" s="172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31">H472*0.75*43.8/1000</f>
        <v>4070.1478499999998</v>
      </c>
      <c r="M472" s="70"/>
      <c r="N472" s="129" t="str">
        <f>'Olieforbrug, TJ'!M472</f>
        <v>January</v>
      </c>
    </row>
    <row r="473" spans="1:14" x14ac:dyDescent="0.25">
      <c r="A473" s="172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32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33">H473*0.75*43.8/1000</f>
        <v>3927.5131499999998</v>
      </c>
      <c r="M473" s="70"/>
      <c r="N473" s="129" t="str">
        <f>'Olieforbrug, TJ'!M473</f>
        <v>February</v>
      </c>
    </row>
    <row r="474" spans="1:14" x14ac:dyDescent="0.25">
      <c r="A474" s="172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32"/>
        <v>-2178</v>
      </c>
      <c r="H474" s="16">
        <v>125804</v>
      </c>
      <c r="I474" s="16">
        <v>557663</v>
      </c>
      <c r="J474" s="15"/>
      <c r="K474" s="15"/>
      <c r="L474" s="14">
        <f t="shared" ref="L474" si="134">H474*0.75*43.8/1000</f>
        <v>4132.6614</v>
      </c>
      <c r="M474" s="70"/>
      <c r="N474" s="129" t="str">
        <f>'Olieforbrug, TJ'!M474</f>
        <v>March</v>
      </c>
    </row>
    <row r="475" spans="1:14" x14ac:dyDescent="0.25">
      <c r="A475" s="172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32"/>
        <v>10870</v>
      </c>
      <c r="H475" s="16">
        <v>140452</v>
      </c>
      <c r="I475" s="16">
        <v>546793</v>
      </c>
      <c r="J475" s="15"/>
      <c r="K475" s="15"/>
      <c r="L475" s="14">
        <f t="shared" ref="L475" si="135">H475*0.75*43.8/1000</f>
        <v>4613.8481999999995</v>
      </c>
      <c r="M475" s="70"/>
      <c r="N475" s="129" t="str">
        <f>'Olieforbrug, TJ'!M475</f>
        <v>April</v>
      </c>
    </row>
    <row r="476" spans="1:14" x14ac:dyDescent="0.25">
      <c r="A476" s="172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32"/>
        <v>42099</v>
      </c>
      <c r="H476" s="16">
        <v>139376</v>
      </c>
      <c r="I476" s="16">
        <v>504694</v>
      </c>
      <c r="J476" s="15"/>
      <c r="K476" s="15"/>
      <c r="L476" s="14">
        <f t="shared" ref="L476" si="136">H476*0.75*43.8/1000</f>
        <v>4578.5015999999996</v>
      </c>
      <c r="M476" s="70"/>
      <c r="N476" s="129" t="str">
        <f>'Olieforbrug, TJ'!M476</f>
        <v>May</v>
      </c>
    </row>
    <row r="477" spans="1:14" x14ac:dyDescent="0.25">
      <c r="A477" s="172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32"/>
        <v>-29539</v>
      </c>
      <c r="H477" s="16">
        <v>136052</v>
      </c>
      <c r="I477" s="16">
        <v>534233</v>
      </c>
      <c r="J477" s="15"/>
      <c r="K477" s="15"/>
      <c r="L477" s="14">
        <f t="shared" ref="L477" si="137">H477*0.75*43.8/1000</f>
        <v>4469.3081999999995</v>
      </c>
      <c r="M477" s="70"/>
      <c r="N477" s="129" t="str">
        <f>'Olieforbrug, TJ'!M477</f>
        <v>June</v>
      </c>
    </row>
    <row r="478" spans="1:14" x14ac:dyDescent="0.25">
      <c r="A478" s="172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32"/>
        <v>-15730</v>
      </c>
      <c r="H478" s="16">
        <v>133312</v>
      </c>
      <c r="I478" s="16">
        <v>549963</v>
      </c>
      <c r="J478" s="15"/>
      <c r="K478" s="15"/>
      <c r="L478" s="14">
        <f t="shared" ref="L478" si="138">H478*0.75*43.8/1000</f>
        <v>4379.2991999999995</v>
      </c>
      <c r="M478" s="70"/>
      <c r="N478" s="129" t="str">
        <f>'Olieforbrug, TJ'!M478</f>
        <v>July</v>
      </c>
    </row>
    <row r="479" spans="1:14" x14ac:dyDescent="0.25">
      <c r="A479" s="172" t="str">
        <f>'Olieforbrug, TJ'!A479</f>
        <v>August</v>
      </c>
      <c r="B479" s="16"/>
      <c r="C479" s="16">
        <v>236362</v>
      </c>
      <c r="D479" s="16">
        <v>59321</v>
      </c>
      <c r="E479" s="16">
        <v>145827</v>
      </c>
      <c r="F479" s="16">
        <v>0</v>
      </c>
      <c r="G479" s="69">
        <f t="shared" ref="G479" si="139">I478-I479</f>
        <v>-17432</v>
      </c>
      <c r="H479" s="16">
        <v>137695</v>
      </c>
      <c r="I479" s="16">
        <v>567395</v>
      </c>
      <c r="J479" s="15"/>
      <c r="K479" s="15"/>
      <c r="L479" s="14">
        <f t="shared" ref="L479" si="140">H479*0.75*43.8/1000</f>
        <v>4523.2807499999999</v>
      </c>
      <c r="M479" s="70"/>
      <c r="N479" s="129" t="str">
        <f>'Olieforbrug, TJ'!M479</f>
        <v>August</v>
      </c>
    </row>
    <row r="480" spans="1:14" x14ac:dyDescent="0.25">
      <c r="A480" s="172" t="str">
        <f>'Olieforbrug, TJ'!A480</f>
        <v>September</v>
      </c>
      <c r="B480" s="16"/>
      <c r="C480" s="16">
        <v>226720</v>
      </c>
      <c r="D480" s="16">
        <v>54324</v>
      </c>
      <c r="E480" s="16">
        <v>171580</v>
      </c>
      <c r="F480" s="16">
        <v>0</v>
      </c>
      <c r="G480" s="69">
        <f t="shared" ref="G480" si="141">I479-I480</f>
        <v>25574</v>
      </c>
      <c r="H480" s="16">
        <v>129424</v>
      </c>
      <c r="I480" s="16">
        <v>541821</v>
      </c>
      <c r="J480" s="15"/>
      <c r="K480" s="15"/>
      <c r="L480" s="14">
        <f t="shared" ref="L480" si="142">H480*0.75*43.8/1000</f>
        <v>4251.5783999999994</v>
      </c>
      <c r="M480" s="70"/>
      <c r="N480" s="129" t="str">
        <f>'Olieforbrug, TJ'!M480</f>
        <v>September</v>
      </c>
    </row>
    <row r="481" spans="1:14" x14ac:dyDescent="0.25">
      <c r="A481" s="172" t="str">
        <f>'Olieforbrug, TJ'!A481</f>
        <v>Oktober</v>
      </c>
      <c r="B481" s="16"/>
      <c r="C481" s="16">
        <v>241525</v>
      </c>
      <c r="D481" s="16">
        <v>79866</v>
      </c>
      <c r="E481" s="16">
        <v>152016</v>
      </c>
      <c r="F481" s="16">
        <v>0</v>
      </c>
      <c r="G481" s="69">
        <f t="shared" ref="G481" si="143">I480-I481</f>
        <v>-23623</v>
      </c>
      <c r="H481" s="16">
        <v>134416</v>
      </c>
      <c r="I481" s="16">
        <v>565444</v>
      </c>
      <c r="J481" s="15"/>
      <c r="K481" s="15"/>
      <c r="L481" s="14">
        <f t="shared" ref="L481" si="144">H481*0.75*43.8/1000</f>
        <v>4415.5655999999999</v>
      </c>
      <c r="N481" s="129" t="str">
        <f>'Olieforbrug, TJ'!M481</f>
        <v>October</v>
      </c>
    </row>
    <row r="482" spans="1:14" x14ac:dyDescent="0.25">
      <c r="A482" s="172" t="str">
        <f>'Olieforbrug, TJ'!A482</f>
        <v>November</v>
      </c>
      <c r="B482" s="16"/>
      <c r="C482" s="16">
        <v>235072</v>
      </c>
      <c r="D482" s="16">
        <v>41488</v>
      </c>
      <c r="E482" s="16">
        <v>212043</v>
      </c>
      <c r="F482" s="16">
        <v>0</v>
      </c>
      <c r="G482" s="69">
        <f t="shared" ref="G482" si="145">I481-I482</f>
        <v>48200</v>
      </c>
      <c r="H482" s="16">
        <v>119915</v>
      </c>
      <c r="I482" s="16">
        <v>517244</v>
      </c>
      <c r="J482" s="15"/>
      <c r="K482" s="15"/>
      <c r="L482" s="14">
        <f t="shared" ref="L482" si="146">H482*0.75*43.8/1000</f>
        <v>3939.2077499999996</v>
      </c>
      <c r="N482" s="129" t="str">
        <f>'Olieforbrug, TJ'!M482</f>
        <v>November</v>
      </c>
    </row>
    <row r="483" spans="1:14" x14ac:dyDescent="0.25">
      <c r="A483" s="172" t="str">
        <f>'Olieforbrug, TJ'!A483</f>
        <v>December</v>
      </c>
      <c r="B483" s="16"/>
      <c r="C483" s="16">
        <v>213350</v>
      </c>
      <c r="D483" s="16">
        <v>72498</v>
      </c>
      <c r="E483" s="16">
        <v>117718</v>
      </c>
      <c r="F483" s="16">
        <v>0</v>
      </c>
      <c r="G483" s="69">
        <f t="shared" ref="G483" si="147">I482-I483</f>
        <v>-28447</v>
      </c>
      <c r="H483" s="16">
        <v>123421</v>
      </c>
      <c r="I483" s="16">
        <v>545691</v>
      </c>
      <c r="J483" s="15"/>
      <c r="K483" s="15"/>
      <c r="L483" s="14">
        <f t="shared" ref="L483" si="148">H483*0.75*43.8/1000</f>
        <v>4054.3798499999998</v>
      </c>
      <c r="N483" s="129" t="str">
        <f>'Olieforbrug, TJ'!M483</f>
        <v>December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83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C156" sqref="C156:L15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6" x14ac:dyDescent="0.25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5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5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5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5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5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5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5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5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5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5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5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5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0</v>
      </c>
      <c r="D27" s="3">
        <f t="shared" ref="D27:L27" si="11">SUM(D472:D483)</f>
        <v>103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103</v>
      </c>
      <c r="I27" s="3">
        <f>I483</f>
        <v>0</v>
      </c>
      <c r="J27" s="3"/>
      <c r="K27" s="3"/>
      <c r="L27" s="3">
        <f t="shared" si="11"/>
        <v>3.2030940000000001</v>
      </c>
      <c r="M27" s="57"/>
      <c r="N27" s="22">
        <v>2025</v>
      </c>
    </row>
    <row r="28" spans="1:16" x14ac:dyDescent="0.25">
      <c r="A28" s="23"/>
      <c r="J28" s="3"/>
      <c r="L28" s="3"/>
      <c r="M28" s="3"/>
    </row>
    <row r="29" spans="1:16" x14ac:dyDescent="0.25">
      <c r="A29" s="22" t="str">
        <f>'Olieforbrug, TJ'!A29</f>
        <v>Januar - December</v>
      </c>
      <c r="J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0</v>
      </c>
      <c r="D30" s="3">
        <f t="shared" si="12"/>
        <v>2892</v>
      </c>
      <c r="E30" s="3">
        <f t="shared" si="12"/>
        <v>29</v>
      </c>
      <c r="F30" s="3">
        <f t="shared" si="12"/>
        <v>9</v>
      </c>
      <c r="G30" s="3">
        <f t="shared" si="12"/>
        <v>612</v>
      </c>
      <c r="H30" s="3">
        <f t="shared" si="12"/>
        <v>3446</v>
      </c>
      <c r="I30" s="3">
        <f>I223</f>
        <v>1422</v>
      </c>
      <c r="J30" s="3"/>
      <c r="K30" s="3"/>
      <c r="L30" s="3">
        <f>SUM(L212:L223)</f>
        <v>97.927602000000007</v>
      </c>
      <c r="M30" s="3"/>
      <c r="N30" s="22">
        <f>'Olieforbrug, TJ'!M30</f>
        <v>2005</v>
      </c>
    </row>
    <row r="31" spans="1:16" x14ac:dyDescent="0.25">
      <c r="A31" s="22">
        <f>'Olieforbrug, TJ'!A31</f>
        <v>2006</v>
      </c>
      <c r="C31" s="3">
        <f t="shared" ref="C31:H31" si="13">SUM(C225:C236)</f>
        <v>0</v>
      </c>
      <c r="D31" s="3">
        <f t="shared" si="13"/>
        <v>4516</v>
      </c>
      <c r="E31" s="3">
        <f t="shared" si="13"/>
        <v>0</v>
      </c>
      <c r="F31" s="3">
        <f t="shared" si="13"/>
        <v>0</v>
      </c>
      <c r="G31" s="3">
        <f t="shared" si="13"/>
        <v>-1366</v>
      </c>
      <c r="H31" s="3">
        <f t="shared" si="13"/>
        <v>3134</v>
      </c>
      <c r="I31" s="3">
        <f>I236</f>
        <v>2788</v>
      </c>
      <c r="J31" s="3"/>
      <c r="K31" s="3"/>
      <c r="L31" s="3">
        <f>SUM(L225:L236)</f>
        <v>97.461131999999992</v>
      </c>
      <c r="M31" s="3"/>
      <c r="N31" s="22">
        <f>'Olieforbrug, TJ'!M31</f>
        <v>2006</v>
      </c>
    </row>
    <row r="32" spans="1:16" x14ac:dyDescent="0.25">
      <c r="A32" s="22">
        <f>'Olieforbrug, TJ'!A32</f>
        <v>2007</v>
      </c>
      <c r="C32" s="3">
        <f t="shared" ref="C32:H32" si="14">SUM(C238:C249)</f>
        <v>0</v>
      </c>
      <c r="D32" s="3">
        <f t="shared" si="14"/>
        <v>2596</v>
      </c>
      <c r="E32" s="3">
        <f t="shared" si="14"/>
        <v>0</v>
      </c>
      <c r="F32" s="3">
        <f t="shared" si="14"/>
        <v>0</v>
      </c>
      <c r="G32" s="3">
        <f t="shared" si="14"/>
        <v>890</v>
      </c>
      <c r="H32" s="3">
        <f t="shared" si="14"/>
        <v>3391</v>
      </c>
      <c r="I32" s="3">
        <f>I249</f>
        <v>1898</v>
      </c>
      <c r="J32" s="3"/>
      <c r="K32" s="3"/>
      <c r="L32" s="3">
        <f>SUM(L238:L249)</f>
        <v>105.45331799999998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 t="shared" ref="C33:H33" si="15">SUM(C251:C262)</f>
        <v>0</v>
      </c>
      <c r="D33" s="3">
        <f t="shared" si="15"/>
        <v>3181</v>
      </c>
      <c r="E33" s="3">
        <f t="shared" si="15"/>
        <v>0</v>
      </c>
      <c r="F33" s="3">
        <f t="shared" si="15"/>
        <v>0</v>
      </c>
      <c r="G33" s="3">
        <f t="shared" si="15"/>
        <v>563</v>
      </c>
      <c r="H33" s="3">
        <f t="shared" si="15"/>
        <v>3181</v>
      </c>
      <c r="I33" s="3">
        <f>I262</f>
        <v>1335</v>
      </c>
      <c r="J33" s="3"/>
      <c r="K33" s="3"/>
      <c r="L33" s="3">
        <f>SUM(L251:L262)</f>
        <v>98.922737999999981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 t="shared" ref="C34:H34" si="16">SUM(C264:C275)</f>
        <v>0</v>
      </c>
      <c r="D34" s="3">
        <f t="shared" si="16"/>
        <v>3470</v>
      </c>
      <c r="E34" s="3">
        <f t="shared" si="16"/>
        <v>37</v>
      </c>
      <c r="F34" s="3">
        <f t="shared" si="16"/>
        <v>0</v>
      </c>
      <c r="G34" s="3">
        <f t="shared" si="16"/>
        <v>-305</v>
      </c>
      <c r="H34" s="3">
        <f t="shared" si="16"/>
        <v>2646</v>
      </c>
      <c r="I34" s="3">
        <f>I275</f>
        <v>1640</v>
      </c>
      <c r="J34" s="3"/>
      <c r="K34" s="3"/>
      <c r="L34" s="3">
        <f>SUM(L264:L275)</f>
        <v>82.285308000000015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 t="shared" ref="C35:H35" si="17">SUM(C277:C288)</f>
        <v>0</v>
      </c>
      <c r="D35" s="3">
        <f t="shared" si="17"/>
        <v>3513</v>
      </c>
      <c r="E35" s="3">
        <f t="shared" si="17"/>
        <v>69</v>
      </c>
      <c r="F35" s="3">
        <f t="shared" si="17"/>
        <v>0</v>
      </c>
      <c r="G35" s="3">
        <f t="shared" si="17"/>
        <v>95</v>
      </c>
      <c r="H35" s="3">
        <f t="shared" si="17"/>
        <v>2435</v>
      </c>
      <c r="I35" s="3">
        <f>I288</f>
        <v>1545</v>
      </c>
      <c r="J35" s="3"/>
      <c r="K35" s="3"/>
      <c r="L35" s="3">
        <f>SUM(L277:L288)</f>
        <v>75.723629999999986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 t="shared" ref="C36:H36" si="18">SUM(C290:C301)</f>
        <v>0</v>
      </c>
      <c r="D36" s="3">
        <f t="shared" si="18"/>
        <v>1719</v>
      </c>
      <c r="E36" s="3">
        <f t="shared" si="18"/>
        <v>0</v>
      </c>
      <c r="F36" s="3">
        <f t="shared" si="18"/>
        <v>0</v>
      </c>
      <c r="G36" s="3">
        <f t="shared" si="18"/>
        <v>461</v>
      </c>
      <c r="H36" s="3">
        <f t="shared" si="18"/>
        <v>2090</v>
      </c>
      <c r="I36" s="3">
        <f>I301</f>
        <v>1084</v>
      </c>
      <c r="J36" s="3"/>
      <c r="K36" s="3"/>
      <c r="L36" s="3">
        <f>SUM(L290:L301)</f>
        <v>64.99481999999999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 t="shared" ref="C37:H37" si="19">SUM(C303:C314)</f>
        <v>0</v>
      </c>
      <c r="D37" s="3">
        <f t="shared" si="19"/>
        <v>1614</v>
      </c>
      <c r="E37" s="3">
        <f t="shared" si="19"/>
        <v>0</v>
      </c>
      <c r="F37" s="3">
        <f t="shared" si="19"/>
        <v>0</v>
      </c>
      <c r="G37" s="3">
        <f t="shared" si="19"/>
        <v>506</v>
      </c>
      <c r="H37" s="3">
        <f t="shared" si="19"/>
        <v>2167</v>
      </c>
      <c r="I37" s="3">
        <f>I314</f>
        <v>578</v>
      </c>
      <c r="J37" s="3"/>
      <c r="K37" s="3"/>
      <c r="L37" s="3">
        <f>SUM(L303:L314)</f>
        <v>67.38936600000001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 t="shared" ref="C38:H38" si="20">SUM(C316:C327)</f>
        <v>0</v>
      </c>
      <c r="D38" s="3">
        <f t="shared" si="20"/>
        <v>1756</v>
      </c>
      <c r="E38" s="3">
        <f t="shared" si="20"/>
        <v>0</v>
      </c>
      <c r="F38" s="3">
        <f t="shared" si="20"/>
        <v>0</v>
      </c>
      <c r="G38" s="3">
        <f t="shared" si="20"/>
        <v>563</v>
      </c>
      <c r="H38" s="3">
        <f t="shared" si="20"/>
        <v>2225</v>
      </c>
      <c r="I38" s="3">
        <f>I327</f>
        <v>15</v>
      </c>
      <c r="J38" s="3"/>
      <c r="K38" s="3"/>
      <c r="L38" s="3">
        <f>SUM(L316:L327)</f>
        <v>69.193049999999999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 t="shared" ref="C39:H39" si="21">SUM(C329:C340)</f>
        <v>0</v>
      </c>
      <c r="D39" s="3">
        <f t="shared" si="21"/>
        <v>2214</v>
      </c>
      <c r="E39" s="3">
        <f t="shared" si="21"/>
        <v>114</v>
      </c>
      <c r="F39" s="3">
        <f t="shared" si="21"/>
        <v>0</v>
      </c>
      <c r="G39" s="3">
        <f t="shared" si="21"/>
        <v>-520</v>
      </c>
      <c r="H39" s="3">
        <f t="shared" si="21"/>
        <v>1552</v>
      </c>
      <c r="I39" s="3">
        <f>I340</f>
        <v>535</v>
      </c>
      <c r="J39" s="3"/>
      <c r="K39" s="3"/>
      <c r="L39" s="3">
        <f>SUM(L329:L340)</f>
        <v>48.264095999999995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 t="shared" ref="C40:H40" si="22">SUM(C342:C353)</f>
        <v>0</v>
      </c>
      <c r="D40" s="3">
        <f t="shared" si="22"/>
        <v>3341</v>
      </c>
      <c r="E40" s="3">
        <f t="shared" si="22"/>
        <v>2435</v>
      </c>
      <c r="F40" s="3">
        <f t="shared" si="22"/>
        <v>0</v>
      </c>
      <c r="G40" s="3">
        <f t="shared" si="22"/>
        <v>449</v>
      </c>
      <c r="H40" s="3">
        <f t="shared" si="22"/>
        <v>1713</v>
      </c>
      <c r="I40" s="3">
        <f>I353</f>
        <v>86</v>
      </c>
      <c r="J40" s="3"/>
      <c r="K40" s="3"/>
      <c r="L40" s="3">
        <f>SUM(L342:L353)</f>
        <v>53.270873999999992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 t="shared" ref="C41:H41" si="23">SUM(C355:C366)</f>
        <v>0</v>
      </c>
      <c r="D41" s="3">
        <f t="shared" si="23"/>
        <v>3709</v>
      </c>
      <c r="E41" s="3">
        <f t="shared" si="23"/>
        <v>1582</v>
      </c>
      <c r="F41" s="3">
        <f t="shared" si="23"/>
        <v>0</v>
      </c>
      <c r="G41" s="3">
        <f t="shared" si="23"/>
        <v>-385</v>
      </c>
      <c r="H41" s="3">
        <f t="shared" si="23"/>
        <v>1572</v>
      </c>
      <c r="I41" s="3">
        <f>I366</f>
        <v>471</v>
      </c>
      <c r="J41" s="3"/>
      <c r="K41" s="3"/>
      <c r="L41" s="3">
        <f>SUM(L355:L366)</f>
        <v>48.886055999999996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 t="shared" ref="C42:H42" si="24">SUM(C368:C379)</f>
        <v>0</v>
      </c>
      <c r="D42" s="3">
        <f t="shared" si="24"/>
        <v>537</v>
      </c>
      <c r="E42" s="3">
        <f t="shared" si="24"/>
        <v>106</v>
      </c>
      <c r="F42" s="3">
        <f t="shared" si="24"/>
        <v>0</v>
      </c>
      <c r="G42" s="3">
        <f t="shared" si="24"/>
        <v>471</v>
      </c>
      <c r="H42" s="3">
        <f t="shared" si="24"/>
        <v>996</v>
      </c>
      <c r="I42" s="3">
        <f>I379</f>
        <v>0</v>
      </c>
      <c r="J42" s="3"/>
      <c r="K42" s="3"/>
      <c r="L42" s="3">
        <f>SUM(L368:L379)</f>
        <v>30.973607999999999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 t="shared" ref="C43:H43" si="25">SUM(C381:C392)</f>
        <v>0</v>
      </c>
      <c r="D43" s="3">
        <f t="shared" si="25"/>
        <v>2770</v>
      </c>
      <c r="E43" s="3">
        <f t="shared" si="25"/>
        <v>0</v>
      </c>
      <c r="F43" s="3">
        <f t="shared" si="25"/>
        <v>0</v>
      </c>
      <c r="G43" s="3">
        <f t="shared" si="25"/>
        <v>-1221</v>
      </c>
      <c r="H43" s="3">
        <f t="shared" si="25"/>
        <v>1520</v>
      </c>
      <c r="I43" s="3">
        <f>I392</f>
        <v>1221</v>
      </c>
      <c r="J43" s="3"/>
      <c r="K43" s="3"/>
      <c r="L43" s="3">
        <f>SUM(L381:L392)</f>
        <v>47.268959999999993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 t="shared" ref="C44:H44" si="26">SUM(C394:C405)</f>
        <v>0</v>
      </c>
      <c r="D44" s="3">
        <f t="shared" si="26"/>
        <v>1511</v>
      </c>
      <c r="E44" s="3">
        <f t="shared" si="26"/>
        <v>0</v>
      </c>
      <c r="F44" s="3">
        <f t="shared" si="26"/>
        <v>0</v>
      </c>
      <c r="G44" s="3">
        <f t="shared" si="26"/>
        <v>738</v>
      </c>
      <c r="H44" s="3">
        <f t="shared" si="26"/>
        <v>2234</v>
      </c>
      <c r="I44" s="3">
        <f>I405</f>
        <v>483</v>
      </c>
      <c r="J44" s="3"/>
      <c r="K44" s="3"/>
      <c r="L44" s="3">
        <f>SUM(L394:L405)</f>
        <v>69.472932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 t="shared" ref="C45:H45" si="27">SUM(C407:C418)</f>
        <v>0</v>
      </c>
      <c r="D45" s="3">
        <f t="shared" si="27"/>
        <v>2011</v>
      </c>
      <c r="E45" s="3">
        <f t="shared" si="27"/>
        <v>0</v>
      </c>
      <c r="F45" s="3">
        <f t="shared" si="27"/>
        <v>0</v>
      </c>
      <c r="G45" s="3">
        <f t="shared" si="27"/>
        <v>-11</v>
      </c>
      <c r="H45" s="3">
        <f t="shared" si="27"/>
        <v>1991</v>
      </c>
      <c r="I45" s="3">
        <f>I418</f>
        <v>494</v>
      </c>
      <c r="J45" s="3"/>
      <c r="K45" s="3"/>
      <c r="L45" s="3">
        <f>SUM(L407:L418)</f>
        <v>61.916117999999997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 t="shared" ref="C46:H46" si="28">SUM(C420:C431)</f>
        <v>0</v>
      </c>
      <c r="D46" s="3">
        <f t="shared" si="28"/>
        <v>400</v>
      </c>
      <c r="E46" s="3">
        <f t="shared" si="28"/>
        <v>0</v>
      </c>
      <c r="F46" s="3">
        <f t="shared" si="28"/>
        <v>0</v>
      </c>
      <c r="G46" s="3">
        <f t="shared" si="28"/>
        <v>494</v>
      </c>
      <c r="H46" s="3">
        <f t="shared" si="28"/>
        <v>886</v>
      </c>
      <c r="I46" s="3">
        <f>I431</f>
        <v>0</v>
      </c>
      <c r="J46" s="3"/>
      <c r="K46" s="3"/>
      <c r="L46" s="3">
        <f>SUM(L420:L431)</f>
        <v>27.552828000000005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 t="shared" ref="C47:H47" si="29">SUM(C433:C444)</f>
        <v>0</v>
      </c>
      <c r="D47" s="3">
        <f t="shared" si="29"/>
        <v>174</v>
      </c>
      <c r="E47" s="3">
        <f t="shared" si="29"/>
        <v>0</v>
      </c>
      <c r="F47" s="3">
        <f t="shared" si="29"/>
        <v>0</v>
      </c>
      <c r="G47" s="3">
        <f t="shared" si="29"/>
        <v>0</v>
      </c>
      <c r="H47" s="3">
        <f t="shared" si="29"/>
        <v>174</v>
      </c>
      <c r="I47" s="3">
        <f>I444</f>
        <v>0</v>
      </c>
      <c r="J47" s="3"/>
      <c r="K47" s="3"/>
      <c r="L47" s="3">
        <f>SUM(L433:L444)</f>
        <v>5.4110519999999998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 t="shared" ref="C48:H48" si="30">SUM(C446:C457)</f>
        <v>0</v>
      </c>
      <c r="D48" s="3">
        <f t="shared" si="30"/>
        <v>115</v>
      </c>
      <c r="E48" s="3">
        <f t="shared" si="30"/>
        <v>0</v>
      </c>
      <c r="F48" s="3">
        <f t="shared" si="30"/>
        <v>0</v>
      </c>
      <c r="G48" s="3">
        <f t="shared" si="30"/>
        <v>0</v>
      </c>
      <c r="H48" s="3">
        <f t="shared" si="30"/>
        <v>115</v>
      </c>
      <c r="I48" s="3">
        <f>I457</f>
        <v>0</v>
      </c>
      <c r="J48" s="3"/>
      <c r="K48" s="3"/>
      <c r="L48" s="3">
        <f>SUM(L446:L457)</f>
        <v>3.5762700000000001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 t="shared" ref="C49:H49" si="31">SUM(C459:C470)</f>
        <v>0</v>
      </c>
      <c r="D49" s="3">
        <f t="shared" si="31"/>
        <v>94</v>
      </c>
      <c r="E49" s="3">
        <f t="shared" si="31"/>
        <v>0</v>
      </c>
      <c r="F49" s="3">
        <f t="shared" si="31"/>
        <v>0</v>
      </c>
      <c r="G49" s="3">
        <f t="shared" si="31"/>
        <v>0</v>
      </c>
      <c r="H49" s="3">
        <f t="shared" si="31"/>
        <v>94</v>
      </c>
      <c r="I49" s="3">
        <f>I470</f>
        <v>0</v>
      </c>
      <c r="J49" s="3"/>
      <c r="K49" s="3"/>
      <c r="L49" s="3">
        <f>SUM(L459:L470)</f>
        <v>2.9232119999999999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 t="shared" ref="C50:H50" si="32">SUM(C472:C483)</f>
        <v>0</v>
      </c>
      <c r="D50" s="3">
        <f t="shared" si="32"/>
        <v>103</v>
      </c>
      <c r="E50" s="3">
        <f t="shared" si="32"/>
        <v>0</v>
      </c>
      <c r="F50" s="3">
        <f t="shared" si="32"/>
        <v>0</v>
      </c>
      <c r="G50" s="3">
        <f t="shared" si="32"/>
        <v>0</v>
      </c>
      <c r="H50" s="3">
        <f t="shared" si="32"/>
        <v>103</v>
      </c>
      <c r="I50" s="3">
        <f>I483</f>
        <v>0</v>
      </c>
      <c r="J50" s="3"/>
      <c r="K50" s="3"/>
      <c r="L50" s="3">
        <f>SUM(L472:L483)</f>
        <v>3.2030940000000001</v>
      </c>
      <c r="M50" s="3"/>
      <c r="N50" s="22">
        <f>'Olieforbrug, TJ'!M50</f>
        <v>2025</v>
      </c>
    </row>
    <row r="51" spans="1:14" x14ac:dyDescent="0.25">
      <c r="A51" s="22"/>
      <c r="J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5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0</v>
      </c>
      <c r="D98" s="3">
        <f t="shared" si="33"/>
        <v>1480</v>
      </c>
      <c r="E98" s="3">
        <f t="shared" si="33"/>
        <v>0</v>
      </c>
      <c r="F98" s="3">
        <f t="shared" si="33"/>
        <v>0</v>
      </c>
      <c r="G98" s="3">
        <f t="shared" si="33"/>
        <v>-1303</v>
      </c>
      <c r="H98" s="3">
        <f t="shared" si="33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0</v>
      </c>
      <c r="D99" s="3">
        <f t="shared" si="34"/>
        <v>734</v>
      </c>
      <c r="E99" s="3">
        <f t="shared" si="34"/>
        <v>0</v>
      </c>
      <c r="F99" s="3">
        <f t="shared" si="34"/>
        <v>0</v>
      </c>
      <c r="G99" s="3">
        <f t="shared" si="34"/>
        <v>-78</v>
      </c>
      <c r="H99" s="3">
        <f t="shared" si="34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5">
      <c r="A100" s="32" t="s">
        <v>177</v>
      </c>
      <c r="C100" s="3">
        <f>SUM(C335:C337)</f>
        <v>0</v>
      </c>
      <c r="D100" s="3">
        <f t="shared" ref="D100:L100" si="35">SUM(D335:D337)</f>
        <v>0</v>
      </c>
      <c r="E100" s="3">
        <f t="shared" si="35"/>
        <v>0</v>
      </c>
      <c r="F100" s="3">
        <f t="shared" si="35"/>
        <v>0</v>
      </c>
      <c r="G100" s="3">
        <f t="shared" si="35"/>
        <v>666</v>
      </c>
      <c r="H100" s="3">
        <f t="shared" si="35"/>
        <v>507</v>
      </c>
      <c r="I100" s="3">
        <f>I337</f>
        <v>730</v>
      </c>
      <c r="J100" s="3"/>
      <c r="K100" s="3"/>
      <c r="L100" s="3">
        <f t="shared" si="35"/>
        <v>15.766685999999998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0</v>
      </c>
      <c r="D101" s="3">
        <f t="shared" si="36"/>
        <v>0</v>
      </c>
      <c r="E101" s="3">
        <f t="shared" si="36"/>
        <v>114</v>
      </c>
      <c r="F101" s="3">
        <f t="shared" si="36"/>
        <v>0</v>
      </c>
      <c r="G101" s="3">
        <f t="shared" si="36"/>
        <v>195</v>
      </c>
      <c r="H101" s="3">
        <f t="shared" si="36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0</v>
      </c>
      <c r="D103" s="3">
        <f t="shared" si="37"/>
        <v>0</v>
      </c>
      <c r="E103" s="3">
        <f t="shared" si="37"/>
        <v>259</v>
      </c>
      <c r="F103" s="3">
        <f t="shared" si="37"/>
        <v>0</v>
      </c>
      <c r="G103" s="3">
        <f t="shared" si="37"/>
        <v>471</v>
      </c>
      <c r="H103" s="3">
        <f t="shared" si="37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0</v>
      </c>
      <c r="D104" s="3">
        <f t="shared" si="38"/>
        <v>1223</v>
      </c>
      <c r="E104" s="3">
        <f t="shared" si="38"/>
        <v>1098</v>
      </c>
      <c r="F104" s="3">
        <f t="shared" si="38"/>
        <v>0</v>
      </c>
      <c r="G104" s="3">
        <f t="shared" si="38"/>
        <v>-41</v>
      </c>
      <c r="H104" s="3">
        <f t="shared" si="38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0</v>
      </c>
      <c r="D105" s="3">
        <f t="shared" si="39"/>
        <v>2057</v>
      </c>
      <c r="E105" s="3">
        <f t="shared" si="39"/>
        <v>633</v>
      </c>
      <c r="F105" s="3">
        <f t="shared" si="39"/>
        <v>0</v>
      </c>
      <c r="G105" s="3">
        <f t="shared" si="39"/>
        <v>-585</v>
      </c>
      <c r="H105" s="3">
        <f t="shared" si="39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0</v>
      </c>
      <c r="D106" s="3">
        <f t="shared" si="40"/>
        <v>61</v>
      </c>
      <c r="E106" s="3">
        <f t="shared" si="40"/>
        <v>445</v>
      </c>
      <c r="F106" s="3">
        <f t="shared" si="40"/>
        <v>0</v>
      </c>
      <c r="G106" s="3">
        <f t="shared" si="40"/>
        <v>604</v>
      </c>
      <c r="H106" s="3">
        <f t="shared" si="40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0</v>
      </c>
      <c r="D108" s="3">
        <f t="shared" ref="D108:L108" si="41">SUM(D355:D357)</f>
        <v>1273</v>
      </c>
      <c r="E108" s="3">
        <f t="shared" si="41"/>
        <v>287</v>
      </c>
      <c r="F108" s="3">
        <f t="shared" si="41"/>
        <v>0</v>
      </c>
      <c r="G108" s="3">
        <f t="shared" si="41"/>
        <v>-749</v>
      </c>
      <c r="H108" s="3">
        <f t="shared" si="41"/>
        <v>215</v>
      </c>
      <c r="I108" s="3">
        <f>I357</f>
        <v>835</v>
      </c>
      <c r="J108" s="3"/>
      <c r="K108" s="3"/>
      <c r="L108" s="3">
        <f t="shared" si="41"/>
        <v>6.6860699999999991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0</v>
      </c>
      <c r="D109" s="3">
        <f t="shared" si="42"/>
        <v>1094</v>
      </c>
      <c r="E109" s="3">
        <f t="shared" si="42"/>
        <v>518</v>
      </c>
      <c r="F109" s="3">
        <f t="shared" si="42"/>
        <v>0</v>
      </c>
      <c r="G109" s="3">
        <f t="shared" si="42"/>
        <v>60</v>
      </c>
      <c r="H109" s="3">
        <f t="shared" si="42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3">SUM(D361:D363)</f>
        <v>1280</v>
      </c>
      <c r="E110" s="3">
        <f t="shared" si="43"/>
        <v>414</v>
      </c>
      <c r="F110" s="3">
        <f t="shared" si="43"/>
        <v>0</v>
      </c>
      <c r="G110" s="3">
        <f t="shared" si="43"/>
        <v>-267</v>
      </c>
      <c r="H110" s="3">
        <f t="shared" si="43"/>
        <v>599</v>
      </c>
      <c r="I110" s="3">
        <f>I363</f>
        <v>1042</v>
      </c>
      <c r="J110" s="3"/>
      <c r="K110" s="3"/>
      <c r="L110" s="3">
        <f t="shared" si="43"/>
        <v>18.627701999999996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4">SUM(D364:D366)</f>
        <v>62</v>
      </c>
      <c r="E111" s="3">
        <f t="shared" si="44"/>
        <v>363</v>
      </c>
      <c r="F111" s="3">
        <f t="shared" si="44"/>
        <v>0</v>
      </c>
      <c r="G111" s="3">
        <f t="shared" si="44"/>
        <v>571</v>
      </c>
      <c r="H111" s="3">
        <f t="shared" si="44"/>
        <v>233</v>
      </c>
      <c r="I111" s="3">
        <f>I366</f>
        <v>471</v>
      </c>
      <c r="J111" s="3"/>
      <c r="K111" s="3"/>
      <c r="L111" s="3">
        <f t="shared" si="44"/>
        <v>7.2458339999999994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0</v>
      </c>
      <c r="D113" s="3">
        <f t="shared" si="45"/>
        <v>66</v>
      </c>
      <c r="E113" s="3">
        <f t="shared" si="45"/>
        <v>62</v>
      </c>
      <c r="F113" s="3">
        <f t="shared" si="45"/>
        <v>0</v>
      </c>
      <c r="G113" s="3">
        <f t="shared" si="45"/>
        <v>217</v>
      </c>
      <c r="H113" s="3">
        <f t="shared" si="45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0</v>
      </c>
      <c r="D114" s="3">
        <f t="shared" si="46"/>
        <v>134</v>
      </c>
      <c r="E114" s="3">
        <f t="shared" si="46"/>
        <v>21</v>
      </c>
      <c r="F114" s="3">
        <f t="shared" si="46"/>
        <v>0</v>
      </c>
      <c r="G114" s="3">
        <f t="shared" si="46"/>
        <v>176</v>
      </c>
      <c r="H114" s="3">
        <f t="shared" si="46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7">SUM(D374:D376)</f>
        <v>187</v>
      </c>
      <c r="E115" s="3">
        <f t="shared" si="47"/>
        <v>23</v>
      </c>
      <c r="F115" s="3">
        <f t="shared" si="47"/>
        <v>0</v>
      </c>
      <c r="G115" s="3">
        <f t="shared" si="47"/>
        <v>16</v>
      </c>
      <c r="H115" s="3">
        <f t="shared" si="47"/>
        <v>230</v>
      </c>
      <c r="I115" s="3">
        <f>I376</f>
        <v>62</v>
      </c>
      <c r="J115" s="3"/>
      <c r="K115" s="3"/>
      <c r="L115" s="3">
        <f t="shared" si="47"/>
        <v>7.1525399999999983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0</v>
      </c>
      <c r="D116" s="3">
        <f t="shared" si="48"/>
        <v>150</v>
      </c>
      <c r="E116" s="3">
        <f t="shared" si="48"/>
        <v>0</v>
      </c>
      <c r="F116" s="3">
        <f t="shared" si="48"/>
        <v>0</v>
      </c>
      <c r="G116" s="3">
        <f t="shared" si="48"/>
        <v>62</v>
      </c>
      <c r="H116" s="3">
        <f t="shared" si="48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0</v>
      </c>
      <c r="D118" s="3">
        <f t="shared" si="49"/>
        <v>1509</v>
      </c>
      <c r="E118" s="3">
        <f t="shared" si="49"/>
        <v>0</v>
      </c>
      <c r="F118" s="3">
        <f t="shared" si="49"/>
        <v>0</v>
      </c>
      <c r="G118" s="3">
        <f t="shared" si="49"/>
        <v>-1375</v>
      </c>
      <c r="H118" s="3">
        <f t="shared" si="49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50">SUM(D384:D386)</f>
        <v>194</v>
      </c>
      <c r="E119" s="3">
        <f t="shared" si="50"/>
        <v>0</v>
      </c>
      <c r="F119" s="3">
        <f t="shared" si="50"/>
        <v>0</v>
      </c>
      <c r="G119" s="3">
        <f t="shared" si="50"/>
        <v>425</v>
      </c>
      <c r="H119" s="3">
        <f t="shared" si="50"/>
        <v>606</v>
      </c>
      <c r="I119" s="3">
        <f>SUM(I386)</f>
        <v>950</v>
      </c>
      <c r="J119" s="3"/>
      <c r="K119" s="3"/>
      <c r="L119" s="3">
        <f t="shared" si="50"/>
        <v>18.845388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0</v>
      </c>
      <c r="D120" s="3">
        <f t="shared" si="51"/>
        <v>979</v>
      </c>
      <c r="E120" s="3">
        <f t="shared" si="51"/>
        <v>0</v>
      </c>
      <c r="F120" s="3">
        <f t="shared" si="51"/>
        <v>0</v>
      </c>
      <c r="G120" s="3">
        <f t="shared" si="51"/>
        <v>-464</v>
      </c>
      <c r="H120" s="3">
        <f t="shared" si="51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0</v>
      </c>
      <c r="D121" s="3">
        <f t="shared" si="52"/>
        <v>88</v>
      </c>
      <c r="E121" s="3">
        <f t="shared" si="52"/>
        <v>0</v>
      </c>
      <c r="F121" s="3">
        <f t="shared" si="52"/>
        <v>0</v>
      </c>
      <c r="G121" s="3">
        <f t="shared" si="52"/>
        <v>193</v>
      </c>
      <c r="H121" s="3">
        <f t="shared" si="52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0</v>
      </c>
      <c r="D123" s="3">
        <f t="shared" si="53"/>
        <v>70</v>
      </c>
      <c r="E123" s="3">
        <f t="shared" si="53"/>
        <v>0</v>
      </c>
      <c r="F123" s="3">
        <f t="shared" si="53"/>
        <v>0</v>
      </c>
      <c r="G123" s="3">
        <f t="shared" si="53"/>
        <v>103</v>
      </c>
      <c r="H123" s="3">
        <f t="shared" si="53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0</v>
      </c>
      <c r="D124" s="3">
        <f t="shared" si="54"/>
        <v>1286</v>
      </c>
      <c r="E124" s="3">
        <f t="shared" si="54"/>
        <v>0</v>
      </c>
      <c r="F124" s="3">
        <f t="shared" si="54"/>
        <v>0</v>
      </c>
      <c r="G124" s="3">
        <f t="shared" si="54"/>
        <v>-251</v>
      </c>
      <c r="H124" s="3">
        <f t="shared" si="54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0</v>
      </c>
      <c r="D125" s="3">
        <f t="shared" si="55"/>
        <v>115</v>
      </c>
      <c r="E125" s="3">
        <f t="shared" si="55"/>
        <v>0</v>
      </c>
      <c r="F125" s="3">
        <f t="shared" si="55"/>
        <v>0</v>
      </c>
      <c r="G125" s="3">
        <f t="shared" si="55"/>
        <v>585</v>
      </c>
      <c r="H125" s="3">
        <f t="shared" si="55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0</v>
      </c>
      <c r="D126" s="3">
        <f t="shared" si="56"/>
        <v>40</v>
      </c>
      <c r="E126" s="3">
        <f t="shared" si="56"/>
        <v>0</v>
      </c>
      <c r="F126" s="3">
        <f t="shared" si="56"/>
        <v>0</v>
      </c>
      <c r="G126" s="3">
        <f t="shared" si="56"/>
        <v>301</v>
      </c>
      <c r="H126" s="3">
        <f t="shared" si="56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0</v>
      </c>
      <c r="D128" s="3">
        <f t="shared" si="57"/>
        <v>1319</v>
      </c>
      <c r="E128" s="3">
        <f t="shared" si="57"/>
        <v>0</v>
      </c>
      <c r="F128" s="3">
        <f t="shared" si="57"/>
        <v>0</v>
      </c>
      <c r="G128" s="3">
        <f t="shared" si="57"/>
        <v>-949</v>
      </c>
      <c r="H128" s="3">
        <f t="shared" si="57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0</v>
      </c>
      <c r="D129" s="3">
        <f t="shared" si="58"/>
        <v>87</v>
      </c>
      <c r="E129" s="3">
        <f t="shared" si="58"/>
        <v>0</v>
      </c>
      <c r="F129" s="3">
        <f t="shared" si="58"/>
        <v>0</v>
      </c>
      <c r="G129" s="3">
        <f t="shared" si="58"/>
        <v>532</v>
      </c>
      <c r="H129" s="3">
        <f t="shared" si="58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0</v>
      </c>
      <c r="D130" s="3">
        <f t="shared" si="59"/>
        <v>562</v>
      </c>
      <c r="E130" s="3">
        <f t="shared" si="59"/>
        <v>0</v>
      </c>
      <c r="F130" s="3">
        <f t="shared" si="59"/>
        <v>0</v>
      </c>
      <c r="G130" s="3">
        <f t="shared" si="59"/>
        <v>151</v>
      </c>
      <c r="H130" s="3">
        <f t="shared" si="59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0</v>
      </c>
      <c r="D131" s="3">
        <f t="shared" si="60"/>
        <v>43</v>
      </c>
      <c r="E131" s="3">
        <f t="shared" si="60"/>
        <v>0</v>
      </c>
      <c r="F131" s="3">
        <f t="shared" si="60"/>
        <v>0</v>
      </c>
      <c r="G131" s="3">
        <f t="shared" si="60"/>
        <v>255</v>
      </c>
      <c r="H131" s="3">
        <f t="shared" si="60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0</v>
      </c>
      <c r="D133" s="3">
        <f t="shared" si="61"/>
        <v>46</v>
      </c>
      <c r="E133" s="3">
        <f t="shared" si="61"/>
        <v>0</v>
      </c>
      <c r="F133" s="3">
        <f t="shared" si="61"/>
        <v>0</v>
      </c>
      <c r="G133" s="3">
        <f t="shared" si="61"/>
        <v>494</v>
      </c>
      <c r="H133" s="3">
        <f t="shared" si="61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0</v>
      </c>
      <c r="D134" s="3">
        <f t="shared" si="62"/>
        <v>191</v>
      </c>
      <c r="E134" s="3">
        <f t="shared" si="62"/>
        <v>0</v>
      </c>
      <c r="F134" s="3">
        <f t="shared" si="62"/>
        <v>0</v>
      </c>
      <c r="G134" s="3">
        <f t="shared" si="62"/>
        <v>0</v>
      </c>
      <c r="H134" s="3">
        <f t="shared" si="62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0</v>
      </c>
      <c r="D135" s="3">
        <f t="shared" si="63"/>
        <v>118</v>
      </c>
      <c r="E135" s="3">
        <f t="shared" si="63"/>
        <v>0</v>
      </c>
      <c r="F135" s="3">
        <f t="shared" si="63"/>
        <v>0</v>
      </c>
      <c r="G135" s="3">
        <f t="shared" si="63"/>
        <v>0</v>
      </c>
      <c r="H135" s="3">
        <f t="shared" si="63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0</v>
      </c>
      <c r="D136" s="3">
        <f t="shared" si="64"/>
        <v>45</v>
      </c>
      <c r="E136" s="3">
        <f t="shared" si="64"/>
        <v>0</v>
      </c>
      <c r="F136" s="3">
        <f t="shared" si="64"/>
        <v>0</v>
      </c>
      <c r="G136" s="3">
        <f t="shared" si="64"/>
        <v>0</v>
      </c>
      <c r="H136" s="3">
        <f t="shared" si="64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5">SUM(D433:D435)</f>
        <v>61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6">SUM(D436:D438)</f>
        <v>38</v>
      </c>
      <c r="E139" s="3">
        <f t="shared" si="66"/>
        <v>0</v>
      </c>
      <c r="F139" s="3">
        <f t="shared" si="66"/>
        <v>0</v>
      </c>
      <c r="G139" s="3">
        <f t="shared" si="66"/>
        <v>0</v>
      </c>
      <c r="H139" s="3">
        <f t="shared" si="66"/>
        <v>38</v>
      </c>
      <c r="I139" s="3">
        <f>SUM(I438)</f>
        <v>0</v>
      </c>
      <c r="J139" s="3"/>
      <c r="K139" s="3"/>
      <c r="L139" s="3">
        <f t="shared" si="66"/>
        <v>1.181724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7">SUM(D439:D441)</f>
        <v>75</v>
      </c>
      <c r="E140" s="3">
        <f t="shared" si="67"/>
        <v>0</v>
      </c>
      <c r="F140" s="3">
        <f t="shared" si="67"/>
        <v>0</v>
      </c>
      <c r="G140" s="3">
        <f t="shared" si="67"/>
        <v>0</v>
      </c>
      <c r="H140" s="3">
        <f t="shared" si="67"/>
        <v>75</v>
      </c>
      <c r="I140" s="3">
        <f>SUM(I441)</f>
        <v>0</v>
      </c>
      <c r="J140" s="3"/>
      <c r="K140" s="3"/>
      <c r="L140" s="3">
        <f t="shared" si="67"/>
        <v>2.3323499999999999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0</v>
      </c>
      <c r="D141" s="3">
        <f t="shared" si="68"/>
        <v>0</v>
      </c>
      <c r="E141" s="3">
        <f t="shared" si="68"/>
        <v>0</v>
      </c>
      <c r="F141" s="3">
        <f t="shared" si="68"/>
        <v>0</v>
      </c>
      <c r="G141" s="3">
        <f t="shared" si="68"/>
        <v>0</v>
      </c>
      <c r="H141" s="3">
        <f t="shared" si="68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9">SUM(D446:D448)</f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0</v>
      </c>
      <c r="I143" s="3">
        <f>SUM(I448)</f>
        <v>0</v>
      </c>
      <c r="J143" s="3"/>
      <c r="K143" s="3"/>
      <c r="L143" s="3">
        <f t="shared" si="69"/>
        <v>0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0</v>
      </c>
      <c r="D144" s="3">
        <f t="shared" si="70"/>
        <v>59</v>
      </c>
      <c r="E144" s="3">
        <f t="shared" si="70"/>
        <v>0</v>
      </c>
      <c r="F144" s="3">
        <f t="shared" si="70"/>
        <v>0</v>
      </c>
      <c r="G144" s="3">
        <f t="shared" si="70"/>
        <v>0</v>
      </c>
      <c r="H144" s="3">
        <f t="shared" si="70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1">SUM(D452:D454)</f>
        <v>29</v>
      </c>
      <c r="E145" s="3">
        <f t="shared" si="71"/>
        <v>0</v>
      </c>
      <c r="F145" s="3">
        <f t="shared" si="71"/>
        <v>0</v>
      </c>
      <c r="G145" s="3">
        <f t="shared" si="71"/>
        <v>0</v>
      </c>
      <c r="H145" s="3">
        <f t="shared" si="71"/>
        <v>29</v>
      </c>
      <c r="I145" s="3">
        <f>SUM(I454)</f>
        <v>0</v>
      </c>
      <c r="J145" s="3"/>
      <c r="K145" s="3"/>
      <c r="L145" s="3">
        <f t="shared" si="71"/>
        <v>0.90184200000000003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2">SUM(D455:D457)</f>
        <v>27</v>
      </c>
      <c r="E146" s="3">
        <f t="shared" si="72"/>
        <v>0</v>
      </c>
      <c r="F146" s="3">
        <f t="shared" si="72"/>
        <v>0</v>
      </c>
      <c r="G146" s="3">
        <f t="shared" si="72"/>
        <v>0</v>
      </c>
      <c r="H146" s="3">
        <f t="shared" si="72"/>
        <v>27</v>
      </c>
      <c r="I146" s="3">
        <f>SUM(I457)</f>
        <v>0</v>
      </c>
      <c r="J146" s="3"/>
      <c r="K146" s="3"/>
      <c r="L146" s="3">
        <f t="shared" si="72"/>
        <v>0.83964599999999989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0</v>
      </c>
      <c r="D148" s="3">
        <f t="shared" si="73"/>
        <v>7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4">SUM(D462:D464)</f>
        <v>47</v>
      </c>
      <c r="E149" s="3">
        <f t="shared" si="74"/>
        <v>0</v>
      </c>
      <c r="F149" s="3">
        <f t="shared" si="74"/>
        <v>0</v>
      </c>
      <c r="G149" s="3">
        <f t="shared" si="74"/>
        <v>0</v>
      </c>
      <c r="H149" s="3">
        <f t="shared" si="74"/>
        <v>47</v>
      </c>
      <c r="I149" s="3">
        <f>SUM(I464)</f>
        <v>0</v>
      </c>
      <c r="J149" s="3"/>
      <c r="K149" s="3"/>
      <c r="L149" s="3">
        <f t="shared" si="74"/>
        <v>1.4616059999999997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5">SUM(D465:D467)</f>
        <v>22</v>
      </c>
      <c r="E150" s="3">
        <f t="shared" si="75"/>
        <v>0</v>
      </c>
      <c r="F150" s="3">
        <f t="shared" si="75"/>
        <v>0</v>
      </c>
      <c r="G150" s="3">
        <f t="shared" si="75"/>
        <v>0</v>
      </c>
      <c r="H150" s="3">
        <f t="shared" si="75"/>
        <v>22</v>
      </c>
      <c r="I150" s="3">
        <f>I467</f>
        <v>0</v>
      </c>
      <c r="J150" s="3"/>
      <c r="K150" s="3"/>
      <c r="L150" s="3">
        <f t="shared" si="75"/>
        <v>0.68415599999999999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6">SUM(D468:D470)</f>
        <v>18</v>
      </c>
      <c r="E151" s="3">
        <f t="shared" si="76"/>
        <v>0</v>
      </c>
      <c r="F151" s="3">
        <f t="shared" si="76"/>
        <v>0</v>
      </c>
      <c r="G151" s="3">
        <f t="shared" si="76"/>
        <v>0</v>
      </c>
      <c r="H151" s="3">
        <f t="shared" si="76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L153" si="77">SUM(D472:D474)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0</v>
      </c>
      <c r="I153" s="3">
        <f>I474</f>
        <v>0</v>
      </c>
      <c r="J153" s="3"/>
      <c r="K153" s="3"/>
      <c r="L153" s="3">
        <f t="shared" si="77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78">SUM(D475:D477)</f>
        <v>43</v>
      </c>
      <c r="E154" s="3">
        <f t="shared" si="78"/>
        <v>0</v>
      </c>
      <c r="F154" s="3">
        <f t="shared" si="78"/>
        <v>0</v>
      </c>
      <c r="G154" s="3">
        <f t="shared" si="78"/>
        <v>0</v>
      </c>
      <c r="H154" s="3">
        <f t="shared" si="78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L155" si="79">SUM(D478:D480)</f>
        <v>35</v>
      </c>
      <c r="E155" s="3">
        <f t="shared" si="79"/>
        <v>0</v>
      </c>
      <c r="F155" s="3">
        <f t="shared" si="79"/>
        <v>0</v>
      </c>
      <c r="G155" s="3">
        <f t="shared" si="79"/>
        <v>0</v>
      </c>
      <c r="H155" s="3">
        <f t="shared" si="79"/>
        <v>35</v>
      </c>
      <c r="I155" s="3">
        <f>I480</f>
        <v>0</v>
      </c>
      <c r="J155" s="3"/>
      <c r="K155" s="3"/>
      <c r="L155" s="3">
        <f t="shared" si="79"/>
        <v>1.08843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80">SUM(D481:D483)</f>
        <v>25</v>
      </c>
      <c r="E156" s="3">
        <f t="shared" si="80"/>
        <v>0</v>
      </c>
      <c r="F156" s="3">
        <f t="shared" si="80"/>
        <v>0</v>
      </c>
      <c r="G156" s="3">
        <f t="shared" si="80"/>
        <v>0</v>
      </c>
      <c r="H156" s="3">
        <f t="shared" si="80"/>
        <v>25</v>
      </c>
      <c r="I156" s="3">
        <f>I483</f>
        <v>0</v>
      </c>
      <c r="J156"/>
      <c r="K156"/>
      <c r="L156" s="3">
        <f t="shared" ref="L156" si="81">SUM(L481:L483)</f>
        <v>0.77744999999999997</v>
      </c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5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5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5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5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5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5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5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5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5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5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5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5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5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8" thickBot="1" x14ac:dyDescent="0.3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5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5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5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5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5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5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5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5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5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5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8" thickBot="1" x14ac:dyDescent="0.3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5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5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5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5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5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5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5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5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5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5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8" thickBot="1" x14ac:dyDescent="0.3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5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5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5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5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5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5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5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5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5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5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8" thickBot="1" x14ac:dyDescent="0.3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5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5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5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5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8" thickBot="1" x14ac:dyDescent="0.3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5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5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5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5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5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5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5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5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5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5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8" thickBot="1" x14ac:dyDescent="0.3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5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5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5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5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5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5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5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5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5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5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8" thickBot="1" x14ac:dyDescent="0.3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5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5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5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5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5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5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5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5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5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5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8" thickBot="1" x14ac:dyDescent="0.3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5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5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5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5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5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5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5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5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5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5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8" thickBot="1" x14ac:dyDescent="0.3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82">H342*0.71*43.8/1000</f>
        <v>1.3372139999999997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83">I342-I343</f>
        <v>151</v>
      </c>
      <c r="H343" s="65">
        <v>56</v>
      </c>
      <c r="I343" s="65">
        <v>265</v>
      </c>
      <c r="J343" s="70"/>
      <c r="K343" s="70"/>
      <c r="L343" s="69">
        <f t="shared" si="82"/>
        <v>1.7414879999999999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83"/>
        <v>201</v>
      </c>
      <c r="H344" s="65">
        <v>148</v>
      </c>
      <c r="I344" s="65">
        <v>64</v>
      </c>
      <c r="J344" s="70"/>
      <c r="K344" s="70"/>
      <c r="L344" s="69">
        <f t="shared" si="82"/>
        <v>4.6025039999999997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83"/>
        <v>-872</v>
      </c>
      <c r="H345" s="65">
        <v>167</v>
      </c>
      <c r="I345" s="65">
        <v>936</v>
      </c>
      <c r="J345" s="70"/>
      <c r="K345" s="70"/>
      <c r="L345" s="69">
        <f t="shared" si="82"/>
        <v>5.1933659999999993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83"/>
        <v>382</v>
      </c>
      <c r="H346" s="65">
        <v>112</v>
      </c>
      <c r="I346" s="65">
        <v>554</v>
      </c>
      <c r="J346" s="70"/>
      <c r="K346" s="70"/>
      <c r="L346" s="69">
        <f t="shared" si="82"/>
        <v>3.4829759999999998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83"/>
        <v>449</v>
      </c>
      <c r="H347" s="65">
        <v>143</v>
      </c>
      <c r="I347" s="65">
        <v>105</v>
      </c>
      <c r="J347" s="70"/>
      <c r="K347" s="70"/>
      <c r="L347" s="69">
        <f t="shared" si="82"/>
        <v>4.4470140000000002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83"/>
        <v>-750</v>
      </c>
      <c r="H348" s="65">
        <v>298</v>
      </c>
      <c r="I348" s="65">
        <v>855</v>
      </c>
      <c r="J348" s="70"/>
      <c r="K348" s="70"/>
      <c r="L348" s="69">
        <f t="shared" si="82"/>
        <v>9.2672039999999978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82"/>
        <v>6.1263059999999996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82"/>
        <v>7.3702259999999988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82"/>
        <v>4.8823859999999994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82"/>
        <v>2.8921139999999999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82"/>
        <v>1.9280759999999999</v>
      </c>
      <c r="N353" s="43" t="str">
        <f>'Olieforbrug, TJ'!M353</f>
        <v>December</v>
      </c>
    </row>
    <row r="354" spans="1:14" x14ac:dyDescent="0.25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5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4">H368*0.71*43.8/1000</f>
        <v>1.0884299999999998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5">I368-I369</f>
        <v>186</v>
      </c>
      <c r="H369" s="16">
        <v>213</v>
      </c>
      <c r="I369" s="16">
        <v>271</v>
      </c>
      <c r="J369" s="15"/>
      <c r="K369" s="15"/>
      <c r="L369" s="14">
        <f t="shared" si="84"/>
        <v>6.6238739999999989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5"/>
        <v>17</v>
      </c>
      <c r="H370" s="16">
        <v>31</v>
      </c>
      <c r="I370" s="16">
        <v>254</v>
      </c>
      <c r="J370" s="15"/>
      <c r="K370" s="15"/>
      <c r="L370" s="14">
        <f t="shared" si="84"/>
        <v>0.96403799999999995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5"/>
        <v>53</v>
      </c>
      <c r="H371" s="16">
        <v>83</v>
      </c>
      <c r="I371" s="16">
        <v>201</v>
      </c>
      <c r="J371" s="15"/>
      <c r="K371" s="15"/>
      <c r="L371" s="14">
        <f t="shared" si="84"/>
        <v>2.581134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5"/>
        <v>35</v>
      </c>
      <c r="H372" s="16">
        <v>96</v>
      </c>
      <c r="I372" s="16">
        <v>166</v>
      </c>
      <c r="J372" s="15"/>
      <c r="K372" s="15"/>
      <c r="L372" s="14">
        <f t="shared" si="84"/>
        <v>2.9854079999999996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5"/>
        <v>88</v>
      </c>
      <c r="H373" s="16">
        <v>110</v>
      </c>
      <c r="I373" s="16">
        <v>78</v>
      </c>
      <c r="J373" s="15"/>
      <c r="K373" s="15"/>
      <c r="L373" s="14">
        <f t="shared" si="84"/>
        <v>3.4207799999999997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5"/>
        <v>15</v>
      </c>
      <c r="H374" s="16">
        <v>55</v>
      </c>
      <c r="I374" s="16">
        <v>63</v>
      </c>
      <c r="J374" s="15"/>
      <c r="K374" s="15"/>
      <c r="L374" s="14">
        <f t="shared" si="84"/>
        <v>1.7103899999999999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4"/>
        <v>3.2652899999999994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4"/>
        <v>2.1768599999999996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4"/>
        <v>3.3585839999999996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4"/>
        <v>0.93293999999999988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4"/>
        <v>1.8658799999999998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6">H383*0.71*43.8/1000</f>
        <v>3.1408979999999995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6"/>
        <v>4.6025039999999997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6"/>
        <v>4.6025039999999997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6"/>
        <v>9.6403799999999986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7">I386-I387</f>
        <v>155</v>
      </c>
      <c r="H387" s="16">
        <v>218</v>
      </c>
      <c r="I387" s="16">
        <v>795</v>
      </c>
      <c r="J387" s="15"/>
      <c r="K387" s="15"/>
      <c r="L387" s="16">
        <f t="shared" si="86"/>
        <v>6.7793639999999993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7"/>
        <v>82</v>
      </c>
      <c r="H388" s="16">
        <v>206</v>
      </c>
      <c r="I388" s="16">
        <v>713</v>
      </c>
      <c r="J388" s="15"/>
      <c r="K388" s="15"/>
      <c r="L388" s="16">
        <f t="shared" si="86"/>
        <v>6.4061879999999993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7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7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7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7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8">H394*0.71*43.8/1000</f>
        <v>3.2963879999999994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9">I394-I395</f>
        <v>4</v>
      </c>
      <c r="H395" s="16">
        <v>10</v>
      </c>
      <c r="I395" s="16">
        <v>1142</v>
      </c>
      <c r="J395" s="15"/>
      <c r="K395" s="15"/>
      <c r="L395" s="16">
        <f t="shared" si="88"/>
        <v>0.31097999999999998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9"/>
        <v>24</v>
      </c>
      <c r="H396" s="16">
        <v>52</v>
      </c>
      <c r="I396" s="16">
        <v>1118</v>
      </c>
      <c r="J396" s="15"/>
      <c r="K396" s="15"/>
      <c r="L396" s="16">
        <f t="shared" si="88"/>
        <v>1.6170960000000001</v>
      </c>
      <c r="N396" s="23" t="str">
        <f>'Olieforbrug, TJ'!M396</f>
        <v>March</v>
      </c>
    </row>
    <row r="397" spans="1:14" ht="12.6" customHeight="1" x14ac:dyDescent="0.25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9"/>
        <v>274</v>
      </c>
      <c r="H397" s="16">
        <v>338</v>
      </c>
      <c r="I397" s="16">
        <v>844</v>
      </c>
      <c r="J397" s="15"/>
      <c r="K397" s="15"/>
      <c r="L397" s="16">
        <f t="shared" si="88"/>
        <v>10.511123999999999</v>
      </c>
      <c r="N397" s="23" t="str">
        <f>'Olieforbrug, TJ'!M397</f>
        <v>April</v>
      </c>
    </row>
    <row r="398" spans="1:14" ht="12.6" customHeight="1" x14ac:dyDescent="0.25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9"/>
        <v>303</v>
      </c>
      <c r="H398" s="16">
        <v>360</v>
      </c>
      <c r="I398" s="16">
        <v>541</v>
      </c>
      <c r="J398" s="15"/>
      <c r="K398" s="15"/>
      <c r="L398" s="16">
        <f t="shared" si="88"/>
        <v>11.195279999999999</v>
      </c>
      <c r="N398" s="23" t="str">
        <f>'Olieforbrug, TJ'!M398</f>
        <v>May</v>
      </c>
    </row>
    <row r="399" spans="1:14" ht="12.6" customHeight="1" x14ac:dyDescent="0.25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9"/>
        <v>-828</v>
      </c>
      <c r="H399" s="16">
        <v>333</v>
      </c>
      <c r="I399" s="16">
        <v>1369</v>
      </c>
      <c r="J399" s="15"/>
      <c r="K399" s="15"/>
      <c r="L399" s="16">
        <f t="shared" si="88"/>
        <v>10.355633999999998</v>
      </c>
      <c r="N399" s="23" t="str">
        <f>'Olieforbrug, TJ'!M399</f>
        <v>June</v>
      </c>
    </row>
    <row r="400" spans="1:14" ht="12.6" customHeight="1" x14ac:dyDescent="0.25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9"/>
        <v>220</v>
      </c>
      <c r="H400" s="16">
        <v>253</v>
      </c>
      <c r="I400" s="16">
        <v>1149</v>
      </c>
      <c r="J400" s="15"/>
      <c r="K400" s="15"/>
      <c r="L400" s="16">
        <f t="shared" si="88"/>
        <v>7.8677939999999991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8"/>
        <v>8.5519499999999997</v>
      </c>
      <c r="N401" s="23" t="str">
        <f>'Olieforbrug, TJ'!M401</f>
        <v>August</v>
      </c>
    </row>
    <row r="402" spans="1:14" ht="13.5" customHeight="1" x14ac:dyDescent="0.25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8"/>
        <v>5.1933659999999993</v>
      </c>
      <c r="N402" s="23" t="str">
        <f>'Olieforbrug, TJ'!M402</f>
        <v>September</v>
      </c>
    </row>
    <row r="403" spans="1:14" ht="14.25" customHeight="1" x14ac:dyDescent="0.25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8"/>
        <v>4.2604259999999998</v>
      </c>
      <c r="N403" s="23" t="str">
        <f>'Olieforbrug, TJ'!M403</f>
        <v>October</v>
      </c>
    </row>
    <row r="404" spans="1:14" ht="14.25" customHeight="1" x14ac:dyDescent="0.25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8"/>
        <v>3.5451719999999995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8"/>
        <v>2.7677219999999996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90">H407*0.71*43.8/1000</f>
        <v>3.2652899999999994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91">I407-I408</f>
        <v>187</v>
      </c>
      <c r="H408" s="16">
        <v>218</v>
      </c>
      <c r="I408" s="16">
        <v>249</v>
      </c>
      <c r="J408" s="15"/>
      <c r="K408" s="15"/>
      <c r="L408" s="16">
        <f t="shared" si="90"/>
        <v>6.7793639999999993</v>
      </c>
      <c r="N408" s="23" t="str">
        <f>'Olieforbrug, TJ'!M408</f>
        <v>February</v>
      </c>
    </row>
    <row r="409" spans="1:14" ht="12" customHeight="1" x14ac:dyDescent="0.25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91"/>
        <v>-1183</v>
      </c>
      <c r="H409" s="16">
        <v>46</v>
      </c>
      <c r="I409" s="16">
        <v>1432</v>
      </c>
      <c r="J409" s="15"/>
      <c r="K409" s="15"/>
      <c r="L409" s="16">
        <f t="shared" si="90"/>
        <v>1.4305079999999999</v>
      </c>
      <c r="N409" s="23" t="str">
        <f>'Olieforbrug, TJ'!M409</f>
        <v>March</v>
      </c>
    </row>
    <row r="410" spans="1:14" ht="12" customHeight="1" x14ac:dyDescent="0.25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91"/>
        <v>50</v>
      </c>
      <c r="H410" s="16">
        <v>76</v>
      </c>
      <c r="I410" s="16">
        <v>1382</v>
      </c>
      <c r="J410" s="15"/>
      <c r="K410" s="15"/>
      <c r="L410" s="16">
        <f t="shared" si="90"/>
        <v>2.3634479999999995</v>
      </c>
      <c r="N410" s="23" t="str">
        <f>'Olieforbrug, TJ'!M410</f>
        <v>April</v>
      </c>
    </row>
    <row r="411" spans="1:14" ht="12" customHeight="1" x14ac:dyDescent="0.25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91"/>
        <v>122</v>
      </c>
      <c r="H411" s="16">
        <v>150</v>
      </c>
      <c r="I411" s="16">
        <v>1260</v>
      </c>
      <c r="J411" s="15"/>
      <c r="K411" s="15"/>
      <c r="L411" s="16">
        <f t="shared" si="90"/>
        <v>4.6646999999999998</v>
      </c>
      <c r="N411" s="23" t="str">
        <f>'Olieforbrug, TJ'!M411</f>
        <v>May</v>
      </c>
    </row>
    <row r="412" spans="1:14" ht="14.25" customHeight="1" x14ac:dyDescent="0.25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91"/>
        <v>360</v>
      </c>
      <c r="H412" s="16">
        <v>388</v>
      </c>
      <c r="I412" s="16">
        <v>900</v>
      </c>
      <c r="J412" s="15"/>
      <c r="K412" s="15"/>
      <c r="L412" s="16">
        <f t="shared" si="90"/>
        <v>12.066023999999997</v>
      </c>
      <c r="N412" s="23" t="str">
        <f>'Olieforbrug, TJ'!M412</f>
        <v>June</v>
      </c>
    </row>
    <row r="413" spans="1:14" ht="14.25" customHeight="1" x14ac:dyDescent="0.25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91"/>
        <v>228</v>
      </c>
      <c r="H413" s="16">
        <v>293</v>
      </c>
      <c r="I413" s="16">
        <v>672</v>
      </c>
      <c r="J413" s="15"/>
      <c r="K413" s="15"/>
      <c r="L413" s="16">
        <f t="shared" si="90"/>
        <v>9.1117139999999992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90"/>
        <v>6.6549719999999999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90"/>
        <v>6.3128939999999991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90"/>
        <v>3.0165059999999992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90"/>
        <v>4.9445819999999996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90"/>
        <v>1.3061160000000001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" customHeight="1" x14ac:dyDescent="0.25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92">H420*0.71*43.8/1000</f>
        <v>4.291523999999999</v>
      </c>
      <c r="N420" s="23" t="str">
        <f>'Olieforbrug, TJ'!M420</f>
        <v>January</v>
      </c>
    </row>
    <row r="421" spans="1:14" ht="12.9" customHeight="1" x14ac:dyDescent="0.25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93">I420-I421</f>
        <v>355</v>
      </c>
      <c r="H421" s="16">
        <v>378</v>
      </c>
      <c r="I421" s="16">
        <v>0</v>
      </c>
      <c r="J421" s="15"/>
      <c r="K421" s="15"/>
      <c r="L421" s="16">
        <f t="shared" si="92"/>
        <v>11.755044</v>
      </c>
      <c r="N421" s="23" t="str">
        <f>'Olieforbrug, TJ'!M421</f>
        <v>February</v>
      </c>
    </row>
    <row r="422" spans="1:14" ht="12.9" customHeight="1" x14ac:dyDescent="0.25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93"/>
        <v>0</v>
      </c>
      <c r="H422" s="16">
        <v>16</v>
      </c>
      <c r="I422" s="16">
        <v>0</v>
      </c>
      <c r="J422" s="15"/>
      <c r="K422" s="15"/>
      <c r="L422" s="16">
        <f t="shared" si="92"/>
        <v>0.4975679999999999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93"/>
        <v>0</v>
      </c>
      <c r="H423" s="16">
        <v>61</v>
      </c>
      <c r="I423" s="16">
        <v>0</v>
      </c>
      <c r="J423" s="15"/>
      <c r="K423" s="15"/>
      <c r="L423" s="16">
        <f t="shared" si="92"/>
        <v>1.8969779999999996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93"/>
        <v>0</v>
      </c>
      <c r="H424" s="16">
        <v>61</v>
      </c>
      <c r="I424" s="16">
        <v>0</v>
      </c>
      <c r="J424" s="15"/>
      <c r="K424" s="15"/>
      <c r="L424" s="16">
        <f t="shared" si="92"/>
        <v>1.8969779999999996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93"/>
        <v>0</v>
      </c>
      <c r="H425" s="16">
        <v>69</v>
      </c>
      <c r="I425" s="16">
        <v>0</v>
      </c>
      <c r="J425" s="15"/>
      <c r="K425" s="15"/>
      <c r="L425" s="16">
        <f t="shared" si="92"/>
        <v>2.1457619999999995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93"/>
        <v>0</v>
      </c>
      <c r="H426" s="16">
        <v>48</v>
      </c>
      <c r="I426" s="16">
        <v>0</v>
      </c>
      <c r="J426" s="15"/>
      <c r="K426" s="15"/>
      <c r="L426" s="16">
        <f t="shared" si="92"/>
        <v>1.4927039999999998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92"/>
        <v>0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92"/>
        <v>2.1768599999999996</v>
      </c>
      <c r="N428" s="23" t="str">
        <f>'Olieforbrug, TJ'!M428</f>
        <v>September</v>
      </c>
    </row>
    <row r="429" spans="1:14" x14ac:dyDescent="0.25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92"/>
        <v>0.62195999999999996</v>
      </c>
      <c r="N429" s="23" t="str">
        <f>'Olieforbrug, TJ'!M429</f>
        <v>October</v>
      </c>
    </row>
    <row r="430" spans="1:14" x14ac:dyDescent="0.25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92"/>
        <v>0.77744999999999997</v>
      </c>
      <c r="N430" s="23" t="str">
        <f>'Olieforbrug, TJ'!M430</f>
        <v>November</v>
      </c>
    </row>
    <row r="431" spans="1:14" ht="13.8" thickBot="1" x14ac:dyDescent="0.3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92"/>
        <v>0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4">H433*0.71*43.8/1000</f>
        <v>0.93293999999999988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5">I433-I434</f>
        <v>0</v>
      </c>
      <c r="H434" s="16">
        <v>0</v>
      </c>
      <c r="I434" s="16">
        <v>0</v>
      </c>
      <c r="J434" s="15"/>
      <c r="K434" s="15"/>
      <c r="L434" s="16">
        <f t="shared" si="94"/>
        <v>0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5"/>
        <v>0</v>
      </c>
      <c r="H435" s="16">
        <v>31</v>
      </c>
      <c r="I435" s="16">
        <v>0</v>
      </c>
      <c r="J435" s="15"/>
      <c r="K435" s="15"/>
      <c r="L435" s="16">
        <f t="shared" si="94"/>
        <v>0.96403799999999995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5"/>
        <v>0</v>
      </c>
      <c r="H436" s="16">
        <v>0</v>
      </c>
      <c r="I436" s="16">
        <v>0</v>
      </c>
      <c r="J436" s="15"/>
      <c r="K436" s="15"/>
      <c r="L436" s="16">
        <f t="shared" si="94"/>
        <v>0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5"/>
        <v>0</v>
      </c>
      <c r="H437" s="16">
        <v>28</v>
      </c>
      <c r="I437" s="16">
        <v>0</v>
      </c>
      <c r="J437" s="15"/>
      <c r="K437" s="15"/>
      <c r="L437" s="16">
        <f t="shared" si="94"/>
        <v>0.87074399999999996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5"/>
        <v>0</v>
      </c>
      <c r="H438" s="16">
        <v>10</v>
      </c>
      <c r="I438" s="16">
        <v>0</v>
      </c>
      <c r="J438" s="15"/>
      <c r="K438" s="15"/>
      <c r="L438" s="16">
        <f t="shared" si="94"/>
        <v>0.31097999999999998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5"/>
        <v>0</v>
      </c>
      <c r="H439" s="16">
        <v>21</v>
      </c>
      <c r="I439" s="16">
        <v>0</v>
      </c>
      <c r="J439" s="15"/>
      <c r="K439" s="15"/>
      <c r="L439" s="16">
        <f t="shared" ref="L439" si="96">H439*0.71*43.8/1000</f>
        <v>0.65305800000000003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7">I439-I440</f>
        <v>0</v>
      </c>
      <c r="H440" s="16">
        <v>54</v>
      </c>
      <c r="I440" s="16">
        <v>0</v>
      </c>
      <c r="J440" s="15"/>
      <c r="K440" s="15"/>
      <c r="L440" s="16">
        <f t="shared" ref="L440" si="98">H440*0.71*43.8/1000</f>
        <v>1.6792919999999998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9">I440-I441</f>
        <v>0</v>
      </c>
      <c r="H441" s="77">
        <v>0</v>
      </c>
      <c r="I441" s="16">
        <v>0</v>
      </c>
      <c r="J441" s="15"/>
      <c r="K441" s="15"/>
      <c r="L441" s="16">
        <f t="shared" ref="L441" si="100">H441*0.71*43.8/1000</f>
        <v>0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101">I441-I442</f>
        <v>0</v>
      </c>
      <c r="H442" s="77">
        <v>0</v>
      </c>
      <c r="I442" s="16">
        <v>0</v>
      </c>
      <c r="J442" s="15"/>
      <c r="K442" s="15"/>
      <c r="L442" s="16">
        <f t="shared" ref="L442" si="102">H442*0.71*43.8/1000</f>
        <v>0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103">I442-I443</f>
        <v>0</v>
      </c>
      <c r="H443" s="77">
        <v>0</v>
      </c>
      <c r="I443" s="16">
        <v>0</v>
      </c>
      <c r="J443" s="15"/>
      <c r="K443" s="15"/>
      <c r="L443" s="16">
        <f t="shared" ref="L443" si="104">H443*0.71*43.8/1000</f>
        <v>0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5">I443-I444</f>
        <v>0</v>
      </c>
      <c r="H444" s="119">
        <v>0</v>
      </c>
      <c r="I444" s="42">
        <v>0</v>
      </c>
      <c r="J444" s="2"/>
      <c r="K444" s="2"/>
      <c r="L444" s="42">
        <f t="shared" ref="L444" si="106">H444*0.71*43.8/1000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7">H446*0.71*43.8/1000</f>
        <v>0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8">I446-I447</f>
        <v>0</v>
      </c>
      <c r="H447" s="77">
        <v>0</v>
      </c>
      <c r="I447" s="16">
        <v>0</v>
      </c>
      <c r="J447" s="15"/>
      <c r="K447" s="15"/>
      <c r="L447" s="16">
        <f t="shared" ref="L447" si="109">H447*0.71*43.8/1000</f>
        <v>0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8"/>
        <v>0</v>
      </c>
      <c r="H448" s="77">
        <v>0</v>
      </c>
      <c r="I448" s="16">
        <v>0</v>
      </c>
      <c r="J448" s="15"/>
      <c r="K448" s="15"/>
      <c r="L448" s="16">
        <f t="shared" ref="L448" si="110">H448*0.71*43.8/1000</f>
        <v>0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8"/>
        <v>0</v>
      </c>
      <c r="H449" s="77">
        <v>32</v>
      </c>
      <c r="I449" s="16">
        <v>0</v>
      </c>
      <c r="J449" s="15"/>
      <c r="K449" s="15"/>
      <c r="L449" s="16">
        <f t="shared" ref="L449" si="111">H449*0.71*43.8/1000</f>
        <v>0.9951359999999998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8"/>
        <v>0</v>
      </c>
      <c r="H450" s="77">
        <v>0</v>
      </c>
      <c r="I450" s="16">
        <v>0</v>
      </c>
      <c r="J450" s="15"/>
      <c r="K450" s="15"/>
      <c r="L450" s="16">
        <f t="shared" ref="L450" si="112">H450*0.71*43.8/1000</f>
        <v>0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8"/>
        <v>0</v>
      </c>
      <c r="H451" s="77">
        <v>27</v>
      </c>
      <c r="I451" s="16">
        <v>0</v>
      </c>
      <c r="J451" s="15"/>
      <c r="K451" s="15"/>
      <c r="L451" s="16">
        <f t="shared" ref="L451" si="113">H451*0.71*43.8/1000</f>
        <v>0.83964599999999989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8"/>
        <v>0</v>
      </c>
      <c r="H452" s="77">
        <v>29</v>
      </c>
      <c r="I452" s="16">
        <v>0</v>
      </c>
      <c r="J452" s="15"/>
      <c r="K452" s="15"/>
      <c r="L452" s="16">
        <f t="shared" ref="L452" si="114">H452*0.71*43.8/1000</f>
        <v>0.90184200000000003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5">I452-I453</f>
        <v>0</v>
      </c>
      <c r="H453" s="77">
        <v>0</v>
      </c>
      <c r="I453" s="16">
        <v>0</v>
      </c>
      <c r="J453" s="15"/>
      <c r="K453" s="15"/>
      <c r="L453" s="16">
        <f t="shared" ref="L453" si="116">H453*0.71*43.8/1000</f>
        <v>0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7">I453-I454</f>
        <v>0</v>
      </c>
      <c r="H454" s="77">
        <v>0</v>
      </c>
      <c r="I454" s="16">
        <v>0</v>
      </c>
      <c r="J454" s="15"/>
      <c r="K454" s="15"/>
      <c r="L454" s="16">
        <f t="shared" ref="L454" si="118">H454*0.71*43.8/1000</f>
        <v>0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9">I454-I455</f>
        <v>0</v>
      </c>
      <c r="H455" s="77">
        <v>27</v>
      </c>
      <c r="I455" s="16">
        <v>0</v>
      </c>
      <c r="J455" s="15"/>
      <c r="K455" s="15"/>
      <c r="L455" s="16">
        <f t="shared" ref="L455" si="120">H455*0.71*43.8/1000</f>
        <v>0.83964599999999989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21">I455-I456</f>
        <v>0</v>
      </c>
      <c r="H456" s="77">
        <v>0</v>
      </c>
      <c r="I456" s="16">
        <v>0</v>
      </c>
      <c r="J456" s="15"/>
      <c r="K456" s="15"/>
      <c r="L456" s="16">
        <f t="shared" ref="L456" si="122">H456*0.71*43.8/1000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23">I456-I457</f>
        <v>0</v>
      </c>
      <c r="H457" s="72">
        <v>0</v>
      </c>
      <c r="I457" s="72">
        <v>0</v>
      </c>
      <c r="J457" s="66"/>
      <c r="K457" s="66"/>
      <c r="L457" s="72">
        <f t="shared" ref="L457" si="124">H457*0.71*43.8/1000</f>
        <v>0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5">H459*0.71*43.8/1000</f>
        <v>0.21768599999999999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6">I459-I460</f>
        <v>0</v>
      </c>
      <c r="H460" s="77">
        <v>0</v>
      </c>
      <c r="I460" s="16">
        <v>0</v>
      </c>
      <c r="J460" s="15"/>
      <c r="K460" s="15"/>
      <c r="L460" s="16">
        <f t="shared" ref="L460" si="127">H460*0.71*43.8/1000</f>
        <v>0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6"/>
        <v>0</v>
      </c>
      <c r="H461" s="77">
        <v>0</v>
      </c>
      <c r="I461" s="16">
        <v>0</v>
      </c>
      <c r="J461" s="15"/>
      <c r="K461" s="15"/>
      <c r="L461" s="16">
        <f t="shared" ref="L461" si="128">H461*0.71*43.8/1000</f>
        <v>0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6"/>
        <v>0</v>
      </c>
      <c r="H462" s="77">
        <v>0</v>
      </c>
      <c r="I462" s="16">
        <v>0</v>
      </c>
      <c r="J462" s="15"/>
      <c r="K462" s="15"/>
      <c r="L462" s="16">
        <f t="shared" ref="L462" si="129">H462*0.71*43.8/1000</f>
        <v>0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6"/>
        <v>0</v>
      </c>
      <c r="H463" s="77">
        <v>27</v>
      </c>
      <c r="I463" s="16">
        <v>0</v>
      </c>
      <c r="J463" s="15"/>
      <c r="K463" s="15"/>
      <c r="L463" s="16">
        <f t="shared" ref="L463" si="130">H463*0.71*43.8/1000</f>
        <v>0.83964599999999989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6"/>
        <v>0</v>
      </c>
      <c r="H464" s="77">
        <v>20</v>
      </c>
      <c r="I464" s="16">
        <v>0</v>
      </c>
      <c r="J464" s="15"/>
      <c r="K464" s="15"/>
      <c r="L464" s="16">
        <f t="shared" ref="L464" si="131">H464*0.71*43.8/1000</f>
        <v>0.62195999999999996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6"/>
        <v>0</v>
      </c>
      <c r="H465" s="77">
        <v>0</v>
      </c>
      <c r="I465" s="16">
        <v>0</v>
      </c>
      <c r="J465" s="15"/>
      <c r="K465" s="15"/>
      <c r="L465" s="16">
        <f t="shared" ref="L465" si="132">H465*0.71*43.8/1000</f>
        <v>0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33">I465-I466</f>
        <v>0</v>
      </c>
      <c r="H466" s="77">
        <v>22</v>
      </c>
      <c r="I466" s="16">
        <v>0</v>
      </c>
      <c r="J466" s="15"/>
      <c r="K466" s="15"/>
      <c r="L466" s="16">
        <f t="shared" ref="L466" si="134">H466*0.71*43.8/1000</f>
        <v>0.68415599999999999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5">I466-I467</f>
        <v>0</v>
      </c>
      <c r="H467" s="77">
        <v>0</v>
      </c>
      <c r="I467" s="16">
        <v>0</v>
      </c>
      <c r="J467" s="15"/>
      <c r="K467" s="15"/>
      <c r="L467" s="16">
        <f t="shared" ref="L467" si="136">H467*0.71*43.8/1000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7">I467-I468</f>
        <v>0</v>
      </c>
      <c r="H468" s="77">
        <v>18</v>
      </c>
      <c r="I468" s="16">
        <v>0</v>
      </c>
      <c r="J468" s="15"/>
      <c r="K468" s="15"/>
      <c r="L468" s="16">
        <f t="shared" ref="L468" si="138">H468*0.71*43.8/1000</f>
        <v>0.55976399999999993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9">I468-I469</f>
        <v>0</v>
      </c>
      <c r="H469" s="77">
        <v>0</v>
      </c>
      <c r="I469" s="16">
        <v>0</v>
      </c>
      <c r="J469" s="15"/>
      <c r="K469" s="15"/>
      <c r="L469" s="16">
        <f t="shared" ref="L469" si="140">H469*0.71*43.8/1000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41">I469-I470</f>
        <v>0</v>
      </c>
      <c r="H470" s="119">
        <v>0</v>
      </c>
      <c r="I470" s="42">
        <v>0</v>
      </c>
      <c r="J470" s="2"/>
      <c r="K470" s="2"/>
      <c r="L470" s="42">
        <f t="shared" ref="L470" si="142">H470*0.71*43.8/1000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43">H472*0.71*43.8/1000</f>
        <v>0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4">I472-I473</f>
        <v>0</v>
      </c>
      <c r="H473" s="77">
        <v>0</v>
      </c>
      <c r="I473" s="16">
        <v>0</v>
      </c>
      <c r="J473" s="15"/>
      <c r="K473" s="15"/>
      <c r="L473" s="16">
        <f t="shared" ref="L473" si="145">H473*0.71*43.8/1000</f>
        <v>0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4"/>
        <v>0</v>
      </c>
      <c r="H474" s="77">
        <v>0</v>
      </c>
      <c r="I474" s="16">
        <v>0</v>
      </c>
      <c r="J474" s="15"/>
      <c r="K474" s="15"/>
      <c r="L474" s="16">
        <f t="shared" ref="L474" si="146">H474*0.71*43.8/1000</f>
        <v>0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4"/>
        <v>0</v>
      </c>
      <c r="H475" s="77">
        <v>27</v>
      </c>
      <c r="I475" s="16">
        <v>0</v>
      </c>
      <c r="J475" s="15"/>
      <c r="K475" s="15"/>
      <c r="L475" s="16">
        <f t="shared" ref="L475" si="147">H475*0.71*43.8/1000</f>
        <v>0.83964599999999989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4"/>
        <v>0</v>
      </c>
      <c r="H476" s="77">
        <v>16</v>
      </c>
      <c r="I476" s="16">
        <v>0</v>
      </c>
      <c r="J476" s="15"/>
      <c r="K476" s="15"/>
      <c r="L476" s="16">
        <f t="shared" ref="L476" si="148">H476*0.71*43.8/1000</f>
        <v>0.4975679999999999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4"/>
        <v>0</v>
      </c>
      <c r="H477" s="77">
        <v>0</v>
      </c>
      <c r="I477" s="16">
        <v>0</v>
      </c>
      <c r="J477" s="15"/>
      <c r="K477" s="15"/>
      <c r="L477" s="16">
        <f t="shared" ref="L477" si="149">H477*0.71*43.8/1000</f>
        <v>0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4"/>
        <v>0</v>
      </c>
      <c r="H478" s="77">
        <v>22</v>
      </c>
      <c r="I478" s="16">
        <v>0</v>
      </c>
      <c r="J478" s="15"/>
      <c r="K478" s="15"/>
      <c r="L478" s="16">
        <f t="shared" ref="L478" si="150">H478*0.71*43.8/1000</f>
        <v>0.68415599999999999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0</v>
      </c>
      <c r="D479" s="16">
        <v>13</v>
      </c>
      <c r="E479" s="16">
        <v>0</v>
      </c>
      <c r="F479" s="16">
        <v>0</v>
      </c>
      <c r="G479" s="69">
        <f t="shared" ref="G479" si="151">I478-I479</f>
        <v>0</v>
      </c>
      <c r="H479" s="77">
        <v>13</v>
      </c>
      <c r="I479" s="16">
        <v>0</v>
      </c>
      <c r="J479" s="15"/>
      <c r="K479" s="15"/>
      <c r="L479" s="16">
        <f t="shared" ref="L479" si="152">H479*0.71*43.8/1000</f>
        <v>0.40427400000000002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53">I479-I480</f>
        <v>0</v>
      </c>
      <c r="H480" s="77">
        <v>0</v>
      </c>
      <c r="I480" s="16">
        <v>0</v>
      </c>
      <c r="J480" s="15"/>
      <c r="K480" s="15"/>
      <c r="L480" s="16">
        <f t="shared" ref="L480" si="154">H480*0.71*43.8/1000</f>
        <v>0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0</v>
      </c>
      <c r="D481" s="16">
        <v>25</v>
      </c>
      <c r="E481" s="16">
        <v>0</v>
      </c>
      <c r="F481" s="16">
        <v>0</v>
      </c>
      <c r="G481" s="69">
        <f t="shared" ref="G481" si="155">I480-I481</f>
        <v>0</v>
      </c>
      <c r="H481" s="77">
        <v>25</v>
      </c>
      <c r="I481" s="16">
        <v>0</v>
      </c>
      <c r="J481" s="15"/>
      <c r="K481" s="15"/>
      <c r="L481" s="16">
        <f t="shared" ref="L481" si="156">H481*0.71*43.8/1000</f>
        <v>0.77744999999999997</v>
      </c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ref="G482" si="157">I481-I482</f>
        <v>0</v>
      </c>
      <c r="H482" s="77">
        <v>0</v>
      </c>
      <c r="I482" s="16">
        <v>0</v>
      </c>
      <c r="J482" s="15"/>
      <c r="K482" s="15"/>
      <c r="L482" s="16">
        <f t="shared" ref="L482" si="158">H482*0.71*43.8/1000</f>
        <v>0</v>
      </c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ref="G483" si="159">I482-I483</f>
        <v>0</v>
      </c>
      <c r="H483" s="77">
        <v>0</v>
      </c>
      <c r="I483" s="16">
        <v>0</v>
      </c>
      <c r="J483" s="15"/>
      <c r="K483" s="15"/>
      <c r="L483" s="16">
        <f t="shared" ref="L483" si="160">H483*0.71*43.8/1000</f>
        <v>0</v>
      </c>
      <c r="N483" s="180" t="str">
        <f>'Olieforbrug, TJ'!M483</f>
        <v>December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83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D486" sqref="D48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11.44140625" bestFit="1" customWidth="1"/>
    <col min="16" max="16" width="9.5546875" bestFit="1" customWidth="1"/>
  </cols>
  <sheetData>
    <row r="1" spans="1:15" x14ac:dyDescent="0.25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5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5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5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5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5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5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5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5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5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5">
      <c r="A27" s="22">
        <v>2025</v>
      </c>
      <c r="C27" s="3">
        <f>SUM(C472:C483)</f>
        <v>4261848</v>
      </c>
      <c r="D27" s="3">
        <f t="shared" ref="D27:L27" si="11">SUM(D472:D483)</f>
        <v>2635323</v>
      </c>
      <c r="E27" s="3">
        <f t="shared" si="11"/>
        <v>2915196</v>
      </c>
      <c r="F27" s="3">
        <f t="shared" si="11"/>
        <v>683779</v>
      </c>
      <c r="G27" s="3">
        <f t="shared" si="11"/>
        <v>159305</v>
      </c>
      <c r="H27" s="3">
        <f t="shared" si="11"/>
        <v>3476566</v>
      </c>
      <c r="I27" s="3">
        <f>I483</f>
        <v>1689139</v>
      </c>
      <c r="J27" s="3"/>
      <c r="K27" s="3"/>
      <c r="L27" s="3">
        <f t="shared" si="11"/>
        <v>124697.46928799999</v>
      </c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5" x14ac:dyDescent="0.25">
      <c r="A30" s="22">
        <f>'Olieforbrug, TJ'!A30</f>
        <v>2005</v>
      </c>
      <c r="C30" s="3">
        <f t="shared" ref="C30:H30" si="12">SUM(C212:C223)</f>
        <v>3838662</v>
      </c>
      <c r="D30" s="3">
        <f t="shared" si="12"/>
        <v>2506336</v>
      </c>
      <c r="E30" s="3">
        <f t="shared" si="12"/>
        <v>1152906</v>
      </c>
      <c r="F30" s="3">
        <f t="shared" si="12"/>
        <v>324239</v>
      </c>
      <c r="G30" s="3">
        <f t="shared" si="12"/>
        <v>-352513</v>
      </c>
      <c r="H30" s="3">
        <f t="shared" si="12"/>
        <v>4594678</v>
      </c>
      <c r="I30" s="3">
        <f>I223</f>
        <v>1047939</v>
      </c>
      <c r="J30" s="3"/>
      <c r="K30" s="3"/>
      <c r="L30" s="3">
        <f>SUM(L212:L223)</f>
        <v>166930.03068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 t="shared" ref="C31:H31" si="13">SUM(C225:C236)</f>
        <v>3878709</v>
      </c>
      <c r="D31" s="3">
        <f t="shared" si="13"/>
        <v>2870686.6</v>
      </c>
      <c r="E31" s="3">
        <f t="shared" si="13"/>
        <v>1991523</v>
      </c>
      <c r="F31" s="3">
        <f t="shared" si="13"/>
        <v>301913</v>
      </c>
      <c r="G31" s="3">
        <f t="shared" si="13"/>
        <v>134718</v>
      </c>
      <c r="H31" s="3">
        <f t="shared" si="13"/>
        <v>4645201</v>
      </c>
      <c r="I31" s="3">
        <f>I236</f>
        <v>913221</v>
      </c>
      <c r="J31" s="3"/>
      <c r="K31" s="3"/>
      <c r="L31" s="3">
        <f>SUM(L225:L236)</f>
        <v>166614.06946799997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 t="shared" ref="C32:H32" si="14">SUM(C238:C249)</f>
        <v>3807206</v>
      </c>
      <c r="D32" s="3">
        <f t="shared" si="14"/>
        <v>2530442</v>
      </c>
      <c r="E32" s="3">
        <f t="shared" si="14"/>
        <v>1386909</v>
      </c>
      <c r="F32" s="3">
        <f t="shared" si="14"/>
        <v>254395</v>
      </c>
      <c r="G32" s="3">
        <f t="shared" si="14"/>
        <v>34313</v>
      </c>
      <c r="H32" s="3">
        <f t="shared" si="14"/>
        <v>4728585</v>
      </c>
      <c r="I32" s="3">
        <f>I249</f>
        <v>878908</v>
      </c>
      <c r="J32" s="3"/>
      <c r="K32" s="3"/>
      <c r="L32" s="3">
        <f>SUM(L238:L249)</f>
        <v>169604.88678</v>
      </c>
      <c r="M32" s="3"/>
      <c r="N32" s="22">
        <f>'Olieforbrug, TJ'!M32</f>
        <v>2007</v>
      </c>
    </row>
    <row r="33" spans="1:15" x14ac:dyDescent="0.25">
      <c r="A33" s="22">
        <f>'Olieforbrug, TJ'!A33</f>
        <v>2008</v>
      </c>
      <c r="C33" s="3">
        <f t="shared" ref="C33:H33" si="15">SUM(C251:C262)</f>
        <v>3688522</v>
      </c>
      <c r="D33" s="3">
        <f t="shared" si="15"/>
        <v>3118042</v>
      </c>
      <c r="E33" s="3">
        <f t="shared" si="15"/>
        <v>1207350</v>
      </c>
      <c r="F33" s="3">
        <f t="shared" si="15"/>
        <v>312748</v>
      </c>
      <c r="G33" s="3">
        <f t="shared" si="15"/>
        <v>-435689</v>
      </c>
      <c r="H33" s="3">
        <f t="shared" si="15"/>
        <v>4768243</v>
      </c>
      <c r="I33" s="3">
        <f>I262</f>
        <v>1314597</v>
      </c>
      <c r="J33" s="3"/>
      <c r="K33" s="3"/>
      <c r="L33" s="3">
        <f>SUM(L251:L262)</f>
        <v>171027.339924</v>
      </c>
      <c r="M33" s="3"/>
      <c r="N33" s="22">
        <f>'Olieforbrug, TJ'!M33</f>
        <v>2008</v>
      </c>
    </row>
    <row r="34" spans="1:15" x14ac:dyDescent="0.25">
      <c r="A34" s="22">
        <f>'Olieforbrug, TJ'!A34</f>
        <v>2009</v>
      </c>
      <c r="C34" s="3">
        <f t="shared" ref="C34:H34" si="16">SUM(C264:C275)</f>
        <v>3938644</v>
      </c>
      <c r="D34" s="3">
        <f t="shared" si="16"/>
        <v>2463762</v>
      </c>
      <c r="E34" s="3">
        <f t="shared" si="16"/>
        <v>1405173</v>
      </c>
      <c r="F34" s="3">
        <f t="shared" si="16"/>
        <v>290876</v>
      </c>
      <c r="G34" s="3">
        <f t="shared" si="16"/>
        <v>-146112</v>
      </c>
      <c r="H34" s="3">
        <f t="shared" si="16"/>
        <v>4593518</v>
      </c>
      <c r="I34" s="3">
        <f>I275</f>
        <v>1460709</v>
      </c>
      <c r="J34" s="3"/>
      <c r="K34" s="3"/>
      <c r="L34" s="3">
        <f>SUM(L264:L275)</f>
        <v>164760.30362400002</v>
      </c>
      <c r="M34" s="3"/>
      <c r="N34" s="22">
        <f>'Olieforbrug, TJ'!M34</f>
        <v>2009</v>
      </c>
    </row>
    <row r="35" spans="1:15" x14ac:dyDescent="0.25">
      <c r="A35" s="22">
        <f>'Olieforbrug, TJ'!A35</f>
        <v>2010</v>
      </c>
      <c r="C35" s="3">
        <f t="shared" ref="C35:H35" si="17">SUM(C277:C288)</f>
        <v>3605735</v>
      </c>
      <c r="D35" s="3">
        <f t="shared" si="17"/>
        <v>2642384</v>
      </c>
      <c r="E35" s="3">
        <f t="shared" si="17"/>
        <v>1217783</v>
      </c>
      <c r="F35" s="3">
        <f t="shared" si="17"/>
        <v>320428</v>
      </c>
      <c r="G35" s="3">
        <f t="shared" si="17"/>
        <v>-7105</v>
      </c>
      <c r="H35" s="3">
        <f t="shared" si="17"/>
        <v>4680403</v>
      </c>
      <c r="I35" s="3">
        <f>I288</f>
        <v>1467814</v>
      </c>
      <c r="J35" s="3"/>
      <c r="K35" s="3"/>
      <c r="L35" s="3">
        <f>SUM(L277:L288)</f>
        <v>167876.694804</v>
      </c>
      <c r="M35" s="3"/>
      <c r="N35" s="22">
        <f>'Olieforbrug, TJ'!M35</f>
        <v>2010</v>
      </c>
    </row>
    <row r="36" spans="1:15" x14ac:dyDescent="0.25">
      <c r="A36" s="22">
        <f>'Olieforbrug, TJ'!A36</f>
        <v>2011</v>
      </c>
      <c r="C36" s="3">
        <f t="shared" ref="C36:H36" si="18">SUM(C290:C301)</f>
        <v>3401875</v>
      </c>
      <c r="D36" s="3">
        <f t="shared" si="18"/>
        <v>2711426</v>
      </c>
      <c r="E36" s="3">
        <f t="shared" si="18"/>
        <v>1481810</v>
      </c>
      <c r="F36" s="3">
        <f t="shared" si="18"/>
        <v>290857</v>
      </c>
      <c r="G36" s="3">
        <f t="shared" si="18"/>
        <v>249588</v>
      </c>
      <c r="H36" s="3">
        <f t="shared" si="18"/>
        <v>4579339</v>
      </c>
      <c r="I36" s="3">
        <f>I301</f>
        <v>1218226</v>
      </c>
      <c r="J36" s="3"/>
      <c r="K36" s="3"/>
      <c r="L36" s="3">
        <f>SUM(L290:L301)</f>
        <v>164251.73125200003</v>
      </c>
      <c r="M36" s="3"/>
      <c r="N36" s="22">
        <f>'Olieforbrug, TJ'!M36</f>
        <v>2011</v>
      </c>
    </row>
    <row r="37" spans="1:15" x14ac:dyDescent="0.25">
      <c r="A37" s="22">
        <f>'Olieforbrug, TJ'!A37</f>
        <v>2012</v>
      </c>
      <c r="C37" s="3">
        <f t="shared" ref="C37:H37" si="19">SUM(C303:C314)</f>
        <v>4060451</v>
      </c>
      <c r="D37" s="3">
        <f t="shared" si="19"/>
        <v>2343404</v>
      </c>
      <c r="E37" s="3">
        <f t="shared" si="19"/>
        <v>1762721</v>
      </c>
      <c r="F37" s="3">
        <f t="shared" si="19"/>
        <v>290828</v>
      </c>
      <c r="G37" s="3">
        <f t="shared" si="19"/>
        <v>43368</v>
      </c>
      <c r="H37" s="3">
        <f t="shared" si="19"/>
        <v>4417061</v>
      </c>
      <c r="I37" s="3">
        <f>I314</f>
        <v>1174858</v>
      </c>
      <c r="J37" s="3"/>
      <c r="K37" s="3"/>
      <c r="L37" s="3">
        <f>SUM(L303:L314)</f>
        <v>158431.14394799998</v>
      </c>
      <c r="M37" s="3"/>
      <c r="N37" s="22">
        <f>'Olieforbrug, TJ'!M37</f>
        <v>2012</v>
      </c>
    </row>
    <row r="38" spans="1:15" x14ac:dyDescent="0.25">
      <c r="A38" s="22">
        <f>'Olieforbrug, TJ'!A38</f>
        <v>2013</v>
      </c>
      <c r="C38" s="3">
        <f t="shared" ref="C38:H38" si="20">SUM(C316:C327)</f>
        <v>3807643</v>
      </c>
      <c r="D38" s="3">
        <f t="shared" si="20"/>
        <v>3023665</v>
      </c>
      <c r="E38" s="3">
        <f t="shared" si="20"/>
        <v>1996696</v>
      </c>
      <c r="F38" s="3">
        <f t="shared" si="20"/>
        <v>312780</v>
      </c>
      <c r="G38" s="3">
        <f t="shared" si="20"/>
        <v>-194470</v>
      </c>
      <c r="H38" s="3">
        <f t="shared" si="20"/>
        <v>4379192</v>
      </c>
      <c r="I38" s="3">
        <f>I327</f>
        <v>1369328</v>
      </c>
      <c r="J38" s="3"/>
      <c r="K38" s="3"/>
      <c r="L38" s="3">
        <f>SUM(L316:L327)</f>
        <v>157072.85865600005</v>
      </c>
      <c r="M38" s="3"/>
      <c r="N38" s="22">
        <f>'Olieforbrug, TJ'!M38</f>
        <v>2013</v>
      </c>
    </row>
    <row r="39" spans="1:15" x14ac:dyDescent="0.25">
      <c r="A39" s="22">
        <f>'Olieforbrug, TJ'!A39</f>
        <v>2014</v>
      </c>
      <c r="C39" s="3">
        <f t="shared" ref="C39:H39" si="21">SUM(C329:C340)</f>
        <v>3613341</v>
      </c>
      <c r="D39" s="3">
        <f t="shared" si="21"/>
        <v>3276298</v>
      </c>
      <c r="E39" s="3">
        <f t="shared" si="21"/>
        <v>1989328</v>
      </c>
      <c r="F39" s="3">
        <f t="shared" si="21"/>
        <v>324911</v>
      </c>
      <c r="G39" s="3">
        <f t="shared" si="21"/>
        <v>-324359</v>
      </c>
      <c r="H39" s="3">
        <f t="shared" si="21"/>
        <v>4329818</v>
      </c>
      <c r="I39" s="3">
        <f>I340</f>
        <v>1693687</v>
      </c>
      <c r="J39" s="3"/>
      <c r="K39" s="3"/>
      <c r="L39" s="3">
        <f>SUM(L329:L340)</f>
        <v>155301.91202400002</v>
      </c>
      <c r="M39" s="3"/>
      <c r="N39" s="22">
        <f>'Olieforbrug, TJ'!M39</f>
        <v>2014</v>
      </c>
    </row>
    <row r="40" spans="1:15" x14ac:dyDescent="0.25">
      <c r="A40" s="22">
        <f>'Olieforbrug, TJ'!A40</f>
        <v>2015</v>
      </c>
      <c r="C40" s="3">
        <f t="shared" ref="C40:H40" si="22">SUM(C342:C353)</f>
        <v>3867983</v>
      </c>
      <c r="D40" s="3">
        <f t="shared" si="22"/>
        <v>4567962</v>
      </c>
      <c r="E40" s="3">
        <f t="shared" si="22"/>
        <v>3062567</v>
      </c>
      <c r="F40" s="3">
        <f t="shared" si="22"/>
        <v>476970</v>
      </c>
      <c r="G40" s="3">
        <f t="shared" si="22"/>
        <v>-504762</v>
      </c>
      <c r="H40" s="3">
        <f t="shared" si="22"/>
        <v>4466315</v>
      </c>
      <c r="I40" s="3">
        <f>I353</f>
        <v>2198449</v>
      </c>
      <c r="J40" s="3"/>
      <c r="K40" s="3"/>
      <c r="L40" s="3">
        <f>SUM(L342:L353)</f>
        <v>160197.78642000005</v>
      </c>
      <c r="M40" s="3"/>
      <c r="N40" s="22">
        <f>'Olieforbrug, TJ'!M40</f>
        <v>2015</v>
      </c>
    </row>
    <row r="41" spans="1:15" x14ac:dyDescent="0.25">
      <c r="A41" s="22">
        <f>'Olieforbrug, TJ'!A41</f>
        <v>2016</v>
      </c>
      <c r="C41" s="3">
        <f t="shared" ref="C41:H41" si="23">SUM(C355:C366)</f>
        <v>3680577</v>
      </c>
      <c r="D41" s="3">
        <f t="shared" si="23"/>
        <v>4521231</v>
      </c>
      <c r="E41" s="3">
        <f t="shared" si="23"/>
        <v>3352610</v>
      </c>
      <c r="F41" s="3">
        <f t="shared" si="23"/>
        <v>489535</v>
      </c>
      <c r="G41" s="3">
        <f t="shared" si="23"/>
        <v>23562</v>
      </c>
      <c r="H41" s="3">
        <f t="shared" si="23"/>
        <v>4487770</v>
      </c>
      <c r="I41" s="3">
        <f>I366</f>
        <v>2174887</v>
      </c>
      <c r="J41" s="3"/>
      <c r="K41" s="3"/>
      <c r="L41" s="3">
        <f>SUM(L355:L366)</f>
        <v>160967.33435999998</v>
      </c>
      <c r="M41" s="3"/>
      <c r="N41" s="22">
        <f>'Olieforbrug, TJ'!M41</f>
        <v>2016</v>
      </c>
    </row>
    <row r="42" spans="1:15" x14ac:dyDescent="0.25">
      <c r="A42" s="22">
        <f>'Olieforbrug, TJ'!A42</f>
        <v>2017</v>
      </c>
      <c r="C42" s="3">
        <f t="shared" ref="C42:H42" si="24">SUM(C368:C379)</f>
        <v>4081948</v>
      </c>
      <c r="D42" s="3">
        <f t="shared" si="24"/>
        <v>3308077</v>
      </c>
      <c r="E42" s="3">
        <f t="shared" si="24"/>
        <v>2802786</v>
      </c>
      <c r="F42" s="3">
        <f t="shared" si="24"/>
        <v>429337</v>
      </c>
      <c r="G42" s="3">
        <f t="shared" si="24"/>
        <v>376778</v>
      </c>
      <c r="H42" s="3">
        <f t="shared" si="24"/>
        <v>4567350</v>
      </c>
      <c r="I42" s="3">
        <f>I379</f>
        <v>1798109</v>
      </c>
      <c r="J42" s="3"/>
      <c r="K42" s="3"/>
      <c r="L42" s="3">
        <f>SUM(L368:L379)</f>
        <v>163821.70980000001</v>
      </c>
      <c r="M42" s="3"/>
      <c r="N42" s="22">
        <f>'Olieforbrug, TJ'!M42</f>
        <v>2017</v>
      </c>
    </row>
    <row r="43" spans="1:15" x14ac:dyDescent="0.25">
      <c r="A43" s="22">
        <f>'Olieforbrug, TJ'!A43</f>
        <v>2018</v>
      </c>
      <c r="C43" s="3">
        <f t="shared" ref="C43:H43" si="25">SUM(C381:C392)</f>
        <v>3899366</v>
      </c>
      <c r="D43" s="3">
        <f t="shared" si="25"/>
        <v>2842319</v>
      </c>
      <c r="E43" s="3">
        <f t="shared" si="25"/>
        <v>2024089</v>
      </c>
      <c r="F43" s="3">
        <f t="shared" si="25"/>
        <v>433977</v>
      </c>
      <c r="G43" s="3">
        <f t="shared" si="25"/>
        <v>219820</v>
      </c>
      <c r="H43" s="3">
        <f t="shared" si="25"/>
        <v>4684144</v>
      </c>
      <c r="I43" s="3">
        <f>I392</f>
        <v>1578289</v>
      </c>
      <c r="J43" s="3"/>
      <c r="K43" s="3"/>
      <c r="L43" s="3">
        <f>SUM(L381:L392)</f>
        <v>168010.876992</v>
      </c>
      <c r="M43" s="3"/>
      <c r="N43" s="22">
        <f>'Olieforbrug, TJ'!M43</f>
        <v>2018</v>
      </c>
    </row>
    <row r="44" spans="1:15" x14ac:dyDescent="0.25">
      <c r="A44" s="22">
        <f>'Olieforbrug, TJ'!A44</f>
        <v>2019</v>
      </c>
      <c r="C44" s="3">
        <f t="shared" ref="C44:H44" si="26">SUM(C394:C405)</f>
        <v>4203689</v>
      </c>
      <c r="D44" s="3">
        <f t="shared" si="26"/>
        <v>3323495</v>
      </c>
      <c r="E44" s="3">
        <f t="shared" si="26"/>
        <v>2339767</v>
      </c>
      <c r="F44" s="3">
        <f t="shared" si="26"/>
        <v>405192</v>
      </c>
      <c r="G44" s="3">
        <f t="shared" si="26"/>
        <v>-325483</v>
      </c>
      <c r="H44" s="3">
        <f t="shared" si="26"/>
        <v>4763536</v>
      </c>
      <c r="I44" s="3">
        <f>I405</f>
        <v>1903772</v>
      </c>
      <c r="J44" s="3"/>
      <c r="K44" s="3"/>
      <c r="L44" s="3">
        <f>SUM(L394:L405)</f>
        <v>170858.50924800002</v>
      </c>
      <c r="M44" s="3"/>
      <c r="N44" s="22">
        <f>'Olieforbrug, TJ'!M44</f>
        <v>2019</v>
      </c>
    </row>
    <row r="45" spans="1:15" x14ac:dyDescent="0.25">
      <c r="A45" s="22">
        <f>'Olieforbrug, TJ'!A45</f>
        <v>2020</v>
      </c>
      <c r="C45" s="3">
        <f t="shared" ref="C45:H45" si="27">SUM(C407:C418)</f>
        <v>4047879</v>
      </c>
      <c r="D45" s="3">
        <f t="shared" si="27"/>
        <v>2792671</v>
      </c>
      <c r="E45" s="3">
        <f t="shared" si="27"/>
        <v>2036762</v>
      </c>
      <c r="F45" s="3">
        <f t="shared" si="27"/>
        <v>402003</v>
      </c>
      <c r="G45" s="3">
        <f t="shared" si="27"/>
        <v>-278698</v>
      </c>
      <c r="H45" s="3">
        <f t="shared" si="27"/>
        <v>4253227</v>
      </c>
      <c r="I45" s="3">
        <f>I418</f>
        <v>2182470</v>
      </c>
      <c r="J45" s="3"/>
      <c r="K45" s="3"/>
      <c r="L45" s="3">
        <f>SUM(L407:L418)</f>
        <v>152554.746036</v>
      </c>
      <c r="M45" s="3"/>
      <c r="N45" s="22">
        <f>'Olieforbrug, TJ'!M45</f>
        <v>2020</v>
      </c>
    </row>
    <row r="46" spans="1:15" x14ac:dyDescent="0.25">
      <c r="A46" s="22">
        <f>'Olieforbrug, TJ'!A46</f>
        <v>2021</v>
      </c>
      <c r="C46" s="3">
        <f t="shared" ref="C46:H46" si="28">SUM(C420:C431)</f>
        <v>4253704</v>
      </c>
      <c r="D46" s="3">
        <f t="shared" si="28"/>
        <v>2279949</v>
      </c>
      <c r="E46" s="3">
        <f t="shared" si="28"/>
        <v>2115251</v>
      </c>
      <c r="F46" s="3">
        <f t="shared" si="28"/>
        <v>426762</v>
      </c>
      <c r="G46" s="3">
        <f t="shared" si="28"/>
        <v>291057</v>
      </c>
      <c r="H46" s="3">
        <f t="shared" si="28"/>
        <v>4399362</v>
      </c>
      <c r="I46" s="3">
        <f>I431</f>
        <v>1891413</v>
      </c>
      <c r="J46" s="3"/>
      <c r="K46" s="3"/>
      <c r="L46" s="3">
        <f>SUM(L420:L431)</f>
        <v>157796.31621600001</v>
      </c>
      <c r="M46" s="3"/>
      <c r="N46" s="22">
        <f>'Olieforbrug, TJ'!M46</f>
        <v>2021</v>
      </c>
    </row>
    <row r="47" spans="1:15" x14ac:dyDescent="0.25">
      <c r="A47" s="22">
        <f>'Olieforbrug, TJ'!A47</f>
        <v>2022</v>
      </c>
      <c r="C47" s="3">
        <f t="shared" ref="C47:H47" si="29">SUM(C433:C444)</f>
        <v>3980763</v>
      </c>
      <c r="D47" s="3">
        <f t="shared" si="29"/>
        <v>2322910</v>
      </c>
      <c r="E47" s="3">
        <f t="shared" si="29"/>
        <v>1850282</v>
      </c>
      <c r="F47" s="3">
        <f t="shared" si="29"/>
        <v>390624</v>
      </c>
      <c r="G47" s="3">
        <f t="shared" si="29"/>
        <v>273101</v>
      </c>
      <c r="H47" s="3">
        <f t="shared" si="29"/>
        <v>4417928</v>
      </c>
      <c r="I47" s="3">
        <f>I444</f>
        <v>1618312</v>
      </c>
      <c r="J47" s="3"/>
      <c r="K47" s="3"/>
      <c r="L47" s="3">
        <f>SUM(L433:L444)</f>
        <v>158462.24150399998</v>
      </c>
      <c r="M47" s="3"/>
      <c r="N47" s="22">
        <f>'Olieforbrug, TJ'!M47</f>
        <v>2022</v>
      </c>
    </row>
    <row r="48" spans="1:15" x14ac:dyDescent="0.25">
      <c r="A48" s="22">
        <f>'Olieforbrug, TJ'!A48</f>
        <v>2023</v>
      </c>
      <c r="C48" s="3">
        <f t="shared" ref="C48:H48" si="30">SUM(C446:C457)</f>
        <v>4050997</v>
      </c>
      <c r="D48" s="3">
        <f t="shared" si="30"/>
        <v>2459367</v>
      </c>
      <c r="E48" s="3">
        <f t="shared" si="30"/>
        <v>2025189</v>
      </c>
      <c r="F48" s="3">
        <f t="shared" si="30"/>
        <v>335975</v>
      </c>
      <c r="G48" s="3">
        <f t="shared" si="30"/>
        <v>-16797</v>
      </c>
      <c r="H48" s="3">
        <f t="shared" si="30"/>
        <v>4225783</v>
      </c>
      <c r="I48" s="3">
        <f>I457</f>
        <v>1635109</v>
      </c>
      <c r="J48" s="3"/>
      <c r="K48" s="3"/>
      <c r="L48" s="3">
        <f>SUM(L446:L457)</f>
        <v>151570.38464399998</v>
      </c>
      <c r="M48" s="3"/>
      <c r="N48" s="22">
        <f>'Olieforbrug, TJ'!M48</f>
        <v>2023</v>
      </c>
      <c r="O48" s="136"/>
    </row>
    <row r="49" spans="1:14" x14ac:dyDescent="0.25">
      <c r="A49" s="22">
        <f>'Olieforbrug, TJ'!A49</f>
        <v>2024</v>
      </c>
      <c r="C49" s="3">
        <f t="shared" ref="C49:H49" si="31">SUM(C459:C470)</f>
        <v>3906048</v>
      </c>
      <c r="D49" s="3">
        <f t="shared" si="31"/>
        <v>2777126</v>
      </c>
      <c r="E49" s="3">
        <f t="shared" si="31"/>
        <v>1927607</v>
      </c>
      <c r="F49" s="3">
        <f t="shared" si="31"/>
        <v>727165</v>
      </c>
      <c r="G49" s="3">
        <f t="shared" si="31"/>
        <v>-213335</v>
      </c>
      <c r="H49" s="3">
        <f t="shared" si="31"/>
        <v>3871019</v>
      </c>
      <c r="I49" s="3">
        <f>I470</f>
        <v>1848444</v>
      </c>
      <c r="J49" s="3"/>
      <c r="K49" s="3"/>
      <c r="L49" s="3">
        <f>SUM(L459:L470)</f>
        <v>138845.70949199999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 t="shared" ref="C50:H50" si="32">SUM(C472:C483)</f>
        <v>4261848</v>
      </c>
      <c r="D50" s="3">
        <f t="shared" si="32"/>
        <v>2635323</v>
      </c>
      <c r="E50" s="3">
        <f t="shared" si="32"/>
        <v>2915196</v>
      </c>
      <c r="F50" s="3">
        <f t="shared" si="32"/>
        <v>683779</v>
      </c>
      <c r="G50" s="3">
        <f t="shared" si="32"/>
        <v>159305</v>
      </c>
      <c r="H50" s="3">
        <f t="shared" si="32"/>
        <v>3476566</v>
      </c>
      <c r="I50" s="3">
        <f>I483</f>
        <v>1689139</v>
      </c>
      <c r="J50" s="3"/>
      <c r="K50" s="3"/>
      <c r="L50" s="3">
        <f>SUM(L472:L483)</f>
        <v>124697.46928799999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5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5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5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5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5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5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5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5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5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5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5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5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5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5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5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5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5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5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5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5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5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5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5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5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5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5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5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5">
      <c r="A97" s="32"/>
      <c r="J97" s="3"/>
      <c r="K97" s="3"/>
      <c r="L97" s="3"/>
      <c r="M97" s="26"/>
    </row>
    <row r="98" spans="1:16" x14ac:dyDescent="0.25">
      <c r="A98" s="32" t="s">
        <v>173</v>
      </c>
      <c r="C98" s="3">
        <f t="shared" ref="C98:H98" si="33">SUM(C329:C331)</f>
        <v>873959</v>
      </c>
      <c r="D98" s="3">
        <f t="shared" si="33"/>
        <v>570395</v>
      </c>
      <c r="E98" s="3">
        <f t="shared" si="33"/>
        <v>429492</v>
      </c>
      <c r="F98" s="3">
        <f t="shared" si="33"/>
        <v>76049</v>
      </c>
      <c r="G98" s="3">
        <f t="shared" si="33"/>
        <v>120391</v>
      </c>
      <c r="H98" s="3">
        <f t="shared" si="33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5">
      <c r="A99" s="32" t="s">
        <v>175</v>
      </c>
      <c r="C99" s="3">
        <f t="shared" ref="C99:H99" si="34">SUM(C332:C334)</f>
        <v>952901</v>
      </c>
      <c r="D99" s="3">
        <f t="shared" si="34"/>
        <v>703385</v>
      </c>
      <c r="E99" s="3">
        <f t="shared" si="34"/>
        <v>444008</v>
      </c>
      <c r="F99" s="3">
        <f t="shared" si="34"/>
        <v>86027</v>
      </c>
      <c r="G99" s="3">
        <f t="shared" si="34"/>
        <v>-95186</v>
      </c>
      <c r="H99" s="3">
        <f t="shared" si="34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5">
      <c r="A100" s="32" t="s">
        <v>177</v>
      </c>
      <c r="C100" s="3">
        <f>SUM(C335:C337)</f>
        <v>892647</v>
      </c>
      <c r="D100" s="3">
        <f t="shared" ref="D100:L100" si="35">SUM(D335:D337)</f>
        <v>912813</v>
      </c>
      <c r="E100" s="3">
        <f t="shared" si="35"/>
        <v>523760</v>
      </c>
      <c r="F100" s="3">
        <f t="shared" si="35"/>
        <v>84348</v>
      </c>
      <c r="G100" s="3">
        <f t="shared" si="35"/>
        <v>-108826</v>
      </c>
      <c r="H100" s="3">
        <f t="shared" si="35"/>
        <v>1100082</v>
      </c>
      <c r="I100" s="3">
        <f>I337</f>
        <v>1452949</v>
      </c>
      <c r="J100" s="3"/>
      <c r="K100" s="3"/>
      <c r="L100" s="3">
        <f t="shared" si="35"/>
        <v>39457.741176000003</v>
      </c>
      <c r="M100" s="3"/>
      <c r="N100" s="26" t="s">
        <v>178</v>
      </c>
    </row>
    <row r="101" spans="1:16" x14ac:dyDescent="0.25">
      <c r="A101" s="32" t="s">
        <v>179</v>
      </c>
      <c r="C101" s="3">
        <f t="shared" ref="C101:H101" si="36">SUM(C338:C340)</f>
        <v>893834</v>
      </c>
      <c r="D101" s="3">
        <f t="shared" si="36"/>
        <v>1089705</v>
      </c>
      <c r="E101" s="3">
        <f t="shared" si="36"/>
        <v>592068</v>
      </c>
      <c r="F101" s="3">
        <f t="shared" si="36"/>
        <v>78487</v>
      </c>
      <c r="G101" s="3">
        <f t="shared" si="36"/>
        <v>-240738</v>
      </c>
      <c r="H101" s="3">
        <f t="shared" si="36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5">
      <c r="A102" s="32"/>
      <c r="J102" s="3"/>
      <c r="L102" s="3"/>
      <c r="M102" s="3"/>
      <c r="N102" s="26"/>
    </row>
    <row r="103" spans="1:16" s="57" customFormat="1" x14ac:dyDescent="0.25">
      <c r="A103" s="32" t="s">
        <v>181</v>
      </c>
      <c r="C103" s="3">
        <f t="shared" ref="C103:H103" si="37">SUM(C342:C344)</f>
        <v>992221</v>
      </c>
      <c r="D103" s="3">
        <f t="shared" si="37"/>
        <v>1150764</v>
      </c>
      <c r="E103" s="3">
        <f t="shared" si="37"/>
        <v>747846</v>
      </c>
      <c r="F103" s="3">
        <f t="shared" si="37"/>
        <v>125966</v>
      </c>
      <c r="G103" s="3">
        <f t="shared" si="37"/>
        <v>-149370</v>
      </c>
      <c r="H103" s="3">
        <f t="shared" si="37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5">
      <c r="A104" s="32" t="s">
        <v>182</v>
      </c>
      <c r="C104" s="3">
        <f t="shared" ref="C104:H104" si="38">SUM(C345:C347)</f>
        <v>991553</v>
      </c>
      <c r="D104" s="3">
        <f t="shared" si="38"/>
        <v>1032299</v>
      </c>
      <c r="E104" s="3">
        <f t="shared" si="38"/>
        <v>706791</v>
      </c>
      <c r="F104" s="3">
        <f t="shared" si="38"/>
        <v>110231</v>
      </c>
      <c r="G104" s="3">
        <f t="shared" si="38"/>
        <v>-130193</v>
      </c>
      <c r="H104" s="3">
        <f t="shared" si="38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5">
      <c r="A105" s="32" t="s">
        <v>183</v>
      </c>
      <c r="C105" s="3">
        <f t="shared" ref="C105:H105" si="39">SUM(C348:C350)</f>
        <v>886158</v>
      </c>
      <c r="D105" s="3">
        <f t="shared" si="39"/>
        <v>1251395</v>
      </c>
      <c r="E105" s="3">
        <f t="shared" si="39"/>
        <v>858463</v>
      </c>
      <c r="F105" s="3">
        <f t="shared" si="39"/>
        <v>121901</v>
      </c>
      <c r="G105" s="3">
        <f t="shared" si="39"/>
        <v>-42416</v>
      </c>
      <c r="H105" s="3">
        <f t="shared" si="39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5">
      <c r="A106" s="32" t="s">
        <v>184</v>
      </c>
      <c r="C106" s="3">
        <f t="shared" ref="C106:H106" si="40">SUM(C351:C353)</f>
        <v>998051</v>
      </c>
      <c r="D106" s="3">
        <f t="shared" si="40"/>
        <v>1133504</v>
      </c>
      <c r="E106" s="3">
        <f t="shared" si="40"/>
        <v>749467</v>
      </c>
      <c r="F106" s="3">
        <f t="shared" si="40"/>
        <v>118872</v>
      </c>
      <c r="G106" s="3">
        <f t="shared" si="40"/>
        <v>-182783</v>
      </c>
      <c r="H106" s="3">
        <f t="shared" si="40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5">
      <c r="A108" s="32" t="s">
        <v>193</v>
      </c>
      <c r="C108" s="3">
        <f t="shared" ref="C108:H108" si="41">SUM(C355:C357)</f>
        <v>1011914</v>
      </c>
      <c r="D108" s="3">
        <f t="shared" si="41"/>
        <v>1131509</v>
      </c>
      <c r="E108" s="3">
        <f t="shared" si="41"/>
        <v>746863</v>
      </c>
      <c r="F108" s="3">
        <f t="shared" si="41"/>
        <v>135366</v>
      </c>
      <c r="G108" s="3">
        <f t="shared" si="41"/>
        <v>-193729</v>
      </c>
      <c r="H108" s="3">
        <f t="shared" si="41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5">
      <c r="A109" s="32" t="s">
        <v>194</v>
      </c>
      <c r="C109" s="3">
        <f t="shared" ref="C109:H109" si="42">SUM(C358:C360)</f>
        <v>632122</v>
      </c>
      <c r="D109" s="3">
        <f t="shared" si="42"/>
        <v>1218343</v>
      </c>
      <c r="E109" s="3">
        <f t="shared" si="42"/>
        <v>727016</v>
      </c>
      <c r="F109" s="3">
        <f t="shared" si="42"/>
        <v>115637</v>
      </c>
      <c r="G109" s="3">
        <f t="shared" si="42"/>
        <v>113235</v>
      </c>
      <c r="H109" s="3">
        <f t="shared" si="42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5">
      <c r="A110" s="32" t="s">
        <v>195</v>
      </c>
      <c r="C110" s="3">
        <f>SUM(C361:C363)</f>
        <v>999977</v>
      </c>
      <c r="D110" s="3">
        <f t="shared" ref="D110:L110" si="43">SUM(D361:D363)</f>
        <v>1035694</v>
      </c>
      <c r="E110" s="3">
        <f t="shared" si="43"/>
        <v>897004</v>
      </c>
      <c r="F110" s="3">
        <f t="shared" si="43"/>
        <v>125883</v>
      </c>
      <c r="G110" s="3">
        <f t="shared" si="43"/>
        <v>84143</v>
      </c>
      <c r="H110" s="3">
        <f t="shared" si="43"/>
        <v>1146127</v>
      </c>
      <c r="I110" s="3">
        <f>I363</f>
        <v>2194800</v>
      </c>
      <c r="J110" s="3"/>
      <c r="K110" s="3"/>
      <c r="L110" s="3">
        <f t="shared" si="43"/>
        <v>41109.283236000003</v>
      </c>
      <c r="M110" s="65"/>
      <c r="N110" s="26" t="s">
        <v>191</v>
      </c>
      <c r="P110"/>
    </row>
    <row r="111" spans="1:16" s="57" customFormat="1" x14ac:dyDescent="0.25">
      <c r="A111" s="32" t="s">
        <v>196</v>
      </c>
      <c r="C111" s="3">
        <f>SUM(C364:C366)</f>
        <v>1036564</v>
      </c>
      <c r="D111" s="3">
        <f t="shared" ref="D111:L111" si="44">SUM(D364:D366)</f>
        <v>1135685</v>
      </c>
      <c r="E111" s="3">
        <f t="shared" si="44"/>
        <v>981727</v>
      </c>
      <c r="F111" s="3">
        <f t="shared" si="44"/>
        <v>112649</v>
      </c>
      <c r="G111" s="3">
        <f t="shared" si="44"/>
        <v>19913</v>
      </c>
      <c r="H111" s="3">
        <f t="shared" si="44"/>
        <v>1127239</v>
      </c>
      <c r="I111" s="3">
        <f>I366</f>
        <v>2174887</v>
      </c>
      <c r="J111" s="3"/>
      <c r="K111" s="3"/>
      <c r="L111" s="3">
        <f t="shared" si="44"/>
        <v>40431.808451999997</v>
      </c>
      <c r="M111" s="65"/>
      <c r="N111" s="26" t="s">
        <v>192</v>
      </c>
      <c r="P111"/>
    </row>
    <row r="112" spans="1:16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5">
      <c r="A113" s="32" t="s">
        <v>197</v>
      </c>
      <c r="C113" s="3">
        <f t="shared" ref="C113:H113" si="45">SUM(C368:C370)</f>
        <v>1134376</v>
      </c>
      <c r="D113" s="3">
        <f t="shared" si="45"/>
        <v>769658</v>
      </c>
      <c r="E113" s="3">
        <f t="shared" si="45"/>
        <v>786711</v>
      </c>
      <c r="F113" s="3">
        <f t="shared" si="45"/>
        <v>107205</v>
      </c>
      <c r="G113" s="3">
        <f t="shared" si="45"/>
        <v>116407</v>
      </c>
      <c r="H113" s="3">
        <f t="shared" si="45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5">
      <c r="A114" s="32" t="s">
        <v>198</v>
      </c>
      <c r="C114" s="3">
        <f t="shared" ref="C114:H114" si="46">SUM(C371:C373)</f>
        <v>1108923</v>
      </c>
      <c r="D114" s="3">
        <f t="shared" si="46"/>
        <v>755818</v>
      </c>
      <c r="E114" s="3">
        <f t="shared" si="46"/>
        <v>664365</v>
      </c>
      <c r="F114" s="3">
        <f t="shared" si="46"/>
        <v>100191</v>
      </c>
      <c r="G114" s="3">
        <f t="shared" si="46"/>
        <v>10171</v>
      </c>
      <c r="H114" s="3">
        <f t="shared" si="46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5">
      <c r="A115" s="32" t="s">
        <v>199</v>
      </c>
      <c r="C115" s="3">
        <f>SUM(C374:C376)</f>
        <v>872576</v>
      </c>
      <c r="D115" s="3">
        <f t="shared" ref="D115:L115" si="47">SUM(D374:D376)</f>
        <v>831000</v>
      </c>
      <c r="E115" s="3">
        <f t="shared" si="47"/>
        <v>724914</v>
      </c>
      <c r="F115" s="3">
        <f t="shared" si="47"/>
        <v>102935</v>
      </c>
      <c r="G115" s="3">
        <f t="shared" si="47"/>
        <v>260421</v>
      </c>
      <c r="H115" s="3">
        <f t="shared" si="47"/>
        <v>1135760</v>
      </c>
      <c r="I115" s="3">
        <f>I376</f>
        <v>1787888</v>
      </c>
      <c r="J115" s="3"/>
      <c r="K115" s="3"/>
      <c r="L115" s="3">
        <f t="shared" si="47"/>
        <v>40737.43968000001</v>
      </c>
      <c r="M115" s="65"/>
      <c r="N115" s="26" t="s">
        <v>203</v>
      </c>
      <c r="P115"/>
    </row>
    <row r="116" spans="1:16" s="57" customFormat="1" x14ac:dyDescent="0.25">
      <c r="A116" s="32" t="s">
        <v>200</v>
      </c>
      <c r="C116" s="3">
        <f t="shared" ref="C116:H116" si="48">SUM(C377:C379)</f>
        <v>966073</v>
      </c>
      <c r="D116" s="3">
        <f t="shared" si="48"/>
        <v>951601</v>
      </c>
      <c r="E116" s="3">
        <f t="shared" si="48"/>
        <v>626796</v>
      </c>
      <c r="F116" s="3">
        <f t="shared" si="48"/>
        <v>119006</v>
      </c>
      <c r="G116" s="3">
        <f t="shared" si="48"/>
        <v>-10221</v>
      </c>
      <c r="H116" s="3">
        <f t="shared" si="48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5">
      <c r="A118" s="32" t="s">
        <v>205</v>
      </c>
      <c r="C118" s="3">
        <f t="shared" ref="C118:H118" si="49">SUM(C381:C383)</f>
        <v>1011375</v>
      </c>
      <c r="D118" s="3">
        <f t="shared" si="49"/>
        <v>685836</v>
      </c>
      <c r="E118" s="3">
        <f t="shared" si="49"/>
        <v>555467</v>
      </c>
      <c r="F118" s="3">
        <f t="shared" si="49"/>
        <v>97188</v>
      </c>
      <c r="G118" s="3">
        <f t="shared" si="49"/>
        <v>127469</v>
      </c>
      <c r="H118" s="3">
        <f t="shared" si="49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5">
      <c r="A119" s="32" t="s">
        <v>206</v>
      </c>
      <c r="C119" s="3">
        <f>SUM(C384:C386)</f>
        <v>937032</v>
      </c>
      <c r="D119" s="3">
        <f t="shared" ref="D119:L119" si="50">SUM(D384:D386)</f>
        <v>732432</v>
      </c>
      <c r="E119" s="3">
        <f t="shared" si="50"/>
        <v>535499</v>
      </c>
      <c r="F119" s="3">
        <f t="shared" si="50"/>
        <v>112465</v>
      </c>
      <c r="G119" s="3">
        <f t="shared" si="50"/>
        <v>-21840</v>
      </c>
      <c r="H119" s="3">
        <f t="shared" si="50"/>
        <v>1159962</v>
      </c>
      <c r="I119" s="3">
        <f>I386</f>
        <v>1692480</v>
      </c>
      <c r="J119" s="3"/>
      <c r="K119" s="3"/>
      <c r="L119" s="3">
        <f t="shared" si="50"/>
        <v>41605.517015999998</v>
      </c>
      <c r="M119" s="65"/>
      <c r="N119" s="26" t="s">
        <v>210</v>
      </c>
    </row>
    <row r="120" spans="1:16" s="57" customFormat="1" x14ac:dyDescent="0.25">
      <c r="A120" s="32" t="s">
        <v>207</v>
      </c>
      <c r="C120" s="3">
        <f t="shared" ref="C120:H120" si="51">SUM(C387:C389)</f>
        <v>945884</v>
      </c>
      <c r="D120" s="3">
        <f t="shared" si="51"/>
        <v>735239</v>
      </c>
      <c r="E120" s="3">
        <f t="shared" si="51"/>
        <v>431964</v>
      </c>
      <c r="F120" s="3">
        <f t="shared" si="51"/>
        <v>113818</v>
      </c>
      <c r="G120" s="3">
        <f t="shared" si="51"/>
        <v>-19431</v>
      </c>
      <c r="H120" s="3">
        <f t="shared" si="51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5">
      <c r="A121" s="32" t="s">
        <v>208</v>
      </c>
      <c r="C121" s="3">
        <f t="shared" ref="C121:H121" si="52">SUM(C390:C392)</f>
        <v>1005075</v>
      </c>
      <c r="D121" s="3">
        <f t="shared" si="52"/>
        <v>688812</v>
      </c>
      <c r="E121" s="3">
        <f t="shared" si="52"/>
        <v>501159</v>
      </c>
      <c r="F121" s="3">
        <f t="shared" si="52"/>
        <v>110506</v>
      </c>
      <c r="G121" s="3">
        <f t="shared" si="52"/>
        <v>133622</v>
      </c>
      <c r="H121" s="3">
        <f t="shared" si="52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5">
      <c r="A123" s="32" t="str">
        <f>'Olieforbrug, TJ'!A123</f>
        <v>1. kvartal 2019</v>
      </c>
      <c r="C123" s="3">
        <f t="shared" ref="C123:H123" si="53">SUM(C394:C396)</f>
        <v>1099171</v>
      </c>
      <c r="D123" s="3">
        <f t="shared" si="53"/>
        <v>766916</v>
      </c>
      <c r="E123" s="3">
        <f t="shared" si="53"/>
        <v>613738</v>
      </c>
      <c r="F123" s="3">
        <f t="shared" si="53"/>
        <v>96820</v>
      </c>
      <c r="G123" s="3">
        <f t="shared" si="53"/>
        <v>-77562</v>
      </c>
      <c r="H123" s="3">
        <f t="shared" si="53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5">
      <c r="A124" s="32" t="str">
        <f>'Olieforbrug, TJ'!A124</f>
        <v>2. kvartal 2019</v>
      </c>
      <c r="C124" s="3">
        <f t="shared" ref="C124:H124" si="54">SUM(C397:C399)</f>
        <v>1066310</v>
      </c>
      <c r="D124" s="3">
        <f t="shared" si="54"/>
        <v>895642</v>
      </c>
      <c r="E124" s="3">
        <f t="shared" si="54"/>
        <v>467311</v>
      </c>
      <c r="F124" s="3">
        <f t="shared" si="54"/>
        <v>114294</v>
      </c>
      <c r="G124" s="3">
        <f t="shared" si="54"/>
        <v>-251598</v>
      </c>
      <c r="H124" s="3">
        <f t="shared" si="54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5">
      <c r="A125" s="32" t="str">
        <f>'Olieforbrug, TJ'!A125</f>
        <v>3. kvartal 2019</v>
      </c>
      <c r="C125" s="3">
        <f t="shared" ref="C125:H125" si="55">SUM(C400:C402)</f>
        <v>919065</v>
      </c>
      <c r="D125" s="3">
        <f t="shared" si="55"/>
        <v>778732</v>
      </c>
      <c r="E125" s="3">
        <f t="shared" si="55"/>
        <v>535064</v>
      </c>
      <c r="F125" s="3">
        <f t="shared" si="55"/>
        <v>100966</v>
      </c>
      <c r="G125" s="3">
        <f t="shared" si="55"/>
        <v>85318</v>
      </c>
      <c r="H125" s="3">
        <f t="shared" si="55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5">
      <c r="A126" s="32" t="str">
        <f>'Olieforbrug, TJ'!A126</f>
        <v>4. kvartal 2019</v>
      </c>
      <c r="C126" s="3">
        <f t="shared" ref="C126:H126" si="56">SUM(C403:C405)</f>
        <v>1119143</v>
      </c>
      <c r="D126" s="3">
        <f t="shared" si="56"/>
        <v>882205</v>
      </c>
      <c r="E126" s="3">
        <f t="shared" si="56"/>
        <v>723654</v>
      </c>
      <c r="F126" s="3">
        <f t="shared" si="56"/>
        <v>93112</v>
      </c>
      <c r="G126" s="3">
        <f t="shared" si="56"/>
        <v>-81641</v>
      </c>
      <c r="H126" s="3">
        <f t="shared" si="56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5">
      <c r="A128" s="32" t="str">
        <f>'Olieforbrug, TJ'!A128</f>
        <v>1. kvartal 2020</v>
      </c>
      <c r="C128" s="3">
        <f t="shared" ref="C128:H128" si="57">SUM(C407:C409)</f>
        <v>1102734</v>
      </c>
      <c r="D128" s="3">
        <f t="shared" si="57"/>
        <v>627652</v>
      </c>
      <c r="E128" s="3">
        <f t="shared" si="57"/>
        <v>513289</v>
      </c>
      <c r="F128" s="3">
        <f t="shared" si="57"/>
        <v>106342</v>
      </c>
      <c r="G128" s="3">
        <f t="shared" si="57"/>
        <v>-44441</v>
      </c>
      <c r="H128" s="3">
        <f t="shared" si="57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5">
      <c r="A129" s="32" t="str">
        <f>'Olieforbrug, TJ'!A129</f>
        <v>2. kvartal 2020</v>
      </c>
      <c r="C129" s="3">
        <f t="shared" ref="C129:H129" si="58">SUM(C410:C412)</f>
        <v>1059043</v>
      </c>
      <c r="D129" s="3">
        <f t="shared" si="58"/>
        <v>781257</v>
      </c>
      <c r="E129" s="3">
        <f t="shared" si="58"/>
        <v>422650</v>
      </c>
      <c r="F129" s="3">
        <f t="shared" si="58"/>
        <v>125202</v>
      </c>
      <c r="G129" s="3">
        <f t="shared" si="58"/>
        <v>-277855</v>
      </c>
      <c r="H129" s="3">
        <f t="shared" si="58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5">
      <c r="A130" s="32" t="str">
        <f>'Olieforbrug, TJ'!A130</f>
        <v>3. kvartal 2020</v>
      </c>
      <c r="C130" s="3">
        <f t="shared" ref="C130:H130" si="59">SUM(C413:C415)</f>
        <v>885920</v>
      </c>
      <c r="D130" s="3">
        <f t="shared" si="59"/>
        <v>702177</v>
      </c>
      <c r="E130" s="3">
        <f t="shared" si="59"/>
        <v>459042</v>
      </c>
      <c r="F130" s="3">
        <f t="shared" si="59"/>
        <v>85508</v>
      </c>
      <c r="G130" s="3">
        <f t="shared" si="59"/>
        <v>30393</v>
      </c>
      <c r="H130" s="3">
        <f t="shared" si="59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5">
      <c r="A131" s="32" t="str">
        <f>'Olieforbrug, TJ'!A131</f>
        <v>4. kvartal 2020</v>
      </c>
      <c r="C131" s="3">
        <f t="shared" ref="C131:H131" si="60">SUM(C416:C418)</f>
        <v>1000182</v>
      </c>
      <c r="D131" s="3">
        <f t="shared" si="60"/>
        <v>681585</v>
      </c>
      <c r="E131" s="3">
        <f t="shared" si="60"/>
        <v>641781</v>
      </c>
      <c r="F131" s="3">
        <f t="shared" si="60"/>
        <v>84951</v>
      </c>
      <c r="G131" s="3">
        <f t="shared" si="60"/>
        <v>13205</v>
      </c>
      <c r="H131" s="3">
        <f t="shared" si="60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5">
      <c r="A133" s="32" t="str">
        <f>'Olieforbrug, TJ'!A133</f>
        <v>1. kvartal 2021</v>
      </c>
      <c r="C133" s="3">
        <f t="shared" ref="C133:H133" si="61">SUM(C420:C422)</f>
        <v>1085912</v>
      </c>
      <c r="D133" s="3">
        <f t="shared" si="61"/>
        <v>455326</v>
      </c>
      <c r="E133" s="3">
        <f t="shared" si="61"/>
        <v>434549</v>
      </c>
      <c r="F133" s="3">
        <f t="shared" si="61"/>
        <v>101930</v>
      </c>
      <c r="G133" s="3">
        <f t="shared" si="61"/>
        <v>8163</v>
      </c>
      <c r="H133" s="3">
        <f t="shared" si="61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5">
      <c r="A134" s="32" t="str">
        <f>'Olieforbrug, TJ'!A134</f>
        <v>2. kvartal 2021</v>
      </c>
      <c r="C134" s="3">
        <f t="shared" ref="C134:H134" si="62">SUM(C423:C425)</f>
        <v>1087975</v>
      </c>
      <c r="D134" s="3">
        <f t="shared" si="62"/>
        <v>525886</v>
      </c>
      <c r="E134" s="3">
        <f t="shared" si="62"/>
        <v>543622</v>
      </c>
      <c r="F134" s="3">
        <f t="shared" si="62"/>
        <v>112156</v>
      </c>
      <c r="G134" s="3">
        <f t="shared" si="62"/>
        <v>97396</v>
      </c>
      <c r="H134" s="3">
        <f t="shared" si="62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5">
      <c r="A135" s="32" t="str">
        <f>'Olieforbrug, TJ'!A135</f>
        <v>3. kvartal 2021</v>
      </c>
      <c r="C135" s="3">
        <f t="shared" ref="C135:H135" si="63">SUM(C426:C428)</f>
        <v>1005542</v>
      </c>
      <c r="D135" s="3">
        <f t="shared" si="63"/>
        <v>647104</v>
      </c>
      <c r="E135" s="3">
        <f t="shared" si="63"/>
        <v>547676</v>
      </c>
      <c r="F135" s="3">
        <f t="shared" si="63"/>
        <v>111926</v>
      </c>
      <c r="G135" s="3">
        <f t="shared" si="63"/>
        <v>102488</v>
      </c>
      <c r="H135" s="3">
        <f t="shared" si="63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5">
      <c r="A136" s="32" t="str">
        <f>'Olieforbrug, TJ'!A136</f>
        <v>4. kvartal 2021</v>
      </c>
      <c r="C136" s="3">
        <f t="shared" ref="C136:H136" si="64">SUM(C429:C431)</f>
        <v>1074275</v>
      </c>
      <c r="D136" s="3">
        <f t="shared" si="64"/>
        <v>651633</v>
      </c>
      <c r="E136" s="3">
        <f t="shared" si="64"/>
        <v>589404</v>
      </c>
      <c r="F136" s="3">
        <f t="shared" si="64"/>
        <v>100750</v>
      </c>
      <c r="G136" s="3">
        <f t="shared" si="64"/>
        <v>83010</v>
      </c>
      <c r="H136" s="3">
        <f t="shared" si="64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5">
      <c r="A138" s="32" t="str">
        <f>'Olieforbrug, TJ'!A138</f>
        <v>1. kvartal 2022</v>
      </c>
      <c r="C138" s="3">
        <f>SUM(C433:C435)</f>
        <v>920043</v>
      </c>
      <c r="D138" s="3">
        <f t="shared" ref="D138:H138" si="65">SUM(D433:D435)</f>
        <v>445255</v>
      </c>
      <c r="E138" s="3">
        <f t="shared" si="65"/>
        <v>409361</v>
      </c>
      <c r="F138" s="3">
        <f t="shared" si="65"/>
        <v>91008</v>
      </c>
      <c r="G138" s="3">
        <f t="shared" si="65"/>
        <v>228502</v>
      </c>
      <c r="H138" s="3">
        <f t="shared" si="65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5">
      <c r="A139" s="32" t="str">
        <f>'Olieforbrug, TJ'!A139</f>
        <v>2. kvartal 2022</v>
      </c>
      <c r="C139" s="3">
        <f>SUM(C436:C438)</f>
        <v>1132898</v>
      </c>
      <c r="D139" s="3">
        <f t="shared" ref="D139:L139" si="66">SUM(D436:D438)</f>
        <v>675666</v>
      </c>
      <c r="E139" s="3">
        <f t="shared" si="66"/>
        <v>604331</v>
      </c>
      <c r="F139" s="3">
        <f t="shared" si="66"/>
        <v>106082</v>
      </c>
      <c r="G139" s="3">
        <f t="shared" si="66"/>
        <v>-36355</v>
      </c>
      <c r="H139" s="3">
        <f t="shared" ref="H139" si="67">SUM(H436:H438)</f>
        <v>1077624</v>
      </c>
      <c r="I139" s="3">
        <f>SUM(I438)</f>
        <v>1699266</v>
      </c>
      <c r="J139" s="3"/>
      <c r="K139" s="3"/>
      <c r="L139" s="3">
        <f t="shared" si="66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5">
      <c r="A140" s="32" t="str">
        <f>'Olieforbrug, TJ'!A140</f>
        <v>3. kvartal 2022</v>
      </c>
      <c r="C140" s="3">
        <f>SUM(C439:C441)</f>
        <v>1068299</v>
      </c>
      <c r="D140" s="3">
        <f t="shared" ref="D140:L140" si="68">SUM(D439:D441)</f>
        <v>590695</v>
      </c>
      <c r="E140" s="3">
        <f t="shared" si="68"/>
        <v>523946</v>
      </c>
      <c r="F140" s="3">
        <f t="shared" si="68"/>
        <v>107788</v>
      </c>
      <c r="G140" s="3">
        <f t="shared" si="68"/>
        <v>54482</v>
      </c>
      <c r="H140" s="3">
        <f t="shared" si="68"/>
        <v>1109305</v>
      </c>
      <c r="I140" s="3">
        <f>SUM(I441)</f>
        <v>1644784</v>
      </c>
      <c r="J140" s="3"/>
      <c r="K140" s="3"/>
      <c r="L140" s="3">
        <f t="shared" si="68"/>
        <v>39788.551740000003</v>
      </c>
      <c r="M140" s="65"/>
      <c r="N140" s="26" t="str">
        <f>'Olieforbrug, TJ'!M140</f>
        <v>3. Quarter 2022</v>
      </c>
    </row>
    <row r="141" spans="1:15" s="57" customFormat="1" x14ac:dyDescent="0.25">
      <c r="A141" s="32" t="str">
        <f>'Olieforbrug, TJ'!A141</f>
        <v>4. kvartal 2022</v>
      </c>
      <c r="C141" s="3">
        <f t="shared" ref="C141:H141" si="69">SUM(C442:C444)</f>
        <v>859523</v>
      </c>
      <c r="D141" s="3">
        <f t="shared" si="69"/>
        <v>611294</v>
      </c>
      <c r="E141" s="3">
        <f t="shared" si="69"/>
        <v>312644</v>
      </c>
      <c r="F141" s="3">
        <f t="shared" si="69"/>
        <v>85746</v>
      </c>
      <c r="G141" s="3">
        <f t="shared" si="69"/>
        <v>26472</v>
      </c>
      <c r="H141" s="3">
        <f t="shared" si="69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5">
      <c r="A142" s="32"/>
      <c r="J142" s="3"/>
      <c r="K142" s="3"/>
      <c r="L142" s="3"/>
      <c r="M142" s="3"/>
      <c r="N142" s="26"/>
    </row>
    <row r="143" spans="1:15" s="57" customFormat="1" x14ac:dyDescent="0.25">
      <c r="A143" s="32" t="str">
        <f>'Olieforbrug, TJ'!A143</f>
        <v>1. kvartal 2023</v>
      </c>
      <c r="C143" s="3">
        <f>SUM(C446:C448)</f>
        <v>950101</v>
      </c>
      <c r="D143" s="3">
        <f t="shared" ref="D143:L143" si="70">SUM(D446:D448)</f>
        <v>774558</v>
      </c>
      <c r="E143" s="3">
        <f t="shared" si="70"/>
        <v>533294</v>
      </c>
      <c r="F143" s="3">
        <f t="shared" si="70"/>
        <v>95055</v>
      </c>
      <c r="G143" s="3">
        <f t="shared" si="70"/>
        <v>-75497</v>
      </c>
      <c r="H143" s="3">
        <f t="shared" si="70"/>
        <v>1029686</v>
      </c>
      <c r="I143" s="3">
        <f>SUM(I448)</f>
        <v>1693809</v>
      </c>
      <c r="J143" s="3"/>
      <c r="K143" s="3"/>
      <c r="L143" s="3">
        <f t="shared" si="70"/>
        <v>36932.777448000001</v>
      </c>
      <c r="M143" s="65"/>
      <c r="N143" s="26" t="str">
        <f>'Olieforbrug, TJ'!M143</f>
        <v>1. Quarter 2023</v>
      </c>
    </row>
    <row r="144" spans="1:15" s="57" customFormat="1" x14ac:dyDescent="0.25">
      <c r="A144" s="32" t="str">
        <f>'Olieforbrug, TJ'!A144</f>
        <v>2. kvartal 2023</v>
      </c>
      <c r="C144" s="3">
        <f t="shared" ref="C144:H144" si="71">SUM(C449:C451)</f>
        <v>1024652</v>
      </c>
      <c r="D144" s="3">
        <f t="shared" si="71"/>
        <v>680546</v>
      </c>
      <c r="E144" s="3">
        <f t="shared" si="71"/>
        <v>570107</v>
      </c>
      <c r="F144" s="3">
        <f t="shared" si="71"/>
        <v>90028</v>
      </c>
      <c r="G144" s="3">
        <f t="shared" si="71"/>
        <v>-244</v>
      </c>
      <c r="H144" s="3">
        <f t="shared" si="71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1001887</v>
      </c>
      <c r="D145" s="3">
        <f t="shared" ref="D145:L145" si="72">SUM(D452:D454)</f>
        <v>564304</v>
      </c>
      <c r="E145" s="3">
        <f t="shared" si="72"/>
        <v>536836</v>
      </c>
      <c r="F145" s="3">
        <f t="shared" si="72"/>
        <v>74183</v>
      </c>
      <c r="G145" s="3">
        <f t="shared" si="72"/>
        <v>77105</v>
      </c>
      <c r="H145" s="3">
        <f t="shared" si="72"/>
        <v>1119104</v>
      </c>
      <c r="I145" s="3">
        <f>SUM(I454)</f>
        <v>1616948</v>
      </c>
      <c r="J145" s="3"/>
      <c r="K145" s="3"/>
      <c r="L145" s="3">
        <f t="shared" si="72"/>
        <v>40140.022272000002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1074357</v>
      </c>
      <c r="D146" s="3">
        <f t="shared" ref="D146:L146" si="73">SUM(D455:D457)</f>
        <v>439959</v>
      </c>
      <c r="E146" s="3">
        <f t="shared" si="73"/>
        <v>384952</v>
      </c>
      <c r="F146" s="3">
        <f t="shared" si="73"/>
        <v>76709</v>
      </c>
      <c r="G146" s="3">
        <f t="shared" si="73"/>
        <v>-18161</v>
      </c>
      <c r="H146" s="3">
        <f t="shared" si="73"/>
        <v>1031773</v>
      </c>
      <c r="I146" s="3">
        <f>SUM(I457)</f>
        <v>1635109</v>
      </c>
      <c r="J146" s="3"/>
      <c r="K146" s="3"/>
      <c r="L146" s="3">
        <f t="shared" si="73"/>
        <v>37007.633964000001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4">SUM(C459:C461)</f>
        <v>996238</v>
      </c>
      <c r="D148" s="3">
        <f t="shared" si="74"/>
        <v>413387</v>
      </c>
      <c r="E148" s="3">
        <f t="shared" si="74"/>
        <v>314796</v>
      </c>
      <c r="F148" s="3">
        <f t="shared" si="74"/>
        <v>158691</v>
      </c>
      <c r="G148" s="3">
        <f t="shared" si="74"/>
        <v>18212</v>
      </c>
      <c r="H148" s="3">
        <f t="shared" si="74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934041</v>
      </c>
      <c r="D149" s="3">
        <f t="shared" ref="D149:L149" si="75">SUM(D462:D464)</f>
        <v>835382</v>
      </c>
      <c r="E149" s="3">
        <f t="shared" si="75"/>
        <v>454578</v>
      </c>
      <c r="F149" s="3">
        <f t="shared" si="75"/>
        <v>187402</v>
      </c>
      <c r="G149" s="3">
        <f t="shared" si="75"/>
        <v>-119016</v>
      </c>
      <c r="H149" s="3">
        <f t="shared" si="75"/>
        <v>982477</v>
      </c>
      <c r="I149" s="3">
        <f>SUM(I464)</f>
        <v>1735913</v>
      </c>
      <c r="J149" s="3"/>
      <c r="K149" s="3"/>
      <c r="L149" s="3">
        <f t="shared" si="75"/>
        <v>35239.485035999998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895527</v>
      </c>
      <c r="D150" s="3">
        <f t="shared" ref="D150:L150" si="76">SUM(D465:D467)</f>
        <v>797093</v>
      </c>
      <c r="E150" s="3">
        <f t="shared" si="76"/>
        <v>534466</v>
      </c>
      <c r="F150" s="3">
        <f t="shared" si="76"/>
        <v>201380</v>
      </c>
      <c r="G150" s="3">
        <f t="shared" si="76"/>
        <v>421</v>
      </c>
      <c r="H150" s="3">
        <f t="shared" si="76"/>
        <v>978280</v>
      </c>
      <c r="I150" s="3">
        <f>I467</f>
        <v>1735492</v>
      </c>
      <c r="J150" s="3"/>
      <c r="K150" s="3"/>
      <c r="L150" s="3">
        <f t="shared" si="76"/>
        <v>35088.947039999999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1080242</v>
      </c>
      <c r="D151" s="3">
        <f t="shared" ref="D151:H151" si="77">SUM(D468:D470)</f>
        <v>731264</v>
      </c>
      <c r="E151" s="3">
        <f t="shared" si="77"/>
        <v>623767</v>
      </c>
      <c r="F151" s="3">
        <f t="shared" si="77"/>
        <v>179692</v>
      </c>
      <c r="G151" s="3">
        <f t="shared" si="77"/>
        <v>-112952</v>
      </c>
      <c r="H151" s="3">
        <f t="shared" si="77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845210</v>
      </c>
      <c r="D153" s="3">
        <f t="shared" ref="D153:L153" si="78">SUM(D472:D474)</f>
        <v>526833</v>
      </c>
      <c r="E153" s="3">
        <f t="shared" si="78"/>
        <v>667844</v>
      </c>
      <c r="F153" s="3">
        <f t="shared" si="78"/>
        <v>169899</v>
      </c>
      <c r="G153" s="3">
        <f t="shared" si="78"/>
        <v>336299</v>
      </c>
      <c r="H153" s="3">
        <f t="shared" si="78"/>
        <v>891014</v>
      </c>
      <c r="I153" s="3">
        <f>I474</f>
        <v>1512145</v>
      </c>
      <c r="J153" s="3"/>
      <c r="K153" s="3"/>
      <c r="L153" s="3">
        <f t="shared" si="78"/>
        <v>31958.890152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1121697</v>
      </c>
      <c r="D154" s="3">
        <f t="shared" ref="D154:H154" si="79">SUM(D475:D477)</f>
        <v>619989</v>
      </c>
      <c r="E154" s="3">
        <f t="shared" si="79"/>
        <v>615471</v>
      </c>
      <c r="F154" s="3">
        <f t="shared" si="79"/>
        <v>181180</v>
      </c>
      <c r="G154" s="3">
        <f t="shared" si="79"/>
        <v>-75427</v>
      </c>
      <c r="H154" s="3">
        <f t="shared" si="79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1124932</v>
      </c>
      <c r="D155" s="3">
        <f t="shared" ref="D155:L155" si="80">SUM(D478:D480)</f>
        <v>729044</v>
      </c>
      <c r="E155" s="3">
        <f t="shared" si="80"/>
        <v>698582</v>
      </c>
      <c r="F155" s="3">
        <f t="shared" si="80"/>
        <v>178243</v>
      </c>
      <c r="G155" s="3">
        <f t="shared" si="80"/>
        <v>-102511</v>
      </c>
      <c r="H155" s="3">
        <f t="shared" si="80"/>
        <v>883437</v>
      </c>
      <c r="I155" s="3">
        <f>I480</f>
        <v>1690083</v>
      </c>
      <c r="J155" s="3"/>
      <c r="K155" s="3"/>
      <c r="L155" s="3">
        <f t="shared" si="80"/>
        <v>31687.118316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1170009</v>
      </c>
      <c r="D156" s="3">
        <f t="shared" ref="D156:H156" si="81">SUM(D481:D483)</f>
        <v>759457</v>
      </c>
      <c r="E156" s="3">
        <f t="shared" si="81"/>
        <v>933299</v>
      </c>
      <c r="F156" s="3">
        <f t="shared" si="81"/>
        <v>154457</v>
      </c>
      <c r="G156" s="3">
        <f t="shared" si="81"/>
        <v>944</v>
      </c>
      <c r="H156" s="3">
        <f t="shared" si="81"/>
        <v>851825</v>
      </c>
      <c r="I156" s="3">
        <f>I483</f>
        <v>1689139</v>
      </c>
      <c r="J156"/>
      <c r="K156"/>
      <c r="L156" s="3">
        <f t="shared" ref="L156" si="82">SUM(L481:L483)</f>
        <v>30553.259100000003</v>
      </c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5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5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5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5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5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5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5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5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5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5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5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5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5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8" thickBot="1" x14ac:dyDescent="0.3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5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5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5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5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5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5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5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5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5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5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8" thickBot="1" x14ac:dyDescent="0.3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5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5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5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5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5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5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5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5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5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5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8" thickBot="1" x14ac:dyDescent="0.3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5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5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5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5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5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5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5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5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5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5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8" thickBot="1" x14ac:dyDescent="0.3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5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5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5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5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8" thickBot="1" x14ac:dyDescent="0.3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5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5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5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5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5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5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5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5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5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5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8" thickBot="1" x14ac:dyDescent="0.3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5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5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5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5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5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5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5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5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5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5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8" thickBot="1" x14ac:dyDescent="0.3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5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5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5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5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5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5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5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5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5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5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8" thickBot="1" x14ac:dyDescent="0.3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5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5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5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5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5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5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5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5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5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5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8" thickBot="1" x14ac:dyDescent="0.3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83">H342*0.84*42.7/1000</f>
        <v>15276.324672000001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4">I342-I343</f>
        <v>2458</v>
      </c>
      <c r="H343" s="67">
        <v>341977</v>
      </c>
      <c r="I343" s="67">
        <v>1795782</v>
      </c>
      <c r="J343" s="15"/>
      <c r="K343" s="15"/>
      <c r="L343" s="14">
        <f t="shared" si="83"/>
        <v>12266.031036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4"/>
        <v>-47275</v>
      </c>
      <c r="H344" s="67">
        <v>392461</v>
      </c>
      <c r="I344" s="67">
        <v>1843057</v>
      </c>
      <c r="J344" s="15"/>
      <c r="K344" s="15"/>
      <c r="L344" s="14">
        <f t="shared" si="83"/>
        <v>14076.791148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4"/>
        <v>-1188</v>
      </c>
      <c r="H345" s="67">
        <v>368577</v>
      </c>
      <c r="I345" s="67">
        <v>1844245</v>
      </c>
      <c r="L345" s="14">
        <f t="shared" si="83"/>
        <v>13220.119836000002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4"/>
        <v>-133160</v>
      </c>
      <c r="H346" s="67">
        <v>348547</v>
      </c>
      <c r="I346" s="67">
        <v>1977405</v>
      </c>
      <c r="L346" s="14">
        <f t="shared" si="83"/>
        <v>12501.683795999999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4"/>
        <v>4155</v>
      </c>
      <c r="H347" s="67">
        <v>361546</v>
      </c>
      <c r="I347" s="67">
        <v>1973250</v>
      </c>
      <c r="L347" s="14">
        <f t="shared" si="83"/>
        <v>12967.931928000002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4"/>
        <v>48705</v>
      </c>
      <c r="H348" s="67">
        <v>343314</v>
      </c>
      <c r="I348" s="67">
        <v>1924545</v>
      </c>
      <c r="L348" s="14">
        <f t="shared" si="83"/>
        <v>12313.986552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83"/>
        <v>14136.798312000001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83"/>
        <v>14133.857136000001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83"/>
        <v>13844.151300000001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83"/>
        <v>12799.029516000001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83"/>
        <v>12661.081188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5">H368*0.84*42.7/1000</f>
        <v>13240.205916000001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6">I368-I369</f>
        <v>-589</v>
      </c>
      <c r="H369" s="16">
        <v>345077</v>
      </c>
      <c r="I369" s="16">
        <v>2218016</v>
      </c>
      <c r="J369" s="15"/>
      <c r="K369" s="15"/>
      <c r="L369" s="14">
        <f t="shared" si="85"/>
        <v>12377.221836000001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6"/>
        <v>159536</v>
      </c>
      <c r="H370" s="16">
        <v>419287</v>
      </c>
      <c r="I370" s="16">
        <v>2058480</v>
      </c>
      <c r="J370" s="15"/>
      <c r="K370" s="15"/>
      <c r="L370" s="14">
        <f t="shared" si="85"/>
        <v>15038.986115999998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6"/>
        <v>53313</v>
      </c>
      <c r="H371" s="16">
        <v>360315</v>
      </c>
      <c r="I371" s="16">
        <v>2005167</v>
      </c>
      <c r="J371" s="15"/>
      <c r="K371" s="15"/>
      <c r="L371" s="14">
        <f t="shared" si="85"/>
        <v>12923.778420000001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6"/>
        <v>-75897</v>
      </c>
      <c r="H372" s="16">
        <v>397754</v>
      </c>
      <c r="I372" s="16">
        <v>2081064</v>
      </c>
      <c r="J372" s="15"/>
      <c r="K372" s="15"/>
      <c r="L372" s="14">
        <f t="shared" si="85"/>
        <v>14266.640472000001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6"/>
        <v>32755</v>
      </c>
      <c r="H373" s="16">
        <v>375177</v>
      </c>
      <c r="I373" s="16">
        <v>2048309</v>
      </c>
      <c r="J373" s="15"/>
      <c r="K373" s="15"/>
      <c r="L373" s="14">
        <f t="shared" si="85"/>
        <v>13456.848636000001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6"/>
        <v>-5475</v>
      </c>
      <c r="H374" s="16">
        <v>365662</v>
      </c>
      <c r="I374" s="16">
        <v>2053784</v>
      </c>
      <c r="J374" s="15"/>
      <c r="K374" s="15"/>
      <c r="L374" s="14">
        <f t="shared" si="85"/>
        <v>13115.564616000001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5"/>
        <v>13453.943328000001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5"/>
        <v>14167.931736000002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5"/>
        <v>14040.528600000001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5"/>
        <v>14488.986204000001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5"/>
        <v>13251.073920000001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7">H381*0.84*42.7/1000</f>
        <v>13259.215956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8">I381-I382</f>
        <v>42050</v>
      </c>
      <c r="H382" s="16">
        <v>381516</v>
      </c>
      <c r="I382" s="16">
        <v>1688225</v>
      </c>
      <c r="J382" s="15"/>
      <c r="K382" s="15"/>
      <c r="L382" s="14">
        <f t="shared" si="87"/>
        <v>13684.215888000001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8"/>
        <v>17585</v>
      </c>
      <c r="H383" s="16">
        <v>426465</v>
      </c>
      <c r="I383" s="16">
        <v>1670640</v>
      </c>
      <c r="J383" s="15"/>
      <c r="K383" s="15"/>
      <c r="L383" s="14">
        <f t="shared" si="87"/>
        <v>15296.446619999999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8"/>
        <v>49771</v>
      </c>
      <c r="H384" s="16">
        <v>400924</v>
      </c>
      <c r="I384" s="16">
        <v>1620869</v>
      </c>
      <c r="J384" s="15"/>
      <c r="K384" s="15"/>
      <c r="L384" s="14">
        <f t="shared" si="87"/>
        <v>14380.342032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8"/>
        <v>0</v>
      </c>
      <c r="H385" s="16">
        <v>400924</v>
      </c>
      <c r="I385" s="16">
        <v>1620869</v>
      </c>
      <c r="J385" s="15"/>
      <c r="K385" s="15"/>
      <c r="L385" s="14">
        <f t="shared" si="87"/>
        <v>14380.342032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8"/>
        <v>-71611</v>
      </c>
      <c r="H386" s="16">
        <v>358114</v>
      </c>
      <c r="I386" s="16">
        <v>1692480</v>
      </c>
      <c r="J386" s="15"/>
      <c r="K386" s="15"/>
      <c r="L386" s="14">
        <f t="shared" si="87"/>
        <v>12844.832952000001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8"/>
        <v>-20907</v>
      </c>
      <c r="H387" s="16">
        <v>362811</v>
      </c>
      <c r="I387" s="16">
        <v>1713387</v>
      </c>
      <c r="J387" s="15"/>
      <c r="K387" s="15"/>
      <c r="L387" s="14">
        <f t="shared" si="87"/>
        <v>13013.304948000001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8"/>
        <v>10429</v>
      </c>
      <c r="H388" s="16">
        <v>396189</v>
      </c>
      <c r="I388" s="16">
        <v>1702958</v>
      </c>
      <c r="J388" s="15"/>
      <c r="K388" s="15"/>
      <c r="L388" s="14">
        <f t="shared" si="87"/>
        <v>14210.507052000001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8"/>
        <v>-8953</v>
      </c>
      <c r="H389" s="16">
        <v>371514</v>
      </c>
      <c r="I389" s="16">
        <v>1711911</v>
      </c>
      <c r="J389" s="15"/>
      <c r="K389" s="15"/>
      <c r="L389" s="14">
        <f t="shared" si="87"/>
        <v>13325.464152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8"/>
        <v>88533</v>
      </c>
      <c r="H390" s="16">
        <v>433158</v>
      </c>
      <c r="I390" s="16">
        <v>1623378</v>
      </c>
      <c r="J390" s="15"/>
      <c r="K390" s="15"/>
      <c r="L390" s="14">
        <f t="shared" si="87"/>
        <v>15536.511144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8"/>
        <v>77731</v>
      </c>
      <c r="H391" s="16">
        <v>416270</v>
      </c>
      <c r="I391" s="16">
        <v>1545647</v>
      </c>
      <c r="J391" s="15"/>
      <c r="K391" s="15"/>
      <c r="L391" s="14">
        <f t="shared" si="87"/>
        <v>14930.772360000001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8"/>
        <v>-32642</v>
      </c>
      <c r="H392" s="42">
        <v>366592</v>
      </c>
      <c r="I392" s="42">
        <v>1578289</v>
      </c>
      <c r="J392" s="2"/>
      <c r="K392" s="2"/>
      <c r="L392" s="54">
        <f t="shared" si="87"/>
        <v>13148.921855999999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9">H394*0.84*42.7/1000</f>
        <v>13919.294760000001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90">I394-I395</f>
        <v>59498</v>
      </c>
      <c r="H395" s="16">
        <v>340822</v>
      </c>
      <c r="I395" s="16">
        <v>1613354</v>
      </c>
      <c r="J395" s="15"/>
      <c r="K395" s="15"/>
      <c r="L395" s="14">
        <f t="shared" si="89"/>
        <v>12224.603496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90"/>
        <v>-42497</v>
      </c>
      <c r="H396" s="16">
        <v>380308</v>
      </c>
      <c r="I396" s="16">
        <v>1655851</v>
      </c>
      <c r="J396" s="15"/>
      <c r="K396" s="15"/>
      <c r="L396" s="14">
        <f t="shared" si="89"/>
        <v>13640.887344000001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90"/>
        <v>-26772</v>
      </c>
      <c r="H397" s="16">
        <v>424326</v>
      </c>
      <c r="I397" s="16">
        <v>1682623</v>
      </c>
      <c r="J397" s="15"/>
      <c r="K397" s="15"/>
      <c r="L397" s="14">
        <f t="shared" si="89"/>
        <v>15219.724968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90"/>
        <v>-91951</v>
      </c>
      <c r="H398" s="16">
        <v>490465</v>
      </c>
      <c r="I398" s="16">
        <v>1774574</v>
      </c>
      <c r="J398" s="15"/>
      <c r="K398" s="15"/>
      <c r="L398" s="14">
        <f t="shared" si="89"/>
        <v>17591.998620000002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90"/>
        <v>-132875</v>
      </c>
      <c r="H399" s="16">
        <v>435644</v>
      </c>
      <c r="I399" s="16">
        <v>1907449</v>
      </c>
      <c r="J399" s="15"/>
      <c r="K399" s="15"/>
      <c r="L399" s="14">
        <f t="shared" si="89"/>
        <v>15625.678991999999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90"/>
        <v>-13835</v>
      </c>
      <c r="H400" s="16">
        <v>362407</v>
      </c>
      <c r="I400" s="16">
        <v>1921284</v>
      </c>
      <c r="J400" s="15"/>
      <c r="K400" s="15"/>
      <c r="L400" s="14">
        <f t="shared" si="89"/>
        <v>12998.814276000001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9"/>
        <v>14647.41516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9"/>
        <v>13927.185720000001</v>
      </c>
      <c r="N402" s="23" t="str">
        <f>'Olieforbrug, TJ'!M402</f>
        <v>September</v>
      </c>
    </row>
    <row r="403" spans="1:14" ht="11.25" customHeight="1" x14ac:dyDescent="0.25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9"/>
        <v>14669.760924</v>
      </c>
      <c r="N403" s="23" t="str">
        <f>'Olieforbrug, TJ'!M403</f>
        <v>October</v>
      </c>
    </row>
    <row r="404" spans="1:14" ht="11.25" customHeight="1" x14ac:dyDescent="0.25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9"/>
        <v>13813.304820000001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9"/>
        <v>12579.840167999999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91">H407*0.84*42.7/1000</f>
        <v>12804.302112000001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92">I407-I408</f>
        <v>-49110</v>
      </c>
      <c r="H408" s="16">
        <v>335579</v>
      </c>
      <c r="I408" s="16">
        <v>1941542</v>
      </c>
      <c r="J408" s="15"/>
      <c r="K408" s="15"/>
      <c r="L408" s="14">
        <f t="shared" si="91"/>
        <v>12036.547572000001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92"/>
        <v>-6671</v>
      </c>
      <c r="H409" s="16">
        <v>370693</v>
      </c>
      <c r="I409" s="16">
        <v>1948213</v>
      </c>
      <c r="J409" s="15"/>
      <c r="K409" s="15"/>
      <c r="L409" s="14">
        <f t="shared" si="91"/>
        <v>13296.016524000001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92"/>
        <v>-3997</v>
      </c>
      <c r="H410" s="16">
        <v>359387</v>
      </c>
      <c r="I410" s="16">
        <v>1952210</v>
      </c>
      <c r="J410" s="15"/>
      <c r="K410" s="15"/>
      <c r="L410" s="14">
        <f t="shared" si="91"/>
        <v>12890.492916000001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92"/>
        <v>-169905</v>
      </c>
      <c r="H411" s="16">
        <v>330570</v>
      </c>
      <c r="I411" s="16">
        <v>2122115</v>
      </c>
      <c r="J411" s="15"/>
      <c r="K411" s="15"/>
      <c r="L411" s="14">
        <f t="shared" si="91"/>
        <v>11856.884759999999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92"/>
        <v>-103953</v>
      </c>
      <c r="H412" s="16">
        <v>338414</v>
      </c>
      <c r="I412" s="16">
        <v>2226068</v>
      </c>
      <c r="J412" s="15"/>
      <c r="K412" s="15"/>
      <c r="L412" s="14">
        <f t="shared" si="91"/>
        <v>12138.233352000001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92"/>
        <v>12691</v>
      </c>
      <c r="H413" s="16">
        <v>337502</v>
      </c>
      <c r="I413" s="16">
        <v>2213377</v>
      </c>
      <c r="J413" s="15"/>
      <c r="K413" s="15"/>
      <c r="L413" s="14">
        <f t="shared" si="91"/>
        <v>12105.521736000001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91"/>
        <v>13969.868640000001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91"/>
        <v>13476.647772</v>
      </c>
      <c r="N415" s="23" t="str">
        <f>'Olieforbrug, TJ'!M415</f>
        <v>September</v>
      </c>
    </row>
    <row r="416" spans="1:14" ht="14.1" customHeight="1" x14ac:dyDescent="0.25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91"/>
        <v>13311.009348000001</v>
      </c>
      <c r="N416" s="23" t="str">
        <f>'Olieforbrug, TJ'!M416</f>
        <v>October</v>
      </c>
    </row>
    <row r="417" spans="1:14" ht="14.1" customHeight="1" x14ac:dyDescent="0.25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91"/>
        <v>12143.685288000001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91"/>
        <v>12525.536016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93">H420*0.84*42.7/1000</f>
        <v>11153.620884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4">I420-I421</f>
        <v>-14449</v>
      </c>
      <c r="H421" s="16">
        <v>325788</v>
      </c>
      <c r="I421" s="16">
        <v>2254957</v>
      </c>
      <c r="J421" s="15"/>
      <c r="K421" s="15"/>
      <c r="L421" s="14">
        <f t="shared" si="93"/>
        <v>11685.363984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4"/>
        <v>80650</v>
      </c>
      <c r="H422" s="16">
        <v>400332</v>
      </c>
      <c r="I422" s="16">
        <v>2174307</v>
      </c>
      <c r="J422" s="15"/>
      <c r="K422" s="15"/>
      <c r="L422" s="14">
        <f t="shared" si="93"/>
        <v>14359.108176000002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4"/>
        <v>-7401</v>
      </c>
      <c r="H423" s="16">
        <v>363106</v>
      </c>
      <c r="I423" s="16">
        <v>2181708</v>
      </c>
      <c r="J423" s="15"/>
      <c r="K423" s="15"/>
      <c r="L423" s="14">
        <f t="shared" si="93"/>
        <v>13023.886007999999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4"/>
        <v>42874</v>
      </c>
      <c r="H424" s="16">
        <v>347691</v>
      </c>
      <c r="I424" s="16">
        <v>2138834</v>
      </c>
      <c r="J424" s="15"/>
      <c r="K424" s="15"/>
      <c r="L424" s="14">
        <f t="shared" si="93"/>
        <v>12470.980788000001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4"/>
        <v>61923</v>
      </c>
      <c r="H425" s="16">
        <v>370851</v>
      </c>
      <c r="I425" s="16">
        <v>2076911</v>
      </c>
      <c r="J425" s="15"/>
      <c r="K425" s="15"/>
      <c r="L425" s="14">
        <f t="shared" si="93"/>
        <v>13301.683668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4"/>
        <v>49209</v>
      </c>
      <c r="H426" s="16">
        <v>344046</v>
      </c>
      <c r="I426" s="16">
        <v>2027702</v>
      </c>
      <c r="J426" s="15"/>
      <c r="K426" s="15"/>
      <c r="L426" s="14">
        <f t="shared" si="93"/>
        <v>12340.241928000001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93"/>
        <v>14394.617495999999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93"/>
        <v>13974.423876000003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93"/>
        <v>13146.698040000001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93"/>
        <v>13816.317732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93"/>
        <v>14129.373636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5">H433*0.84*42.7/1000</f>
        <v>12501.468588000002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6">I433-I434</f>
        <v>85517</v>
      </c>
      <c r="H434" s="16">
        <v>335674</v>
      </c>
      <c r="I434" s="16">
        <v>1877851</v>
      </c>
      <c r="J434" s="15"/>
      <c r="K434" s="15"/>
      <c r="L434" s="14">
        <f t="shared" si="95"/>
        <v>12039.955032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6"/>
        <v>214940</v>
      </c>
      <c r="H435" s="16">
        <v>441392</v>
      </c>
      <c r="I435" s="16">
        <v>1662911</v>
      </c>
      <c r="J435" s="15"/>
      <c r="K435" s="15"/>
      <c r="L435" s="14">
        <f t="shared" si="95"/>
        <v>15831.848255999999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6"/>
        <v>-65568</v>
      </c>
      <c r="H436" s="16">
        <v>360870</v>
      </c>
      <c r="I436" s="16">
        <v>1728479</v>
      </c>
      <c r="J436" s="15"/>
      <c r="K436" s="15"/>
      <c r="L436" s="14">
        <f t="shared" si="95"/>
        <v>12943.685160000001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6"/>
        <v>93854</v>
      </c>
      <c r="H437" s="16">
        <v>366774</v>
      </c>
      <c r="I437" s="16">
        <v>1634625</v>
      </c>
      <c r="J437" s="15"/>
      <c r="K437" s="15"/>
      <c r="L437" s="14">
        <f t="shared" si="95"/>
        <v>13155.449832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6"/>
        <v>-64641</v>
      </c>
      <c r="H438" s="16">
        <v>349980</v>
      </c>
      <c r="I438" s="16">
        <v>1699266</v>
      </c>
      <c r="J438" s="15"/>
      <c r="K438" s="15"/>
      <c r="L438" s="14">
        <f t="shared" si="95"/>
        <v>12553.082640000001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6"/>
        <v>-57867</v>
      </c>
      <c r="H439" s="16">
        <v>316739</v>
      </c>
      <c r="I439" s="16">
        <v>1757133</v>
      </c>
      <c r="J439" s="15"/>
      <c r="K439" s="15"/>
      <c r="L439" s="14">
        <f t="shared" ref="L439" si="97">H439*0.84*42.7/1000</f>
        <v>11360.794452000002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8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9">H440*0.84*42.7/1000</f>
        <v>14390.026392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100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101">H441*0.84*42.7/1000</f>
        <v>14037.730895999999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102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103">H442*0.84*42.7/1000</f>
        <v>12936.762635999999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4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5">H443*0.84*42.7/1000</f>
        <v>13099.316412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6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7">H444*0.84*42.7/1000</f>
        <v>13612.121208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8">H446*0.84*42.7/1000</f>
        <v>12253.907652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9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10">H447*0.84*42.7/1000</f>
        <v>11400.177516000002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9"/>
        <v>-65176</v>
      </c>
      <c r="H448" s="16">
        <v>370210</v>
      </c>
      <c r="I448" s="16">
        <v>1693809</v>
      </c>
      <c r="J448" s="15"/>
      <c r="K448" s="15"/>
      <c r="L448" s="14">
        <f t="shared" ref="L448" si="111">H448*0.84*42.7/1000</f>
        <v>13278.692279999999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9"/>
        <v>88213</v>
      </c>
      <c r="H449" s="16">
        <v>340178</v>
      </c>
      <c r="I449" s="16">
        <v>1605596</v>
      </c>
      <c r="J449" s="15"/>
      <c r="K449" s="15"/>
      <c r="L449" s="14">
        <f t="shared" ref="L449" si="112">H449*0.84*42.7/1000</f>
        <v>12201.504503999999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9"/>
        <v>-100050</v>
      </c>
      <c r="H450" s="16">
        <v>359085</v>
      </c>
      <c r="I450" s="16">
        <v>1705646</v>
      </c>
      <c r="J450" s="15"/>
      <c r="K450" s="15"/>
      <c r="L450" s="14">
        <f t="shared" ref="L450" si="113">H450*0.84*42.7/1000</f>
        <v>12879.66078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9"/>
        <v>11593</v>
      </c>
      <c r="H451" s="16">
        <v>345957</v>
      </c>
      <c r="I451" s="16">
        <v>1694053</v>
      </c>
      <c r="J451" s="15"/>
      <c r="K451" s="15"/>
      <c r="L451" s="14">
        <f t="shared" ref="L451" si="114">H451*0.84*42.7/1000</f>
        <v>12408.785676000001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9"/>
        <v>-93909</v>
      </c>
      <c r="H452" s="16">
        <v>370589</v>
      </c>
      <c r="I452" s="16">
        <v>1787962</v>
      </c>
      <c r="J452" s="15"/>
      <c r="K452" s="15"/>
      <c r="L452" s="14">
        <f t="shared" ref="L452" si="115">H452*0.84*42.7/1000</f>
        <v>13292.286252000002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6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7">H453*0.84*42.7/1000</f>
        <v>14117.860008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8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9">H454*0.84*42.7/1000</f>
        <v>12729.876012000001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20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21">H455*0.84*42.7/1000</f>
        <v>12492.967871999999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22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23">H456*0.84*42.7/1000</f>
        <v>12638.843028000001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4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5">H457*0.84*42.7/1000</f>
        <v>11875.823064000002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3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6">H459*0.84*42.7/1000</f>
        <v>11953.656623999999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3">
        <f t="shared" ref="G460:G465" si="127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8">H460*0.84*42.7/1000</f>
        <v>10765.42152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3">
        <f t="shared" si="127"/>
        <v>67531</v>
      </c>
      <c r="H461" s="77">
        <v>326613</v>
      </c>
      <c r="I461" s="16">
        <v>1616897</v>
      </c>
      <c r="J461" s="15"/>
      <c r="K461" s="15"/>
      <c r="L461" s="14">
        <f t="shared" ref="L461" si="129">H461*0.84*42.7/1000</f>
        <v>11714.955084000001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3">
        <f t="shared" si="127"/>
        <v>-173116</v>
      </c>
      <c r="H462" s="77">
        <v>336383</v>
      </c>
      <c r="I462" s="16">
        <v>1790013</v>
      </c>
      <c r="J462" s="15"/>
      <c r="K462" s="15"/>
      <c r="L462" s="14">
        <f t="shared" ref="L462" si="130">H462*0.84*42.7/1000</f>
        <v>12065.385444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3">
        <f t="shared" si="127"/>
        <v>130357</v>
      </c>
      <c r="H463" s="77">
        <v>356987</v>
      </c>
      <c r="I463" s="16">
        <v>1659656</v>
      </c>
      <c r="J463" s="15"/>
      <c r="K463" s="15"/>
      <c r="L463" s="14">
        <f t="shared" ref="L463" si="131">H463*0.84*42.7/1000</f>
        <v>12804.409716000002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3">
        <f t="shared" si="127"/>
        <v>-76257</v>
      </c>
      <c r="H464" s="77">
        <v>289107</v>
      </c>
      <c r="I464" s="16">
        <v>1735913</v>
      </c>
      <c r="J464" s="15"/>
      <c r="K464" s="15"/>
      <c r="L464" s="14">
        <f t="shared" ref="L464" si="132">H464*0.84*42.7/1000</f>
        <v>10369.689876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3">
        <f t="shared" si="127"/>
        <v>14299</v>
      </c>
      <c r="H465" s="77">
        <v>288830</v>
      </c>
      <c r="I465" s="16">
        <v>1721614</v>
      </c>
      <c r="J465" s="15"/>
      <c r="K465" s="15"/>
      <c r="L465" s="14">
        <f t="shared" ref="L465" si="133">H465*0.84*42.7/1000</f>
        <v>10359.754439999999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3">
        <f t="shared" ref="G466" si="134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5">H466*0.84*42.7/1000</f>
        <v>12863.556048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3">
        <f t="shared" ref="G467" si="136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7">H467*0.84*42.7/1000</f>
        <v>11865.636552000002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3">
        <f t="shared" ref="G468" si="138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9">H468*0.84*42.7/1000</f>
        <v>12149.352432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3">
        <f t="shared" ref="G469" si="140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41">H469*0.84*42.7/1000</f>
        <v>10843.183344000001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6">
        <f t="shared" ref="G470" si="142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43">H470*0.84*42.7/1000</f>
        <v>11090.708412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4">H472*0.84*42.7/1000</f>
        <v>9284.6111400000009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7" si="145">I472-I473</f>
        <v>130902</v>
      </c>
      <c r="H473" s="16">
        <v>299630</v>
      </c>
      <c r="I473" s="16">
        <v>1677338</v>
      </c>
      <c r="J473" s="15"/>
      <c r="K473" s="15"/>
      <c r="L473" s="14">
        <f t="shared" si="144"/>
        <v>10747.128839999999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5"/>
        <v>165193</v>
      </c>
      <c r="H474" s="16">
        <v>332529</v>
      </c>
      <c r="I474" s="16">
        <v>1512145</v>
      </c>
      <c r="J474" s="15"/>
      <c r="K474" s="15"/>
      <c r="L474" s="14">
        <f t="shared" si="144"/>
        <v>11927.150172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5"/>
        <v>-11532</v>
      </c>
      <c r="H475" s="16">
        <v>290907</v>
      </c>
      <c r="I475" s="16">
        <v>1523677</v>
      </c>
      <c r="J475" s="15"/>
      <c r="K475" s="15"/>
      <c r="L475" s="14">
        <f t="shared" si="144"/>
        <v>10434.252276000001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5"/>
        <v>-89039</v>
      </c>
      <c r="H476" s="16">
        <v>284852</v>
      </c>
      <c r="I476" s="16">
        <v>1612716</v>
      </c>
      <c r="J476" s="15"/>
      <c r="K476" s="15"/>
      <c r="L476" s="14">
        <f t="shared" si="144"/>
        <v>10217.071535999999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5"/>
        <v>25144</v>
      </c>
      <c r="H477" s="16">
        <v>274531</v>
      </c>
      <c r="I477" s="16">
        <v>1587572</v>
      </c>
      <c r="J477" s="15"/>
      <c r="K477" s="15"/>
      <c r="L477" s="14">
        <f t="shared" si="144"/>
        <v>9846.8779080000004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 t="shared" ref="G478:G483" si="146">I477-I478</f>
        <v>24035</v>
      </c>
      <c r="H478" s="16">
        <v>275149</v>
      </c>
      <c r="I478" s="16">
        <v>1563537</v>
      </c>
      <c r="J478" s="15"/>
      <c r="K478" s="15"/>
      <c r="L478" s="14">
        <f t="shared" ref="L478" si="147">H478*0.84*42.7/1000</f>
        <v>9869.0443320000013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404631</v>
      </c>
      <c r="D479" s="16">
        <v>222924</v>
      </c>
      <c r="E479" s="16">
        <v>188513</v>
      </c>
      <c r="F479" s="16">
        <v>58254</v>
      </c>
      <c r="G479" s="69">
        <f t="shared" si="146"/>
        <v>-63654</v>
      </c>
      <c r="H479" s="16">
        <v>311810</v>
      </c>
      <c r="I479" s="16">
        <v>1627191</v>
      </c>
      <c r="J479" s="15"/>
      <c r="K479" s="15"/>
      <c r="L479" s="14">
        <f t="shared" ref="L479" si="148">H479*0.84*42.7/1000</f>
        <v>11184.00108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349920</v>
      </c>
      <c r="D480" s="16">
        <v>336338</v>
      </c>
      <c r="E480" s="16">
        <v>278069</v>
      </c>
      <c r="F480" s="16">
        <v>54700</v>
      </c>
      <c r="G480" s="69">
        <f t="shared" si="146"/>
        <v>-62892</v>
      </c>
      <c r="H480" s="16">
        <v>296478</v>
      </c>
      <c r="I480" s="16">
        <v>1690083</v>
      </c>
      <c r="J480" s="15"/>
      <c r="K480" s="15"/>
      <c r="L480" s="14">
        <f t="shared" ref="L480" si="149">H480*0.84*42.7/1000</f>
        <v>10634.072904000001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400446</v>
      </c>
      <c r="D481" s="16">
        <v>221957</v>
      </c>
      <c r="E481" s="16">
        <v>337729</v>
      </c>
      <c r="F481" s="16">
        <v>48150</v>
      </c>
      <c r="G481" s="69">
        <f t="shared" si="146"/>
        <v>71636</v>
      </c>
      <c r="H481" s="16">
        <v>313774</v>
      </c>
      <c r="I481" s="16">
        <v>1618447</v>
      </c>
      <c r="J481" s="15"/>
      <c r="K481" s="15"/>
      <c r="L481" s="14">
        <f t="shared" ref="L481" si="150">H481*0.84*42.7/1000</f>
        <v>11254.445832000001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382471</v>
      </c>
      <c r="D482" s="16">
        <v>260434</v>
      </c>
      <c r="E482" s="16">
        <v>345745</v>
      </c>
      <c r="F482" s="16">
        <v>56202</v>
      </c>
      <c r="G482" s="69">
        <f t="shared" si="146"/>
        <v>45572</v>
      </c>
      <c r="H482" s="16">
        <v>276839</v>
      </c>
      <c r="I482" s="16">
        <v>1572875</v>
      </c>
      <c r="J482" s="15"/>
      <c r="K482" s="15"/>
      <c r="L482" s="14">
        <f t="shared" ref="L482" si="151">H482*0.84*42.7/1000</f>
        <v>9929.6612519999999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387092</v>
      </c>
      <c r="D483" s="16">
        <v>277066</v>
      </c>
      <c r="E483" s="16">
        <v>249825</v>
      </c>
      <c r="F483" s="16">
        <v>50105</v>
      </c>
      <c r="G483" s="69">
        <f t="shared" si="146"/>
        <v>-116264</v>
      </c>
      <c r="H483" s="16">
        <v>261212</v>
      </c>
      <c r="I483" s="16">
        <v>1689139</v>
      </c>
      <c r="J483" s="15"/>
      <c r="K483" s="15"/>
      <c r="L483" s="14">
        <f t="shared" ref="L483" si="152">H483*0.84*42.7/1000</f>
        <v>9369.152016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83"/>
  <sheetViews>
    <sheetView zoomScale="80" zoomScaleNormal="80" workbookViewId="0">
      <pane xSplit="2" ySplit="5" topLeftCell="C44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C156" sqref="C156:L15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</cols>
  <sheetData>
    <row r="1" spans="1:15" x14ac:dyDescent="0.25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5">
      <c r="A6" s="21"/>
      <c r="C6" s="10"/>
      <c r="D6" s="10"/>
      <c r="E6" s="10"/>
      <c r="F6" s="10"/>
      <c r="G6" s="10"/>
      <c r="H6" s="10"/>
      <c r="I6" s="10"/>
    </row>
    <row r="7" spans="1:15" x14ac:dyDescent="0.25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5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5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5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5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5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5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5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5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5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5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5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5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5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5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5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5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5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5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5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5">
      <c r="A27" s="22">
        <v>2025</v>
      </c>
      <c r="C27" s="3">
        <f>SUM(C472:C483)</f>
        <v>0</v>
      </c>
      <c r="D27" s="3">
        <f t="shared" ref="D27:L27" si="11">SUM(D472:D483)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0</v>
      </c>
      <c r="I27" s="3">
        <f>I483</f>
        <v>0</v>
      </c>
      <c r="J27" s="3"/>
      <c r="K27" s="3"/>
      <c r="L27" s="3">
        <f t="shared" si="11"/>
        <v>0</v>
      </c>
      <c r="M27" s="57"/>
      <c r="N27" s="22">
        <v>2025</v>
      </c>
    </row>
    <row r="28" spans="1:15" x14ac:dyDescent="0.25">
      <c r="A28" s="23"/>
      <c r="J28" s="3"/>
      <c r="K28" s="3"/>
      <c r="L28" s="3"/>
      <c r="M28" s="3"/>
    </row>
    <row r="29" spans="1:15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5" x14ac:dyDescent="0.25">
      <c r="A30" s="22">
        <f>'Olieforbrug, TJ'!A30</f>
        <v>2005</v>
      </c>
      <c r="C30" s="3">
        <f t="shared" ref="C30:H30" si="12">SUM(C212:C223)</f>
        <v>0</v>
      </c>
      <c r="D30" s="3">
        <f t="shared" si="12"/>
        <v>0</v>
      </c>
      <c r="E30" s="3">
        <f t="shared" si="12"/>
        <v>0</v>
      </c>
      <c r="F30" s="3">
        <f t="shared" si="12"/>
        <v>0</v>
      </c>
      <c r="G30" s="3">
        <f t="shared" si="12"/>
        <v>0</v>
      </c>
      <c r="H30" s="3">
        <f t="shared" si="12"/>
        <v>8091</v>
      </c>
      <c r="I30" s="3">
        <f>I223</f>
        <v>0</v>
      </c>
      <c r="J30" s="3"/>
      <c r="K30" s="3"/>
      <c r="L30" s="3">
        <f>SUM(L212:L223)</f>
        <v>290.58000000000004</v>
      </c>
      <c r="M30" s="3"/>
      <c r="N30" s="22">
        <f>'Olieforbrug, TJ'!M30</f>
        <v>2005</v>
      </c>
    </row>
    <row r="31" spans="1:15" x14ac:dyDescent="0.25">
      <c r="A31" s="22">
        <f>'Olieforbrug, TJ'!A31</f>
        <v>2006</v>
      </c>
      <c r="C31" s="3">
        <f t="shared" ref="C31:H31" si="13">SUM(C225:C236)</f>
        <v>0</v>
      </c>
      <c r="D31" s="3">
        <f t="shared" si="13"/>
        <v>0</v>
      </c>
      <c r="E31" s="3">
        <f t="shared" si="13"/>
        <v>0</v>
      </c>
      <c r="F31" s="3">
        <f t="shared" si="13"/>
        <v>0</v>
      </c>
      <c r="G31" s="3">
        <f t="shared" si="13"/>
        <v>0</v>
      </c>
      <c r="H31" s="3">
        <f t="shared" si="13"/>
        <v>6370.0410000000002</v>
      </c>
      <c r="I31" s="3">
        <f>I236</f>
        <v>0</v>
      </c>
      <c r="J31" s="3"/>
      <c r="K31" s="3"/>
      <c r="L31" s="3">
        <f>SUM(L225:L236)</f>
        <v>221.67742680000001</v>
      </c>
      <c r="M31" s="3"/>
      <c r="N31" s="22">
        <f>'Olieforbrug, TJ'!M31</f>
        <v>2006</v>
      </c>
    </row>
    <row r="32" spans="1:15" x14ac:dyDescent="0.25">
      <c r="A32" s="22">
        <f>'Olieforbrug, TJ'!A32</f>
        <v>2007</v>
      </c>
      <c r="C32" s="3">
        <f t="shared" ref="C32:H32" si="14">SUM(C238:C249)</f>
        <v>0</v>
      </c>
      <c r="D32" s="3">
        <f t="shared" si="14"/>
        <v>0</v>
      </c>
      <c r="E32" s="3">
        <f t="shared" si="14"/>
        <v>0</v>
      </c>
      <c r="F32" s="3">
        <f t="shared" si="14"/>
        <v>0</v>
      </c>
      <c r="G32" s="3">
        <f t="shared" si="14"/>
        <v>0</v>
      </c>
      <c r="H32" s="3">
        <f t="shared" si="14"/>
        <v>3425</v>
      </c>
      <c r="I32" s="3">
        <f>I249</f>
        <v>0</v>
      </c>
      <c r="J32" s="3"/>
      <c r="K32" s="3"/>
      <c r="L32" s="3">
        <f>SUM(L238:L249)</f>
        <v>119.19000000000003</v>
      </c>
      <c r="M32" s="3"/>
      <c r="N32" s="22">
        <f>'Olieforbrug, TJ'!M32</f>
        <v>2007</v>
      </c>
    </row>
    <row r="33" spans="1:14" x14ac:dyDescent="0.25">
      <c r="A33" s="22">
        <f>'Olieforbrug, TJ'!A33</f>
        <v>2008</v>
      </c>
      <c r="C33" s="3">
        <f t="shared" ref="C33:H33" si="15">SUM(C251:C262)</f>
        <v>0</v>
      </c>
      <c r="D33" s="3">
        <f t="shared" si="15"/>
        <v>0</v>
      </c>
      <c r="E33" s="3">
        <f t="shared" si="15"/>
        <v>0</v>
      </c>
      <c r="F33" s="3">
        <f t="shared" si="15"/>
        <v>0</v>
      </c>
      <c r="G33" s="3">
        <f t="shared" si="15"/>
        <v>0</v>
      </c>
      <c r="H33" s="3">
        <f t="shared" si="15"/>
        <v>3427</v>
      </c>
      <c r="I33" s="3">
        <f>I262</f>
        <v>0</v>
      </c>
      <c r="J33" s="3"/>
      <c r="K33" s="3"/>
      <c r="L33" s="3">
        <f>SUM(L251:L262)</f>
        <v>119.25960000000001</v>
      </c>
      <c r="M33" s="3"/>
      <c r="N33" s="22">
        <f>'Olieforbrug, TJ'!M33</f>
        <v>2008</v>
      </c>
    </row>
    <row r="34" spans="1:14" x14ac:dyDescent="0.25">
      <c r="A34" s="22">
        <f>'Olieforbrug, TJ'!A34</f>
        <v>2009</v>
      </c>
      <c r="C34" s="3">
        <f t="shared" ref="C34:H34" si="16">SUM(C264:C275)</f>
        <v>0</v>
      </c>
      <c r="D34" s="3">
        <f t="shared" si="16"/>
        <v>0</v>
      </c>
      <c r="E34" s="3">
        <f t="shared" si="16"/>
        <v>0</v>
      </c>
      <c r="F34" s="3">
        <f t="shared" si="16"/>
        <v>0</v>
      </c>
      <c r="G34" s="3">
        <f t="shared" si="16"/>
        <v>0</v>
      </c>
      <c r="H34" s="3">
        <f t="shared" si="16"/>
        <v>3140</v>
      </c>
      <c r="I34" s="3">
        <f>I275</f>
        <v>0</v>
      </c>
      <c r="J34" s="3"/>
      <c r="K34" s="3"/>
      <c r="L34" s="3">
        <f>SUM(L264:L275)</f>
        <v>109.27200000000001</v>
      </c>
      <c r="M34" s="3"/>
      <c r="N34" s="22">
        <f>'Olieforbrug, TJ'!M34</f>
        <v>2009</v>
      </c>
    </row>
    <row r="35" spans="1:14" x14ac:dyDescent="0.25">
      <c r="A35" s="22">
        <f>'Olieforbrug, TJ'!A35</f>
        <v>2010</v>
      </c>
      <c r="C35" s="3">
        <f t="shared" ref="C35:H35" si="17">SUM(C277:C288)</f>
        <v>0</v>
      </c>
      <c r="D35" s="3">
        <f t="shared" si="17"/>
        <v>0</v>
      </c>
      <c r="E35" s="3">
        <f t="shared" si="17"/>
        <v>0</v>
      </c>
      <c r="F35" s="3">
        <f t="shared" si="17"/>
        <v>0</v>
      </c>
      <c r="G35" s="3">
        <f t="shared" si="17"/>
        <v>0</v>
      </c>
      <c r="H35" s="3">
        <f t="shared" si="17"/>
        <v>1554</v>
      </c>
      <c r="I35" s="3">
        <f>I288</f>
        <v>0</v>
      </c>
      <c r="J35" s="3"/>
      <c r="K35" s="3"/>
      <c r="L35" s="3">
        <f>SUM(L277:L288)</f>
        <v>54.079199999999986</v>
      </c>
      <c r="M35" s="3"/>
      <c r="N35" s="22">
        <f>'Olieforbrug, TJ'!M35</f>
        <v>2010</v>
      </c>
    </row>
    <row r="36" spans="1:14" x14ac:dyDescent="0.25">
      <c r="A36" s="22">
        <f>'Olieforbrug, TJ'!A36</f>
        <v>2011</v>
      </c>
      <c r="C36" s="3">
        <f t="shared" ref="C36:H36" si="18">SUM(C290:C301)</f>
        <v>0</v>
      </c>
      <c r="D36" s="3">
        <f t="shared" si="18"/>
        <v>0</v>
      </c>
      <c r="E36" s="3">
        <f t="shared" si="18"/>
        <v>0</v>
      </c>
      <c r="F36" s="3">
        <f t="shared" si="18"/>
        <v>0</v>
      </c>
      <c r="G36" s="3">
        <f t="shared" si="18"/>
        <v>0</v>
      </c>
      <c r="H36" s="3">
        <f t="shared" si="18"/>
        <v>1426</v>
      </c>
      <c r="I36" s="3">
        <f>I301</f>
        <v>0</v>
      </c>
      <c r="J36" s="3"/>
      <c r="K36" s="3"/>
      <c r="L36" s="3">
        <f>SUM(L290:L301)</f>
        <v>49.624800000000008</v>
      </c>
      <c r="M36" s="3"/>
      <c r="N36" s="22">
        <f>'Olieforbrug, TJ'!M36</f>
        <v>2011</v>
      </c>
    </row>
    <row r="37" spans="1:14" x14ac:dyDescent="0.25">
      <c r="A37" s="22">
        <f>'Olieforbrug, TJ'!A37</f>
        <v>2012</v>
      </c>
      <c r="C37" s="3">
        <f t="shared" ref="C37:H37" si="19">SUM(C303:C314)</f>
        <v>0</v>
      </c>
      <c r="D37" s="3">
        <f t="shared" si="19"/>
        <v>0</v>
      </c>
      <c r="E37" s="3">
        <f t="shared" si="19"/>
        <v>0</v>
      </c>
      <c r="F37" s="3">
        <f t="shared" si="19"/>
        <v>0</v>
      </c>
      <c r="G37" s="3">
        <f t="shared" si="19"/>
        <v>0</v>
      </c>
      <c r="H37" s="3">
        <f t="shared" si="19"/>
        <v>677</v>
      </c>
      <c r="I37" s="3">
        <f>I314</f>
        <v>0</v>
      </c>
      <c r="J37" s="3"/>
      <c r="K37" s="3"/>
      <c r="L37" s="3">
        <f>SUM(L303:L314)</f>
        <v>23.5596</v>
      </c>
      <c r="M37" s="3"/>
      <c r="N37" s="22">
        <f>'Olieforbrug, TJ'!M37</f>
        <v>2012</v>
      </c>
    </row>
    <row r="38" spans="1:14" x14ac:dyDescent="0.25">
      <c r="A38" s="22">
        <f>'Olieforbrug, TJ'!A38</f>
        <v>2013</v>
      </c>
      <c r="C38" s="3">
        <f t="shared" ref="C38:H38" si="20">SUM(C316:C327)</f>
        <v>0</v>
      </c>
      <c r="D38" s="3">
        <f t="shared" si="20"/>
        <v>0</v>
      </c>
      <c r="E38" s="3">
        <f t="shared" si="20"/>
        <v>0</v>
      </c>
      <c r="F38" s="3">
        <f t="shared" si="20"/>
        <v>0</v>
      </c>
      <c r="G38" s="3">
        <f t="shared" si="20"/>
        <v>0</v>
      </c>
      <c r="H38" s="3">
        <f t="shared" si="20"/>
        <v>843</v>
      </c>
      <c r="I38" s="3">
        <f>I327</f>
        <v>0</v>
      </c>
      <c r="J38" s="3"/>
      <c r="K38" s="3"/>
      <c r="L38" s="3">
        <f>SUM(L316:L327)</f>
        <v>29.336400000000001</v>
      </c>
      <c r="M38" s="3"/>
      <c r="N38" s="22">
        <f>'Olieforbrug, TJ'!M38</f>
        <v>2013</v>
      </c>
    </row>
    <row r="39" spans="1:14" x14ac:dyDescent="0.25">
      <c r="A39" s="22">
        <f>'Olieforbrug, TJ'!A39</f>
        <v>2014</v>
      </c>
      <c r="C39" s="3">
        <f t="shared" ref="C39:H39" si="21">SUM(C329:C340)</f>
        <v>0</v>
      </c>
      <c r="D39" s="3">
        <f t="shared" si="21"/>
        <v>0</v>
      </c>
      <c r="E39" s="3">
        <f t="shared" si="21"/>
        <v>0</v>
      </c>
      <c r="F39" s="3">
        <f t="shared" si="21"/>
        <v>0</v>
      </c>
      <c r="G39" s="3">
        <f t="shared" si="21"/>
        <v>0</v>
      </c>
      <c r="H39" s="3">
        <f t="shared" si="21"/>
        <v>308</v>
      </c>
      <c r="I39" s="3">
        <f>I340</f>
        <v>0</v>
      </c>
      <c r="J39" s="3"/>
      <c r="K39" s="3"/>
      <c r="L39" s="3">
        <f>SUM(L329:L340)</f>
        <v>10.718400000000001</v>
      </c>
      <c r="M39" s="3"/>
      <c r="N39" s="22">
        <f>'Olieforbrug, TJ'!M39</f>
        <v>2014</v>
      </c>
    </row>
    <row r="40" spans="1:14" x14ac:dyDescent="0.25">
      <c r="A40" s="22">
        <f>'Olieforbrug, TJ'!A40</f>
        <v>2015</v>
      </c>
      <c r="C40" s="3">
        <f t="shared" ref="C40:H40" si="22">SUM(C342:C353)</f>
        <v>0</v>
      </c>
      <c r="D40" s="3">
        <f t="shared" si="22"/>
        <v>0</v>
      </c>
      <c r="E40" s="3">
        <f t="shared" si="22"/>
        <v>0</v>
      </c>
      <c r="F40" s="3">
        <f t="shared" si="22"/>
        <v>0</v>
      </c>
      <c r="G40" s="3">
        <f t="shared" si="22"/>
        <v>0</v>
      </c>
      <c r="H40" s="3">
        <f t="shared" si="22"/>
        <v>910</v>
      </c>
      <c r="I40" s="3">
        <f>I353</f>
        <v>0</v>
      </c>
      <c r="J40" s="3"/>
      <c r="K40" s="3"/>
      <c r="L40" s="3">
        <f>SUM(L342:L353)</f>
        <v>31.667999999999999</v>
      </c>
      <c r="M40" s="3"/>
      <c r="N40" s="22">
        <f>'Olieforbrug, TJ'!M40</f>
        <v>2015</v>
      </c>
    </row>
    <row r="41" spans="1:14" x14ac:dyDescent="0.25">
      <c r="A41" s="22">
        <f>'Olieforbrug, TJ'!A41</f>
        <v>2016</v>
      </c>
      <c r="C41" s="3">
        <f t="shared" ref="C41:H41" si="23">SUM(C355:C366)</f>
        <v>0</v>
      </c>
      <c r="D41" s="3">
        <f t="shared" si="23"/>
        <v>0</v>
      </c>
      <c r="E41" s="3">
        <f t="shared" si="23"/>
        <v>0</v>
      </c>
      <c r="F41" s="3">
        <f t="shared" si="23"/>
        <v>0</v>
      </c>
      <c r="G41" s="3">
        <f t="shared" si="23"/>
        <v>0</v>
      </c>
      <c r="H41" s="3">
        <f t="shared" si="23"/>
        <v>569</v>
      </c>
      <c r="I41" s="3">
        <f>I366</f>
        <v>0</v>
      </c>
      <c r="J41" s="3"/>
      <c r="K41" s="3"/>
      <c r="L41" s="3">
        <f>SUM(L355:L366)</f>
        <v>19.801200000000001</v>
      </c>
      <c r="M41" s="3"/>
      <c r="N41" s="22">
        <f>'Olieforbrug, TJ'!M41</f>
        <v>2016</v>
      </c>
    </row>
    <row r="42" spans="1:14" x14ac:dyDescent="0.25">
      <c r="A42" s="22">
        <f>'Olieforbrug, TJ'!A42</f>
        <v>2017</v>
      </c>
      <c r="C42" s="3">
        <f t="shared" ref="C42:H42" si="24">SUM(C368:C379)</f>
        <v>0</v>
      </c>
      <c r="D42" s="3">
        <f t="shared" si="24"/>
        <v>0</v>
      </c>
      <c r="E42" s="3">
        <f t="shared" si="24"/>
        <v>0</v>
      </c>
      <c r="F42" s="3">
        <f t="shared" si="24"/>
        <v>0</v>
      </c>
      <c r="G42" s="3">
        <f t="shared" si="24"/>
        <v>0</v>
      </c>
      <c r="H42" s="3">
        <f t="shared" si="24"/>
        <v>597</v>
      </c>
      <c r="I42" s="3">
        <f>I379</f>
        <v>0</v>
      </c>
      <c r="J42" s="3"/>
      <c r="K42" s="3"/>
      <c r="L42" s="3">
        <f>SUM(L368:L379)</f>
        <v>20.775600000000004</v>
      </c>
      <c r="M42" s="3"/>
      <c r="N42" s="22">
        <f>'Olieforbrug, TJ'!M42</f>
        <v>2017</v>
      </c>
    </row>
    <row r="43" spans="1:14" x14ac:dyDescent="0.25">
      <c r="A43" s="22">
        <f>'Olieforbrug, TJ'!A43</f>
        <v>2018</v>
      </c>
      <c r="C43" s="3">
        <f t="shared" ref="C43:H43" si="25">SUM(C381:C392)</f>
        <v>0</v>
      </c>
      <c r="D43" s="3">
        <f t="shared" si="25"/>
        <v>0</v>
      </c>
      <c r="E43" s="3">
        <f t="shared" si="25"/>
        <v>0</v>
      </c>
      <c r="F43" s="3">
        <f t="shared" si="25"/>
        <v>0</v>
      </c>
      <c r="G43" s="3">
        <f t="shared" si="25"/>
        <v>0</v>
      </c>
      <c r="H43" s="3">
        <f t="shared" si="25"/>
        <v>4918</v>
      </c>
      <c r="I43" s="3">
        <f>I392</f>
        <v>0</v>
      </c>
      <c r="J43" s="3"/>
      <c r="K43" s="3"/>
      <c r="L43" s="3">
        <f>SUM(L381:L392)</f>
        <v>171.1464</v>
      </c>
      <c r="M43" s="3"/>
      <c r="N43" s="22">
        <f>'Olieforbrug, TJ'!M43</f>
        <v>2018</v>
      </c>
    </row>
    <row r="44" spans="1:14" x14ac:dyDescent="0.25">
      <c r="A44" s="22">
        <f>'Olieforbrug, TJ'!A44</f>
        <v>2019</v>
      </c>
      <c r="C44" s="3">
        <f t="shared" ref="C44:H44" si="26">SUM(C394:C405)</f>
        <v>0</v>
      </c>
      <c r="D44" s="3">
        <f t="shared" si="26"/>
        <v>0</v>
      </c>
      <c r="E44" s="3">
        <f t="shared" si="26"/>
        <v>0</v>
      </c>
      <c r="F44" s="3">
        <f t="shared" si="26"/>
        <v>0</v>
      </c>
      <c r="G44" s="3">
        <f t="shared" si="26"/>
        <v>0</v>
      </c>
      <c r="H44" s="3">
        <f t="shared" si="26"/>
        <v>5375</v>
      </c>
      <c r="I44" s="3">
        <f>I405</f>
        <v>0</v>
      </c>
      <c r="J44" s="3"/>
      <c r="K44" s="3"/>
      <c r="L44" s="3">
        <f>SUM(L394:L405)</f>
        <v>187.05000000000004</v>
      </c>
      <c r="M44" s="3"/>
      <c r="N44" s="22">
        <f>'Olieforbrug, TJ'!M44</f>
        <v>2019</v>
      </c>
    </row>
    <row r="45" spans="1:14" x14ac:dyDescent="0.25">
      <c r="A45" s="22">
        <f>'Olieforbrug, TJ'!A45</f>
        <v>2020</v>
      </c>
      <c r="C45" s="3">
        <f t="shared" ref="C45:H45" si="27">SUM(C407:C418)</f>
        <v>0</v>
      </c>
      <c r="D45" s="3">
        <f t="shared" si="27"/>
        <v>0</v>
      </c>
      <c r="E45" s="3">
        <f t="shared" si="27"/>
        <v>0</v>
      </c>
      <c r="F45" s="3">
        <f t="shared" si="27"/>
        <v>0</v>
      </c>
      <c r="G45" s="3">
        <f t="shared" si="27"/>
        <v>0</v>
      </c>
      <c r="H45" s="3">
        <f t="shared" si="27"/>
        <v>1304</v>
      </c>
      <c r="I45" s="3">
        <f>I418</f>
        <v>0</v>
      </c>
      <c r="J45" s="3"/>
      <c r="K45" s="3"/>
      <c r="L45" s="3">
        <f>SUM(L407:L418)</f>
        <v>45.37919999999999</v>
      </c>
      <c r="M45" s="3"/>
      <c r="N45" s="22">
        <f>'Olieforbrug, TJ'!M45</f>
        <v>2020</v>
      </c>
    </row>
    <row r="46" spans="1:14" x14ac:dyDescent="0.25">
      <c r="A46" s="22">
        <f>'Olieforbrug, TJ'!A46</f>
        <v>2021</v>
      </c>
      <c r="C46" s="3">
        <f t="shared" ref="C46:H46" si="28">SUM(C420:C431)</f>
        <v>0</v>
      </c>
      <c r="D46" s="3">
        <f t="shared" si="28"/>
        <v>0</v>
      </c>
      <c r="E46" s="3">
        <f t="shared" si="28"/>
        <v>0</v>
      </c>
      <c r="F46" s="3">
        <f t="shared" si="28"/>
        <v>0</v>
      </c>
      <c r="G46" s="3">
        <f t="shared" si="28"/>
        <v>0</v>
      </c>
      <c r="H46" s="3">
        <f t="shared" si="28"/>
        <v>632</v>
      </c>
      <c r="I46" s="3">
        <f>I431</f>
        <v>0</v>
      </c>
      <c r="J46" s="3"/>
      <c r="K46" s="3"/>
      <c r="L46" s="3">
        <f>SUM(L420:L431)</f>
        <v>21.993600000000001</v>
      </c>
      <c r="M46" s="3"/>
      <c r="N46" s="22">
        <f>'Olieforbrug, TJ'!M46</f>
        <v>2021</v>
      </c>
    </row>
    <row r="47" spans="1:14" x14ac:dyDescent="0.25">
      <c r="A47" s="22">
        <f>'Olieforbrug, TJ'!A47</f>
        <v>2022</v>
      </c>
      <c r="C47" s="3">
        <f t="shared" ref="C47:H47" si="29">SUM(C433:C444)</f>
        <v>0</v>
      </c>
      <c r="D47" s="3">
        <f t="shared" si="29"/>
        <v>0</v>
      </c>
      <c r="E47" s="3">
        <f t="shared" si="29"/>
        <v>0</v>
      </c>
      <c r="F47" s="3">
        <f t="shared" si="29"/>
        <v>0</v>
      </c>
      <c r="G47" s="3">
        <f t="shared" si="29"/>
        <v>0</v>
      </c>
      <c r="H47" s="3">
        <f t="shared" si="29"/>
        <v>196</v>
      </c>
      <c r="I47" s="3">
        <f>I444</f>
        <v>0</v>
      </c>
      <c r="J47" s="3"/>
      <c r="K47" s="3"/>
      <c r="L47" s="3">
        <f>SUM(L433:L444)</f>
        <v>6.8208000000000011</v>
      </c>
      <c r="M47" s="3"/>
      <c r="N47" s="22">
        <f>'Olieforbrug, TJ'!M47</f>
        <v>2022</v>
      </c>
    </row>
    <row r="48" spans="1:14" x14ac:dyDescent="0.25">
      <c r="A48" s="22">
        <f>'Olieforbrug, TJ'!A48</f>
        <v>2023</v>
      </c>
      <c r="C48" s="3">
        <f t="shared" ref="C48:H48" si="30">SUM(C446:C457)</f>
        <v>0</v>
      </c>
      <c r="D48" s="3">
        <f t="shared" si="30"/>
        <v>0</v>
      </c>
      <c r="E48" s="3">
        <f t="shared" si="30"/>
        <v>0</v>
      </c>
      <c r="F48" s="3">
        <f t="shared" si="30"/>
        <v>0</v>
      </c>
      <c r="G48" s="3">
        <f t="shared" si="30"/>
        <v>0</v>
      </c>
      <c r="H48" s="3">
        <f t="shared" si="30"/>
        <v>250</v>
      </c>
      <c r="I48" s="3">
        <f>I457</f>
        <v>0</v>
      </c>
      <c r="J48" s="3"/>
      <c r="K48" s="3"/>
      <c r="L48" s="3">
        <f>SUM(L446:L457)</f>
        <v>8.7000000000000028</v>
      </c>
      <c r="M48" s="3"/>
      <c r="N48" s="22">
        <f>'Olieforbrug, TJ'!M48</f>
        <v>2023</v>
      </c>
    </row>
    <row r="49" spans="1:14" x14ac:dyDescent="0.25">
      <c r="A49" s="22">
        <f>'Olieforbrug, TJ'!A49</f>
        <v>2024</v>
      </c>
      <c r="C49" s="3">
        <f t="shared" ref="C49:H49" si="31">SUM(C459:C470)</f>
        <v>0</v>
      </c>
      <c r="D49" s="3">
        <f t="shared" si="31"/>
        <v>0</v>
      </c>
      <c r="E49" s="3">
        <f t="shared" si="31"/>
        <v>0</v>
      </c>
      <c r="F49" s="3">
        <f t="shared" si="31"/>
        <v>0</v>
      </c>
      <c r="G49" s="3">
        <f t="shared" si="31"/>
        <v>0</v>
      </c>
      <c r="H49" s="3">
        <f t="shared" si="31"/>
        <v>55</v>
      </c>
      <c r="I49" s="3">
        <f>I470</f>
        <v>0</v>
      </c>
      <c r="J49" s="3"/>
      <c r="K49" s="3"/>
      <c r="L49" s="3">
        <f>SUM(L459:L470)</f>
        <v>1.9139999999999999</v>
      </c>
      <c r="M49" s="3"/>
      <c r="N49" s="22">
        <f>'Olieforbrug, TJ'!M49</f>
        <v>2024</v>
      </c>
    </row>
    <row r="50" spans="1:14" x14ac:dyDescent="0.25">
      <c r="A50" s="22">
        <f>'Olieforbrug, TJ'!A50</f>
        <v>2025</v>
      </c>
      <c r="C50" s="3">
        <f t="shared" ref="C50:H50" si="32">SUM(C472:C483)</f>
        <v>0</v>
      </c>
      <c r="D50" s="3">
        <f t="shared" si="32"/>
        <v>0</v>
      </c>
      <c r="E50" s="3">
        <f t="shared" si="32"/>
        <v>0</v>
      </c>
      <c r="F50" s="3">
        <f t="shared" si="32"/>
        <v>0</v>
      </c>
      <c r="G50" s="3">
        <f t="shared" si="32"/>
        <v>0</v>
      </c>
      <c r="H50" s="3">
        <f t="shared" si="32"/>
        <v>0</v>
      </c>
      <c r="I50" s="3">
        <f>I483</f>
        <v>0</v>
      </c>
      <c r="J50" s="3"/>
      <c r="K50" s="3"/>
      <c r="L50" s="3">
        <f>SUM(L472:L483)</f>
        <v>0</v>
      </c>
      <c r="M50" s="3"/>
      <c r="N50" s="22">
        <f>'Olieforbrug, TJ'!M50</f>
        <v>2025</v>
      </c>
    </row>
    <row r="51" spans="1:14" x14ac:dyDescent="0.25">
      <c r="A51" s="22"/>
      <c r="J51" s="3"/>
      <c r="K51" s="3"/>
      <c r="L51" s="3"/>
      <c r="M51" s="3"/>
      <c r="N51" s="22"/>
    </row>
    <row r="52" spans="1:14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5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5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5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5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5">
      <c r="A57" s="23"/>
      <c r="L57" s="3"/>
    </row>
    <row r="58" spans="1:14" x14ac:dyDescent="0.25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5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5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5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5">
      <c r="A62" s="23"/>
      <c r="L62" s="3"/>
    </row>
    <row r="63" spans="1:14" x14ac:dyDescent="0.25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5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5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5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5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5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5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5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5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5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5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5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5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5">
      <c r="A82" s="32"/>
      <c r="J82" s="3"/>
      <c r="K82" s="3"/>
      <c r="L82" s="3"/>
      <c r="N82" s="26"/>
    </row>
    <row r="83" spans="1:14" x14ac:dyDescent="0.25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5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5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5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5">
      <c r="A87" s="32"/>
      <c r="J87" s="3"/>
      <c r="K87" s="3"/>
      <c r="L87" s="3"/>
      <c r="N87" s="26"/>
    </row>
    <row r="88" spans="1:14" x14ac:dyDescent="0.25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5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5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5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5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5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5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0</v>
      </c>
      <c r="D98" s="3">
        <f t="shared" si="33"/>
        <v>0</v>
      </c>
      <c r="E98" s="3">
        <f t="shared" si="33"/>
        <v>0</v>
      </c>
      <c r="F98" s="3">
        <f t="shared" si="33"/>
        <v>0</v>
      </c>
      <c r="G98" s="3">
        <f t="shared" si="33"/>
        <v>0</v>
      </c>
      <c r="H98" s="3">
        <f t="shared" si="33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0</v>
      </c>
      <c r="D99" s="3">
        <f t="shared" si="34"/>
        <v>0</v>
      </c>
      <c r="E99" s="3">
        <f t="shared" si="34"/>
        <v>0</v>
      </c>
      <c r="F99" s="3">
        <f t="shared" si="34"/>
        <v>0</v>
      </c>
      <c r="G99" s="3">
        <f t="shared" si="34"/>
        <v>0</v>
      </c>
      <c r="H99" s="3">
        <f t="shared" si="34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0</v>
      </c>
      <c r="D100" s="3">
        <f t="shared" si="35"/>
        <v>0</v>
      </c>
      <c r="E100" s="3">
        <f t="shared" si="35"/>
        <v>0</v>
      </c>
      <c r="F100" s="3">
        <f t="shared" si="35"/>
        <v>0</v>
      </c>
      <c r="G100" s="3">
        <f t="shared" si="35"/>
        <v>0</v>
      </c>
      <c r="H100" s="3">
        <f t="shared" si="35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0</v>
      </c>
      <c r="D101" s="3">
        <f t="shared" si="36"/>
        <v>0</v>
      </c>
      <c r="E101" s="3">
        <f t="shared" si="36"/>
        <v>0</v>
      </c>
      <c r="F101" s="3">
        <f t="shared" si="36"/>
        <v>0</v>
      </c>
      <c r="G101" s="3">
        <f t="shared" si="36"/>
        <v>0</v>
      </c>
      <c r="H101" s="3">
        <f t="shared" si="36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0</v>
      </c>
      <c r="D103" s="3">
        <f t="shared" si="37"/>
        <v>0</v>
      </c>
      <c r="E103" s="3">
        <f t="shared" si="37"/>
        <v>0</v>
      </c>
      <c r="F103" s="3">
        <f t="shared" si="37"/>
        <v>0</v>
      </c>
      <c r="G103" s="3">
        <f t="shared" si="37"/>
        <v>0</v>
      </c>
      <c r="H103" s="3">
        <f t="shared" si="37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0</v>
      </c>
      <c r="D104" s="3">
        <f t="shared" si="38"/>
        <v>0</v>
      </c>
      <c r="E104" s="3">
        <f t="shared" si="38"/>
        <v>0</v>
      </c>
      <c r="F104" s="3">
        <f t="shared" si="38"/>
        <v>0</v>
      </c>
      <c r="G104" s="3">
        <f t="shared" si="38"/>
        <v>0</v>
      </c>
      <c r="H104" s="3">
        <f t="shared" si="38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0</v>
      </c>
      <c r="D105" s="3">
        <f t="shared" si="39"/>
        <v>0</v>
      </c>
      <c r="E105" s="3">
        <f t="shared" si="39"/>
        <v>0</v>
      </c>
      <c r="F105" s="3">
        <f t="shared" si="39"/>
        <v>0</v>
      </c>
      <c r="G105" s="3">
        <f t="shared" si="39"/>
        <v>0</v>
      </c>
      <c r="H105" s="3">
        <f t="shared" si="39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0</v>
      </c>
      <c r="D106" s="3">
        <f t="shared" si="40"/>
        <v>0</v>
      </c>
      <c r="E106" s="3">
        <f t="shared" si="40"/>
        <v>0</v>
      </c>
      <c r="F106" s="3">
        <f t="shared" si="40"/>
        <v>0</v>
      </c>
      <c r="G106" s="3">
        <f t="shared" si="40"/>
        <v>0</v>
      </c>
      <c r="H106" s="3">
        <f t="shared" si="40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1">SUM(C355:C357)</f>
        <v>0</v>
      </c>
      <c r="D108" s="3">
        <f t="shared" si="41"/>
        <v>0</v>
      </c>
      <c r="E108" s="3">
        <f t="shared" si="41"/>
        <v>0</v>
      </c>
      <c r="F108" s="3">
        <f t="shared" si="41"/>
        <v>0</v>
      </c>
      <c r="G108" s="3">
        <f t="shared" si="41"/>
        <v>0</v>
      </c>
      <c r="H108" s="3">
        <f t="shared" si="41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0</v>
      </c>
      <c r="D109" s="3">
        <f t="shared" si="42"/>
        <v>0</v>
      </c>
      <c r="E109" s="3">
        <f t="shared" si="42"/>
        <v>0</v>
      </c>
      <c r="F109" s="3">
        <f t="shared" si="42"/>
        <v>0</v>
      </c>
      <c r="G109" s="3">
        <f t="shared" si="42"/>
        <v>0</v>
      </c>
      <c r="H109" s="3">
        <f t="shared" si="42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0</v>
      </c>
      <c r="D110" s="3">
        <f t="shared" ref="D110:L110" si="43">SUM(D361:D363)</f>
        <v>0</v>
      </c>
      <c r="E110" s="3">
        <f t="shared" si="43"/>
        <v>0</v>
      </c>
      <c r="F110" s="3">
        <f t="shared" si="43"/>
        <v>0</v>
      </c>
      <c r="G110" s="3">
        <f t="shared" si="43"/>
        <v>0</v>
      </c>
      <c r="H110" s="3">
        <f t="shared" si="43"/>
        <v>357</v>
      </c>
      <c r="I110" s="3">
        <f>I363</f>
        <v>0</v>
      </c>
      <c r="J110" s="3"/>
      <c r="K110" s="3"/>
      <c r="L110" s="3">
        <f t="shared" si="43"/>
        <v>12.423600000000002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0</v>
      </c>
      <c r="D111" s="3">
        <f t="shared" ref="D111:L111" si="44">SUM(D364:D366)</f>
        <v>0</v>
      </c>
      <c r="E111" s="3">
        <f t="shared" si="44"/>
        <v>0</v>
      </c>
      <c r="F111" s="3">
        <f t="shared" si="44"/>
        <v>0</v>
      </c>
      <c r="G111" s="3">
        <f t="shared" si="44"/>
        <v>0</v>
      </c>
      <c r="H111" s="3">
        <f t="shared" si="44"/>
        <v>1</v>
      </c>
      <c r="I111" s="3">
        <f>I366</f>
        <v>0</v>
      </c>
      <c r="J111" s="3"/>
      <c r="K111" s="3"/>
      <c r="L111" s="3">
        <f t="shared" si="44"/>
        <v>3.4800000000000005E-2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0</v>
      </c>
      <c r="D113" s="3">
        <f t="shared" si="45"/>
        <v>0</v>
      </c>
      <c r="E113" s="3">
        <f t="shared" si="45"/>
        <v>0</v>
      </c>
      <c r="F113" s="3">
        <f t="shared" si="45"/>
        <v>0</v>
      </c>
      <c r="G113" s="3">
        <f t="shared" si="45"/>
        <v>0</v>
      </c>
      <c r="H113" s="3">
        <f t="shared" si="45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0</v>
      </c>
      <c r="D114" s="3">
        <f t="shared" si="46"/>
        <v>0</v>
      </c>
      <c r="E114" s="3">
        <f t="shared" si="46"/>
        <v>0</v>
      </c>
      <c r="F114" s="3">
        <f t="shared" si="46"/>
        <v>0</v>
      </c>
      <c r="G114" s="3">
        <f t="shared" si="46"/>
        <v>0</v>
      </c>
      <c r="H114" s="3">
        <f t="shared" si="46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0</v>
      </c>
      <c r="D115" s="3">
        <f t="shared" ref="D115:L115" si="47">SUM(D374:D376)</f>
        <v>0</v>
      </c>
      <c r="E115" s="3">
        <f t="shared" si="47"/>
        <v>0</v>
      </c>
      <c r="F115" s="3">
        <f t="shared" si="47"/>
        <v>0</v>
      </c>
      <c r="G115" s="3">
        <f t="shared" si="47"/>
        <v>0</v>
      </c>
      <c r="H115" s="3">
        <f t="shared" si="47"/>
        <v>503</v>
      </c>
      <c r="I115" s="3">
        <f>I376</f>
        <v>0</v>
      </c>
      <c r="J115" s="3"/>
      <c r="K115" s="3"/>
      <c r="L115" s="3">
        <f t="shared" si="47"/>
        <v>17.5044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0</v>
      </c>
      <c r="D116" s="3">
        <f t="shared" si="48"/>
        <v>0</v>
      </c>
      <c r="E116" s="3">
        <f t="shared" si="48"/>
        <v>0</v>
      </c>
      <c r="F116" s="3">
        <f t="shared" si="48"/>
        <v>0</v>
      </c>
      <c r="G116" s="3">
        <f t="shared" si="48"/>
        <v>0</v>
      </c>
      <c r="H116" s="3">
        <f t="shared" si="48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0</v>
      </c>
      <c r="D118" s="3">
        <f t="shared" si="49"/>
        <v>0</v>
      </c>
      <c r="E118" s="3">
        <f t="shared" si="49"/>
        <v>0</v>
      </c>
      <c r="F118" s="3">
        <f t="shared" si="49"/>
        <v>0</v>
      </c>
      <c r="G118" s="3">
        <f t="shared" si="49"/>
        <v>0</v>
      </c>
      <c r="H118" s="3">
        <f t="shared" si="49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0</v>
      </c>
      <c r="D119" s="3">
        <f t="shared" ref="D119:L119" si="50">SUM(D384:D386)</f>
        <v>0</v>
      </c>
      <c r="E119" s="3">
        <f t="shared" si="50"/>
        <v>0</v>
      </c>
      <c r="F119" s="3">
        <f t="shared" si="50"/>
        <v>0</v>
      </c>
      <c r="G119" s="3">
        <f t="shared" si="50"/>
        <v>0</v>
      </c>
      <c r="H119" s="3">
        <f t="shared" si="50"/>
        <v>8</v>
      </c>
      <c r="I119" s="3">
        <f t="shared" si="50"/>
        <v>0</v>
      </c>
      <c r="J119" s="3"/>
      <c r="K119" s="3"/>
      <c r="L119" s="3">
        <f t="shared" si="50"/>
        <v>0.27840000000000004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0</v>
      </c>
      <c r="D120" s="3">
        <f t="shared" si="51"/>
        <v>0</v>
      </c>
      <c r="E120" s="3">
        <f t="shared" si="51"/>
        <v>0</v>
      </c>
      <c r="F120" s="3">
        <f t="shared" si="51"/>
        <v>0</v>
      </c>
      <c r="G120" s="3">
        <f t="shared" si="51"/>
        <v>0</v>
      </c>
      <c r="H120" s="3">
        <f t="shared" si="51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0</v>
      </c>
      <c r="D121" s="3">
        <f t="shared" si="52"/>
        <v>0</v>
      </c>
      <c r="E121" s="3">
        <f t="shared" si="52"/>
        <v>0</v>
      </c>
      <c r="F121" s="3">
        <f t="shared" si="52"/>
        <v>0</v>
      </c>
      <c r="G121" s="3">
        <f t="shared" si="52"/>
        <v>0</v>
      </c>
      <c r="H121" s="3">
        <f t="shared" si="52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0</v>
      </c>
      <c r="D123" s="3">
        <f t="shared" si="53"/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0</v>
      </c>
      <c r="D124" s="3">
        <f t="shared" si="54"/>
        <v>0</v>
      </c>
      <c r="E124" s="3">
        <f t="shared" si="54"/>
        <v>0</v>
      </c>
      <c r="F124" s="3">
        <f t="shared" si="54"/>
        <v>0</v>
      </c>
      <c r="G124" s="3">
        <f t="shared" si="54"/>
        <v>0</v>
      </c>
      <c r="H124" s="3">
        <f t="shared" si="54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0</v>
      </c>
      <c r="D125" s="3">
        <f t="shared" si="55"/>
        <v>0</v>
      </c>
      <c r="E125" s="3">
        <f t="shared" si="55"/>
        <v>0</v>
      </c>
      <c r="F125" s="3">
        <f t="shared" si="55"/>
        <v>0</v>
      </c>
      <c r="G125" s="3">
        <f t="shared" si="55"/>
        <v>0</v>
      </c>
      <c r="H125" s="3">
        <f t="shared" si="55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0</v>
      </c>
      <c r="D126" s="3">
        <f t="shared" si="56"/>
        <v>0</v>
      </c>
      <c r="E126" s="3">
        <f t="shared" si="56"/>
        <v>0</v>
      </c>
      <c r="F126" s="3">
        <f t="shared" si="56"/>
        <v>0</v>
      </c>
      <c r="G126" s="3">
        <f t="shared" si="56"/>
        <v>0</v>
      </c>
      <c r="H126" s="3">
        <f t="shared" si="56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0</v>
      </c>
      <c r="D128" s="3">
        <f t="shared" si="57"/>
        <v>0</v>
      </c>
      <c r="E128" s="3">
        <f t="shared" si="57"/>
        <v>0</v>
      </c>
      <c r="F128" s="3">
        <f t="shared" si="57"/>
        <v>0</v>
      </c>
      <c r="G128" s="3">
        <f t="shared" si="57"/>
        <v>0</v>
      </c>
      <c r="H128" s="3">
        <f t="shared" si="57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0</v>
      </c>
      <c r="D129" s="3">
        <f t="shared" si="58"/>
        <v>0</v>
      </c>
      <c r="E129" s="3">
        <f t="shared" si="58"/>
        <v>0</v>
      </c>
      <c r="F129" s="3">
        <f t="shared" si="58"/>
        <v>0</v>
      </c>
      <c r="G129" s="3">
        <f t="shared" si="58"/>
        <v>0</v>
      </c>
      <c r="H129" s="3">
        <f t="shared" si="58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0</v>
      </c>
      <c r="D130" s="3">
        <f t="shared" si="59"/>
        <v>0</v>
      </c>
      <c r="E130" s="3">
        <f t="shared" si="59"/>
        <v>0</v>
      </c>
      <c r="F130" s="3">
        <f t="shared" si="59"/>
        <v>0</v>
      </c>
      <c r="G130" s="3">
        <f t="shared" si="59"/>
        <v>0</v>
      </c>
      <c r="H130" s="3">
        <f t="shared" si="59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0</v>
      </c>
      <c r="D131" s="3">
        <f t="shared" si="60"/>
        <v>0</v>
      </c>
      <c r="E131" s="3">
        <f t="shared" si="60"/>
        <v>0</v>
      </c>
      <c r="F131" s="3">
        <f t="shared" si="60"/>
        <v>0</v>
      </c>
      <c r="G131" s="3">
        <f t="shared" si="60"/>
        <v>0</v>
      </c>
      <c r="H131" s="3">
        <f t="shared" si="60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0</v>
      </c>
      <c r="D133" s="3">
        <f t="shared" si="61"/>
        <v>0</v>
      </c>
      <c r="E133" s="3">
        <f t="shared" si="61"/>
        <v>0</v>
      </c>
      <c r="F133" s="3">
        <f t="shared" si="61"/>
        <v>0</v>
      </c>
      <c r="G133" s="3">
        <f t="shared" si="61"/>
        <v>0</v>
      </c>
      <c r="H133" s="3">
        <f t="shared" si="61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0</v>
      </c>
      <c r="D134" s="3">
        <f t="shared" si="62"/>
        <v>0</v>
      </c>
      <c r="E134" s="3">
        <f t="shared" si="62"/>
        <v>0</v>
      </c>
      <c r="F134" s="3">
        <f t="shared" si="62"/>
        <v>0</v>
      </c>
      <c r="G134" s="3">
        <f t="shared" si="62"/>
        <v>0</v>
      </c>
      <c r="H134" s="3">
        <f t="shared" si="62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0</v>
      </c>
      <c r="D135" s="3">
        <f t="shared" si="63"/>
        <v>0</v>
      </c>
      <c r="E135" s="3">
        <f t="shared" si="63"/>
        <v>0</v>
      </c>
      <c r="F135" s="3">
        <f t="shared" si="63"/>
        <v>0</v>
      </c>
      <c r="G135" s="3">
        <f t="shared" si="63"/>
        <v>0</v>
      </c>
      <c r="H135" s="3">
        <f t="shared" si="63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0</v>
      </c>
      <c r="D136" s="3">
        <f t="shared" si="64"/>
        <v>0</v>
      </c>
      <c r="E136" s="3">
        <f t="shared" si="64"/>
        <v>0</v>
      </c>
      <c r="F136" s="3">
        <f t="shared" si="64"/>
        <v>0</v>
      </c>
      <c r="G136" s="3">
        <f t="shared" si="64"/>
        <v>0</v>
      </c>
      <c r="H136" s="3">
        <f t="shared" si="64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0</v>
      </c>
      <c r="D138" s="3">
        <f t="shared" ref="D138:H138" si="65">SUM(D433:D435)</f>
        <v>0</v>
      </c>
      <c r="E138" s="3">
        <f t="shared" si="65"/>
        <v>0</v>
      </c>
      <c r="F138" s="3">
        <f t="shared" si="65"/>
        <v>0</v>
      </c>
      <c r="G138" s="3">
        <f t="shared" si="65"/>
        <v>0</v>
      </c>
      <c r="H138" s="3">
        <f t="shared" si="65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0</v>
      </c>
      <c r="D139" s="3">
        <f t="shared" ref="D139:L139" si="66">SUM(D436:D438)</f>
        <v>0</v>
      </c>
      <c r="E139" s="3">
        <f t="shared" si="66"/>
        <v>0</v>
      </c>
      <c r="F139" s="3">
        <f t="shared" si="66"/>
        <v>0</v>
      </c>
      <c r="G139" s="3">
        <f t="shared" si="66"/>
        <v>0</v>
      </c>
      <c r="H139" s="3">
        <f t="shared" si="66"/>
        <v>24</v>
      </c>
      <c r="I139" s="3">
        <f>SUM(I438)</f>
        <v>0</v>
      </c>
      <c r="J139" s="3"/>
      <c r="K139" s="3"/>
      <c r="L139" s="3">
        <f t="shared" si="66"/>
        <v>0.83520000000000016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0</v>
      </c>
      <c r="D140" s="3">
        <f t="shared" ref="D140:L140" si="67">SUM(D439:D441)</f>
        <v>0</v>
      </c>
      <c r="E140" s="3">
        <f t="shared" si="67"/>
        <v>0</v>
      </c>
      <c r="F140" s="3">
        <f t="shared" si="67"/>
        <v>0</v>
      </c>
      <c r="G140" s="3">
        <f t="shared" si="67"/>
        <v>0</v>
      </c>
      <c r="H140" s="3">
        <f t="shared" si="67"/>
        <v>34</v>
      </c>
      <c r="I140" s="3">
        <f>SUM(I441)</f>
        <v>0</v>
      </c>
      <c r="J140" s="3"/>
      <c r="K140" s="3"/>
      <c r="L140" s="3">
        <f t="shared" si="67"/>
        <v>1.1832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0</v>
      </c>
      <c r="D141" s="3">
        <f t="shared" si="68"/>
        <v>0</v>
      </c>
      <c r="E141" s="3">
        <f t="shared" si="68"/>
        <v>0</v>
      </c>
      <c r="F141" s="3">
        <f t="shared" si="68"/>
        <v>0</v>
      </c>
      <c r="G141" s="3">
        <f t="shared" si="68"/>
        <v>0</v>
      </c>
      <c r="H141" s="3">
        <f t="shared" si="68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0</v>
      </c>
      <c r="D143" s="3">
        <f t="shared" ref="D143:L143" si="69">SUM(D446:D448)</f>
        <v>0</v>
      </c>
      <c r="E143" s="3">
        <f t="shared" si="69"/>
        <v>0</v>
      </c>
      <c r="F143" s="3">
        <f t="shared" si="69"/>
        <v>0</v>
      </c>
      <c r="G143" s="3">
        <f t="shared" si="69"/>
        <v>0</v>
      </c>
      <c r="H143" s="3">
        <f t="shared" si="69"/>
        <v>21</v>
      </c>
      <c r="I143" s="3">
        <f>SUM(I448)</f>
        <v>0</v>
      </c>
      <c r="J143" s="3"/>
      <c r="K143" s="3"/>
      <c r="L143" s="3">
        <f t="shared" si="69"/>
        <v>0.73080000000000012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0</v>
      </c>
      <c r="D144" s="3">
        <f t="shared" si="70"/>
        <v>0</v>
      </c>
      <c r="E144" s="3">
        <f t="shared" si="70"/>
        <v>0</v>
      </c>
      <c r="F144" s="3">
        <f t="shared" si="70"/>
        <v>0</v>
      </c>
      <c r="G144" s="3">
        <f t="shared" si="70"/>
        <v>0</v>
      </c>
      <c r="H144" s="3">
        <f t="shared" si="70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0</v>
      </c>
      <c r="D145" s="3">
        <f t="shared" ref="D145:L145" si="71">SUM(D452:D454)</f>
        <v>0</v>
      </c>
      <c r="E145" s="3">
        <f t="shared" si="71"/>
        <v>0</v>
      </c>
      <c r="F145" s="3">
        <f t="shared" si="71"/>
        <v>0</v>
      </c>
      <c r="G145" s="3">
        <f t="shared" si="71"/>
        <v>0</v>
      </c>
      <c r="H145" s="3">
        <f t="shared" si="71"/>
        <v>213</v>
      </c>
      <c r="I145" s="3">
        <f>SUM(I454)</f>
        <v>0</v>
      </c>
      <c r="J145" s="3"/>
      <c r="K145" s="3"/>
      <c r="L145" s="3">
        <f t="shared" si="71"/>
        <v>7.4124000000000025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0</v>
      </c>
      <c r="D146" s="3">
        <f t="shared" ref="D146:L146" si="72">SUM(D455:D457)</f>
        <v>0</v>
      </c>
      <c r="E146" s="3">
        <f t="shared" si="72"/>
        <v>0</v>
      </c>
      <c r="F146" s="3">
        <f t="shared" si="72"/>
        <v>0</v>
      </c>
      <c r="G146" s="3">
        <f t="shared" si="72"/>
        <v>0</v>
      </c>
      <c r="H146" s="3">
        <f t="shared" si="72"/>
        <v>8</v>
      </c>
      <c r="I146" s="3">
        <f>SUM(I457)</f>
        <v>0</v>
      </c>
      <c r="J146" s="3"/>
      <c r="K146" s="3"/>
      <c r="L146" s="3">
        <f t="shared" si="72"/>
        <v>0.27840000000000004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0</v>
      </c>
      <c r="D148" s="3">
        <f t="shared" si="73"/>
        <v>0</v>
      </c>
      <c r="E148" s="3">
        <f t="shared" si="73"/>
        <v>0</v>
      </c>
      <c r="F148" s="3">
        <f t="shared" si="73"/>
        <v>0</v>
      </c>
      <c r="G148" s="3">
        <f t="shared" si="73"/>
        <v>0</v>
      </c>
      <c r="H148" s="3">
        <f t="shared" si="73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0</v>
      </c>
      <c r="D149" s="3">
        <f t="shared" ref="D149:L149" si="74">SUM(D462:D464)</f>
        <v>0</v>
      </c>
      <c r="E149" s="3">
        <f t="shared" si="74"/>
        <v>0</v>
      </c>
      <c r="F149" s="3">
        <f t="shared" si="74"/>
        <v>0</v>
      </c>
      <c r="G149" s="3">
        <f t="shared" si="74"/>
        <v>0</v>
      </c>
      <c r="H149" s="3">
        <f t="shared" si="74"/>
        <v>23</v>
      </c>
      <c r="I149" s="3">
        <f>SUM(I464)</f>
        <v>0</v>
      </c>
      <c r="J149" s="3"/>
      <c r="K149" s="3"/>
      <c r="L149" s="3">
        <f t="shared" si="74"/>
        <v>0.8004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0</v>
      </c>
      <c r="D150" s="3">
        <f t="shared" ref="D150:L150" si="75">SUM(D465:D467)</f>
        <v>0</v>
      </c>
      <c r="E150" s="3">
        <f t="shared" si="75"/>
        <v>0</v>
      </c>
      <c r="F150" s="3">
        <f t="shared" si="75"/>
        <v>0</v>
      </c>
      <c r="G150" s="3">
        <f t="shared" si="75"/>
        <v>0</v>
      </c>
      <c r="H150" s="3">
        <f t="shared" si="75"/>
        <v>8</v>
      </c>
      <c r="I150" s="3">
        <f>I467</f>
        <v>0</v>
      </c>
      <c r="J150" s="3"/>
      <c r="K150" s="3"/>
      <c r="L150" s="3">
        <f t="shared" si="75"/>
        <v>0.27840000000000004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0</v>
      </c>
      <c r="D151" s="3">
        <f t="shared" ref="D151:H151" si="76">SUM(D468:D470)</f>
        <v>0</v>
      </c>
      <c r="E151" s="3">
        <f t="shared" si="76"/>
        <v>0</v>
      </c>
      <c r="F151" s="3">
        <f t="shared" si="76"/>
        <v>0</v>
      </c>
      <c r="G151" s="3">
        <f t="shared" si="76"/>
        <v>0</v>
      </c>
      <c r="H151" s="3">
        <f t="shared" si="76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0</v>
      </c>
      <c r="D153" s="3">
        <f t="shared" ref="D153:L153" si="77">SUM(D472:D474)</f>
        <v>0</v>
      </c>
      <c r="E153" s="3">
        <f t="shared" si="77"/>
        <v>0</v>
      </c>
      <c r="F153" s="3">
        <f t="shared" si="77"/>
        <v>0</v>
      </c>
      <c r="G153" s="3">
        <f t="shared" si="77"/>
        <v>0</v>
      </c>
      <c r="H153" s="3">
        <f t="shared" si="77"/>
        <v>0</v>
      </c>
      <c r="I153" s="3">
        <f>I474</f>
        <v>0</v>
      </c>
      <c r="J153" s="3"/>
      <c r="K153" s="3"/>
      <c r="L153" s="3">
        <f t="shared" si="77"/>
        <v>0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0</v>
      </c>
      <c r="D154" s="3">
        <f t="shared" ref="D154:H154" si="78">SUM(D475:D477)</f>
        <v>0</v>
      </c>
      <c r="E154" s="3">
        <f t="shared" si="78"/>
        <v>0</v>
      </c>
      <c r="F154" s="3">
        <f t="shared" si="78"/>
        <v>0</v>
      </c>
      <c r="G154" s="3">
        <f t="shared" si="78"/>
        <v>0</v>
      </c>
      <c r="H154" s="3">
        <f t="shared" si="78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0</v>
      </c>
      <c r="D155" s="3">
        <f t="shared" ref="D155:L155" si="79">SUM(D478:D480)</f>
        <v>0</v>
      </c>
      <c r="E155" s="3">
        <f t="shared" si="79"/>
        <v>0</v>
      </c>
      <c r="F155" s="3">
        <f t="shared" si="79"/>
        <v>0</v>
      </c>
      <c r="G155" s="3">
        <f t="shared" si="79"/>
        <v>0</v>
      </c>
      <c r="H155" s="3">
        <f t="shared" si="79"/>
        <v>0</v>
      </c>
      <c r="I155" s="3">
        <f>I480</f>
        <v>0</v>
      </c>
      <c r="J155" s="3"/>
      <c r="K155" s="3"/>
      <c r="L155" s="3">
        <f t="shared" si="79"/>
        <v>0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0</v>
      </c>
      <c r="D156" s="3">
        <f t="shared" ref="D156:H156" si="80">SUM(D481:D483)</f>
        <v>0</v>
      </c>
      <c r="E156" s="3">
        <f t="shared" si="80"/>
        <v>0</v>
      </c>
      <c r="F156" s="3">
        <f t="shared" si="80"/>
        <v>0</v>
      </c>
      <c r="G156" s="3">
        <f t="shared" si="80"/>
        <v>0</v>
      </c>
      <c r="H156" s="3">
        <f t="shared" si="80"/>
        <v>0</v>
      </c>
      <c r="I156" s="3">
        <f>I483</f>
        <v>0</v>
      </c>
      <c r="J156"/>
      <c r="K156"/>
      <c r="L156" s="3">
        <f t="shared" ref="L156" si="81">SUM(L481:L483)</f>
        <v>0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3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153</v>
      </c>
      <c r="H160" s="3">
        <v>862.06896551724139</v>
      </c>
      <c r="N160" s="23" t="s">
        <v>115</v>
      </c>
    </row>
    <row r="161" spans="1:14" x14ac:dyDescent="0.25">
      <c r="A161" s="33" t="s">
        <v>103</v>
      </c>
      <c r="H161" s="3">
        <v>977.0114942528736</v>
      </c>
      <c r="N161" s="23" t="s">
        <v>116</v>
      </c>
    </row>
    <row r="162" spans="1:14" x14ac:dyDescent="0.25">
      <c r="A162" s="33" t="s">
        <v>104</v>
      </c>
      <c r="H162" s="3">
        <v>977.0114942528736</v>
      </c>
      <c r="N162" s="23" t="s">
        <v>117</v>
      </c>
    </row>
    <row r="163" spans="1:14" x14ac:dyDescent="0.25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5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5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5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5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5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5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5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5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5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5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8" thickBot="1" x14ac:dyDescent="0.3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5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5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5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5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5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5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5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5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5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5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8" thickBot="1" x14ac:dyDescent="0.3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5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5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5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5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5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5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5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5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5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5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8" thickBot="1" x14ac:dyDescent="0.3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5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5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5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5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5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5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5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5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5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5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8" thickBot="1" x14ac:dyDescent="0.3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8" thickBot="1" x14ac:dyDescent="0.3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5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5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5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5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8" thickBot="1" x14ac:dyDescent="0.3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5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5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5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5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5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5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5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5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5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5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8" thickBot="1" x14ac:dyDescent="0.3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5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5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5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5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5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5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5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5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5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5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8" thickBot="1" x14ac:dyDescent="0.3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5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5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5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5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5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5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5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5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5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5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8" thickBot="1" x14ac:dyDescent="0.3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5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5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5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5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5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5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5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5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5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5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8" thickBot="1" x14ac:dyDescent="0.3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82">H342*0.8*43.5/1000</f>
        <v>1.4616000000000002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82"/>
        <v>1.2527999999999999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82"/>
        <v>0.48720000000000002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H345" s="67">
        <v>28</v>
      </c>
      <c r="L345" s="14">
        <f t="shared" si="82"/>
        <v>0.97440000000000004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H346" s="67">
        <v>17</v>
      </c>
      <c r="L346" s="14">
        <f t="shared" si="82"/>
        <v>0.59160000000000001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H347" s="67">
        <v>12</v>
      </c>
      <c r="L347" s="14">
        <f t="shared" si="82"/>
        <v>0.41760000000000008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H348" s="67">
        <v>621</v>
      </c>
      <c r="L348" s="14">
        <f t="shared" si="82"/>
        <v>21.610799999999998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H349" s="67">
        <v>45</v>
      </c>
      <c r="L349" s="14">
        <f t="shared" si="82"/>
        <v>1.5660000000000001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H350" s="67">
        <v>1</v>
      </c>
      <c r="L350" s="14">
        <f t="shared" si="82"/>
        <v>3.4800000000000005E-2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H351" s="67">
        <v>50</v>
      </c>
      <c r="L351" s="14">
        <f t="shared" si="82"/>
        <v>1.74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H352" s="67">
        <v>8</v>
      </c>
      <c r="L352" s="14">
        <f t="shared" si="82"/>
        <v>0.27840000000000004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82"/>
        <v>1.2527999999999999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5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83">H358*0.8*43.5/1000</f>
        <v>0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83"/>
        <v>0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83"/>
        <v>5.1852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83"/>
        <v>12.249600000000001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83"/>
        <v>0.13920000000000002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83"/>
        <v>3.4800000000000005E-2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4">H368*0.8*43.5/1000</f>
        <v>0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4"/>
        <v>0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4"/>
        <v>0.31319999999999998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4"/>
        <v>0.27840000000000004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4"/>
        <v>0.13920000000000002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4"/>
        <v>1.6008000000000002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4"/>
        <v>17.330400000000001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4"/>
        <v>0.17399999999999999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4"/>
        <v>0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4"/>
        <v>0.24360000000000001</v>
      </c>
      <c r="N377" s="23" t="str">
        <f>'Olieforbrug, TJ'!M377</f>
        <v>October</v>
      </c>
    </row>
    <row r="378" spans="1:14" ht="14.1" customHeight="1" x14ac:dyDescent="0.25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4"/>
        <v>0.41760000000000008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4"/>
        <v>0.27840000000000004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5">H381*0.8*43.5/1000</f>
        <v>0.34799999999999998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5"/>
        <v>0.34799999999999998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5"/>
        <v>0.48720000000000002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5"/>
        <v>0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5"/>
        <v>0.13920000000000002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5"/>
        <v>0.13920000000000002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5"/>
        <v>12.319199999999999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5"/>
        <v>3.4800000000000005E-2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5"/>
        <v>0.31319999999999998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5"/>
        <v>0.13920000000000002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5"/>
        <v>0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5"/>
        <v>156.8784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6">H394*0.8*43.5/1000</f>
        <v>0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6"/>
        <v>0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6"/>
        <v>180.19440000000003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6"/>
        <v>0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6"/>
        <v>0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6"/>
        <v>0</v>
      </c>
      <c r="N399" s="23" t="str">
        <f>'Olieforbrug, TJ'!M399</f>
        <v>June</v>
      </c>
    </row>
    <row r="400" spans="1:14" x14ac:dyDescent="0.25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6"/>
        <v>6.8556000000000017</v>
      </c>
      <c r="N400" s="23" t="str">
        <f>'Olieforbrug, TJ'!M400</f>
        <v>July</v>
      </c>
    </row>
    <row r="401" spans="1:14" x14ac:dyDescent="0.25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6"/>
        <v>0</v>
      </c>
      <c r="N401" s="23" t="str">
        <f>'Olieforbrug, TJ'!M401</f>
        <v>August</v>
      </c>
    </row>
    <row r="402" spans="1:14" x14ac:dyDescent="0.25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6"/>
        <v>0</v>
      </c>
      <c r="N402" s="23" t="str">
        <f>'Olieforbrug, TJ'!M402</f>
        <v>September</v>
      </c>
    </row>
    <row r="403" spans="1:14" x14ac:dyDescent="0.25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6"/>
        <v>0</v>
      </c>
      <c r="N403" s="23" t="str">
        <f>'Olieforbrug, TJ'!M403</f>
        <v>October</v>
      </c>
    </row>
    <row r="404" spans="1:14" x14ac:dyDescent="0.25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6"/>
        <v>0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6"/>
        <v>0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7">H407*0.8*43.5/1000</f>
        <v>0</v>
      </c>
      <c r="N407" s="23" t="str">
        <f>'Olieforbrug, TJ'!M407</f>
        <v>January</v>
      </c>
    </row>
    <row r="408" spans="1:14" x14ac:dyDescent="0.25">
      <c r="A408" s="23" t="s">
        <v>154</v>
      </c>
      <c r="H408" s="16">
        <v>0</v>
      </c>
      <c r="L408" s="14">
        <f t="shared" si="87"/>
        <v>0</v>
      </c>
      <c r="N408" s="23" t="str">
        <f>'Olieforbrug, TJ'!M408</f>
        <v>February</v>
      </c>
    </row>
    <row r="409" spans="1:14" x14ac:dyDescent="0.25">
      <c r="A409" s="23" t="s">
        <v>155</v>
      </c>
      <c r="H409" s="16">
        <v>12</v>
      </c>
      <c r="L409" s="14">
        <f t="shared" si="87"/>
        <v>0.41760000000000008</v>
      </c>
      <c r="N409" s="23" t="str">
        <f>'Olieforbrug, TJ'!M409</f>
        <v>March</v>
      </c>
    </row>
    <row r="410" spans="1:14" x14ac:dyDescent="0.25">
      <c r="A410" s="23" t="s">
        <v>118</v>
      </c>
      <c r="H410" s="16">
        <v>0</v>
      </c>
      <c r="L410" s="14">
        <f t="shared" si="87"/>
        <v>0</v>
      </c>
      <c r="N410" s="23" t="str">
        <f>'Olieforbrug, TJ'!M410</f>
        <v>April</v>
      </c>
    </row>
    <row r="411" spans="1:14" x14ac:dyDescent="0.25">
      <c r="A411" s="23" t="s">
        <v>137</v>
      </c>
      <c r="H411" s="16">
        <v>1242</v>
      </c>
      <c r="L411" s="14">
        <f t="shared" si="87"/>
        <v>43.221599999999995</v>
      </c>
      <c r="N411" s="23" t="str">
        <f>'Olieforbrug, TJ'!M411</f>
        <v>May</v>
      </c>
    </row>
    <row r="412" spans="1:14" x14ac:dyDescent="0.25">
      <c r="A412" s="23" t="s">
        <v>138</v>
      </c>
      <c r="H412" s="16">
        <v>8</v>
      </c>
      <c r="L412" s="14">
        <f t="shared" si="87"/>
        <v>0.27840000000000004</v>
      </c>
      <c r="N412" s="23" t="str">
        <f>'Olieforbrug, TJ'!M412</f>
        <v>June</v>
      </c>
    </row>
    <row r="413" spans="1:14" x14ac:dyDescent="0.25">
      <c r="A413" s="23" t="s">
        <v>129</v>
      </c>
      <c r="H413" s="16">
        <v>7</v>
      </c>
      <c r="L413" s="14">
        <f t="shared" si="87"/>
        <v>0.24360000000000001</v>
      </c>
      <c r="N413" s="23" t="str">
        <f>'Olieforbrug, TJ'!M413</f>
        <v>July</v>
      </c>
    </row>
    <row r="414" spans="1:14" x14ac:dyDescent="0.25">
      <c r="A414" s="23" t="s">
        <v>122</v>
      </c>
      <c r="H414" s="16">
        <v>8</v>
      </c>
      <c r="L414" s="14">
        <f t="shared" si="87"/>
        <v>0.27840000000000004</v>
      </c>
      <c r="N414" s="23" t="str">
        <f>'Olieforbrug, TJ'!M414</f>
        <v>August</v>
      </c>
    </row>
    <row r="415" spans="1:14" x14ac:dyDescent="0.25">
      <c r="A415" s="23" t="s">
        <v>123</v>
      </c>
      <c r="H415" s="16">
        <v>4</v>
      </c>
      <c r="L415" s="14">
        <f t="shared" si="87"/>
        <v>0.13920000000000002</v>
      </c>
      <c r="N415" s="23" t="str">
        <f>'Olieforbrug, TJ'!M415</f>
        <v>September</v>
      </c>
    </row>
    <row r="416" spans="1:14" x14ac:dyDescent="0.25">
      <c r="A416" s="23" t="s">
        <v>131</v>
      </c>
      <c r="H416" s="16">
        <v>8</v>
      </c>
      <c r="L416" s="14">
        <f t="shared" si="87"/>
        <v>0.27840000000000004</v>
      </c>
      <c r="N416" s="23" t="str">
        <f>'Olieforbrug, TJ'!M416</f>
        <v>October</v>
      </c>
    </row>
    <row r="417" spans="1:14" x14ac:dyDescent="0.25">
      <c r="A417" s="23" t="s">
        <v>125</v>
      </c>
      <c r="H417" s="16">
        <v>8</v>
      </c>
      <c r="L417" s="14">
        <f t="shared" si="87"/>
        <v>0.27840000000000004</v>
      </c>
      <c r="N417" s="23" t="str">
        <f>'Olieforbrug, TJ'!M417</f>
        <v>November</v>
      </c>
    </row>
    <row r="418" spans="1:14" ht="13.8" thickBot="1" x14ac:dyDescent="0.3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7"/>
        <v>0.24360000000000001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8">H420*0.8*43.5/1000</f>
        <v>0.24360000000000001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8"/>
        <v>0.27840000000000004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8"/>
        <v>0.13920000000000002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8"/>
        <v>1.3224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8"/>
        <v>0.27840000000000004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8"/>
        <v>7.7952000000000004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8"/>
        <v>9.3263999999999996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8"/>
        <v>0.13920000000000002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8"/>
        <v>0.34799999999999998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H429" s="16">
        <v>37</v>
      </c>
      <c r="L429" s="14">
        <f t="shared" si="88"/>
        <v>1.2876000000000001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H430" s="16">
        <v>12</v>
      </c>
      <c r="L430" s="14">
        <f t="shared" si="88"/>
        <v>0.41760000000000008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8"/>
        <v>0.41760000000000008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9">H433*0.8*43.5/1000</f>
        <v>0.24360000000000001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9"/>
        <v>2.0880000000000001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9"/>
        <v>2.0880000000000001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9"/>
        <v>0.27840000000000004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9"/>
        <v>0.34799999999999998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9"/>
        <v>0.20880000000000004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90">H439*0.8*43.5/1000</f>
        <v>0.76560000000000006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91">H440*0.8*43.5/1000</f>
        <v>0.13920000000000002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92">H441*0.8*43.5/1000</f>
        <v>0.27840000000000004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93">H442*0.8*43.5/1000</f>
        <v>0.27840000000000004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4">H443*0.8*43.5/1000</f>
        <v>0.10440000000000002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5">H444*0.8*43.5/1000</f>
        <v>0</v>
      </c>
      <c r="M444" s="15"/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6">H446*0.8*43.5/1000</f>
        <v>0.31319999999999998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7">H447*0.8*43.5/1000</f>
        <v>0.13920000000000002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8">H448*0.8*43.5/1000</f>
        <v>0.27840000000000004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9">H449*0.8*43.5/1000</f>
        <v>0.17399999999999999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100">H450*0.8*43.5/1000</f>
        <v>0.10440000000000002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101">H451*0.8*43.5/1000</f>
        <v>0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102">H452*0.8*43.5/1000</f>
        <v>6.8556000000000017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103">H453*0.8*43.5/1000</f>
        <v>0.27840000000000004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4">H454*0.8*43.5/1000</f>
        <v>0.27840000000000004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5">H455*0.8*43.5/1000</f>
        <v>0.13920000000000002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6">H456*0.8*43.5/1000</f>
        <v>0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7">H457*0.8*43.5/1000</f>
        <v>0.13920000000000002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8">H459*0.8*43.5/1000</f>
        <v>0.27840000000000004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9">H460*0.8*43.5/1000</f>
        <v>0.24360000000000001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10">H461*0.8*43.5/1000</f>
        <v>0.31319999999999998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11">H462*0.8*43.5/1000</f>
        <v>0.24360000000000001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12">H463*0.8*43.5/1000</f>
        <v>0.27840000000000004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13">H464*0.8*43.5/1000</f>
        <v>0.27840000000000004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4">H465*0.8*43.5/1000</f>
        <v>0.27840000000000004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5">H466*0.8*43.5/1000</f>
        <v>0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6">H467*0.8*43.5/1000</f>
        <v>0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7">H468*0.8*43.5/1000</f>
        <v>0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8">H469*0.8*43.5/1000</f>
        <v>0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9">H470*0.8*43.5/1000</f>
        <v>0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20">H472*0.8*43.5/1000</f>
        <v>0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21">H473*0.8*43.5/1000</f>
        <v>0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22">H474*0.8*43.5/1000</f>
        <v>0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23">H475*0.8*43.5/1000</f>
        <v>0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4">H476*0.8*43.5/1000</f>
        <v>0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5">H477*0.8*43.5/1000</f>
        <v>0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6">H478*0.8*43.5/1000</f>
        <v>0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G479" s="69"/>
      <c r="H479" s="16">
        <v>0</v>
      </c>
      <c r="I479" s="16"/>
      <c r="J479" s="15"/>
      <c r="K479" s="15"/>
      <c r="L479" s="14">
        <f t="shared" ref="L479" si="127">H479*0.8*43.5/1000</f>
        <v>0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G480" s="69"/>
      <c r="H480" s="16">
        <v>0</v>
      </c>
      <c r="I480" s="16"/>
      <c r="J480" s="15"/>
      <c r="K480" s="15"/>
      <c r="L480" s="14">
        <f t="shared" ref="L480" si="128">H480*0.8*43.5/1000</f>
        <v>0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G481" s="69"/>
      <c r="H481" s="16">
        <v>0</v>
      </c>
      <c r="I481" s="16"/>
      <c r="J481" s="15"/>
      <c r="K481" s="15"/>
      <c r="L481" s="14">
        <f t="shared" ref="L481" si="129">H481*0.8*43.5/1000</f>
        <v>0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G482" s="69"/>
      <c r="H482" s="16">
        <v>0</v>
      </c>
      <c r="I482" s="16"/>
      <c r="J482" s="15"/>
      <c r="K482" s="15"/>
      <c r="L482" s="14">
        <f t="shared" ref="L482" si="130">H482*0.8*43.5/1000</f>
        <v>0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G483" s="69"/>
      <c r="H483" s="16">
        <v>0</v>
      </c>
      <c r="I483" s="16"/>
      <c r="J483" s="15"/>
      <c r="K483" s="15"/>
      <c r="L483" s="14">
        <f t="shared" ref="L483" si="131">H483*0.8*43.5/1000</f>
        <v>0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83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L486" sqref="L486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88671875" bestFit="1" customWidth="1"/>
    <col min="14" max="14" width="20.5546875" customWidth="1"/>
    <col min="15" max="15" width="9.5546875" customWidth="1"/>
    <col min="16" max="16" width="10.109375" bestFit="1" customWidth="1"/>
  </cols>
  <sheetData>
    <row r="1" spans="1:16" x14ac:dyDescent="0.25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5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8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8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5">
      <c r="A6" s="21"/>
      <c r="C6" s="10"/>
      <c r="D6" s="10"/>
      <c r="E6" s="10"/>
      <c r="F6" s="10"/>
      <c r="G6" s="10"/>
      <c r="H6" s="10"/>
      <c r="I6" s="10"/>
    </row>
    <row r="7" spans="1:16" x14ac:dyDescent="0.25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5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5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5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5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5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5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5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5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5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5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5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5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264214</v>
      </c>
      <c r="D27" s="3">
        <f t="shared" ref="D27:L27" si="11">SUM(D472:D483)</f>
        <v>1067849</v>
      </c>
      <c r="E27" s="3">
        <f t="shared" si="11"/>
        <v>49538</v>
      </c>
      <c r="F27" s="3">
        <f t="shared" si="11"/>
        <v>0</v>
      </c>
      <c r="G27" s="3">
        <f t="shared" si="11"/>
        <v>8225</v>
      </c>
      <c r="H27" s="3">
        <f t="shared" si="11"/>
        <v>1293875</v>
      </c>
      <c r="I27" s="3">
        <f>I483</f>
        <v>297412</v>
      </c>
      <c r="J27" s="3"/>
      <c r="K27" s="3"/>
      <c r="L27" s="3">
        <f t="shared" si="11"/>
        <v>45026.850000000006</v>
      </c>
      <c r="M27" s="57"/>
      <c r="N27" s="22">
        <v>2025</v>
      </c>
    </row>
    <row r="28" spans="1:16" x14ac:dyDescent="0.25">
      <c r="A28" s="23"/>
      <c r="J28" s="3"/>
      <c r="K28" s="3"/>
      <c r="L28" s="3"/>
      <c r="M28" s="3"/>
    </row>
    <row r="29" spans="1:16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633834</v>
      </c>
      <c r="D30" s="3">
        <f t="shared" si="12"/>
        <v>1213170</v>
      </c>
      <c r="E30" s="3">
        <f t="shared" si="12"/>
        <v>473464</v>
      </c>
      <c r="F30" s="3">
        <f t="shared" si="12"/>
        <v>0</v>
      </c>
      <c r="G30" s="3">
        <f t="shared" si="12"/>
        <v>-272475</v>
      </c>
      <c r="H30" s="3">
        <f t="shared" si="12"/>
        <v>1148258</v>
      </c>
      <c r="I30" s="3">
        <f>I223</f>
        <v>462640</v>
      </c>
      <c r="J30" s="3"/>
      <c r="K30" s="3"/>
      <c r="L30" s="3">
        <f>SUM(L212:L223)</f>
        <v>38810.3868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759731</v>
      </c>
      <c r="D31" s="3">
        <f t="shared" si="13"/>
        <v>746734</v>
      </c>
      <c r="E31" s="3">
        <f t="shared" si="13"/>
        <v>554773</v>
      </c>
      <c r="F31" s="3">
        <f t="shared" si="13"/>
        <v>0</v>
      </c>
      <c r="G31" s="3">
        <f t="shared" si="13"/>
        <v>172327</v>
      </c>
      <c r="H31" s="3">
        <f t="shared" si="13"/>
        <v>1122523</v>
      </c>
      <c r="I31" s="3">
        <f>I236</f>
        <v>290313</v>
      </c>
      <c r="J31" s="3"/>
      <c r="K31" s="3"/>
      <c r="L31" s="3">
        <f>SUM(L225:L236)</f>
        <v>39063.800399999993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677714</v>
      </c>
      <c r="D32" s="3">
        <f t="shared" si="14"/>
        <v>922791</v>
      </c>
      <c r="E32" s="3">
        <f t="shared" si="14"/>
        <v>637099</v>
      </c>
      <c r="F32" s="3">
        <f t="shared" si="14"/>
        <v>0</v>
      </c>
      <c r="G32" s="3">
        <f t="shared" si="14"/>
        <v>155082</v>
      </c>
      <c r="H32" s="3">
        <f t="shared" si="14"/>
        <v>1170638</v>
      </c>
      <c r="I32" s="3">
        <f>I249</f>
        <v>135231</v>
      </c>
      <c r="J32" s="3"/>
      <c r="K32" s="3"/>
      <c r="L32" s="3">
        <f>SUM(L238:L249)</f>
        <v>40738.202400000009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624663</v>
      </c>
      <c r="D33" s="3">
        <f t="shared" si="15"/>
        <v>1294415</v>
      </c>
      <c r="E33" s="3">
        <f t="shared" si="15"/>
        <v>446036</v>
      </c>
      <c r="F33" s="3">
        <f t="shared" si="15"/>
        <v>0</v>
      </c>
      <c r="G33" s="3">
        <f t="shared" si="15"/>
        <v>-403239</v>
      </c>
      <c r="H33" s="3">
        <f t="shared" si="15"/>
        <v>1142333</v>
      </c>
      <c r="I33" s="3">
        <f>I262</f>
        <v>538470</v>
      </c>
      <c r="J33" s="3"/>
      <c r="K33" s="3"/>
      <c r="L33" s="3">
        <f>SUM(L251:L262)</f>
        <v>39753.188400000006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510811</v>
      </c>
      <c r="D34" s="3">
        <f t="shared" si="16"/>
        <v>1037641</v>
      </c>
      <c r="E34" s="3">
        <f t="shared" si="16"/>
        <v>441531</v>
      </c>
      <c r="F34" s="3">
        <f t="shared" si="16"/>
        <v>0</v>
      </c>
      <c r="G34" s="3">
        <f t="shared" si="16"/>
        <v>-79030</v>
      </c>
      <c r="H34" s="3">
        <f t="shared" si="16"/>
        <v>1014282</v>
      </c>
      <c r="I34" s="3">
        <f>I275</f>
        <v>617500</v>
      </c>
      <c r="J34" s="3"/>
      <c r="K34" s="3"/>
      <c r="L34" s="3">
        <f>SUM(L264:L275)</f>
        <v>35297.013599999991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508249</v>
      </c>
      <c r="D35" s="3">
        <f t="shared" si="17"/>
        <v>1015774</v>
      </c>
      <c r="E35" s="3">
        <f t="shared" si="17"/>
        <v>434473</v>
      </c>
      <c r="F35" s="3">
        <f t="shared" si="17"/>
        <v>274</v>
      </c>
      <c r="G35" s="3">
        <f t="shared" si="17"/>
        <v>-21210</v>
      </c>
      <c r="H35" s="3">
        <f t="shared" si="17"/>
        <v>1051049</v>
      </c>
      <c r="I35" s="3">
        <f>I288</f>
        <v>638710</v>
      </c>
      <c r="J35" s="3"/>
      <c r="K35" s="3"/>
      <c r="L35" s="3">
        <f>SUM(L277:L288)</f>
        <v>36576.5052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343458</v>
      </c>
      <c r="D36" s="3">
        <f t="shared" si="18"/>
        <v>1042300</v>
      </c>
      <c r="E36" s="3">
        <f t="shared" si="18"/>
        <v>550273</v>
      </c>
      <c r="F36" s="3">
        <f t="shared" si="18"/>
        <v>0</v>
      </c>
      <c r="G36" s="3">
        <f t="shared" si="18"/>
        <v>255350</v>
      </c>
      <c r="H36" s="3">
        <f t="shared" si="18"/>
        <v>1097063</v>
      </c>
      <c r="I36" s="3">
        <f>I301</f>
        <v>383360</v>
      </c>
      <c r="J36" s="3"/>
      <c r="K36" s="3"/>
      <c r="L36" s="3">
        <f>SUM(L290:L301)</f>
        <v>38177.792400000006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280453</v>
      </c>
      <c r="D37" s="3">
        <f t="shared" si="19"/>
        <v>853689</v>
      </c>
      <c r="E37" s="3">
        <f t="shared" si="19"/>
        <v>187516</v>
      </c>
      <c r="F37" s="3">
        <f t="shared" si="19"/>
        <v>0</v>
      </c>
      <c r="G37" s="3">
        <f t="shared" si="19"/>
        <v>134504</v>
      </c>
      <c r="H37" s="3">
        <f t="shared" si="19"/>
        <v>1071998</v>
      </c>
      <c r="I37" s="3">
        <f>I314</f>
        <v>248856</v>
      </c>
      <c r="J37" s="3"/>
      <c r="K37" s="3"/>
      <c r="L37" s="3">
        <f>SUM(L303:L314)</f>
        <v>37305.530400000003</v>
      </c>
      <c r="M37" s="3"/>
      <c r="N37" s="22">
        <f>'Olieforbrug, TJ'!M37</f>
        <v>2012</v>
      </c>
      <c r="P37" s="113"/>
    </row>
    <row r="38" spans="1:16" x14ac:dyDescent="0.25">
      <c r="A38" s="22">
        <f>'Olieforbrug, TJ'!A38</f>
        <v>2013</v>
      </c>
      <c r="C38" s="3">
        <f t="shared" ref="C38:H38" si="20">SUM(C316:C327)</f>
        <v>181600</v>
      </c>
      <c r="D38" s="3">
        <f t="shared" si="20"/>
        <v>993448</v>
      </c>
      <c r="E38" s="3">
        <f t="shared" si="20"/>
        <v>84824</v>
      </c>
      <c r="F38" s="3">
        <f t="shared" si="20"/>
        <v>0</v>
      </c>
      <c r="G38" s="3">
        <f t="shared" si="20"/>
        <v>-9914</v>
      </c>
      <c r="H38" s="3">
        <f t="shared" si="20"/>
        <v>1069115</v>
      </c>
      <c r="I38" s="3">
        <f>I327</f>
        <v>258770</v>
      </c>
      <c r="J38" s="3"/>
      <c r="K38" s="3"/>
      <c r="L38" s="3">
        <f>SUM(L316:L327)</f>
        <v>37205.202000000005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171628</v>
      </c>
      <c r="D39" s="3">
        <f t="shared" si="21"/>
        <v>932733</v>
      </c>
      <c r="E39" s="3">
        <f t="shared" si="21"/>
        <v>80058</v>
      </c>
      <c r="F39" s="3">
        <f t="shared" si="21"/>
        <v>0</v>
      </c>
      <c r="G39" s="3">
        <f t="shared" si="21"/>
        <v>125688</v>
      </c>
      <c r="H39" s="3">
        <f t="shared" si="21"/>
        <v>1149833</v>
      </c>
      <c r="I39" s="3">
        <f>I340</f>
        <v>133082</v>
      </c>
      <c r="J39" s="3"/>
      <c r="K39" s="3"/>
      <c r="L39" s="3">
        <f>SUM(L329:L340)</f>
        <v>40014.188399999999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179669</v>
      </c>
      <c r="D40" s="3">
        <f t="shared" si="22"/>
        <v>1122405</v>
      </c>
      <c r="E40" s="3">
        <f t="shared" si="22"/>
        <v>78135</v>
      </c>
      <c r="F40" s="3">
        <f t="shared" si="22"/>
        <v>0</v>
      </c>
      <c r="G40" s="3">
        <f t="shared" si="22"/>
        <v>-103698</v>
      </c>
      <c r="H40" s="3">
        <f t="shared" si="22"/>
        <v>1118591</v>
      </c>
      <c r="I40" s="3">
        <f>I353</f>
        <v>236780</v>
      </c>
      <c r="J40" s="3"/>
      <c r="K40" s="3"/>
      <c r="L40" s="3">
        <f>SUM(L342:L353)</f>
        <v>38926.966800000002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162782</v>
      </c>
      <c r="D41" s="3">
        <f t="shared" si="23"/>
        <v>1324467</v>
      </c>
      <c r="E41" s="3">
        <f t="shared" si="23"/>
        <v>68790</v>
      </c>
      <c r="F41" s="3">
        <f t="shared" si="23"/>
        <v>352</v>
      </c>
      <c r="G41" s="3">
        <f t="shared" si="23"/>
        <v>-142502</v>
      </c>
      <c r="H41" s="3">
        <f t="shared" si="23"/>
        <v>1232606</v>
      </c>
      <c r="I41" s="3">
        <f>I366</f>
        <v>379282</v>
      </c>
      <c r="J41" s="3"/>
      <c r="K41" s="3"/>
      <c r="L41" s="3">
        <f>SUM(L355:L366)</f>
        <v>42894.688800000011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151953</v>
      </c>
      <c r="D42" s="3">
        <f t="shared" si="24"/>
        <v>1158516</v>
      </c>
      <c r="E42" s="3">
        <f t="shared" si="24"/>
        <v>223841</v>
      </c>
      <c r="F42" s="3">
        <f t="shared" si="24"/>
        <v>0</v>
      </c>
      <c r="G42" s="3">
        <f t="shared" si="24"/>
        <v>167055</v>
      </c>
      <c r="H42" s="3">
        <f t="shared" si="24"/>
        <v>1287446</v>
      </c>
      <c r="I42" s="3">
        <f>I379</f>
        <v>212227</v>
      </c>
      <c r="J42" s="3"/>
      <c r="K42" s="3"/>
      <c r="L42" s="3">
        <f>SUM(L368:L379)</f>
        <v>44803.120800000004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145222</v>
      </c>
      <c r="D43" s="3">
        <f t="shared" si="25"/>
        <v>1184777</v>
      </c>
      <c r="E43" s="3">
        <f t="shared" si="25"/>
        <v>70357</v>
      </c>
      <c r="F43" s="3">
        <f t="shared" si="25"/>
        <v>737</v>
      </c>
      <c r="G43" s="3">
        <f t="shared" si="25"/>
        <v>43083</v>
      </c>
      <c r="H43" s="3">
        <f t="shared" si="25"/>
        <v>1237489</v>
      </c>
      <c r="I43" s="3">
        <f>I392</f>
        <v>169144</v>
      </c>
      <c r="J43" s="3"/>
      <c r="K43" s="3"/>
      <c r="L43" s="3">
        <f>SUM(L381:L392)</f>
        <v>43064.617200000001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150657</v>
      </c>
      <c r="D44" s="3">
        <f t="shared" si="26"/>
        <v>1263254</v>
      </c>
      <c r="E44" s="3">
        <f t="shared" si="26"/>
        <v>14769</v>
      </c>
      <c r="F44" s="3">
        <f t="shared" si="26"/>
        <v>1970</v>
      </c>
      <c r="G44" s="3">
        <f t="shared" si="26"/>
        <v>-80880</v>
      </c>
      <c r="H44" s="3">
        <f t="shared" si="26"/>
        <v>1292841</v>
      </c>
      <c r="I44" s="3">
        <f>I405</f>
        <v>250024</v>
      </c>
      <c r="J44" s="3"/>
      <c r="K44" s="3"/>
      <c r="L44" s="3">
        <f>SUM(L394:L405)</f>
        <v>44990.866800000011</v>
      </c>
      <c r="M44" s="3"/>
      <c r="N44" s="22">
        <f>'Olieforbrug, TJ'!M44</f>
        <v>2019</v>
      </c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98191</v>
      </c>
      <c r="D45" s="3">
        <f t="shared" si="27"/>
        <v>634819</v>
      </c>
      <c r="E45" s="3">
        <f t="shared" si="27"/>
        <v>103990</v>
      </c>
      <c r="F45" s="3">
        <f t="shared" si="27"/>
        <v>0</v>
      </c>
      <c r="G45" s="3">
        <f t="shared" si="27"/>
        <v>-188793</v>
      </c>
      <c r="H45" s="3">
        <f t="shared" si="27"/>
        <v>463564</v>
      </c>
      <c r="I45" s="3">
        <f>I418</f>
        <v>438817</v>
      </c>
      <c r="J45" s="3"/>
      <c r="K45" s="3"/>
      <c r="L45" s="3">
        <f>SUM(L407:L418)</f>
        <v>16132.027199999997</v>
      </c>
      <c r="M45" s="3"/>
      <c r="N45" s="22">
        <f>'Olieforbrug, TJ'!M45</f>
        <v>2020</v>
      </c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114789</v>
      </c>
      <c r="D46" s="3">
        <f t="shared" si="28"/>
        <v>404295</v>
      </c>
      <c r="E46" s="3">
        <f t="shared" si="28"/>
        <v>239291</v>
      </c>
      <c r="F46" s="3">
        <f t="shared" si="28"/>
        <v>0</v>
      </c>
      <c r="G46" s="3">
        <f t="shared" si="28"/>
        <v>293274</v>
      </c>
      <c r="H46" s="3">
        <f t="shared" si="28"/>
        <v>566147</v>
      </c>
      <c r="I46" s="3">
        <f>I431</f>
        <v>145543</v>
      </c>
      <c r="J46" s="3"/>
      <c r="K46" s="3"/>
      <c r="L46" s="3">
        <f>SUM(L420:L431)</f>
        <v>19701.9156</v>
      </c>
      <c r="M46" s="3"/>
      <c r="N46" s="22">
        <f>'Olieforbrug, TJ'!M46</f>
        <v>2021</v>
      </c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179731</v>
      </c>
      <c r="D47" s="3">
        <f t="shared" si="29"/>
        <v>829154</v>
      </c>
      <c r="E47" s="3">
        <f t="shared" si="29"/>
        <v>563</v>
      </c>
      <c r="F47" s="3">
        <f t="shared" si="29"/>
        <v>0</v>
      </c>
      <c r="G47" s="3">
        <f t="shared" si="29"/>
        <v>-66249</v>
      </c>
      <c r="H47" s="3">
        <f t="shared" si="29"/>
        <v>938836</v>
      </c>
      <c r="I47" s="3">
        <f>I444</f>
        <v>211792</v>
      </c>
      <c r="J47" s="3"/>
      <c r="K47" s="3"/>
      <c r="L47" s="3">
        <f>SUM(L433:L444)</f>
        <v>32671.4928</v>
      </c>
      <c r="M47" s="3"/>
      <c r="N47" s="22">
        <f>'Olieforbrug, TJ'!M47</f>
        <v>2022</v>
      </c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229141</v>
      </c>
      <c r="D48" s="3">
        <f t="shared" si="30"/>
        <v>895312</v>
      </c>
      <c r="E48" s="3">
        <f t="shared" si="30"/>
        <v>8005</v>
      </c>
      <c r="F48" s="3">
        <f t="shared" si="30"/>
        <v>0</v>
      </c>
      <c r="G48" s="3">
        <f t="shared" si="30"/>
        <v>-11662</v>
      </c>
      <c r="H48" s="3">
        <f t="shared" si="30"/>
        <v>1104245</v>
      </c>
      <c r="I48" s="3">
        <f>I457</f>
        <v>223454</v>
      </c>
      <c r="J48" s="3"/>
      <c r="K48" s="3"/>
      <c r="L48" s="3">
        <f>SUM(L446:L457)</f>
        <v>38427.726000000002</v>
      </c>
      <c r="M48" s="3"/>
      <c r="N48" s="22">
        <f>'Olieforbrug, TJ'!M48</f>
        <v>2023</v>
      </c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187009</v>
      </c>
      <c r="D49" s="3">
        <f t="shared" si="31"/>
        <v>1152973</v>
      </c>
      <c r="E49" s="3">
        <f t="shared" si="31"/>
        <v>41133</v>
      </c>
      <c r="F49" s="3">
        <f t="shared" si="31"/>
        <v>0</v>
      </c>
      <c r="G49" s="3">
        <f t="shared" si="31"/>
        <v>-82183</v>
      </c>
      <c r="H49" s="3">
        <f t="shared" si="31"/>
        <v>1215567</v>
      </c>
      <c r="I49" s="3">
        <f>I470</f>
        <v>305637</v>
      </c>
      <c r="J49" s="3"/>
      <c r="K49" s="3"/>
      <c r="L49" s="3">
        <f>SUM(L459:L470)</f>
        <v>42301.731600000006</v>
      </c>
      <c r="M49" s="3"/>
      <c r="N49" s="22">
        <f>'Olieforbrug, TJ'!M49</f>
        <v>2024</v>
      </c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264214</v>
      </c>
      <c r="D50" s="3">
        <f t="shared" si="32"/>
        <v>1067849</v>
      </c>
      <c r="E50" s="3">
        <f t="shared" si="32"/>
        <v>49538</v>
      </c>
      <c r="F50" s="3">
        <f t="shared" si="32"/>
        <v>0</v>
      </c>
      <c r="G50" s="3">
        <f t="shared" si="32"/>
        <v>8225</v>
      </c>
      <c r="H50" s="3">
        <f t="shared" si="32"/>
        <v>1293875</v>
      </c>
      <c r="I50" s="3">
        <f>I483</f>
        <v>297412</v>
      </c>
      <c r="J50" s="3"/>
      <c r="K50" s="3"/>
      <c r="L50" s="3">
        <f>SUM(L472:L483)</f>
        <v>45026.850000000006</v>
      </c>
      <c r="M50" s="3"/>
      <c r="N50" s="22">
        <f>'Olieforbrug, TJ'!M50</f>
        <v>2025</v>
      </c>
      <c r="P50" s="3"/>
    </row>
    <row r="51" spans="1:16" x14ac:dyDescent="0.25">
      <c r="A51" s="22"/>
      <c r="H51" s="82"/>
      <c r="J51" s="3"/>
      <c r="K51" s="3"/>
      <c r="L51" s="83"/>
      <c r="M51" s="3"/>
      <c r="N51" s="22"/>
    </row>
    <row r="52" spans="1:16" ht="13.8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5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5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5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5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5">
      <c r="A57" s="23"/>
      <c r="L57" s="3"/>
    </row>
    <row r="58" spans="1:16" x14ac:dyDescent="0.25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5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5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5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5">
      <c r="A62" s="23"/>
      <c r="L62" s="3"/>
    </row>
    <row r="63" spans="1:16" x14ac:dyDescent="0.25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5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5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5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5">
      <c r="A67" s="23"/>
      <c r="L67" s="3"/>
    </row>
    <row r="68" spans="1:14" x14ac:dyDescent="0.25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5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5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5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5">
      <c r="A72" s="23"/>
      <c r="L72" s="3"/>
    </row>
    <row r="73" spans="1:14" x14ac:dyDescent="0.25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5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5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5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5">
      <c r="A77" s="23"/>
      <c r="L77" s="3"/>
      <c r="N77" s="26"/>
    </row>
    <row r="78" spans="1:14" x14ac:dyDescent="0.25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5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5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5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5">
      <c r="A82" s="32"/>
      <c r="J82" s="3"/>
      <c r="K82" s="3"/>
      <c r="L82" s="3"/>
      <c r="N82" s="26"/>
    </row>
    <row r="83" spans="1:15" x14ac:dyDescent="0.25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5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5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5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5">
      <c r="A87" s="32"/>
      <c r="J87" s="3"/>
      <c r="K87" s="3"/>
      <c r="L87" s="3"/>
      <c r="N87" s="26"/>
    </row>
    <row r="88" spans="1:15" x14ac:dyDescent="0.25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5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5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5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5">
      <c r="A92" s="32"/>
      <c r="J92" s="3"/>
      <c r="K92" s="3"/>
      <c r="L92" s="3"/>
      <c r="N92" s="26"/>
    </row>
    <row r="93" spans="1:15" x14ac:dyDescent="0.25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5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5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5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24444</v>
      </c>
      <c r="D98" s="3">
        <f t="shared" si="33"/>
        <v>128604</v>
      </c>
      <c r="E98" s="3">
        <f t="shared" si="33"/>
        <v>37817</v>
      </c>
      <c r="F98" s="3">
        <f t="shared" si="33"/>
        <v>0</v>
      </c>
      <c r="G98" s="3">
        <f t="shared" si="33"/>
        <v>141268</v>
      </c>
      <c r="H98" s="3">
        <f t="shared" si="33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42464</v>
      </c>
      <c r="D99" s="3">
        <f t="shared" si="34"/>
        <v>229516</v>
      </c>
      <c r="E99" s="3">
        <f t="shared" si="34"/>
        <v>9324</v>
      </c>
      <c r="F99" s="3">
        <f t="shared" si="34"/>
        <v>0</v>
      </c>
      <c r="G99" s="3">
        <f t="shared" si="34"/>
        <v>28908</v>
      </c>
      <c r="H99" s="3">
        <f t="shared" si="34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71654</v>
      </c>
      <c r="D100" s="3">
        <f t="shared" si="35"/>
        <v>343478</v>
      </c>
      <c r="E100" s="3">
        <f t="shared" si="35"/>
        <v>29805</v>
      </c>
      <c r="F100" s="3">
        <f t="shared" si="35"/>
        <v>0</v>
      </c>
      <c r="G100" s="3">
        <f t="shared" si="35"/>
        <v>-64346</v>
      </c>
      <c r="H100" s="3">
        <f t="shared" si="35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33066</v>
      </c>
      <c r="D101" s="3">
        <f t="shared" si="36"/>
        <v>231135</v>
      </c>
      <c r="E101" s="3">
        <f t="shared" si="36"/>
        <v>3112</v>
      </c>
      <c r="F101" s="3">
        <f t="shared" si="36"/>
        <v>0</v>
      </c>
      <c r="G101" s="3">
        <f t="shared" si="36"/>
        <v>19858</v>
      </c>
      <c r="H101" s="3">
        <f t="shared" si="36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53000</v>
      </c>
      <c r="D103" s="3">
        <f t="shared" si="37"/>
        <v>272639</v>
      </c>
      <c r="E103" s="3">
        <f t="shared" si="37"/>
        <v>23536</v>
      </c>
      <c r="F103" s="3">
        <f t="shared" si="37"/>
        <v>0</v>
      </c>
      <c r="G103" s="3">
        <f t="shared" si="37"/>
        <v>-65364</v>
      </c>
      <c r="H103" s="3">
        <f t="shared" si="37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47172</v>
      </c>
      <c r="D104" s="3">
        <f t="shared" si="38"/>
        <v>315414</v>
      </c>
      <c r="E104" s="3">
        <f t="shared" si="38"/>
        <v>36376</v>
      </c>
      <c r="F104" s="3">
        <f t="shared" si="38"/>
        <v>0</v>
      </c>
      <c r="G104" s="3">
        <f t="shared" si="38"/>
        <v>-50929</v>
      </c>
      <c r="H104" s="3">
        <f t="shared" si="38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44812</v>
      </c>
      <c r="D105" s="3">
        <f t="shared" si="39"/>
        <v>239475</v>
      </c>
      <c r="E105" s="3">
        <f t="shared" si="39"/>
        <v>4194</v>
      </c>
      <c r="F105" s="3">
        <f t="shared" si="39"/>
        <v>0</v>
      </c>
      <c r="G105" s="3">
        <f t="shared" si="39"/>
        <v>51608</v>
      </c>
      <c r="H105" s="3">
        <f t="shared" si="39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34685</v>
      </c>
      <c r="D106" s="3">
        <f t="shared" si="40"/>
        <v>294877</v>
      </c>
      <c r="E106" s="3">
        <f t="shared" si="40"/>
        <v>14029</v>
      </c>
      <c r="F106" s="3">
        <f t="shared" si="40"/>
        <v>0</v>
      </c>
      <c r="G106" s="3">
        <f t="shared" si="40"/>
        <v>-39013</v>
      </c>
      <c r="H106" s="3">
        <f t="shared" si="40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 t="shared" ref="C108:H108" si="41">SUM(C355:C357)</f>
        <v>45442</v>
      </c>
      <c r="D108" s="3">
        <f t="shared" si="41"/>
        <v>260917</v>
      </c>
      <c r="E108" s="3">
        <f t="shared" si="41"/>
        <v>13193</v>
      </c>
      <c r="F108" s="3">
        <f t="shared" si="41"/>
        <v>0</v>
      </c>
      <c r="G108" s="3">
        <f t="shared" si="41"/>
        <v>-25621</v>
      </c>
      <c r="H108" s="3">
        <f t="shared" si="41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36862</v>
      </c>
      <c r="D109" s="3">
        <f t="shared" si="42"/>
        <v>383468</v>
      </c>
      <c r="E109" s="3">
        <f t="shared" si="42"/>
        <v>16959</v>
      </c>
      <c r="F109" s="3">
        <f t="shared" si="42"/>
        <v>0</v>
      </c>
      <c r="G109" s="3">
        <f t="shared" si="42"/>
        <v>-89814</v>
      </c>
      <c r="H109" s="3">
        <f t="shared" si="42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41189</v>
      </c>
      <c r="D110" s="3">
        <f t="shared" ref="D110:L110" si="43">SUM(D361:D363)</f>
        <v>362373</v>
      </c>
      <c r="E110" s="3">
        <f t="shared" si="43"/>
        <v>324</v>
      </c>
      <c r="F110" s="3">
        <f t="shared" si="43"/>
        <v>0</v>
      </c>
      <c r="G110" s="3">
        <f t="shared" si="43"/>
        <v>-23947</v>
      </c>
      <c r="H110" s="3">
        <f t="shared" si="43"/>
        <v>347612</v>
      </c>
      <c r="I110" s="3">
        <f>I363</f>
        <v>376162</v>
      </c>
      <c r="J110" s="3"/>
      <c r="K110" s="3"/>
      <c r="L110" s="3">
        <f t="shared" si="43"/>
        <v>12096.8976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>SUM(C364:C366)</f>
        <v>39289</v>
      </c>
      <c r="D111" s="3">
        <f t="shared" ref="D111:L111" si="44">SUM(D364:D366)</f>
        <v>317709</v>
      </c>
      <c r="E111" s="3">
        <f t="shared" si="44"/>
        <v>38314</v>
      </c>
      <c r="F111" s="3">
        <f t="shared" si="44"/>
        <v>352</v>
      </c>
      <c r="G111" s="3">
        <f t="shared" si="44"/>
        <v>-3120</v>
      </c>
      <c r="H111" s="3">
        <f t="shared" si="44"/>
        <v>304610</v>
      </c>
      <c r="I111" s="3">
        <f>I366</f>
        <v>379282</v>
      </c>
      <c r="J111" s="3"/>
      <c r="K111" s="3"/>
      <c r="L111" s="3">
        <f t="shared" si="44"/>
        <v>10600.428</v>
      </c>
      <c r="M111" s="65"/>
      <c r="N111" s="26" t="s">
        <v>192</v>
      </c>
    </row>
    <row r="112" spans="1:14" s="57" customFormat="1" x14ac:dyDescent="0.25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24849</v>
      </c>
      <c r="D113" s="3">
        <f t="shared" si="45"/>
        <v>285158</v>
      </c>
      <c r="E113" s="3">
        <f t="shared" si="45"/>
        <v>15888</v>
      </c>
      <c r="F113" s="3">
        <f t="shared" si="45"/>
        <v>0</v>
      </c>
      <c r="G113" s="3">
        <f t="shared" si="45"/>
        <v>-25824</v>
      </c>
      <c r="H113" s="3">
        <f t="shared" si="45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42618</v>
      </c>
      <c r="D114" s="3">
        <f t="shared" si="46"/>
        <v>293588</v>
      </c>
      <c r="E114" s="3">
        <f t="shared" si="46"/>
        <v>8416</v>
      </c>
      <c r="F114" s="3">
        <f t="shared" si="46"/>
        <v>0</v>
      </c>
      <c r="G114" s="3">
        <f t="shared" si="46"/>
        <v>-6899</v>
      </c>
      <c r="H114" s="3">
        <f t="shared" si="46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33223</v>
      </c>
      <c r="D115" s="3">
        <f t="shared" ref="D115:L115" si="47">SUM(D374:D376)</f>
        <v>299773</v>
      </c>
      <c r="E115" s="3">
        <f t="shared" si="47"/>
        <v>140113</v>
      </c>
      <c r="F115" s="3">
        <f t="shared" si="47"/>
        <v>0</v>
      </c>
      <c r="G115" s="3">
        <f t="shared" si="47"/>
        <v>153257</v>
      </c>
      <c r="H115" s="3">
        <f t="shared" si="47"/>
        <v>345075</v>
      </c>
      <c r="I115" s="3">
        <f>I376</f>
        <v>258748</v>
      </c>
      <c r="J115" s="3"/>
      <c r="K115" s="3"/>
      <c r="L115" s="3">
        <f t="shared" si="47"/>
        <v>12008.61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51263</v>
      </c>
      <c r="D116" s="3">
        <f t="shared" si="48"/>
        <v>279997</v>
      </c>
      <c r="E116" s="3">
        <f t="shared" si="48"/>
        <v>59424</v>
      </c>
      <c r="F116" s="3">
        <f t="shared" si="48"/>
        <v>0</v>
      </c>
      <c r="G116" s="3">
        <f t="shared" si="48"/>
        <v>46521</v>
      </c>
      <c r="H116" s="3">
        <f t="shared" si="48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18972</v>
      </c>
      <c r="D118" s="3">
        <f t="shared" si="49"/>
        <v>218236</v>
      </c>
      <c r="E118" s="3">
        <f t="shared" si="49"/>
        <v>1524</v>
      </c>
      <c r="F118" s="3">
        <f t="shared" si="49"/>
        <v>137</v>
      </c>
      <c r="G118" s="3">
        <f t="shared" si="49"/>
        <v>42582</v>
      </c>
      <c r="H118" s="3">
        <f t="shared" si="49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 t="shared" ref="C119:H119" si="50">SUM(C384:C386)</f>
        <v>35220</v>
      </c>
      <c r="D119" s="3">
        <f t="shared" si="50"/>
        <v>296270</v>
      </c>
      <c r="E119" s="3">
        <f t="shared" si="50"/>
        <v>4170</v>
      </c>
      <c r="F119" s="3">
        <f t="shared" si="50"/>
        <v>0</v>
      </c>
      <c r="G119" s="3">
        <f t="shared" si="50"/>
        <v>-24148</v>
      </c>
      <c r="H119" s="3">
        <f t="shared" si="50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48905</v>
      </c>
      <c r="D120" s="3">
        <f t="shared" si="51"/>
        <v>362886</v>
      </c>
      <c r="E120" s="3">
        <f t="shared" si="51"/>
        <v>22914</v>
      </c>
      <c r="F120" s="3">
        <f t="shared" si="51"/>
        <v>0</v>
      </c>
      <c r="G120" s="3">
        <f t="shared" si="51"/>
        <v>12589</v>
      </c>
      <c r="H120" s="3">
        <f t="shared" si="51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42125</v>
      </c>
      <c r="D121" s="3">
        <f t="shared" si="52"/>
        <v>307385</v>
      </c>
      <c r="E121" s="3">
        <f t="shared" si="52"/>
        <v>41749</v>
      </c>
      <c r="F121" s="3">
        <f t="shared" si="52"/>
        <v>600</v>
      </c>
      <c r="G121" s="3">
        <f t="shared" si="52"/>
        <v>12060</v>
      </c>
      <c r="H121" s="3">
        <f t="shared" si="52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27129</v>
      </c>
      <c r="D123" s="3">
        <f t="shared" si="53"/>
        <v>298897</v>
      </c>
      <c r="E123" s="3">
        <f t="shared" si="53"/>
        <v>407</v>
      </c>
      <c r="F123" s="3">
        <f t="shared" si="53"/>
        <v>0</v>
      </c>
      <c r="G123" s="3">
        <f t="shared" si="53"/>
        <v>-36190</v>
      </c>
      <c r="H123" s="3">
        <f t="shared" si="53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38242</v>
      </c>
      <c r="D124" s="3">
        <f t="shared" si="54"/>
        <v>284211</v>
      </c>
      <c r="E124" s="3">
        <f t="shared" si="54"/>
        <v>108</v>
      </c>
      <c r="F124" s="3">
        <f t="shared" si="54"/>
        <v>1970</v>
      </c>
      <c r="G124" s="3">
        <f t="shared" si="54"/>
        <v>7111</v>
      </c>
      <c r="H124" s="3">
        <f t="shared" si="54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42396</v>
      </c>
      <c r="D125" s="3">
        <f t="shared" si="55"/>
        <v>379088</v>
      </c>
      <c r="E125" s="3">
        <f t="shared" si="55"/>
        <v>7034</v>
      </c>
      <c r="F125" s="3">
        <f t="shared" si="55"/>
        <v>0</v>
      </c>
      <c r="G125" s="3">
        <f t="shared" si="55"/>
        <v>-42664</v>
      </c>
      <c r="H125" s="3">
        <f t="shared" si="55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42890</v>
      </c>
      <c r="D126" s="3">
        <f t="shared" si="56"/>
        <v>301058</v>
      </c>
      <c r="E126" s="3">
        <f t="shared" si="56"/>
        <v>7220</v>
      </c>
      <c r="F126" s="3">
        <f t="shared" si="56"/>
        <v>0</v>
      </c>
      <c r="G126" s="3">
        <f t="shared" si="56"/>
        <v>-9137</v>
      </c>
      <c r="H126" s="3">
        <f t="shared" si="56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34076</v>
      </c>
      <c r="D128" s="3">
        <f t="shared" si="57"/>
        <v>281145</v>
      </c>
      <c r="E128" s="3">
        <f t="shared" si="57"/>
        <v>69246</v>
      </c>
      <c r="F128" s="3">
        <f t="shared" si="57"/>
        <v>0</v>
      </c>
      <c r="G128" s="3">
        <f t="shared" si="57"/>
        <v>-29890</v>
      </c>
      <c r="H128" s="3">
        <f t="shared" si="57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28178</v>
      </c>
      <c r="D129" s="3">
        <f t="shared" si="58"/>
        <v>236651</v>
      </c>
      <c r="E129" s="3">
        <f t="shared" si="58"/>
        <v>19544</v>
      </c>
      <c r="F129" s="3">
        <f t="shared" si="58"/>
        <v>0</v>
      </c>
      <c r="G129" s="3">
        <f t="shared" si="58"/>
        <v>-189998</v>
      </c>
      <c r="H129" s="3">
        <f t="shared" si="58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26018</v>
      </c>
      <c r="D130" s="3">
        <f t="shared" si="59"/>
        <v>38020</v>
      </c>
      <c r="E130" s="3">
        <f t="shared" si="59"/>
        <v>0</v>
      </c>
      <c r="F130" s="3">
        <f t="shared" si="59"/>
        <v>0</v>
      </c>
      <c r="G130" s="3">
        <f t="shared" si="59"/>
        <v>50559</v>
      </c>
      <c r="H130" s="3">
        <f t="shared" si="59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9919</v>
      </c>
      <c r="D131" s="3">
        <f t="shared" si="60"/>
        <v>79003</v>
      </c>
      <c r="E131" s="3">
        <f t="shared" si="60"/>
        <v>15200</v>
      </c>
      <c r="F131" s="3">
        <f t="shared" si="60"/>
        <v>0</v>
      </c>
      <c r="G131" s="3">
        <f t="shared" si="60"/>
        <v>-19464</v>
      </c>
      <c r="H131" s="3">
        <f t="shared" si="60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5">
      <c r="A133" s="32" t="str">
        <f>'Olieforbrug, TJ'!A133</f>
        <v>1. kvartal 2021</v>
      </c>
      <c r="C133" s="3">
        <f t="shared" ref="C133:H133" si="61">SUM(C420:C422)</f>
        <v>12871</v>
      </c>
      <c r="D133" s="3">
        <f t="shared" si="61"/>
        <v>102777</v>
      </c>
      <c r="E133" s="3">
        <f t="shared" si="61"/>
        <v>22151</v>
      </c>
      <c r="F133" s="3">
        <f t="shared" si="61"/>
        <v>0</v>
      </c>
      <c r="G133" s="3">
        <f t="shared" si="61"/>
        <v>-28813</v>
      </c>
      <c r="H133" s="3">
        <f t="shared" si="61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25167</v>
      </c>
      <c r="D134" s="3">
        <f t="shared" si="62"/>
        <v>80665</v>
      </c>
      <c r="E134" s="3">
        <f t="shared" si="62"/>
        <v>10116</v>
      </c>
      <c r="F134" s="3">
        <f t="shared" si="62"/>
        <v>0</v>
      </c>
      <c r="G134" s="3">
        <f t="shared" si="62"/>
        <v>14501</v>
      </c>
      <c r="H134" s="3">
        <f t="shared" si="62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37694</v>
      </c>
      <c r="D135" s="3">
        <f t="shared" si="63"/>
        <v>49311</v>
      </c>
      <c r="E135" s="3">
        <f t="shared" si="63"/>
        <v>108464</v>
      </c>
      <c r="F135" s="3">
        <f t="shared" si="63"/>
        <v>0</v>
      </c>
      <c r="G135" s="3">
        <f t="shared" si="63"/>
        <v>216891</v>
      </c>
      <c r="H135" s="3">
        <f t="shared" si="63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39057</v>
      </c>
      <c r="D136" s="3">
        <f t="shared" si="64"/>
        <v>171542</v>
      </c>
      <c r="E136" s="3">
        <f>SUM(E429:E431)</f>
        <v>98560</v>
      </c>
      <c r="F136" s="3">
        <f t="shared" si="64"/>
        <v>0</v>
      </c>
      <c r="G136" s="3">
        <f t="shared" si="64"/>
        <v>90695</v>
      </c>
      <c r="H136" s="3">
        <f t="shared" si="64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34245</v>
      </c>
      <c r="D138" s="3">
        <f t="shared" ref="D138:H138" si="65">SUM(D433:D435)</f>
        <v>119572</v>
      </c>
      <c r="E138" s="3">
        <f t="shared" si="65"/>
        <v>98</v>
      </c>
      <c r="F138" s="3">
        <f t="shared" si="65"/>
        <v>0</v>
      </c>
      <c r="G138" s="3">
        <f t="shared" si="65"/>
        <v>11838</v>
      </c>
      <c r="H138" s="3">
        <f t="shared" si="65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63249</v>
      </c>
      <c r="D139" s="3">
        <f t="shared" ref="D139:L139" si="66">SUM(D436:D438)</f>
        <v>213258</v>
      </c>
      <c r="E139" s="3">
        <f t="shared" si="66"/>
        <v>147</v>
      </c>
      <c r="F139" s="3">
        <f t="shared" si="66"/>
        <v>0</v>
      </c>
      <c r="G139" s="3">
        <f t="shared" si="66"/>
        <v>-23754</v>
      </c>
      <c r="H139" s="3">
        <f t="shared" si="66"/>
        <v>250537</v>
      </c>
      <c r="I139" s="3">
        <f>SUM(I438)</f>
        <v>157459</v>
      </c>
      <c r="J139" s="3"/>
      <c r="L139" s="3">
        <f t="shared" si="66"/>
        <v>8718.6876000000011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48934</v>
      </c>
      <c r="D140" s="3">
        <f t="shared" ref="D140:L140" si="67">SUM(D439:D441)</f>
        <v>239862</v>
      </c>
      <c r="E140" s="3">
        <f t="shared" si="67"/>
        <v>293</v>
      </c>
      <c r="F140" s="3">
        <f t="shared" si="67"/>
        <v>0</v>
      </c>
      <c r="G140" s="3">
        <f t="shared" si="67"/>
        <v>-3678</v>
      </c>
      <c r="H140" s="3">
        <f t="shared" si="67"/>
        <v>284515</v>
      </c>
      <c r="I140" s="3">
        <f>SUM(I441)</f>
        <v>161137</v>
      </c>
      <c r="J140" s="3"/>
      <c r="K140" s="3"/>
      <c r="L140" s="3">
        <f t="shared" si="67"/>
        <v>9901.1219999999994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33303</v>
      </c>
      <c r="D141" s="3">
        <f t="shared" si="68"/>
        <v>256462</v>
      </c>
      <c r="E141" s="3">
        <f t="shared" si="68"/>
        <v>25</v>
      </c>
      <c r="F141" s="3">
        <f t="shared" si="68"/>
        <v>0</v>
      </c>
      <c r="G141" s="3">
        <f t="shared" si="68"/>
        <v>-50655</v>
      </c>
      <c r="H141" s="3">
        <f t="shared" si="68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5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50173</v>
      </c>
      <c r="D143" s="3">
        <f t="shared" ref="D143:L143" si="69">SUM(D446:D448)</f>
        <v>119275</v>
      </c>
      <c r="E143" s="3">
        <f t="shared" si="69"/>
        <v>8005</v>
      </c>
      <c r="F143" s="3">
        <f t="shared" si="69"/>
        <v>0</v>
      </c>
      <c r="G143" s="3">
        <f t="shared" si="69"/>
        <v>44347</v>
      </c>
      <c r="H143" s="3">
        <f t="shared" si="69"/>
        <v>205707</v>
      </c>
      <c r="I143" s="3">
        <f>SUM(I448)</f>
        <v>167445</v>
      </c>
      <c r="J143" s="3"/>
      <c r="K143" s="3"/>
      <c r="L143" s="3">
        <f t="shared" si="69"/>
        <v>7158.6036000000004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63003</v>
      </c>
      <c r="D144" s="3">
        <f t="shared" si="70"/>
        <v>286884</v>
      </c>
      <c r="E144" s="3">
        <f t="shared" si="70"/>
        <v>0</v>
      </c>
      <c r="F144" s="3">
        <f t="shared" si="70"/>
        <v>0</v>
      </c>
      <c r="G144" s="3">
        <f t="shared" si="70"/>
        <v>-58299</v>
      </c>
      <c r="H144" s="3">
        <f t="shared" si="70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62014</v>
      </c>
      <c r="D145" s="3">
        <f t="shared" ref="D145:L145" si="71">SUM(D452:D454)</f>
        <v>277773</v>
      </c>
      <c r="E145" s="3">
        <f t="shared" si="71"/>
        <v>0</v>
      </c>
      <c r="F145" s="3">
        <f t="shared" si="71"/>
        <v>0</v>
      </c>
      <c r="G145" s="3">
        <f t="shared" si="71"/>
        <v>-10320</v>
      </c>
      <c r="H145" s="3">
        <f t="shared" si="71"/>
        <v>329122</v>
      </c>
      <c r="I145" s="3">
        <f>SUM(I454)</f>
        <v>236064</v>
      </c>
      <c r="J145" s="3"/>
      <c r="K145" s="3"/>
      <c r="L145" s="3">
        <f t="shared" si="71"/>
        <v>11453.445600000001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53951</v>
      </c>
      <c r="D146" s="3">
        <f t="shared" ref="D146:L146" si="72">SUM(D455:D457)</f>
        <v>211380</v>
      </c>
      <c r="E146" s="3">
        <f t="shared" si="72"/>
        <v>0</v>
      </c>
      <c r="F146" s="3">
        <f t="shared" si="72"/>
        <v>0</v>
      </c>
      <c r="G146" s="3">
        <f t="shared" si="72"/>
        <v>12610</v>
      </c>
      <c r="H146" s="3">
        <f t="shared" si="72"/>
        <v>277894</v>
      </c>
      <c r="I146" s="3">
        <f>SUM(I457)</f>
        <v>223454</v>
      </c>
      <c r="J146" s="3"/>
      <c r="K146" s="3"/>
      <c r="L146" s="3">
        <f t="shared" si="72"/>
        <v>9670.7111999999997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35968</v>
      </c>
      <c r="D148" s="3">
        <f t="shared" si="73"/>
        <v>225039</v>
      </c>
      <c r="E148" s="3">
        <f t="shared" si="73"/>
        <v>0</v>
      </c>
      <c r="F148" s="3">
        <f t="shared" si="73"/>
        <v>0</v>
      </c>
      <c r="G148" s="3">
        <f t="shared" si="73"/>
        <v>-25951</v>
      </c>
      <c r="H148" s="3">
        <f t="shared" si="73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64257</v>
      </c>
      <c r="D149" s="3">
        <f t="shared" ref="D149:L149" si="74">SUM(D462:D464)</f>
        <v>277431</v>
      </c>
      <c r="E149" s="3">
        <f t="shared" si="74"/>
        <v>3197</v>
      </c>
      <c r="F149" s="3">
        <f t="shared" si="74"/>
        <v>0</v>
      </c>
      <c r="G149" s="3">
        <f t="shared" si="74"/>
        <v>-16731</v>
      </c>
      <c r="H149" s="3">
        <f t="shared" si="74"/>
        <v>321527</v>
      </c>
      <c r="I149" s="3">
        <f>SUM(I464)</f>
        <v>266136</v>
      </c>
      <c r="J149" s="3"/>
      <c r="K149" s="3"/>
      <c r="L149" s="3">
        <f t="shared" si="74"/>
        <v>11189.1396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43505</v>
      </c>
      <c r="D150" s="3">
        <f t="shared" ref="D150:L150" si="75">SUM(D465:D467)</f>
        <v>269215</v>
      </c>
      <c r="E150" s="3">
        <f t="shared" si="75"/>
        <v>15737</v>
      </c>
      <c r="F150" s="3">
        <f t="shared" si="75"/>
        <v>0</v>
      </c>
      <c r="G150" s="3">
        <f t="shared" si="75"/>
        <v>53416</v>
      </c>
      <c r="H150" s="3">
        <f t="shared" si="75"/>
        <v>350247</v>
      </c>
      <c r="I150" s="3">
        <f>I467</f>
        <v>212720</v>
      </c>
      <c r="J150" s="3"/>
      <c r="K150" s="3"/>
      <c r="L150" s="3">
        <f t="shared" si="75"/>
        <v>12188.595600000001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43279</v>
      </c>
      <c r="D151" s="3">
        <f t="shared" ref="D151:H151" si="76">SUM(D468:D470)</f>
        <v>381288</v>
      </c>
      <c r="E151" s="3">
        <f t="shared" si="76"/>
        <v>22199</v>
      </c>
      <c r="F151" s="3">
        <f t="shared" si="76"/>
        <v>0</v>
      </c>
      <c r="G151" s="3">
        <f t="shared" si="76"/>
        <v>-92917</v>
      </c>
      <c r="H151" s="3">
        <f t="shared" si="76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48080</v>
      </c>
      <c r="D153" s="3">
        <f t="shared" ref="D153:L153" si="77">SUM(D472:D474)</f>
        <v>157253</v>
      </c>
      <c r="E153" s="3">
        <f t="shared" si="77"/>
        <v>6452</v>
      </c>
      <c r="F153" s="3">
        <f t="shared" si="77"/>
        <v>0</v>
      </c>
      <c r="G153" s="3">
        <f t="shared" si="77"/>
        <v>66930</v>
      </c>
      <c r="H153" s="3">
        <f t="shared" si="77"/>
        <v>268241</v>
      </c>
      <c r="I153" s="3">
        <f>I474</f>
        <v>238707</v>
      </c>
      <c r="J153" s="3"/>
      <c r="K153" s="3"/>
      <c r="L153" s="3">
        <f t="shared" si="77"/>
        <v>9334.7868000000017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72111</v>
      </c>
      <c r="D154" s="3">
        <f t="shared" ref="D154:H154" si="78">SUM(D475:D477)</f>
        <v>314908</v>
      </c>
      <c r="E154" s="3">
        <f t="shared" si="78"/>
        <v>0</v>
      </c>
      <c r="F154" s="3">
        <f t="shared" si="78"/>
        <v>0</v>
      </c>
      <c r="G154" s="3">
        <f t="shared" si="78"/>
        <v>-61049</v>
      </c>
      <c r="H154" s="3">
        <f t="shared" si="78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71673</v>
      </c>
      <c r="D155" s="3">
        <f t="shared" ref="D155:L155" si="79">SUM(D478:D480)</f>
        <v>321723</v>
      </c>
      <c r="E155" s="3">
        <f t="shared" si="79"/>
        <v>28918</v>
      </c>
      <c r="F155" s="3">
        <f t="shared" si="79"/>
        <v>0</v>
      </c>
      <c r="G155" s="3">
        <f t="shared" si="79"/>
        <v>14530</v>
      </c>
      <c r="H155" s="3">
        <f t="shared" si="79"/>
        <v>370625</v>
      </c>
      <c r="I155" s="3">
        <f>I480</f>
        <v>285226</v>
      </c>
      <c r="J155" s="3"/>
      <c r="K155" s="3"/>
      <c r="L155" s="3">
        <f t="shared" si="79"/>
        <v>12897.75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72350</v>
      </c>
      <c r="D156" s="3">
        <f t="shared" ref="D156:H156" si="80">SUM(D481:D483)</f>
        <v>273965</v>
      </c>
      <c r="E156" s="3">
        <f t="shared" si="80"/>
        <v>14168</v>
      </c>
      <c r="F156" s="3">
        <f t="shared" si="80"/>
        <v>0</v>
      </c>
      <c r="G156" s="3">
        <f t="shared" si="80"/>
        <v>-12186</v>
      </c>
      <c r="H156" s="3">
        <f t="shared" si="80"/>
        <v>319839</v>
      </c>
      <c r="I156" s="3">
        <f>I483</f>
        <v>297412</v>
      </c>
      <c r="J156"/>
      <c r="K156"/>
      <c r="L156" s="3">
        <f t="shared" ref="L156" si="81">SUM(L481:L483)</f>
        <v>11130.397200000001</v>
      </c>
      <c r="M156" s="65"/>
      <c r="N156" s="26" t="str">
        <f>'Olieforbrug, TJ'!M156</f>
        <v>4. Quarter 2025</v>
      </c>
    </row>
    <row r="157" spans="1:14" x14ac:dyDescent="0.25">
      <c r="A157" s="32"/>
      <c r="J157" s="3"/>
      <c r="K157" s="57"/>
      <c r="L157" s="3"/>
      <c r="M157" s="3"/>
      <c r="N157" s="26"/>
    </row>
    <row r="158" spans="1:14" ht="13.8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5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5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5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5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5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5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5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5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5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5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5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8" thickBot="1" x14ac:dyDescent="0.3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5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5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5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5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5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5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5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5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5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5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5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8" thickBot="1" x14ac:dyDescent="0.3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5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5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5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5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5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5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5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5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5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5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5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8" thickBot="1" x14ac:dyDescent="0.3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5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5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5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5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5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5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5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5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5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5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5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5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5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5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5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5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5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5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5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5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8" thickBot="1" x14ac:dyDescent="0.3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5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5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5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5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5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5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5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5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5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5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5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8" thickBot="1" x14ac:dyDescent="0.3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5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5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5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5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5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5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5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5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5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5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5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8" thickBot="1" x14ac:dyDescent="0.3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5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5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5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5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5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5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5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5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5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5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5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8" thickBot="1" x14ac:dyDescent="0.3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5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5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5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5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5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5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5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5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5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5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5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8" thickBot="1" x14ac:dyDescent="0.3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5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5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5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5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5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5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5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5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5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5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5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8" thickBot="1" x14ac:dyDescent="0.3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5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5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5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5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5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5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5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5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5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5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5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8" thickBot="1" x14ac:dyDescent="0.3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5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5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5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5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5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5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5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5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5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5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5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8" thickBot="1" x14ac:dyDescent="0.3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5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5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5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5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5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5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5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5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5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5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5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8" thickBot="1" x14ac:dyDescent="0.3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5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5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5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5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5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5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5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5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5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5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8" thickBot="1" x14ac:dyDescent="0.3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82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82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82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82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82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82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83">H368*0.8*43.5/1000</f>
        <v>3099.3576000000003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4">I368-I369</f>
        <v>-20282</v>
      </c>
      <c r="H369" s="16">
        <v>82758</v>
      </c>
      <c r="I369" s="16">
        <v>445176</v>
      </c>
      <c r="J369" s="15"/>
      <c r="K369" s="15"/>
      <c r="L369" s="14">
        <f t="shared" si="83"/>
        <v>2879.9784000000004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4"/>
        <v>40070</v>
      </c>
      <c r="H370" s="16">
        <v>95990</v>
      </c>
      <c r="I370" s="16">
        <v>405106</v>
      </c>
      <c r="J370" s="15"/>
      <c r="K370" s="15"/>
      <c r="L370" s="14">
        <f t="shared" si="83"/>
        <v>3340.4520000000002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4"/>
        <v>-15799</v>
      </c>
      <c r="H371" s="16">
        <v>94007</v>
      </c>
      <c r="I371" s="16">
        <v>420905</v>
      </c>
      <c r="J371" s="15"/>
      <c r="K371" s="15"/>
      <c r="L371" s="14">
        <f t="shared" si="83"/>
        <v>3271.4436000000001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4"/>
        <v>-17605</v>
      </c>
      <c r="H372" s="16">
        <v>104611</v>
      </c>
      <c r="I372" s="16">
        <v>438510</v>
      </c>
      <c r="J372" s="15"/>
      <c r="K372" s="15"/>
      <c r="L372" s="14">
        <f t="shared" si="83"/>
        <v>3640.4628000000002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4"/>
        <v>26505</v>
      </c>
      <c r="H373" s="16">
        <v>122023</v>
      </c>
      <c r="I373" s="16">
        <v>412005</v>
      </c>
      <c r="J373" s="15"/>
      <c r="K373" s="15"/>
      <c r="L373" s="14">
        <f t="shared" si="83"/>
        <v>4246.4004000000004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4"/>
        <v>2874</v>
      </c>
      <c r="H374" s="16">
        <v>121457</v>
      </c>
      <c r="I374" s="16">
        <v>409131</v>
      </c>
      <c r="J374" s="15"/>
      <c r="K374" s="15"/>
      <c r="L374" s="14">
        <f t="shared" si="83"/>
        <v>4226.7036000000007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4"/>
        <v>8832</v>
      </c>
      <c r="H375" s="16">
        <v>114863</v>
      </c>
      <c r="I375" s="16">
        <v>400299</v>
      </c>
      <c r="J375" s="15"/>
      <c r="K375" s="15"/>
      <c r="L375" s="14">
        <f t="shared" si="83"/>
        <v>3997.2324000000003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4"/>
        <v>141551</v>
      </c>
      <c r="H376" s="16">
        <v>108755</v>
      </c>
      <c r="I376" s="16">
        <v>258748</v>
      </c>
      <c r="J376" s="15"/>
      <c r="K376" s="15"/>
      <c r="L376" s="14">
        <f t="shared" si="83"/>
        <v>3784.674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4"/>
        <v>51748</v>
      </c>
      <c r="H377" s="16">
        <v>143500</v>
      </c>
      <c r="I377" s="16">
        <v>207000</v>
      </c>
      <c r="J377" s="15"/>
      <c r="K377" s="15"/>
      <c r="L377" s="14">
        <f t="shared" si="83"/>
        <v>4993.8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4"/>
        <v>15920</v>
      </c>
      <c r="H378" s="16">
        <v>109893</v>
      </c>
      <c r="I378" s="16">
        <v>191080</v>
      </c>
      <c r="J378" s="15"/>
      <c r="K378" s="15"/>
      <c r="L378" s="14">
        <f t="shared" si="83"/>
        <v>3824.2764000000002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4"/>
        <v>-21147</v>
      </c>
      <c r="H379" s="42">
        <v>100527</v>
      </c>
      <c r="I379" s="42">
        <v>212227</v>
      </c>
      <c r="J379" s="2"/>
      <c r="K379" s="2"/>
      <c r="L379" s="54">
        <f t="shared" si="83"/>
        <v>3498.3396000000002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5">H381*0.8*43.5/1000</f>
        <v>3242.0724000000005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6">I381-I382</f>
        <v>-32027</v>
      </c>
      <c r="H382" s="16">
        <v>86528</v>
      </c>
      <c r="I382" s="16">
        <v>233720</v>
      </c>
      <c r="J382" s="15"/>
      <c r="K382" s="15"/>
      <c r="L382" s="14">
        <f t="shared" si="85"/>
        <v>3011.1744000000003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6"/>
        <v>64075</v>
      </c>
      <c r="H383" s="16">
        <v>98176</v>
      </c>
      <c r="I383" s="16">
        <v>169645</v>
      </c>
      <c r="J383" s="15"/>
      <c r="K383" s="15"/>
      <c r="L383" s="14">
        <f t="shared" si="85"/>
        <v>3416.5248000000001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6"/>
        <v>-17434</v>
      </c>
      <c r="H384" s="16">
        <v>97981</v>
      </c>
      <c r="I384" s="16">
        <v>187079</v>
      </c>
      <c r="J384" s="15"/>
      <c r="K384" s="15"/>
      <c r="L384" s="14">
        <f t="shared" si="85"/>
        <v>3409.7388000000001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6"/>
        <v>0</v>
      </c>
      <c r="H385" s="16">
        <v>97977</v>
      </c>
      <c r="I385" s="16">
        <v>187079</v>
      </c>
      <c r="J385" s="15"/>
      <c r="K385" s="15"/>
      <c r="L385" s="14">
        <f t="shared" si="85"/>
        <v>3409.5996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6"/>
        <v>-6714</v>
      </c>
      <c r="H386" s="16">
        <v>83420</v>
      </c>
      <c r="I386" s="16">
        <v>193793</v>
      </c>
      <c r="J386" s="15"/>
      <c r="K386" s="15"/>
      <c r="L386" s="14">
        <f t="shared" si="85"/>
        <v>2903.0160000000001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6"/>
        <v>44512</v>
      </c>
      <c r="H387" s="16">
        <v>129512</v>
      </c>
      <c r="I387" s="16">
        <v>149281</v>
      </c>
      <c r="J387" s="15"/>
      <c r="K387" s="15"/>
      <c r="L387" s="14">
        <f t="shared" si="85"/>
        <v>4507.0176000000001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5"/>
        <v>4253.6387999999997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5"/>
        <v>3967.8264000000004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5"/>
        <v>4345.5804000000007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5"/>
        <v>3563.3808000000004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5"/>
        <v>3035.0471999999995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7">H394*0.8*43.5/1000</f>
        <v>3325.7664000000004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8">I394-I395</f>
        <v>-51</v>
      </c>
      <c r="H395" s="16">
        <v>88513</v>
      </c>
      <c r="I395" s="16">
        <v>166957</v>
      </c>
      <c r="J395" s="15"/>
      <c r="K395" s="15"/>
      <c r="L395" s="14">
        <f t="shared" si="87"/>
        <v>3080.2524000000003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8"/>
        <v>-38377</v>
      </c>
      <c r="H396" s="16">
        <v>100146</v>
      </c>
      <c r="I396" s="16">
        <v>205334</v>
      </c>
      <c r="J396" s="15"/>
      <c r="K396" s="15"/>
      <c r="L396" s="14">
        <f t="shared" si="87"/>
        <v>3485.0808000000002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8"/>
        <v>-49576</v>
      </c>
      <c r="H397" s="16">
        <v>100727</v>
      </c>
      <c r="I397" s="16">
        <v>254910</v>
      </c>
      <c r="J397" s="15"/>
      <c r="K397" s="15"/>
      <c r="L397" s="14">
        <f t="shared" si="87"/>
        <v>3505.2996000000003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8"/>
        <v>59584</v>
      </c>
      <c r="H398" s="16">
        <v>106682</v>
      </c>
      <c r="I398" s="16">
        <v>195326</v>
      </c>
      <c r="J398" s="15"/>
      <c r="K398" s="15"/>
      <c r="L398" s="14">
        <f t="shared" si="87"/>
        <v>3712.5336000000002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8"/>
        <v>-2897</v>
      </c>
      <c r="H399" s="16">
        <v>119944</v>
      </c>
      <c r="I399" s="16">
        <v>198223</v>
      </c>
      <c r="J399" s="15"/>
      <c r="K399" s="15"/>
      <c r="L399" s="14">
        <f t="shared" si="87"/>
        <v>4174.0512000000008</v>
      </c>
      <c r="N399" s="23" t="str">
        <f>'Olieforbrug, TJ'!M399</f>
        <v>June</v>
      </c>
    </row>
    <row r="400" spans="1:14" ht="11.25" customHeight="1" x14ac:dyDescent="0.25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8"/>
        <v>-39372</v>
      </c>
      <c r="H400" s="16">
        <v>129281</v>
      </c>
      <c r="I400" s="16">
        <v>237595</v>
      </c>
      <c r="J400" s="15"/>
      <c r="K400" s="15"/>
      <c r="L400" s="14">
        <f t="shared" si="87"/>
        <v>4498.9787999999999</v>
      </c>
      <c r="N400" s="23" t="str">
        <f>'Olieforbrug, TJ'!M400</f>
        <v>July</v>
      </c>
    </row>
    <row r="401" spans="1:14" ht="11.25" customHeight="1" x14ac:dyDescent="0.25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7"/>
        <v>4540.4603999999999</v>
      </c>
      <c r="N401" s="23" t="str">
        <f>'Olieforbrug, TJ'!M401</f>
        <v>August</v>
      </c>
    </row>
    <row r="402" spans="1:14" ht="11.25" customHeight="1" x14ac:dyDescent="0.25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7"/>
        <v>3884.4804000000004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7"/>
        <v>4222.8756000000003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7"/>
        <v>3127.8935999999999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7"/>
        <v>3433.194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9">H407*0.8*43.5/1000</f>
        <v>2519.6243999999997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90">I407-I408</f>
        <v>-6324</v>
      </c>
      <c r="H408" s="16">
        <v>85730</v>
      </c>
      <c r="I408" s="16">
        <v>254034</v>
      </c>
      <c r="J408" s="15"/>
      <c r="K408" s="15"/>
      <c r="L408" s="14">
        <f t="shared" si="89"/>
        <v>2983.404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90"/>
        <v>-25880</v>
      </c>
      <c r="H409" s="16">
        <v>55272</v>
      </c>
      <c r="I409" s="16">
        <v>279914</v>
      </c>
      <c r="J409" s="15"/>
      <c r="K409" s="15"/>
      <c r="L409" s="14">
        <f t="shared" si="89"/>
        <v>1923.4656000000002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90"/>
        <v>6507</v>
      </c>
      <c r="H410" s="16">
        <v>17355</v>
      </c>
      <c r="I410" s="16">
        <v>273407</v>
      </c>
      <c r="J410" s="15"/>
      <c r="K410" s="15"/>
      <c r="L410" s="14">
        <f t="shared" si="89"/>
        <v>603.95399999999995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90"/>
        <v>-159994</v>
      </c>
      <c r="H411" s="16">
        <v>24526</v>
      </c>
      <c r="I411" s="16">
        <v>433401</v>
      </c>
      <c r="J411" s="15"/>
      <c r="K411" s="15"/>
      <c r="L411" s="14">
        <f t="shared" si="89"/>
        <v>853.50479999999993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90"/>
        <v>-36511</v>
      </c>
      <c r="H412" s="16">
        <v>12122</v>
      </c>
      <c r="I412" s="16">
        <v>469912</v>
      </c>
      <c r="J412" s="15"/>
      <c r="K412" s="15"/>
      <c r="L412" s="14">
        <f t="shared" si="89"/>
        <v>421.84560000000005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90"/>
        <v>25984</v>
      </c>
      <c r="H413" s="16">
        <v>38232</v>
      </c>
      <c r="I413" s="16">
        <v>443928</v>
      </c>
      <c r="J413" s="15"/>
      <c r="K413" s="15"/>
      <c r="L413" s="14">
        <f t="shared" ref="L413:L418" si="91">H413*0.8*43.5/1000</f>
        <v>1330.4736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91"/>
        <v>1123.4136000000001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91"/>
        <v>1453.2828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91"/>
        <v>1149.4092000000001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91"/>
        <v>888.58320000000003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91"/>
        <v>881.06640000000004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5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92">H420*0.8*43.5/1000</f>
        <v>731.46120000000008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93">I420-I421</f>
        <v>10748</v>
      </c>
      <c r="H421" s="16">
        <v>19323</v>
      </c>
      <c r="I421" s="16">
        <v>449175</v>
      </c>
      <c r="J421" s="15"/>
      <c r="K421" s="15"/>
      <c r="L421" s="14">
        <f t="shared" si="92"/>
        <v>672.44040000000007</v>
      </c>
      <c r="N421" s="23" t="str">
        <f>'Olieforbrug, TJ'!M421</f>
        <v>February</v>
      </c>
    </row>
    <row r="422" spans="1:14" x14ac:dyDescent="0.25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93"/>
        <v>-18455</v>
      </c>
      <c r="H422" s="16">
        <v>24135</v>
      </c>
      <c r="I422" s="16">
        <v>467630</v>
      </c>
      <c r="J422" s="15"/>
      <c r="K422" s="15"/>
      <c r="L422" s="14">
        <f t="shared" si="92"/>
        <v>839.89800000000002</v>
      </c>
      <c r="N422" s="23" t="str">
        <f>'Olieforbrug, TJ'!M422</f>
        <v>March</v>
      </c>
    </row>
    <row r="423" spans="1:14" x14ac:dyDescent="0.25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93"/>
        <v>-1729</v>
      </c>
      <c r="H423" s="16">
        <v>29838</v>
      </c>
      <c r="I423" s="16">
        <v>469359</v>
      </c>
      <c r="J423" s="15"/>
      <c r="K423" s="15"/>
      <c r="L423" s="14">
        <f t="shared" si="92"/>
        <v>1038.3624</v>
      </c>
      <c r="N423" s="23" t="str">
        <f>'Olieforbrug, TJ'!M423</f>
        <v>April</v>
      </c>
    </row>
    <row r="424" spans="1:14" x14ac:dyDescent="0.25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93"/>
        <v>5381</v>
      </c>
      <c r="H424" s="16">
        <v>28516</v>
      </c>
      <c r="I424" s="16">
        <v>463978</v>
      </c>
      <c r="J424" s="15"/>
      <c r="K424" s="15"/>
      <c r="L424" s="14">
        <f t="shared" si="92"/>
        <v>992.35680000000013</v>
      </c>
      <c r="N424" s="23" t="str">
        <f>'Olieforbrug, TJ'!M424</f>
        <v>May</v>
      </c>
    </row>
    <row r="425" spans="1:14" x14ac:dyDescent="0.25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93"/>
        <v>10849</v>
      </c>
      <c r="H425" s="16">
        <v>48596</v>
      </c>
      <c r="I425" s="16">
        <v>453129</v>
      </c>
      <c r="J425" s="15"/>
      <c r="K425" s="15"/>
      <c r="L425" s="14">
        <f t="shared" si="92"/>
        <v>1691.1408000000001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93"/>
        <v>28547</v>
      </c>
      <c r="H426" s="16">
        <v>62470</v>
      </c>
      <c r="I426" s="16">
        <v>424582</v>
      </c>
      <c r="J426" s="15"/>
      <c r="K426" s="15"/>
      <c r="L426" s="14">
        <f t="shared" si="92"/>
        <v>2173.9560000000001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92"/>
        <v>2167.17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92"/>
        <v>2411.6748000000002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92"/>
        <v>2383.8000000000002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92"/>
        <v>2124.8879999999999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92"/>
        <v>2474.7672000000002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4">H433*0.8*43.5/1000</f>
        <v>1884.8027999999999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5">I433-I434</f>
        <v>33052</v>
      </c>
      <c r="H434" s="16">
        <v>51176</v>
      </c>
      <c r="I434" s="16">
        <v>136430</v>
      </c>
      <c r="J434" s="15"/>
      <c r="K434" s="15"/>
      <c r="L434" s="14">
        <f t="shared" si="94"/>
        <v>1780.9248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5"/>
        <v>2725</v>
      </c>
      <c r="H435" s="16">
        <v>59442</v>
      </c>
      <c r="I435" s="16">
        <v>133705</v>
      </c>
      <c r="J435" s="15"/>
      <c r="K435" s="15"/>
      <c r="L435" s="14">
        <f t="shared" si="94"/>
        <v>2068.5816000000004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5"/>
        <v>11348</v>
      </c>
      <c r="H436" s="16">
        <v>84314</v>
      </c>
      <c r="I436" s="16">
        <v>122357</v>
      </c>
      <c r="J436" s="15"/>
      <c r="K436" s="15"/>
      <c r="L436" s="14">
        <f t="shared" si="94"/>
        <v>2934.1271999999999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5"/>
        <v>8342</v>
      </c>
      <c r="H437" s="16">
        <v>78920</v>
      </c>
      <c r="I437" s="16">
        <v>114015</v>
      </c>
      <c r="J437" s="15"/>
      <c r="K437" s="15"/>
      <c r="L437" s="14">
        <f t="shared" si="94"/>
        <v>2746.4160000000002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5"/>
        <v>-43444</v>
      </c>
      <c r="H438" s="16">
        <v>87303</v>
      </c>
      <c r="I438" s="16">
        <v>157459</v>
      </c>
      <c r="J438" s="15"/>
      <c r="K438" s="15"/>
      <c r="L438" s="14">
        <f t="shared" si="94"/>
        <v>3038.1444000000006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5"/>
        <v>27358</v>
      </c>
      <c r="H439" s="16">
        <v>92342</v>
      </c>
      <c r="I439" s="16">
        <v>130101</v>
      </c>
      <c r="J439" s="15"/>
      <c r="K439" s="15"/>
      <c r="L439" s="14">
        <f t="shared" ref="L439" si="96">H439*0.8*43.5/1000</f>
        <v>3213.5016000000001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7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8">H440*0.8*43.5/1000</f>
        <v>3624.3852000000006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9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100">H441*0.8*43.5/1000</f>
        <v>3063.2351999999996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101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102">H442*0.8*43.5/1000</f>
        <v>3140.1779999999999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103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4">H443*0.8*43.5/1000</f>
        <v>2447.2752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5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6">H444*0.8*43.5/1000</f>
        <v>2729.9208000000003</v>
      </c>
      <c r="N444" s="43" t="str">
        <f>'Olieforbrug, TJ'!M444</f>
        <v>December</v>
      </c>
    </row>
    <row r="445" spans="1:14" x14ac:dyDescent="0.25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7">H446*0.8*43.5/1000</f>
        <v>2374.9608000000003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8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9">H447*0.8*43.5/1000</f>
        <v>2136.3372000000004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8"/>
        <v>70431</v>
      </c>
      <c r="H448" s="16">
        <v>76072</v>
      </c>
      <c r="I448" s="16">
        <v>167445</v>
      </c>
      <c r="J448" s="15"/>
      <c r="K448" s="15"/>
      <c r="L448" s="14">
        <f t="shared" ref="L448" si="110">H448*0.8*43.5/1000</f>
        <v>2647.3056000000001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8"/>
        <v>-24641</v>
      </c>
      <c r="H449" s="16">
        <v>92070</v>
      </c>
      <c r="I449" s="16">
        <v>192086</v>
      </c>
      <c r="J449" s="15"/>
      <c r="K449" s="15"/>
      <c r="L449" s="14">
        <f t="shared" ref="L449" si="111">H449*0.8*43.5/1000</f>
        <v>3204.0360000000001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8"/>
        <v>-41444</v>
      </c>
      <c r="H450" s="16">
        <v>93932</v>
      </c>
      <c r="I450" s="16">
        <v>233530</v>
      </c>
      <c r="J450" s="15"/>
      <c r="K450" s="15"/>
      <c r="L450" s="14">
        <f t="shared" ref="L450" si="112">H450*0.8*43.5/1000</f>
        <v>3268.8335999999999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8"/>
        <v>7786</v>
      </c>
      <c r="H451" s="16">
        <v>105520</v>
      </c>
      <c r="I451" s="16">
        <v>225744</v>
      </c>
      <c r="J451" s="15"/>
      <c r="K451" s="15"/>
      <c r="L451" s="14">
        <f t="shared" ref="L451" si="113">H451*0.8*43.5/1000</f>
        <v>3672.096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8"/>
        <v>-20614</v>
      </c>
      <c r="H452" s="16">
        <v>116128</v>
      </c>
      <c r="I452" s="16">
        <v>246358</v>
      </c>
      <c r="J452" s="15"/>
      <c r="K452" s="15"/>
      <c r="L452" s="14">
        <f t="shared" ref="L452" si="114">H452*0.8*43.5/1000</f>
        <v>4041.2544000000003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5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6">H453*0.8*43.5/1000</f>
        <v>3634.0596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7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8">H454*0.8*43.5/1000</f>
        <v>3778.1316000000002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9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20">H455*0.8*43.5/1000</f>
        <v>3671.5392000000006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21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22">H456*0.8*43.5/1000</f>
        <v>2703.96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23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4">H457*0.8*43.5/1000</f>
        <v>3295.212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5">H459*0.8*43.5/1000</f>
        <v>2616.6120000000001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6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7">H460*0.8*43.5/1000</f>
        <v>2568.2399999999998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6"/>
        <v>-40398</v>
      </c>
      <c r="H461" s="16">
        <v>85751</v>
      </c>
      <c r="I461" s="16">
        <v>249405</v>
      </c>
      <c r="J461" s="15"/>
      <c r="K461" s="15"/>
      <c r="L461" s="14">
        <f t="shared" ref="L461" si="128">H461*0.8*43.5/1000</f>
        <v>2984.1348000000003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6"/>
        <v>21477</v>
      </c>
      <c r="H462" s="16">
        <v>95600</v>
      </c>
      <c r="I462" s="16">
        <v>227928</v>
      </c>
      <c r="J462" s="15"/>
      <c r="K462" s="15"/>
      <c r="L462" s="14">
        <f t="shared" ref="L462" si="129">H462*0.8*43.5/1000</f>
        <v>3326.88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6"/>
        <v>6380</v>
      </c>
      <c r="H463" s="16">
        <v>117299</v>
      </c>
      <c r="I463" s="16">
        <v>221548</v>
      </c>
      <c r="J463" s="15"/>
      <c r="K463" s="15"/>
      <c r="L463" s="14">
        <f t="shared" ref="L463" si="130">H463*0.8*43.5/1000</f>
        <v>4082.0052000000005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6"/>
        <v>-44588</v>
      </c>
      <c r="H464" s="16">
        <v>108628</v>
      </c>
      <c r="I464" s="16">
        <v>266136</v>
      </c>
      <c r="J464" s="15"/>
      <c r="K464" s="15"/>
      <c r="L464" s="14">
        <f t="shared" ref="L464" si="131">H464*0.8*43.5/1000</f>
        <v>3780.2544000000003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6"/>
        <v>7340</v>
      </c>
      <c r="H465" s="16">
        <v>125350</v>
      </c>
      <c r="I465" s="16">
        <v>258796</v>
      </c>
      <c r="J465" s="15"/>
      <c r="K465" s="15"/>
      <c r="L465" s="14">
        <f t="shared" ref="L465" si="132">H465*0.8*43.5/1000</f>
        <v>4362.18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33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4">H466*0.8*43.5/1000</f>
        <v>4001.2692000000006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5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6">H467*0.8*43.5/1000</f>
        <v>3825.1464000000005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7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8">H468*0.8*43.5/1000</f>
        <v>3926.5188000000003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9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40">H469*0.8*43.5/1000</f>
        <v>3447.5316000000003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41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42">H470*0.8*43.5/1000</f>
        <v>3380.9591999999998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43">H472*0.8*43.5/1000</f>
        <v>3640.6368000000002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4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5">H473*0.8*43.5/1000</f>
        <v>2369.6712000000002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4"/>
        <v>62319</v>
      </c>
      <c r="H474" s="16">
        <v>95531</v>
      </c>
      <c r="I474" s="16">
        <v>238707</v>
      </c>
      <c r="J474" s="15"/>
      <c r="K474" s="15"/>
      <c r="L474" s="14">
        <f t="shared" ref="L474:L479" si="146">H474*0.8*43.5/1000</f>
        <v>3324.4788000000003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4"/>
        <v>-4742</v>
      </c>
      <c r="H475" s="16">
        <v>102307</v>
      </c>
      <c r="I475" s="16">
        <v>243449</v>
      </c>
      <c r="J475" s="15"/>
      <c r="K475" s="15"/>
      <c r="L475" s="14">
        <f t="shared" si="146"/>
        <v>3560.2836000000002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4"/>
        <v>-11670</v>
      </c>
      <c r="H476" s="16">
        <v>109196</v>
      </c>
      <c r="I476" s="16">
        <v>255119</v>
      </c>
      <c r="J476" s="15"/>
      <c r="K476" s="15"/>
      <c r="L476" s="14">
        <f t="shared" si="146"/>
        <v>3800.0208000000002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4"/>
        <v>-44637</v>
      </c>
      <c r="H477" s="16">
        <v>123667</v>
      </c>
      <c r="I477" s="16">
        <v>299756</v>
      </c>
      <c r="J477" s="15"/>
      <c r="K477" s="15"/>
      <c r="L477" s="14">
        <f t="shared" si="146"/>
        <v>4303.6116000000002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4"/>
        <v>30763</v>
      </c>
      <c r="H478" s="16">
        <v>127154</v>
      </c>
      <c r="I478" s="16">
        <v>268993</v>
      </c>
      <c r="J478" s="15"/>
      <c r="K478" s="15"/>
      <c r="L478" s="14">
        <f t="shared" si="146"/>
        <v>4424.9592000000002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22297</v>
      </c>
      <c r="D479" s="16">
        <v>144672</v>
      </c>
      <c r="E479" s="16">
        <v>0</v>
      </c>
      <c r="F479" s="16">
        <v>0</v>
      </c>
      <c r="G479" s="69">
        <f t="shared" ref="G479" si="147">I478-I479</f>
        <v>-46962</v>
      </c>
      <c r="H479" s="16">
        <v>120926</v>
      </c>
      <c r="I479" s="16">
        <v>315955</v>
      </c>
      <c r="J479" s="15"/>
      <c r="K479" s="15"/>
      <c r="L479" s="14">
        <f t="shared" si="146"/>
        <v>4208.2248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19591</v>
      </c>
      <c r="D480" s="16">
        <v>88488</v>
      </c>
      <c r="E480" s="16">
        <v>6974</v>
      </c>
      <c r="F480" s="16">
        <v>0</v>
      </c>
      <c r="G480" s="69">
        <f t="shared" ref="G480" si="148">I479-I480</f>
        <v>30729</v>
      </c>
      <c r="H480" s="16">
        <v>122545</v>
      </c>
      <c r="I480" s="16">
        <v>285226</v>
      </c>
      <c r="J480" s="15"/>
      <c r="K480" s="15"/>
      <c r="L480" s="14">
        <f t="shared" ref="L480" si="149">H480*0.8*43.5/1000</f>
        <v>4264.5659999999998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23944</v>
      </c>
      <c r="D481" s="16">
        <v>131274</v>
      </c>
      <c r="E481" s="16">
        <v>6990</v>
      </c>
      <c r="F481" s="16">
        <v>0</v>
      </c>
      <c r="G481" s="69">
        <f t="shared" ref="G481" si="150">I480-I481</f>
        <v>-25543</v>
      </c>
      <c r="H481" s="16">
        <v>122599</v>
      </c>
      <c r="I481" s="16">
        <v>310769</v>
      </c>
      <c r="J481" s="15"/>
      <c r="K481" s="15"/>
      <c r="L481" s="14">
        <f t="shared" ref="L481" si="151">H481*0.8*43.5/1000</f>
        <v>4266.4452000000001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27986</v>
      </c>
      <c r="D482" s="16">
        <v>29834</v>
      </c>
      <c r="E482" s="16">
        <v>768</v>
      </c>
      <c r="F482" s="16">
        <v>0</v>
      </c>
      <c r="G482" s="69">
        <f t="shared" ref="G482" si="152">I481-I482</f>
        <v>46944</v>
      </c>
      <c r="H482" s="16">
        <v>103983</v>
      </c>
      <c r="I482" s="16">
        <v>263825</v>
      </c>
      <c r="J482" s="15"/>
      <c r="K482" s="15"/>
      <c r="L482" s="14">
        <f t="shared" ref="L482" si="153">H482*0.8*43.5/1000</f>
        <v>3618.6084000000005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20420</v>
      </c>
      <c r="D483" s="16">
        <v>112857</v>
      </c>
      <c r="E483" s="16">
        <v>6410</v>
      </c>
      <c r="F483" s="16">
        <v>0</v>
      </c>
      <c r="G483" s="69">
        <f t="shared" ref="G483" si="154">I482-I483</f>
        <v>-33587</v>
      </c>
      <c r="H483" s="16">
        <v>93257</v>
      </c>
      <c r="I483" s="16">
        <v>297412</v>
      </c>
      <c r="J483" s="15"/>
      <c r="K483" s="15"/>
      <c r="L483" s="14">
        <f t="shared" ref="L483" si="155">H483*0.8*43.5/1000</f>
        <v>3245.3436000000002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83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R479" sqref="R479"/>
    </sheetView>
  </sheetViews>
  <sheetFormatPr defaultRowHeight="13.2" x14ac:dyDescent="0.25"/>
  <cols>
    <col min="1" max="1" width="20.5546875" customWidth="1"/>
    <col min="2" max="2" width="9.5546875" customWidth="1"/>
    <col min="3" max="3" width="15.44140625" style="3" customWidth="1"/>
    <col min="4" max="5" width="12.44140625" style="3" customWidth="1"/>
    <col min="6" max="6" width="14.88671875" style="3" bestFit="1" customWidth="1"/>
    <col min="7" max="7" width="14" style="3" customWidth="1"/>
    <col min="8" max="8" width="20.5546875" style="3" customWidth="1"/>
    <col min="9" max="9" width="20.44140625" style="3" customWidth="1"/>
    <col min="10" max="10" width="5" customWidth="1"/>
    <col min="11" max="11" width="3.44140625" customWidth="1"/>
    <col min="12" max="12" width="17.44140625" customWidth="1"/>
    <col min="14" max="14" width="20.5546875" customWidth="1"/>
    <col min="15" max="15" width="9.5546875" customWidth="1"/>
  </cols>
  <sheetData>
    <row r="1" spans="1:16" ht="12.75" customHeight="1" x14ac:dyDescent="0.25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5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5"/>
    <row r="4" spans="1:16" ht="12.75" customHeight="1" thickBot="1" x14ac:dyDescent="0.3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3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5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5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5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5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5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5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5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5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5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5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5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5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5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5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5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5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5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5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5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5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5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5">
      <c r="A27" s="22">
        <v>2025</v>
      </c>
      <c r="C27" s="3">
        <f>SUM(C472:C483)</f>
        <v>1284763</v>
      </c>
      <c r="D27" s="3">
        <f t="shared" ref="D27:L27" si="11">SUM(D472:D483)</f>
        <v>1468330</v>
      </c>
      <c r="E27" s="3">
        <f t="shared" si="11"/>
        <v>2378777</v>
      </c>
      <c r="F27" s="3">
        <f t="shared" si="11"/>
        <v>339891</v>
      </c>
      <c r="G27" s="3">
        <f t="shared" si="11"/>
        <v>-122132</v>
      </c>
      <c r="H27" s="3">
        <f t="shared" si="11"/>
        <v>3389</v>
      </c>
      <c r="I27" s="3">
        <f>I483</f>
        <v>375997</v>
      </c>
      <c r="J27" s="3"/>
      <c r="K27" s="3"/>
      <c r="L27" s="3">
        <f t="shared" si="11"/>
        <v>137.76284999999999</v>
      </c>
      <c r="M27" s="57"/>
      <c r="N27" s="106">
        <v>2025</v>
      </c>
    </row>
    <row r="28" spans="1:16" ht="12.75" customHeight="1" x14ac:dyDescent="0.25">
      <c r="A28" s="23"/>
      <c r="J28" s="3"/>
      <c r="K28" s="3"/>
      <c r="L28" s="3"/>
      <c r="M28" s="3"/>
    </row>
    <row r="29" spans="1:16" ht="12.75" customHeight="1" x14ac:dyDescent="0.25">
      <c r="A29" s="22" t="str">
        <f>'Olieforbrug, TJ'!A29</f>
        <v>Januar - December</v>
      </c>
      <c r="J29" s="3"/>
      <c r="K29" s="3"/>
      <c r="L29" s="3"/>
      <c r="M29" s="3"/>
      <c r="N29" s="22" t="str">
        <f>'Olieforbrug, TJ'!M29</f>
        <v>January - December</v>
      </c>
    </row>
    <row r="30" spans="1:16" x14ac:dyDescent="0.25">
      <c r="A30" s="22">
        <f>'Olieforbrug, TJ'!A30</f>
        <v>2005</v>
      </c>
      <c r="C30" s="3">
        <f t="shared" ref="C30:H30" si="12">SUM(C212:C223)</f>
        <v>1405310</v>
      </c>
      <c r="D30" s="3">
        <f t="shared" si="12"/>
        <v>1199252</v>
      </c>
      <c r="E30" s="3">
        <f t="shared" si="12"/>
        <v>1544844</v>
      </c>
      <c r="F30" s="3">
        <f t="shared" si="12"/>
        <v>506534</v>
      </c>
      <c r="G30" s="3">
        <f t="shared" si="12"/>
        <v>-90167</v>
      </c>
      <c r="H30" s="3">
        <f t="shared" si="12"/>
        <v>586811</v>
      </c>
      <c r="I30" s="3">
        <f>I223</f>
        <v>544805</v>
      </c>
      <c r="J30" s="3"/>
      <c r="K30" s="3"/>
      <c r="L30" s="3">
        <f>SUM(L212:L223)</f>
        <v>24974.221799999992</v>
      </c>
      <c r="M30" s="3"/>
      <c r="N30" s="22">
        <f>'Olieforbrug, TJ'!M30</f>
        <v>2005</v>
      </c>
      <c r="P30" s="3"/>
    </row>
    <row r="31" spans="1:16" x14ac:dyDescent="0.25">
      <c r="A31" s="22">
        <f>'Olieforbrug, TJ'!A31</f>
        <v>2006</v>
      </c>
      <c r="C31" s="3">
        <f t="shared" ref="C31:H31" si="13">SUM(C225:C236)</f>
        <v>1473736</v>
      </c>
      <c r="D31" s="3">
        <f t="shared" si="13"/>
        <v>1109619</v>
      </c>
      <c r="E31" s="3">
        <f t="shared" si="13"/>
        <v>1152748</v>
      </c>
      <c r="F31" s="3">
        <f t="shared" si="13"/>
        <v>776499</v>
      </c>
      <c r="G31" s="3">
        <f t="shared" si="13"/>
        <v>-30840</v>
      </c>
      <c r="H31" s="3">
        <f t="shared" si="13"/>
        <v>652425</v>
      </c>
      <c r="I31" s="3">
        <f>I236</f>
        <v>575645</v>
      </c>
      <c r="J31" s="3"/>
      <c r="K31" s="3"/>
      <c r="L31" s="3">
        <f>SUM(L225:L236)</f>
        <v>26521.076250000002</v>
      </c>
      <c r="M31" s="3"/>
      <c r="N31" s="22">
        <f>'Olieforbrug, TJ'!M31</f>
        <v>2006</v>
      </c>
      <c r="P31" s="3"/>
    </row>
    <row r="32" spans="1:16" x14ac:dyDescent="0.25">
      <c r="A32" s="22">
        <f>'Olieforbrug, TJ'!A32</f>
        <v>2007</v>
      </c>
      <c r="C32" s="3">
        <f t="shared" ref="C32:H32" si="14">SUM(C238:C249)</f>
        <v>1414941</v>
      </c>
      <c r="D32" s="3">
        <f t="shared" si="14"/>
        <v>1490854</v>
      </c>
      <c r="E32" s="3">
        <f t="shared" si="14"/>
        <v>1684634</v>
      </c>
      <c r="F32" s="3">
        <f t="shared" si="14"/>
        <v>866990</v>
      </c>
      <c r="G32" s="3">
        <f t="shared" si="14"/>
        <v>57356</v>
      </c>
      <c r="H32" s="3">
        <f t="shared" si="14"/>
        <v>478162</v>
      </c>
      <c r="I32" s="3">
        <f>I249</f>
        <v>518289</v>
      </c>
      <c r="J32" s="3"/>
      <c r="K32" s="3"/>
      <c r="L32" s="3">
        <f>SUM(L238:L249)</f>
        <v>19437.2853</v>
      </c>
      <c r="M32" s="3"/>
      <c r="N32" s="22">
        <f>'Olieforbrug, TJ'!M32</f>
        <v>2007</v>
      </c>
      <c r="P32" s="3"/>
    </row>
    <row r="33" spans="1:16" x14ac:dyDescent="0.25">
      <c r="A33" s="22">
        <f>'Olieforbrug, TJ'!A33</f>
        <v>2008</v>
      </c>
      <c r="C33" s="3">
        <f t="shared" ref="C33:H33" si="15">SUM(C251:C262)</f>
        <v>1378734</v>
      </c>
      <c r="D33" s="3">
        <f t="shared" si="15"/>
        <v>1983787</v>
      </c>
      <c r="E33" s="3">
        <f t="shared" si="15"/>
        <v>2243897</v>
      </c>
      <c r="F33" s="3">
        <f t="shared" si="15"/>
        <v>668231</v>
      </c>
      <c r="G33" s="3">
        <f t="shared" si="15"/>
        <v>37951</v>
      </c>
      <c r="H33" s="3">
        <f t="shared" si="15"/>
        <v>378589</v>
      </c>
      <c r="I33" s="3">
        <f>I262</f>
        <v>480338</v>
      </c>
      <c r="J33" s="3"/>
      <c r="K33" s="3"/>
      <c r="L33" s="3">
        <f>SUM(L251:L262)</f>
        <v>15389.64285</v>
      </c>
      <c r="M33" s="3"/>
      <c r="N33" s="22">
        <f>'Olieforbrug, TJ'!M33</f>
        <v>2008</v>
      </c>
      <c r="P33" s="3"/>
    </row>
    <row r="34" spans="1:16" x14ac:dyDescent="0.25">
      <c r="A34" s="22">
        <f>'Olieforbrug, TJ'!A34</f>
        <v>2009</v>
      </c>
      <c r="C34" s="3">
        <f t="shared" ref="C34:H34" si="16">SUM(C264:C275)</f>
        <v>1264955</v>
      </c>
      <c r="D34" s="3">
        <f t="shared" si="16"/>
        <v>1212733</v>
      </c>
      <c r="E34" s="3">
        <f t="shared" si="16"/>
        <v>1887604</v>
      </c>
      <c r="F34" s="3">
        <f t="shared" si="16"/>
        <v>272845</v>
      </c>
      <c r="G34" s="3">
        <f t="shared" si="16"/>
        <v>-110122</v>
      </c>
      <c r="H34" s="3">
        <f t="shared" si="16"/>
        <v>366534</v>
      </c>
      <c r="I34" s="3">
        <f>I275</f>
        <v>590460</v>
      </c>
      <c r="J34" s="3"/>
      <c r="K34" s="3"/>
      <c r="L34" s="3">
        <f>SUM(L264:L275)</f>
        <v>14899.607099999999</v>
      </c>
      <c r="M34" s="3"/>
      <c r="N34" s="22">
        <f>'Olieforbrug, TJ'!M34</f>
        <v>2009</v>
      </c>
      <c r="P34" s="3"/>
    </row>
    <row r="35" spans="1:16" x14ac:dyDescent="0.25">
      <c r="A35" s="22">
        <f>'Olieforbrug, TJ'!A35</f>
        <v>2010</v>
      </c>
      <c r="C35" s="3">
        <f t="shared" ref="C35:H35" si="17">SUM(C277:C288)</f>
        <v>1191709</v>
      </c>
      <c r="D35" s="3">
        <f t="shared" si="17"/>
        <v>2534699</v>
      </c>
      <c r="E35" s="3">
        <f t="shared" si="17"/>
        <v>2802507</v>
      </c>
      <c r="F35" s="3">
        <f t="shared" si="17"/>
        <v>430342</v>
      </c>
      <c r="G35" s="3">
        <f t="shared" si="17"/>
        <v>-279793</v>
      </c>
      <c r="H35" s="3">
        <f t="shared" si="17"/>
        <v>339955</v>
      </c>
      <c r="I35" s="3">
        <f>I288</f>
        <v>870253</v>
      </c>
      <c r="J35" s="3"/>
      <c r="K35" s="3"/>
      <c r="L35" s="3">
        <f>SUM(L277:L288)</f>
        <v>13819.170749999999</v>
      </c>
      <c r="M35" s="3"/>
      <c r="N35" s="22">
        <f>'Olieforbrug, TJ'!M35</f>
        <v>2010</v>
      </c>
      <c r="P35" s="3"/>
    </row>
    <row r="36" spans="1:16" x14ac:dyDescent="0.25">
      <c r="A36" s="22">
        <f>'Olieforbrug, TJ'!A36</f>
        <v>2011</v>
      </c>
      <c r="C36" s="3">
        <f t="shared" ref="C36:H36" si="18">SUM(C290:C301)</f>
        <v>1146521</v>
      </c>
      <c r="D36" s="3">
        <f t="shared" si="18"/>
        <v>2039818</v>
      </c>
      <c r="E36" s="3">
        <f t="shared" si="18"/>
        <v>2891147</v>
      </c>
      <c r="F36" s="3">
        <f t="shared" si="18"/>
        <v>465164</v>
      </c>
      <c r="G36" s="3">
        <f t="shared" si="18"/>
        <v>333919</v>
      </c>
      <c r="H36" s="3">
        <f t="shared" si="18"/>
        <v>199413</v>
      </c>
      <c r="I36" s="3">
        <f>I301</f>
        <v>536334</v>
      </c>
      <c r="J36" s="3"/>
      <c r="K36" s="3"/>
      <c r="L36" s="3">
        <f>SUM(L290:L301)</f>
        <v>8106.1384499999986</v>
      </c>
      <c r="M36" s="3"/>
      <c r="N36" s="22">
        <f>'Olieforbrug, TJ'!M36</f>
        <v>2011</v>
      </c>
      <c r="P36" s="3"/>
    </row>
    <row r="37" spans="1:16" x14ac:dyDescent="0.25">
      <c r="A37" s="22">
        <f>'Olieforbrug, TJ'!A37</f>
        <v>2012</v>
      </c>
      <c r="C37" s="3">
        <f t="shared" ref="C37:H37" si="19">SUM(C303:C314)</f>
        <v>1311520</v>
      </c>
      <c r="D37" s="3">
        <f t="shared" si="19"/>
        <v>1724769</v>
      </c>
      <c r="E37" s="3">
        <f t="shared" si="19"/>
        <v>2642802</v>
      </c>
      <c r="F37" s="3">
        <f t="shared" si="19"/>
        <v>277452</v>
      </c>
      <c r="G37" s="3">
        <f t="shared" si="19"/>
        <v>74932</v>
      </c>
      <c r="H37" s="3">
        <f t="shared" si="19"/>
        <v>212827</v>
      </c>
      <c r="I37" s="3">
        <f>I314</f>
        <v>461402</v>
      </c>
      <c r="J37" s="3"/>
      <c r="K37" s="3"/>
      <c r="L37" s="3">
        <f>SUM(L303:L314)</f>
        <v>8651.4175500000001</v>
      </c>
      <c r="M37" s="3"/>
      <c r="N37" s="22">
        <f>'Olieforbrug, TJ'!M37</f>
        <v>2012</v>
      </c>
      <c r="P37" s="3"/>
    </row>
    <row r="38" spans="1:16" x14ac:dyDescent="0.25">
      <c r="A38" s="22">
        <f>'Olieforbrug, TJ'!A38</f>
        <v>2013</v>
      </c>
      <c r="C38" s="3">
        <f t="shared" ref="C38:H38" si="20">SUM(C316:C327)</f>
        <v>1212797</v>
      </c>
      <c r="D38" s="3">
        <f t="shared" si="20"/>
        <v>2952853</v>
      </c>
      <c r="E38" s="3">
        <f t="shared" si="20"/>
        <v>3446192</v>
      </c>
      <c r="F38" s="3">
        <f t="shared" si="20"/>
        <v>374085</v>
      </c>
      <c r="G38" s="3">
        <f t="shared" si="20"/>
        <v>-192413</v>
      </c>
      <c r="H38" s="3">
        <f t="shared" si="20"/>
        <v>201973</v>
      </c>
      <c r="I38" s="3">
        <f>I327</f>
        <v>653815</v>
      </c>
      <c r="J38" s="3"/>
      <c r="K38" s="3"/>
      <c r="L38" s="3">
        <f>SUM(L316:L327)</f>
        <v>8210.2024499999989</v>
      </c>
      <c r="M38" s="3"/>
      <c r="N38" s="22">
        <f>'Olieforbrug, TJ'!M38</f>
        <v>2013</v>
      </c>
      <c r="P38" s="3"/>
    </row>
    <row r="39" spans="1:16" x14ac:dyDescent="0.25">
      <c r="A39" s="22">
        <f>'Olieforbrug, TJ'!A39</f>
        <v>2014</v>
      </c>
      <c r="C39" s="3">
        <f t="shared" ref="C39:H39" si="21">SUM(C329:C340)</f>
        <v>1242319</v>
      </c>
      <c r="D39" s="3">
        <f t="shared" si="21"/>
        <v>3316164</v>
      </c>
      <c r="E39" s="3">
        <f t="shared" si="21"/>
        <v>3858641</v>
      </c>
      <c r="F39" s="3">
        <f t="shared" si="21"/>
        <v>448802</v>
      </c>
      <c r="G39" s="3">
        <f t="shared" si="21"/>
        <v>-137673</v>
      </c>
      <c r="H39" s="3">
        <f t="shared" si="21"/>
        <v>115453</v>
      </c>
      <c r="I39" s="3">
        <f>I340</f>
        <v>791488</v>
      </c>
      <c r="J39" s="3"/>
      <c r="K39" s="3"/>
      <c r="L39" s="3">
        <f>SUM(L329:L340)</f>
        <v>4693.1644500000002</v>
      </c>
      <c r="M39" s="3"/>
      <c r="N39" s="22">
        <f>'Olieforbrug, TJ'!M39</f>
        <v>2014</v>
      </c>
      <c r="P39" s="3"/>
    </row>
    <row r="40" spans="1:16" x14ac:dyDescent="0.25">
      <c r="A40" s="22">
        <f>'Olieforbrug, TJ'!A40</f>
        <v>2015</v>
      </c>
      <c r="C40" s="3">
        <f t="shared" ref="C40:H40" si="22">SUM(C342:C353)</f>
        <v>1329802</v>
      </c>
      <c r="D40" s="3">
        <f t="shared" si="22"/>
        <v>3873277</v>
      </c>
      <c r="E40" s="3">
        <f t="shared" si="22"/>
        <v>4551660</v>
      </c>
      <c r="F40" s="3">
        <f t="shared" si="22"/>
        <v>334088</v>
      </c>
      <c r="G40" s="3">
        <f t="shared" si="22"/>
        <v>-284198</v>
      </c>
      <c r="H40" s="3">
        <f t="shared" si="22"/>
        <v>80527</v>
      </c>
      <c r="I40" s="3">
        <f>I353</f>
        <v>1075686</v>
      </c>
      <c r="J40" s="3"/>
      <c r="K40" s="3"/>
      <c r="L40" s="3">
        <f>SUM(L342:L353)</f>
        <v>3273.4225499999993</v>
      </c>
      <c r="M40" s="3"/>
      <c r="N40" s="22">
        <f>'Olieforbrug, TJ'!M40</f>
        <v>2015</v>
      </c>
      <c r="P40" s="3"/>
    </row>
    <row r="41" spans="1:16" x14ac:dyDescent="0.25">
      <c r="A41" s="22">
        <f>'Olieforbrug, TJ'!A41</f>
        <v>2016</v>
      </c>
      <c r="C41" s="3">
        <f t="shared" ref="C41:H41" si="23">SUM(C355:C366)</f>
        <v>1189942</v>
      </c>
      <c r="D41" s="3">
        <f t="shared" si="23"/>
        <v>3412173</v>
      </c>
      <c r="E41" s="3">
        <f t="shared" si="23"/>
        <v>4526569</v>
      </c>
      <c r="F41" s="3">
        <f t="shared" si="23"/>
        <v>260450</v>
      </c>
      <c r="G41" s="3">
        <f t="shared" si="23"/>
        <v>194136</v>
      </c>
      <c r="H41" s="3">
        <f t="shared" si="23"/>
        <v>77517</v>
      </c>
      <c r="I41" s="3">
        <f>I366</f>
        <v>881550</v>
      </c>
      <c r="J41" s="3"/>
      <c r="K41" s="3"/>
      <c r="L41" s="3">
        <f>SUM(L355:L366)</f>
        <v>3151.0660500000004</v>
      </c>
      <c r="M41" s="3"/>
      <c r="N41" s="22">
        <f>'Olieforbrug, TJ'!M41</f>
        <v>2016</v>
      </c>
      <c r="P41" s="3"/>
    </row>
    <row r="42" spans="1:16" x14ac:dyDescent="0.25">
      <c r="A42" s="22">
        <f>'Olieforbrug, TJ'!A42</f>
        <v>2017</v>
      </c>
      <c r="C42" s="3">
        <f t="shared" ref="C42:H42" si="24">SUM(C368:C379)</f>
        <v>1176668</v>
      </c>
      <c r="D42" s="3">
        <f t="shared" si="24"/>
        <v>980498</v>
      </c>
      <c r="E42" s="3">
        <f t="shared" si="24"/>
        <v>2444920</v>
      </c>
      <c r="F42" s="3">
        <f t="shared" si="24"/>
        <v>139003</v>
      </c>
      <c r="G42" s="3">
        <f t="shared" si="24"/>
        <v>483261</v>
      </c>
      <c r="H42" s="3">
        <f t="shared" si="24"/>
        <v>61297</v>
      </c>
      <c r="I42" s="3">
        <f>I379</f>
        <v>398289</v>
      </c>
      <c r="J42" s="3"/>
      <c r="K42" s="3"/>
      <c r="L42" s="3">
        <f>SUM(L368:L379)</f>
        <v>2491.7230500000001</v>
      </c>
      <c r="M42" s="3"/>
      <c r="N42" s="22">
        <f>'Olieforbrug, TJ'!M42</f>
        <v>2017</v>
      </c>
      <c r="P42" s="3"/>
    </row>
    <row r="43" spans="1:16" x14ac:dyDescent="0.25">
      <c r="A43" s="22">
        <f>'Olieforbrug, TJ'!A43</f>
        <v>2018</v>
      </c>
      <c r="C43" s="3">
        <f t="shared" ref="C43:H43" si="25">SUM(C381:C392)</f>
        <v>1220464</v>
      </c>
      <c r="D43" s="3">
        <f t="shared" si="25"/>
        <v>1638285</v>
      </c>
      <c r="E43" s="3">
        <f t="shared" si="25"/>
        <v>2729884</v>
      </c>
      <c r="F43" s="3">
        <f t="shared" si="25"/>
        <v>218737</v>
      </c>
      <c r="G43" s="3">
        <f t="shared" si="25"/>
        <v>177057</v>
      </c>
      <c r="H43" s="3">
        <f t="shared" si="25"/>
        <v>46937</v>
      </c>
      <c r="I43" s="3">
        <f>I392</f>
        <v>221232</v>
      </c>
      <c r="J43" s="3"/>
      <c r="K43" s="3"/>
      <c r="L43" s="3">
        <f>SUM(L381:L392)</f>
        <v>1907.9890499999997</v>
      </c>
      <c r="M43" s="3"/>
      <c r="N43" s="22">
        <f>'Olieforbrug, TJ'!M43</f>
        <v>2018</v>
      </c>
      <c r="P43" s="3"/>
    </row>
    <row r="44" spans="1:16" x14ac:dyDescent="0.25">
      <c r="A44" s="22">
        <f>'Olieforbrug, TJ'!A44</f>
        <v>2019</v>
      </c>
      <c r="C44" s="3">
        <f t="shared" ref="C44:H44" si="26">SUM(C394:C405)</f>
        <v>1348863</v>
      </c>
      <c r="D44" s="3">
        <f t="shared" si="26"/>
        <v>2432027</v>
      </c>
      <c r="E44" s="3">
        <f t="shared" si="26"/>
        <v>2946423</v>
      </c>
      <c r="F44" s="3">
        <f t="shared" si="26"/>
        <v>378697</v>
      </c>
      <c r="G44" s="3">
        <f t="shared" si="26"/>
        <v>-398189</v>
      </c>
      <c r="H44" s="3">
        <f t="shared" si="26"/>
        <v>48786</v>
      </c>
      <c r="I44" s="3">
        <f>I405</f>
        <v>619421</v>
      </c>
      <c r="J44" s="3"/>
      <c r="K44" s="3"/>
      <c r="L44" s="3">
        <f>SUM(L394:L405)</f>
        <v>1983.1508999999996</v>
      </c>
      <c r="M44" s="3"/>
      <c r="N44" s="22">
        <f>'Olieforbrug, TJ'!M44</f>
        <v>2019</v>
      </c>
      <c r="O44" s="3"/>
      <c r="P44" s="3"/>
    </row>
    <row r="45" spans="1:16" x14ac:dyDescent="0.25">
      <c r="A45" s="22">
        <f>'Olieforbrug, TJ'!A45</f>
        <v>2020</v>
      </c>
      <c r="C45" s="3">
        <f t="shared" ref="C45:H45" si="27">SUM(C407:C418)</f>
        <v>1292819</v>
      </c>
      <c r="D45" s="3">
        <f t="shared" si="27"/>
        <v>3253085</v>
      </c>
      <c r="E45" s="3">
        <f t="shared" si="27"/>
        <v>4048619</v>
      </c>
      <c r="F45" s="3">
        <f t="shared" si="27"/>
        <v>216016</v>
      </c>
      <c r="G45" s="3">
        <f t="shared" si="27"/>
        <v>-339594</v>
      </c>
      <c r="H45" s="3">
        <f t="shared" si="27"/>
        <v>55058</v>
      </c>
      <c r="I45" s="3">
        <f>I418</f>
        <v>959015</v>
      </c>
      <c r="J45" s="3"/>
      <c r="K45" s="3"/>
      <c r="L45" s="3">
        <f>SUM(L407:L418)</f>
        <v>2238.1077</v>
      </c>
      <c r="M45" s="3"/>
      <c r="N45" s="22">
        <f>'Olieforbrug, TJ'!M45</f>
        <v>2020</v>
      </c>
      <c r="O45" s="3"/>
      <c r="P45" s="3"/>
    </row>
    <row r="46" spans="1:16" x14ac:dyDescent="0.25">
      <c r="A46" s="22">
        <f>'Olieforbrug, TJ'!A46</f>
        <v>2021</v>
      </c>
      <c r="C46" s="3">
        <f t="shared" ref="C46:H46" si="28">SUM(C420:C431)</f>
        <v>1358442</v>
      </c>
      <c r="D46" s="3">
        <f t="shared" si="28"/>
        <v>1861293</v>
      </c>
      <c r="E46" s="3">
        <f t="shared" si="28"/>
        <v>3897825</v>
      </c>
      <c r="F46" s="3">
        <f t="shared" si="28"/>
        <v>110891</v>
      </c>
      <c r="G46" s="3">
        <f t="shared" si="28"/>
        <v>644478</v>
      </c>
      <c r="H46" s="3">
        <f t="shared" si="28"/>
        <v>52694</v>
      </c>
      <c r="I46" s="3">
        <f>I431</f>
        <v>314537</v>
      </c>
      <c r="J46" s="3"/>
      <c r="K46" s="3"/>
      <c r="L46" s="3">
        <f>SUM(L420:L431)</f>
        <v>2142.0111000000002</v>
      </c>
      <c r="M46" s="3"/>
      <c r="N46" s="22">
        <f>'Olieforbrug, TJ'!M46</f>
        <v>2021</v>
      </c>
      <c r="O46" s="3"/>
      <c r="P46" s="3"/>
    </row>
    <row r="47" spans="1:16" x14ac:dyDescent="0.25">
      <c r="A47" s="22">
        <f>'Olieforbrug, TJ'!A47</f>
        <v>2022</v>
      </c>
      <c r="C47" s="3">
        <f t="shared" ref="C47:H47" si="29">SUM(C433:C444)</f>
        <v>1370635</v>
      </c>
      <c r="D47" s="3">
        <f t="shared" si="29"/>
        <v>2587185</v>
      </c>
      <c r="E47" s="3">
        <f t="shared" si="29"/>
        <v>3324943</v>
      </c>
      <c r="F47" s="3">
        <f t="shared" si="29"/>
        <v>200760</v>
      </c>
      <c r="G47" s="3">
        <f t="shared" si="29"/>
        <v>-410145</v>
      </c>
      <c r="H47" s="3">
        <f t="shared" si="29"/>
        <v>63131</v>
      </c>
      <c r="I47" s="3">
        <f>I444</f>
        <v>724682</v>
      </c>
      <c r="J47" s="3"/>
      <c r="K47" s="3"/>
      <c r="L47" s="3">
        <f>SUM(L433:L444)</f>
        <v>2566.2751499999999</v>
      </c>
      <c r="M47" s="3"/>
      <c r="N47" s="22">
        <f>'Olieforbrug, TJ'!M47</f>
        <v>2022</v>
      </c>
      <c r="O47" s="3"/>
      <c r="P47" s="3"/>
    </row>
    <row r="48" spans="1:16" x14ac:dyDescent="0.25">
      <c r="A48" s="22">
        <f>'Olieforbrug, TJ'!A48</f>
        <v>2023</v>
      </c>
      <c r="C48" s="3">
        <f t="shared" ref="C48:H48" si="30">SUM(C446:C457)</f>
        <v>1474645</v>
      </c>
      <c r="D48" s="3">
        <f t="shared" si="30"/>
        <v>1638746</v>
      </c>
      <c r="E48" s="3">
        <f t="shared" si="30"/>
        <v>3089143</v>
      </c>
      <c r="F48" s="3">
        <f t="shared" si="30"/>
        <v>264678</v>
      </c>
      <c r="G48" s="3">
        <f t="shared" si="30"/>
        <v>336941</v>
      </c>
      <c r="H48" s="3">
        <f t="shared" si="30"/>
        <v>28373.502046700007</v>
      </c>
      <c r="I48" s="3">
        <f>I457</f>
        <v>387741</v>
      </c>
      <c r="J48" s="3"/>
      <c r="K48" s="3"/>
      <c r="L48" s="3">
        <f>SUM(L446:L457)</f>
        <v>1153.3828581983551</v>
      </c>
      <c r="M48" s="3"/>
      <c r="N48" s="22">
        <f>'Olieforbrug, TJ'!M48</f>
        <v>2023</v>
      </c>
      <c r="O48" s="3"/>
      <c r="P48" s="3"/>
    </row>
    <row r="49" spans="1:16" x14ac:dyDescent="0.25">
      <c r="A49" s="22">
        <f>'Olieforbrug, TJ'!A49</f>
        <v>2024</v>
      </c>
      <c r="C49" s="3">
        <f t="shared" ref="C49:H49" si="31">SUM(C459:C470)</f>
        <v>1248493</v>
      </c>
      <c r="D49" s="3">
        <f t="shared" si="31"/>
        <v>1257807</v>
      </c>
      <c r="E49" s="3">
        <f t="shared" si="31"/>
        <v>2228659</v>
      </c>
      <c r="F49" s="3">
        <f t="shared" si="31"/>
        <v>445268</v>
      </c>
      <c r="G49" s="3">
        <f t="shared" si="31"/>
        <v>133876</v>
      </c>
      <c r="H49" s="3">
        <f t="shared" si="31"/>
        <v>8947</v>
      </c>
      <c r="I49" s="3">
        <f>I470</f>
        <v>253865</v>
      </c>
      <c r="J49" s="3"/>
      <c r="K49" s="3"/>
      <c r="L49" s="3">
        <f>SUM(L459:L470)</f>
        <v>363.69554999999997</v>
      </c>
      <c r="M49" s="3"/>
      <c r="N49" s="22">
        <f>'Olieforbrug, TJ'!M49</f>
        <v>2024</v>
      </c>
      <c r="O49" s="3"/>
      <c r="P49" s="3"/>
    </row>
    <row r="50" spans="1:16" x14ac:dyDescent="0.25">
      <c r="A50" s="22">
        <f>'Olieforbrug, TJ'!A50</f>
        <v>2025</v>
      </c>
      <c r="C50" s="3">
        <f t="shared" ref="C50:H50" si="32">SUM(C472:C483)</f>
        <v>1284763</v>
      </c>
      <c r="D50" s="3">
        <f t="shared" si="32"/>
        <v>1468330</v>
      </c>
      <c r="E50" s="3">
        <f t="shared" si="32"/>
        <v>2378777</v>
      </c>
      <c r="F50" s="3">
        <f t="shared" si="32"/>
        <v>339891</v>
      </c>
      <c r="G50" s="3">
        <f t="shared" si="32"/>
        <v>-122132</v>
      </c>
      <c r="H50" s="3">
        <f t="shared" si="32"/>
        <v>3389</v>
      </c>
      <c r="I50" s="3">
        <f>I483</f>
        <v>375997</v>
      </c>
      <c r="J50" s="3"/>
      <c r="K50" s="3"/>
      <c r="L50" s="3">
        <f>SUM(L472:L483)</f>
        <v>137.76284999999999</v>
      </c>
      <c r="M50" s="3"/>
      <c r="N50" s="22">
        <f>'Olieforbrug, TJ'!M50</f>
        <v>2025</v>
      </c>
      <c r="O50" s="3"/>
      <c r="P50" s="3"/>
    </row>
    <row r="51" spans="1:16" x14ac:dyDescent="0.25">
      <c r="A51" s="22"/>
      <c r="J51" s="3"/>
      <c r="K51" s="3"/>
      <c r="L51" s="3"/>
      <c r="M51" s="3"/>
      <c r="N51" s="22"/>
    </row>
    <row r="52" spans="1:16" ht="12.75" customHeight="1" thickBot="1" x14ac:dyDescent="0.3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5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5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5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5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5">
      <c r="A57" s="23"/>
      <c r="L57" s="3"/>
    </row>
    <row r="58" spans="1:16" ht="12.75" customHeight="1" x14ac:dyDescent="0.25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5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5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5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5">
      <c r="A62" s="23"/>
      <c r="L62" s="3"/>
    </row>
    <row r="63" spans="1:16" ht="12.75" customHeight="1" x14ac:dyDescent="0.25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5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5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5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5">
      <c r="A67" s="23"/>
      <c r="L67" s="3"/>
    </row>
    <row r="68" spans="1:14" ht="12.75" customHeight="1" x14ac:dyDescent="0.25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5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5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5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5">
      <c r="A72" s="23"/>
      <c r="L72" s="3"/>
    </row>
    <row r="73" spans="1:14" ht="12.75" customHeight="1" x14ac:dyDescent="0.25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5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5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5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5">
      <c r="A77" s="23"/>
      <c r="L77" s="3"/>
      <c r="N77" s="26"/>
    </row>
    <row r="78" spans="1:14" ht="12.75" customHeight="1" x14ac:dyDescent="0.25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5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5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5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5">
      <c r="A82" s="32"/>
      <c r="J82" s="3"/>
      <c r="K82" s="3"/>
      <c r="L82" s="3"/>
      <c r="N82" s="26"/>
    </row>
    <row r="83" spans="1:14" ht="12.75" customHeight="1" x14ac:dyDescent="0.25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5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5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5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5">
      <c r="A87" s="32"/>
      <c r="J87" s="3"/>
      <c r="K87" s="3"/>
      <c r="L87" s="3"/>
      <c r="N87" s="26"/>
    </row>
    <row r="88" spans="1:14" ht="12.75" customHeight="1" x14ac:dyDescent="0.25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5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5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5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5">
      <c r="A92" s="32"/>
      <c r="J92" s="3"/>
      <c r="K92" s="3"/>
      <c r="L92" s="3"/>
      <c r="N92" s="26"/>
    </row>
    <row r="93" spans="1:14" x14ac:dyDescent="0.25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5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5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5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5">
      <c r="A97" s="32"/>
      <c r="J97" s="3"/>
      <c r="K97" s="3"/>
      <c r="L97" s="3"/>
      <c r="M97" s="26"/>
    </row>
    <row r="98" spans="1:14" x14ac:dyDescent="0.25">
      <c r="A98" s="32" t="s">
        <v>173</v>
      </c>
      <c r="C98" s="3">
        <f t="shared" ref="C98:H98" si="33">SUM(C329:C331)</f>
        <v>274691</v>
      </c>
      <c r="D98" s="3">
        <f t="shared" si="33"/>
        <v>661026</v>
      </c>
      <c r="E98" s="3">
        <f t="shared" si="33"/>
        <v>936341</v>
      </c>
      <c r="F98" s="3">
        <f t="shared" si="33"/>
        <v>138794</v>
      </c>
      <c r="G98" s="3">
        <f t="shared" si="33"/>
        <v>301661</v>
      </c>
      <c r="H98" s="3">
        <f t="shared" si="33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5">
      <c r="A99" s="32" t="s">
        <v>175</v>
      </c>
      <c r="C99" s="3">
        <f t="shared" ref="C99:H99" si="34">SUM(C332:C334)</f>
        <v>349805</v>
      </c>
      <c r="D99" s="3">
        <f t="shared" si="34"/>
        <v>1151441</v>
      </c>
      <c r="E99" s="3">
        <f t="shared" si="34"/>
        <v>933333</v>
      </c>
      <c r="F99" s="3">
        <f t="shared" si="34"/>
        <v>131600</v>
      </c>
      <c r="G99" s="3">
        <f t="shared" si="34"/>
        <v>-425503</v>
      </c>
      <c r="H99" s="3">
        <f t="shared" si="34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5">
      <c r="A100" s="32" t="s">
        <v>177</v>
      </c>
      <c r="C100" s="3">
        <f t="shared" ref="C100:H100" si="35">SUM(C335:C337)</f>
        <v>327443</v>
      </c>
      <c r="D100" s="3">
        <f t="shared" si="35"/>
        <v>695007</v>
      </c>
      <c r="E100" s="3">
        <f t="shared" si="35"/>
        <v>1161087</v>
      </c>
      <c r="F100" s="3">
        <f t="shared" si="35"/>
        <v>84418</v>
      </c>
      <c r="G100" s="3">
        <f t="shared" si="35"/>
        <v>234027</v>
      </c>
      <c r="H100" s="3">
        <f t="shared" si="35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5">
      <c r="A101" s="32" t="s">
        <v>179</v>
      </c>
      <c r="C101" s="3">
        <f t="shared" ref="C101:H101" si="36">SUM(C338:C340)</f>
        <v>290380</v>
      </c>
      <c r="D101" s="3">
        <f t="shared" si="36"/>
        <v>808690</v>
      </c>
      <c r="E101" s="3">
        <f t="shared" si="36"/>
        <v>827880</v>
      </c>
      <c r="F101" s="3">
        <f t="shared" si="36"/>
        <v>93990</v>
      </c>
      <c r="G101" s="3">
        <f t="shared" si="36"/>
        <v>-247858</v>
      </c>
      <c r="H101" s="3">
        <f t="shared" si="36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5">
      <c r="A102" s="32"/>
      <c r="J102" s="3"/>
      <c r="L102" s="3"/>
      <c r="M102" s="3"/>
      <c r="N102" s="26"/>
    </row>
    <row r="103" spans="1:14" s="57" customFormat="1" x14ac:dyDescent="0.25">
      <c r="A103" s="32" t="s">
        <v>181</v>
      </c>
      <c r="C103" s="3">
        <f t="shared" ref="C103:H103" si="37">SUM(C342:C344)</f>
        <v>310817</v>
      </c>
      <c r="D103" s="3">
        <f t="shared" si="37"/>
        <v>986216</v>
      </c>
      <c r="E103" s="3">
        <f t="shared" si="37"/>
        <v>1122749</v>
      </c>
      <c r="F103" s="3">
        <f t="shared" si="37"/>
        <v>76516</v>
      </c>
      <c r="G103" s="3">
        <f t="shared" si="37"/>
        <v>-82412</v>
      </c>
      <c r="H103" s="3">
        <f t="shared" si="37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5">
      <c r="A104" s="32" t="s">
        <v>182</v>
      </c>
      <c r="C104" s="3">
        <f t="shared" ref="C104:H104" si="38">SUM(C345:C347)</f>
        <v>342248</v>
      </c>
      <c r="D104" s="3">
        <f t="shared" si="38"/>
        <v>1078913</v>
      </c>
      <c r="E104" s="3">
        <f t="shared" si="38"/>
        <v>1321287</v>
      </c>
      <c r="F104" s="3">
        <f t="shared" si="38"/>
        <v>86461</v>
      </c>
      <c r="G104" s="3">
        <f t="shared" si="38"/>
        <v>-25921</v>
      </c>
      <c r="H104" s="3">
        <f t="shared" si="38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5">
      <c r="A105" s="32" t="s">
        <v>183</v>
      </c>
      <c r="C105" s="3">
        <f t="shared" ref="C105:H105" si="39">SUM(C348:C350)</f>
        <v>339563</v>
      </c>
      <c r="D105" s="3">
        <f t="shared" si="39"/>
        <v>901338</v>
      </c>
      <c r="E105" s="3">
        <f t="shared" si="39"/>
        <v>1180563</v>
      </c>
      <c r="F105" s="3">
        <f t="shared" si="39"/>
        <v>81758</v>
      </c>
      <c r="G105" s="3">
        <f t="shared" si="39"/>
        <v>10702</v>
      </c>
      <c r="H105" s="3">
        <f t="shared" si="39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5">
      <c r="A106" s="32" t="s">
        <v>184</v>
      </c>
      <c r="C106" s="3">
        <f t="shared" ref="C106:H106" si="40">SUM(C351:C353)</f>
        <v>337174</v>
      </c>
      <c r="D106" s="3">
        <f t="shared" si="40"/>
        <v>906810</v>
      </c>
      <c r="E106" s="3">
        <f t="shared" si="40"/>
        <v>927061</v>
      </c>
      <c r="F106" s="3">
        <f t="shared" si="40"/>
        <v>89353</v>
      </c>
      <c r="G106" s="3">
        <f t="shared" si="40"/>
        <v>-186567</v>
      </c>
      <c r="H106" s="3">
        <f t="shared" si="40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5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5">
      <c r="A108" s="32" t="s">
        <v>193</v>
      </c>
      <c r="C108" s="3">
        <f>SUM(C355:C357)</f>
        <v>348154</v>
      </c>
      <c r="D108" s="3">
        <f t="shared" ref="D108:L108" si="41">SUM(D355:D357)</f>
        <v>959822</v>
      </c>
      <c r="E108" s="3">
        <f t="shared" si="41"/>
        <v>1262716</v>
      </c>
      <c r="F108" s="3">
        <f t="shared" si="41"/>
        <v>81723</v>
      </c>
      <c r="G108" s="3">
        <f t="shared" si="41"/>
        <v>51480</v>
      </c>
      <c r="H108" s="3">
        <f t="shared" si="41"/>
        <v>11495</v>
      </c>
      <c r="I108" s="3">
        <f>I357</f>
        <v>1024206</v>
      </c>
      <c r="J108" s="3"/>
      <c r="K108" s="3"/>
      <c r="L108" s="3">
        <f t="shared" si="41"/>
        <v>467.27175</v>
      </c>
      <c r="M108" s="65"/>
      <c r="N108" s="26" t="s">
        <v>189</v>
      </c>
    </row>
    <row r="109" spans="1:14" s="57" customFormat="1" x14ac:dyDescent="0.25">
      <c r="A109" s="32" t="s">
        <v>194</v>
      </c>
      <c r="C109" s="3">
        <f t="shared" ref="C109:H109" si="42">SUM(C358:C360)</f>
        <v>228422</v>
      </c>
      <c r="D109" s="3">
        <f t="shared" si="42"/>
        <v>909836</v>
      </c>
      <c r="E109" s="3">
        <f t="shared" si="42"/>
        <v>1188633</v>
      </c>
      <c r="F109" s="3">
        <f t="shared" si="42"/>
        <v>70547</v>
      </c>
      <c r="G109" s="3">
        <f t="shared" si="42"/>
        <v>95155</v>
      </c>
      <c r="H109" s="3">
        <f t="shared" si="42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5">
      <c r="A110" s="32" t="s">
        <v>195</v>
      </c>
      <c r="C110" s="3">
        <f>SUM(C361:C363)</f>
        <v>324976</v>
      </c>
      <c r="D110" s="3">
        <f t="shared" ref="D110:L110" si="43">SUM(D361:D363)</f>
        <v>1028883</v>
      </c>
      <c r="E110" s="3">
        <f t="shared" si="43"/>
        <v>1424778</v>
      </c>
      <c r="F110" s="3">
        <f t="shared" si="43"/>
        <v>63563</v>
      </c>
      <c r="G110" s="3">
        <f t="shared" si="43"/>
        <v>119245</v>
      </c>
      <c r="H110" s="3">
        <f t="shared" si="43"/>
        <v>10322</v>
      </c>
      <c r="I110" s="3">
        <f>I363</f>
        <v>809806</v>
      </c>
      <c r="J110" s="3"/>
      <c r="K110" s="3"/>
      <c r="L110" s="3">
        <f t="shared" si="43"/>
        <v>419.58929999999998</v>
      </c>
      <c r="M110" s="65"/>
      <c r="N110" s="26" t="s">
        <v>191</v>
      </c>
    </row>
    <row r="111" spans="1:14" s="57" customFormat="1" x14ac:dyDescent="0.25">
      <c r="A111" s="32" t="s">
        <v>196</v>
      </c>
      <c r="C111" s="3">
        <f t="shared" ref="C111:H111" si="44">SUM(C364:C366)</f>
        <v>288390</v>
      </c>
      <c r="D111" s="3">
        <f t="shared" si="44"/>
        <v>513632</v>
      </c>
      <c r="E111" s="3">
        <f t="shared" si="44"/>
        <v>650442</v>
      </c>
      <c r="F111" s="3">
        <f t="shared" si="44"/>
        <v>44617</v>
      </c>
      <c r="G111" s="3">
        <f t="shared" si="44"/>
        <v>-71744</v>
      </c>
      <c r="H111" s="3">
        <f t="shared" si="44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5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5">
      <c r="A113" s="32" t="s">
        <v>197</v>
      </c>
      <c r="C113" s="3">
        <f t="shared" ref="C113:H113" si="45">SUM(C368:C370)</f>
        <v>308587</v>
      </c>
      <c r="D113" s="3">
        <f t="shared" si="45"/>
        <v>281457</v>
      </c>
      <c r="E113" s="3">
        <f t="shared" si="45"/>
        <v>848152</v>
      </c>
      <c r="F113" s="3">
        <f t="shared" si="45"/>
        <v>27574</v>
      </c>
      <c r="G113" s="3">
        <f t="shared" si="45"/>
        <v>269717</v>
      </c>
      <c r="H113" s="3">
        <f t="shared" si="45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5">
      <c r="A114" s="32" t="s">
        <v>198</v>
      </c>
      <c r="C114" s="3">
        <f t="shared" ref="C114:H114" si="46">SUM(C371:C373)</f>
        <v>318637</v>
      </c>
      <c r="D114" s="3">
        <f t="shared" si="46"/>
        <v>334500</v>
      </c>
      <c r="E114" s="3">
        <f t="shared" si="46"/>
        <v>665182</v>
      </c>
      <c r="F114" s="3">
        <f t="shared" si="46"/>
        <v>34200</v>
      </c>
      <c r="G114" s="3">
        <f t="shared" si="46"/>
        <v>66778</v>
      </c>
      <c r="H114" s="3">
        <f t="shared" si="46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5">
      <c r="A115" s="32" t="s">
        <v>199</v>
      </c>
      <c r="C115" s="3">
        <f>SUM(C374:C376)</f>
        <v>251576</v>
      </c>
      <c r="D115" s="3">
        <f t="shared" ref="D115:L115" si="47">SUM(D374:D376)</f>
        <v>67942</v>
      </c>
      <c r="E115" s="3">
        <f t="shared" si="47"/>
        <v>488374</v>
      </c>
      <c r="F115" s="3">
        <f t="shared" si="47"/>
        <v>33989</v>
      </c>
      <c r="G115" s="3">
        <f t="shared" si="47"/>
        <v>210493</v>
      </c>
      <c r="H115" s="3">
        <f t="shared" si="47"/>
        <v>9884</v>
      </c>
      <c r="I115" s="3">
        <f>I376</f>
        <v>334562</v>
      </c>
      <c r="J115" s="3"/>
      <c r="K115" s="3"/>
      <c r="L115" s="3">
        <f t="shared" si="47"/>
        <v>401.78460000000001</v>
      </c>
      <c r="M115" s="65"/>
      <c r="N115" s="26" t="s">
        <v>203</v>
      </c>
    </row>
    <row r="116" spans="1:14" s="57" customFormat="1" x14ac:dyDescent="0.25">
      <c r="A116" s="32" t="s">
        <v>200</v>
      </c>
      <c r="C116" s="3">
        <f t="shared" ref="C116:H116" si="48">SUM(C377:C379)</f>
        <v>297868</v>
      </c>
      <c r="D116" s="3">
        <f t="shared" si="48"/>
        <v>296599</v>
      </c>
      <c r="E116" s="3">
        <f t="shared" si="48"/>
        <v>443212</v>
      </c>
      <c r="F116" s="3">
        <f t="shared" si="48"/>
        <v>43240</v>
      </c>
      <c r="G116" s="3">
        <f t="shared" si="48"/>
        <v>-63727</v>
      </c>
      <c r="H116" s="3">
        <f t="shared" si="48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5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5">
      <c r="A118" s="32" t="s">
        <v>205</v>
      </c>
      <c r="C118" s="3">
        <f t="shared" ref="C118:H118" si="49">SUM(C381:C383)</f>
        <v>304948</v>
      </c>
      <c r="D118" s="3">
        <f t="shared" si="49"/>
        <v>591840</v>
      </c>
      <c r="E118" s="3">
        <f t="shared" si="49"/>
        <v>907136</v>
      </c>
      <c r="F118" s="3">
        <f t="shared" si="49"/>
        <v>55531</v>
      </c>
      <c r="G118" s="3">
        <f t="shared" si="49"/>
        <v>72752</v>
      </c>
      <c r="H118" s="3">
        <f t="shared" si="49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5">
      <c r="A119" s="32" t="s">
        <v>206</v>
      </c>
      <c r="C119" s="3">
        <f>SUM(C384:C386)</f>
        <v>327191</v>
      </c>
      <c r="D119" s="3">
        <f t="shared" ref="D119:L119" si="50">SUM(D384:D386)</f>
        <v>202666</v>
      </c>
      <c r="E119" s="3">
        <f t="shared" si="50"/>
        <v>423894</v>
      </c>
      <c r="F119" s="3">
        <f t="shared" si="50"/>
        <v>54608</v>
      </c>
      <c r="G119" s="3">
        <f t="shared" si="50"/>
        <v>-42365</v>
      </c>
      <c r="H119" s="3">
        <f t="shared" si="50"/>
        <v>4954</v>
      </c>
      <c r="I119" s="3">
        <f>I386</f>
        <v>367902</v>
      </c>
      <c r="J119" s="3"/>
      <c r="K119" s="3"/>
      <c r="L119" s="3">
        <f t="shared" si="50"/>
        <v>201.3801</v>
      </c>
      <c r="M119" s="65"/>
      <c r="N119" s="26" t="s">
        <v>210</v>
      </c>
    </row>
    <row r="120" spans="1:14" s="57" customFormat="1" x14ac:dyDescent="0.25">
      <c r="A120" s="32" t="s">
        <v>207</v>
      </c>
      <c r="C120" s="3">
        <f t="shared" ref="C120:H120" si="51">SUM(C387:C389)</f>
        <v>266590</v>
      </c>
      <c r="D120" s="3">
        <f t="shared" si="51"/>
        <v>392444</v>
      </c>
      <c r="E120" s="3">
        <f t="shared" si="51"/>
        <v>806627</v>
      </c>
      <c r="F120" s="3">
        <f t="shared" si="51"/>
        <v>57439</v>
      </c>
      <c r="G120" s="3">
        <f t="shared" si="51"/>
        <v>212295</v>
      </c>
      <c r="H120" s="3">
        <f t="shared" si="51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5">
      <c r="A121" s="32" t="s">
        <v>208</v>
      </c>
      <c r="C121" s="3">
        <f t="shared" ref="C121:H121" si="52">SUM(C390:C392)</f>
        <v>321735</v>
      </c>
      <c r="D121" s="3">
        <f t="shared" si="52"/>
        <v>451335</v>
      </c>
      <c r="E121" s="3">
        <f t="shared" si="52"/>
        <v>592227</v>
      </c>
      <c r="F121" s="3">
        <f t="shared" si="52"/>
        <v>51159</v>
      </c>
      <c r="G121" s="3">
        <f t="shared" si="52"/>
        <v>-65625</v>
      </c>
      <c r="H121" s="3">
        <f t="shared" si="52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5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5">
      <c r="A123" s="32" t="str">
        <f>'Olieforbrug, TJ'!A123</f>
        <v>1. kvartal 2019</v>
      </c>
      <c r="C123" s="3">
        <f t="shared" ref="C123:H123" si="53">SUM(C394:C396)</f>
        <v>365559</v>
      </c>
      <c r="D123" s="3">
        <f t="shared" si="53"/>
        <v>370617</v>
      </c>
      <c r="E123" s="3">
        <f t="shared" si="53"/>
        <v>661620</v>
      </c>
      <c r="F123" s="3">
        <f t="shared" si="53"/>
        <v>74731</v>
      </c>
      <c r="G123" s="3">
        <f t="shared" si="53"/>
        <v>11699</v>
      </c>
      <c r="H123" s="3">
        <f t="shared" si="53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5">
      <c r="A124" s="32" t="str">
        <f>'Olieforbrug, TJ'!A124</f>
        <v>2. kvartal 2019</v>
      </c>
      <c r="C124" s="3">
        <f t="shared" ref="C124:H124" si="54">SUM(C397:C399)</f>
        <v>315309</v>
      </c>
      <c r="D124" s="3">
        <f t="shared" si="54"/>
        <v>512244</v>
      </c>
      <c r="E124" s="3">
        <f t="shared" si="54"/>
        <v>381430</v>
      </c>
      <c r="F124" s="3">
        <f t="shared" si="54"/>
        <v>88291</v>
      </c>
      <c r="G124" s="3">
        <f t="shared" si="54"/>
        <v>-353703</v>
      </c>
      <c r="H124" s="3">
        <f t="shared" si="54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5">
      <c r="A125" s="32" t="str">
        <f>'Olieforbrug, TJ'!A125</f>
        <v>3. kvartal 2019</v>
      </c>
      <c r="C125" s="3">
        <f t="shared" ref="C125:H125" si="55">SUM(C400:C402)</f>
        <v>334106</v>
      </c>
      <c r="D125" s="3">
        <f t="shared" si="55"/>
        <v>911391</v>
      </c>
      <c r="E125" s="3">
        <f t="shared" si="55"/>
        <v>695073</v>
      </c>
      <c r="F125" s="3">
        <f t="shared" si="55"/>
        <v>69676</v>
      </c>
      <c r="G125" s="3">
        <f t="shared" si="55"/>
        <v>-477270</v>
      </c>
      <c r="H125" s="3">
        <f t="shared" si="55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5">
      <c r="A126" s="32" t="str">
        <f>'Olieforbrug, TJ'!A126</f>
        <v>4. kvartal 2019</v>
      </c>
      <c r="C126" s="3">
        <f t="shared" ref="C126:H126" si="56">SUM(C403:C405)</f>
        <v>333889</v>
      </c>
      <c r="D126" s="3">
        <f t="shared" si="56"/>
        <v>637775</v>
      </c>
      <c r="E126" s="3">
        <f t="shared" si="56"/>
        <v>1208300</v>
      </c>
      <c r="F126" s="3">
        <f t="shared" si="56"/>
        <v>145999</v>
      </c>
      <c r="G126" s="3">
        <f t="shared" si="56"/>
        <v>421085</v>
      </c>
      <c r="H126" s="3">
        <f t="shared" si="56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5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5">
      <c r="A128" s="32" t="str">
        <f>'Olieforbrug, TJ'!A128</f>
        <v>1. kvartal 2020</v>
      </c>
      <c r="C128" s="3">
        <f t="shared" ref="C128:H128" si="57">SUM(C407:C409)</f>
        <v>340422</v>
      </c>
      <c r="D128" s="3">
        <f t="shared" si="57"/>
        <v>963518</v>
      </c>
      <c r="E128" s="3">
        <f t="shared" si="57"/>
        <v>1057738</v>
      </c>
      <c r="F128" s="3">
        <f t="shared" si="57"/>
        <v>50627</v>
      </c>
      <c r="G128" s="3">
        <f t="shared" si="57"/>
        <v>-246265</v>
      </c>
      <c r="H128" s="3">
        <f t="shared" si="57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5">
      <c r="A129" s="32" t="str">
        <f>'Olieforbrug, TJ'!A129</f>
        <v>2. kvartal 2020</v>
      </c>
      <c r="C129" s="3">
        <f t="shared" ref="C129:H129" si="58">SUM(C410:C412)</f>
        <v>331337</v>
      </c>
      <c r="D129" s="3">
        <f t="shared" si="58"/>
        <v>726561</v>
      </c>
      <c r="E129" s="3">
        <f t="shared" si="58"/>
        <v>754034</v>
      </c>
      <c r="F129" s="3">
        <f t="shared" si="58"/>
        <v>53998</v>
      </c>
      <c r="G129" s="3">
        <f t="shared" si="58"/>
        <v>-245974</v>
      </c>
      <c r="H129" s="3">
        <f t="shared" si="58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5">
      <c r="A130" s="32" t="str">
        <f>'Olieforbrug, TJ'!A130</f>
        <v>3. kvartal 2020</v>
      </c>
      <c r="C130" s="3">
        <f t="shared" ref="C130:H130" si="59">SUM(C413:C415)</f>
        <v>286633</v>
      </c>
      <c r="D130" s="3">
        <f t="shared" si="59"/>
        <v>654799</v>
      </c>
      <c r="E130" s="3">
        <f t="shared" si="59"/>
        <v>1115334</v>
      </c>
      <c r="F130" s="3">
        <f t="shared" si="59"/>
        <v>59978</v>
      </c>
      <c r="G130" s="3">
        <f t="shared" si="59"/>
        <v>239401</v>
      </c>
      <c r="H130" s="3">
        <f t="shared" si="59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5">
      <c r="A131" s="32" t="str">
        <f>'Olieforbrug, TJ'!A131</f>
        <v>4. kvartal 2020</v>
      </c>
      <c r="C131" s="3">
        <f t="shared" ref="C131:H131" si="60">SUM(C416:C418)</f>
        <v>334427</v>
      </c>
      <c r="D131" s="3">
        <f t="shared" si="60"/>
        <v>908207</v>
      </c>
      <c r="E131" s="3">
        <f t="shared" si="60"/>
        <v>1121513</v>
      </c>
      <c r="F131" s="3">
        <f t="shared" si="60"/>
        <v>51413</v>
      </c>
      <c r="G131" s="3">
        <f t="shared" si="60"/>
        <v>-86756</v>
      </c>
      <c r="H131" s="3">
        <f t="shared" si="60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5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5">
      <c r="A133" s="109" t="str">
        <f>'Olieforbrug, TJ'!A133</f>
        <v>1. kvartal 2021</v>
      </c>
      <c r="C133" s="7">
        <f t="shared" ref="C133:H133" si="61">SUM(C420:C422)</f>
        <v>350109</v>
      </c>
      <c r="D133" s="7">
        <f t="shared" si="61"/>
        <v>555664</v>
      </c>
      <c r="E133" s="7">
        <f t="shared" si="61"/>
        <v>1063253</v>
      </c>
      <c r="F133" s="7">
        <f t="shared" si="61"/>
        <v>25933</v>
      </c>
      <c r="G133" s="7">
        <f t="shared" si="61"/>
        <v>197085</v>
      </c>
      <c r="H133" s="7">
        <f t="shared" si="61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5">
      <c r="A134" s="32" t="str">
        <f>'Olieforbrug, TJ'!A134</f>
        <v>2. kvartal 2021</v>
      </c>
      <c r="C134" s="3">
        <f t="shared" ref="C134:H134" si="62">SUM(C423:C425)</f>
        <v>347433</v>
      </c>
      <c r="D134" s="3">
        <f t="shared" si="62"/>
        <v>520804</v>
      </c>
      <c r="E134" s="3">
        <f t="shared" si="62"/>
        <v>1064968</v>
      </c>
      <c r="F134" s="3">
        <f t="shared" si="62"/>
        <v>21180</v>
      </c>
      <c r="G134" s="3">
        <f t="shared" si="62"/>
        <v>100940</v>
      </c>
      <c r="H134" s="3">
        <f t="shared" si="62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5">
      <c r="A135" s="32" t="str">
        <f>'Olieforbrug, TJ'!A135</f>
        <v>3. kvartal 2021</v>
      </c>
      <c r="C135" s="3">
        <f t="shared" ref="C135:H135" si="63">SUM(C426:C428)</f>
        <v>331393</v>
      </c>
      <c r="D135" s="3">
        <f t="shared" si="63"/>
        <v>353598</v>
      </c>
      <c r="E135" s="3">
        <f t="shared" si="63"/>
        <v>808571</v>
      </c>
      <c r="F135" s="3">
        <f t="shared" si="63"/>
        <v>30358</v>
      </c>
      <c r="G135" s="3">
        <f t="shared" si="63"/>
        <v>162399</v>
      </c>
      <c r="H135" s="3">
        <f t="shared" si="63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5">
      <c r="A136" s="32" t="str">
        <f>'Olieforbrug, TJ'!A136</f>
        <v>4. kvartal 2021</v>
      </c>
      <c r="C136" s="3">
        <f t="shared" ref="C136:H136" si="64">SUM(C429:C431)</f>
        <v>329507</v>
      </c>
      <c r="D136" s="3">
        <f t="shared" si="64"/>
        <v>431227</v>
      </c>
      <c r="E136" s="3">
        <f t="shared" si="64"/>
        <v>961033</v>
      </c>
      <c r="F136" s="3">
        <f t="shared" si="64"/>
        <v>33420</v>
      </c>
      <c r="G136" s="3">
        <f t="shared" si="64"/>
        <v>184054</v>
      </c>
      <c r="H136" s="3">
        <f t="shared" si="64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5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5">
      <c r="A138" s="32" t="str">
        <f>'Olieforbrug, TJ'!A138</f>
        <v>1. kvartal 2022</v>
      </c>
      <c r="C138" s="3">
        <f>SUM(C433:C435)</f>
        <v>311707</v>
      </c>
      <c r="D138" s="3">
        <f t="shared" ref="D138:H138" si="65">SUM(D433:D435)</f>
        <v>645819</v>
      </c>
      <c r="E138" s="3">
        <f t="shared" si="65"/>
        <v>902090</v>
      </c>
      <c r="F138" s="3">
        <f t="shared" si="65"/>
        <v>38553</v>
      </c>
      <c r="G138" s="3">
        <f t="shared" si="65"/>
        <v>-25066</v>
      </c>
      <c r="H138" s="3">
        <f t="shared" si="65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5">
      <c r="A139" s="32" t="str">
        <f>'Olieforbrug, TJ'!A139</f>
        <v>2. kvartal 2022</v>
      </c>
      <c r="C139" s="3">
        <f>SUM(C436:C438)</f>
        <v>349694</v>
      </c>
      <c r="D139" s="3">
        <f t="shared" ref="D139:L139" si="66">SUM(D436:D438)</f>
        <v>497332</v>
      </c>
      <c r="E139" s="3">
        <f t="shared" si="66"/>
        <v>728975</v>
      </c>
      <c r="F139" s="3">
        <f t="shared" si="66"/>
        <v>46801</v>
      </c>
      <c r="G139" s="3">
        <f t="shared" si="66"/>
        <v>-50881</v>
      </c>
      <c r="H139" s="3">
        <f t="shared" si="66"/>
        <v>17068</v>
      </c>
      <c r="I139" s="3">
        <f>SUM(I438)</f>
        <v>390484</v>
      </c>
      <c r="J139" s="3"/>
      <c r="K139" s="3"/>
      <c r="L139" s="3">
        <f t="shared" si="66"/>
        <v>693.81419999999991</v>
      </c>
      <c r="M139" s="65"/>
      <c r="N139" s="26" t="str">
        <f>'Olieforbrug, TJ'!M139</f>
        <v>2. Quarter 2022</v>
      </c>
    </row>
    <row r="140" spans="1:14" s="57" customFormat="1" x14ac:dyDescent="0.25">
      <c r="A140" s="32" t="str">
        <f>'Olieforbrug, TJ'!A140</f>
        <v>3. kvartal 2022</v>
      </c>
      <c r="C140" s="3">
        <f>SUM(C439:C441)</f>
        <v>413752</v>
      </c>
      <c r="D140" s="3">
        <f t="shared" ref="D140:L140" si="67">SUM(D439:D441)</f>
        <v>625009</v>
      </c>
      <c r="E140" s="3">
        <f t="shared" si="67"/>
        <v>985058</v>
      </c>
      <c r="F140" s="3">
        <f t="shared" si="67"/>
        <v>57006</v>
      </c>
      <c r="G140" s="3">
        <f t="shared" si="67"/>
        <v>-3009</v>
      </c>
      <c r="H140" s="3">
        <f t="shared" si="67"/>
        <v>18200</v>
      </c>
      <c r="I140" s="3">
        <f>SUM(I441)</f>
        <v>393493</v>
      </c>
      <c r="J140" s="3"/>
      <c r="K140" s="3"/>
      <c r="L140" s="3">
        <f t="shared" si="67"/>
        <v>739.82999999999993</v>
      </c>
      <c r="M140" s="65"/>
      <c r="N140" s="26" t="str">
        <f>'Olieforbrug, TJ'!M140</f>
        <v>3. Quarter 2022</v>
      </c>
    </row>
    <row r="141" spans="1:14" s="57" customFormat="1" x14ac:dyDescent="0.25">
      <c r="A141" s="32" t="str">
        <f>'Olieforbrug, TJ'!A141</f>
        <v>4. kvartal 2022</v>
      </c>
      <c r="C141" s="3">
        <f t="shared" ref="C141:H141" si="68">SUM(C442:C444)</f>
        <v>295482</v>
      </c>
      <c r="D141" s="3">
        <f t="shared" si="68"/>
        <v>819025</v>
      </c>
      <c r="E141" s="3">
        <f t="shared" si="68"/>
        <v>708820</v>
      </c>
      <c r="F141" s="3">
        <f t="shared" si="68"/>
        <v>58400</v>
      </c>
      <c r="G141" s="3">
        <f t="shared" si="68"/>
        <v>-331189</v>
      </c>
      <c r="H141" s="3">
        <f t="shared" si="68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5">
      <c r="A142" s="32"/>
      <c r="J142" s="3"/>
      <c r="K142" s="3"/>
      <c r="L142" s="3"/>
      <c r="M142" s="3"/>
      <c r="N142" s="26"/>
    </row>
    <row r="143" spans="1:14" s="57" customFormat="1" x14ac:dyDescent="0.25">
      <c r="A143" s="32" t="str">
        <f>'Olieforbrug, TJ'!A143</f>
        <v>1. kvartal 2023</v>
      </c>
      <c r="C143" s="3">
        <f>SUM(C446:C448)</f>
        <v>458528</v>
      </c>
      <c r="D143" s="3">
        <f t="shared" ref="D143:L143" si="69">SUM(D446:D448)</f>
        <v>527527</v>
      </c>
      <c r="E143" s="3">
        <f t="shared" si="69"/>
        <v>1088806</v>
      </c>
      <c r="F143" s="3">
        <f t="shared" si="69"/>
        <v>64373</v>
      </c>
      <c r="G143" s="3">
        <f t="shared" si="69"/>
        <v>163682</v>
      </c>
      <c r="H143" s="3">
        <f t="shared" si="69"/>
        <v>6395</v>
      </c>
      <c r="I143" s="3">
        <f>SUM(I448)</f>
        <v>561000</v>
      </c>
      <c r="J143" s="3"/>
      <c r="K143" s="3"/>
      <c r="L143" s="3">
        <f t="shared" si="69"/>
        <v>259.95674999999994</v>
      </c>
      <c r="M143" s="65"/>
      <c r="N143" s="26" t="str">
        <f>'Olieforbrug, TJ'!M143</f>
        <v>1. Quarter 2023</v>
      </c>
    </row>
    <row r="144" spans="1:14" s="57" customFormat="1" x14ac:dyDescent="0.25">
      <c r="A144" s="32" t="str">
        <f>'Olieforbrug, TJ'!A144</f>
        <v>2. kvartal 2023</v>
      </c>
      <c r="C144" s="3">
        <f t="shared" ref="C144:H144" si="70">SUM(C449:C451)</f>
        <v>296945</v>
      </c>
      <c r="D144" s="3">
        <f t="shared" si="70"/>
        <v>463662</v>
      </c>
      <c r="E144" s="3">
        <f t="shared" si="70"/>
        <v>839668</v>
      </c>
      <c r="F144" s="3">
        <f t="shared" si="70"/>
        <v>70565</v>
      </c>
      <c r="G144" s="3">
        <f t="shared" si="70"/>
        <v>127634</v>
      </c>
      <c r="H144" s="3">
        <f t="shared" si="70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5">
      <c r="A145" s="32" t="str">
        <f>'Olieforbrug, TJ'!A145</f>
        <v>3. kvartal 2023</v>
      </c>
      <c r="C145" s="3">
        <f>SUM(C452:C454)</f>
        <v>327193</v>
      </c>
      <c r="D145" s="3">
        <f t="shared" ref="D145:L145" si="71">SUM(D452:D454)</f>
        <v>305512</v>
      </c>
      <c r="E145" s="3">
        <f t="shared" si="71"/>
        <v>457001</v>
      </c>
      <c r="F145" s="3">
        <f t="shared" si="71"/>
        <v>67634</v>
      </c>
      <c r="G145" s="3">
        <f t="shared" si="71"/>
        <v>2985</v>
      </c>
      <c r="H145" s="3">
        <f t="shared" si="71"/>
        <v>5557.5020467000068</v>
      </c>
      <c r="I145" s="3">
        <f>SUM(I454)</f>
        <v>430381</v>
      </c>
      <c r="J145" s="3"/>
      <c r="K145" s="3"/>
      <c r="L145" s="3">
        <f t="shared" si="71"/>
        <v>225.9124581983553</v>
      </c>
      <c r="M145" s="65"/>
      <c r="N145" s="26" t="str">
        <f>'Olieforbrug, TJ'!M145</f>
        <v>3. Quarter 2023</v>
      </c>
    </row>
    <row r="146" spans="1:14" s="57" customFormat="1" x14ac:dyDescent="0.25">
      <c r="A146" s="32" t="str">
        <f>'Olieforbrug, TJ'!A146</f>
        <v>4. kvartal 2023</v>
      </c>
      <c r="C146" s="3">
        <f>SUM(C455:C457)</f>
        <v>391979</v>
      </c>
      <c r="D146" s="3">
        <f t="shared" ref="D146:L146" si="72">SUM(D455:D457)</f>
        <v>342045</v>
      </c>
      <c r="E146" s="3">
        <f t="shared" si="72"/>
        <v>703668</v>
      </c>
      <c r="F146" s="3">
        <f t="shared" si="72"/>
        <v>62106</v>
      </c>
      <c r="G146" s="3">
        <f t="shared" si="72"/>
        <v>42640</v>
      </c>
      <c r="H146" s="3">
        <f t="shared" si="72"/>
        <v>13841</v>
      </c>
      <c r="I146" s="3">
        <f>SUM(I457)</f>
        <v>387741</v>
      </c>
      <c r="J146" s="3"/>
      <c r="K146" s="3"/>
      <c r="L146" s="3">
        <f t="shared" si="72"/>
        <v>562.63665000000003</v>
      </c>
      <c r="M146" s="65"/>
      <c r="N146" s="26" t="str">
        <f>'Olieforbrug, TJ'!M146</f>
        <v>4. Quarter 2023</v>
      </c>
    </row>
    <row r="147" spans="1:14" s="57" customFormat="1" x14ac:dyDescent="0.25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5">
      <c r="A148" s="32" t="str">
        <f>'Olieforbrug, TJ'!A148</f>
        <v>1. kvartal 2024</v>
      </c>
      <c r="C148" s="3">
        <f t="shared" ref="C148:H148" si="73">SUM(C459:C461)</f>
        <v>306400</v>
      </c>
      <c r="D148" s="3">
        <f t="shared" si="73"/>
        <v>419691</v>
      </c>
      <c r="E148" s="3">
        <f t="shared" si="73"/>
        <v>700279</v>
      </c>
      <c r="F148" s="3">
        <f t="shared" si="73"/>
        <v>100920</v>
      </c>
      <c r="G148" s="3">
        <f t="shared" si="73"/>
        <v>79371</v>
      </c>
      <c r="H148" s="3">
        <f t="shared" si="73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5">
      <c r="A149" s="32" t="str">
        <f>'Olieforbrug, TJ'!A149</f>
        <v>2. kvartal 2024</v>
      </c>
      <c r="C149" s="3">
        <f>SUM(C462:C464)</f>
        <v>342461</v>
      </c>
      <c r="D149" s="3">
        <f t="shared" ref="D149:L149" si="74">SUM(D462:D464)</f>
        <v>397757</v>
      </c>
      <c r="E149" s="3">
        <f t="shared" si="74"/>
        <v>638264</v>
      </c>
      <c r="F149" s="3">
        <f t="shared" si="74"/>
        <v>129391</v>
      </c>
      <c r="G149" s="3">
        <f t="shared" si="74"/>
        <v>2186</v>
      </c>
      <c r="H149" s="3">
        <f t="shared" si="74"/>
        <v>784</v>
      </c>
      <c r="I149" s="3">
        <f>SUM(I464)</f>
        <v>306184</v>
      </c>
      <c r="J149" s="3"/>
      <c r="K149" s="3"/>
      <c r="L149" s="3">
        <f t="shared" si="74"/>
        <v>31.869599999999995</v>
      </c>
      <c r="M149" s="65"/>
      <c r="N149" s="26" t="str">
        <f>'Olieforbrug, TJ'!M149</f>
        <v>2. Quarter 2024</v>
      </c>
    </row>
    <row r="150" spans="1:14" s="57" customFormat="1" x14ac:dyDescent="0.25">
      <c r="A150" s="32" t="str">
        <f>'Olieforbrug, TJ'!A150</f>
        <v>3. kvartal 2024</v>
      </c>
      <c r="C150" s="3">
        <f>SUM(C465:C467)</f>
        <v>280450</v>
      </c>
      <c r="D150" s="3">
        <f t="shared" ref="D150:L150" si="75">SUM(D465:D467)</f>
        <v>203342</v>
      </c>
      <c r="E150" s="3">
        <f t="shared" si="75"/>
        <v>543704</v>
      </c>
      <c r="F150" s="3">
        <f t="shared" si="75"/>
        <v>132085</v>
      </c>
      <c r="G150" s="3">
        <f t="shared" si="75"/>
        <v>184845</v>
      </c>
      <c r="H150" s="3">
        <f t="shared" si="75"/>
        <v>2058</v>
      </c>
      <c r="I150" s="3">
        <f>I467</f>
        <v>121339</v>
      </c>
      <c r="J150" s="3"/>
      <c r="K150" s="3"/>
      <c r="L150" s="3">
        <f t="shared" si="75"/>
        <v>83.657700000000006</v>
      </c>
      <c r="M150" s="65"/>
      <c r="N150" s="26" t="str">
        <f>'Olieforbrug, TJ'!M150</f>
        <v>3. Quarter 2024</v>
      </c>
    </row>
    <row r="151" spans="1:14" s="57" customFormat="1" x14ac:dyDescent="0.25">
      <c r="A151" s="32" t="str">
        <f>'Olieforbrug, TJ'!A151</f>
        <v>4. kvartal 2024</v>
      </c>
      <c r="C151" s="3">
        <f>SUM(C468:C470)</f>
        <v>319182</v>
      </c>
      <c r="D151" s="3">
        <f t="shared" ref="D151:H151" si="76">SUM(D468:D470)</f>
        <v>237017</v>
      </c>
      <c r="E151" s="3">
        <f t="shared" si="76"/>
        <v>346412</v>
      </c>
      <c r="F151" s="3">
        <f t="shared" si="76"/>
        <v>82872</v>
      </c>
      <c r="G151" s="3">
        <f t="shared" si="76"/>
        <v>-132526</v>
      </c>
      <c r="H151" s="3">
        <f t="shared" si="76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5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5">
      <c r="A153" s="170" t="str">
        <f>'Olieforbrug, TJ'!A153</f>
        <v>1. kvartal 2025</v>
      </c>
      <c r="C153" s="3">
        <f>SUM(C472:C474)</f>
        <v>336343</v>
      </c>
      <c r="D153" s="3">
        <f t="shared" ref="D153:L153" si="77">SUM(D472:D474)</f>
        <v>260938</v>
      </c>
      <c r="E153" s="3">
        <f t="shared" si="77"/>
        <v>421922</v>
      </c>
      <c r="F153" s="3">
        <f t="shared" si="77"/>
        <v>78804</v>
      </c>
      <c r="G153" s="3">
        <f t="shared" si="77"/>
        <v>-171711</v>
      </c>
      <c r="H153" s="3">
        <f t="shared" si="77"/>
        <v>1663</v>
      </c>
      <c r="I153" s="3">
        <f>I474</f>
        <v>425576</v>
      </c>
      <c r="J153" s="3"/>
      <c r="K153" s="3"/>
      <c r="L153" s="3">
        <f t="shared" si="77"/>
        <v>67.600949999999997</v>
      </c>
      <c r="M153" s="65"/>
      <c r="N153" s="26" t="str">
        <f>'Olieforbrug, TJ'!M153</f>
        <v>1. Quarter 2025</v>
      </c>
    </row>
    <row r="154" spans="1:14" s="57" customFormat="1" x14ac:dyDescent="0.25">
      <c r="A154" s="170" t="str">
        <f>'Olieforbrug, TJ'!A154</f>
        <v>2. kvartal 2025</v>
      </c>
      <c r="C154" s="3">
        <f>SUM(C475:C477)</f>
        <v>268889</v>
      </c>
      <c r="D154" s="3">
        <f t="shared" ref="D154:H154" si="78">SUM(D475:D477)</f>
        <v>340036</v>
      </c>
      <c r="E154" s="3">
        <f t="shared" si="78"/>
        <v>632217</v>
      </c>
      <c r="F154" s="3">
        <f t="shared" si="78"/>
        <v>83989</v>
      </c>
      <c r="G154" s="3">
        <f t="shared" si="78"/>
        <v>95818</v>
      </c>
      <c r="H154" s="3">
        <f t="shared" si="78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5">
      <c r="A155" s="170" t="str">
        <f>'Olieforbrug, TJ'!A155</f>
        <v>3. kvartal 2025</v>
      </c>
      <c r="C155" s="3">
        <f>SUM(C478:C480)</f>
        <v>349426</v>
      </c>
      <c r="D155" s="3">
        <f t="shared" ref="D155:L155" si="79">SUM(D478:D480)</f>
        <v>417346</v>
      </c>
      <c r="E155" s="3">
        <f t="shared" si="79"/>
        <v>559691</v>
      </c>
      <c r="F155" s="3">
        <f t="shared" si="79"/>
        <v>92052</v>
      </c>
      <c r="G155" s="3">
        <f t="shared" si="79"/>
        <v>-113763</v>
      </c>
      <c r="H155" s="3">
        <f t="shared" si="79"/>
        <v>663</v>
      </c>
      <c r="I155" s="3">
        <f>I480</f>
        <v>443521</v>
      </c>
      <c r="J155" s="3"/>
      <c r="K155" s="3"/>
      <c r="L155" s="3">
        <f t="shared" si="79"/>
        <v>26.950949999999999</v>
      </c>
      <c r="M155" s="65"/>
      <c r="N155" s="26" t="str">
        <f>'Olieforbrug, TJ'!M155</f>
        <v>3. Quarter 2025</v>
      </c>
    </row>
    <row r="156" spans="1:14" s="57" customFormat="1" x14ac:dyDescent="0.25">
      <c r="A156" s="170" t="str">
        <f>'Olieforbrug, TJ'!A156</f>
        <v>4. kvartal 2025</v>
      </c>
      <c r="C156" s="3">
        <f>SUM(C481:C483)</f>
        <v>330105</v>
      </c>
      <c r="D156" s="3">
        <f t="shared" ref="D156:H156" si="80">SUM(D481:D483)</f>
        <v>450010</v>
      </c>
      <c r="E156" s="3">
        <f t="shared" si="80"/>
        <v>764947</v>
      </c>
      <c r="F156" s="3">
        <f t="shared" si="80"/>
        <v>85046</v>
      </c>
      <c r="G156" s="3">
        <f t="shared" si="80"/>
        <v>67524</v>
      </c>
      <c r="H156" s="3">
        <f t="shared" si="80"/>
        <v>717</v>
      </c>
      <c r="I156" s="3">
        <f>I483</f>
        <v>375997</v>
      </c>
      <c r="J156"/>
      <c r="K156"/>
      <c r="L156" s="3">
        <f t="shared" ref="L156" si="81">SUM(L481:L483)</f>
        <v>29.146049999999999</v>
      </c>
      <c r="M156" s="65"/>
      <c r="N156" s="26" t="str">
        <f>'Olieforbrug, TJ'!M156</f>
        <v>4. Quarter 2025</v>
      </c>
    </row>
    <row r="157" spans="1:14" s="57" customFormat="1" x14ac:dyDescent="0.25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3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5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5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5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5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5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5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5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5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5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5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5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5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3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5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5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5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5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5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5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5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5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5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5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5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5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3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5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5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5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5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5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5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5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5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5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5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5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5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3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5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5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5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5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5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5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5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5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5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5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5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5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8" thickBot="1" x14ac:dyDescent="0.3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5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5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5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5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5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5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5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5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5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5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5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5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8" thickBot="1" x14ac:dyDescent="0.3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5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5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5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5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5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5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5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5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5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5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5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5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3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5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5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5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5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5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5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5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5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5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5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5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5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3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5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5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5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5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5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5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5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5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5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5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5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5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3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5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5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5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5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5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5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5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5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5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5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5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5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3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5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5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5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5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5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5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5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5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5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5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5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5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8" thickBot="1" x14ac:dyDescent="0.3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5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5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5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5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5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5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5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5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5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5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5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5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8" thickBot="1" x14ac:dyDescent="0.3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5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5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5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5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5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5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5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5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5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5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5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5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8" thickBot="1" x14ac:dyDescent="0.3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5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5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5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5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5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5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5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5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5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5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5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8" thickBot="1" x14ac:dyDescent="0.3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5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5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5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5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5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5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5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5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5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5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5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5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8" thickBot="1" x14ac:dyDescent="0.3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5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5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82">H342*40.65/1000</f>
        <v>611.25404999999989</v>
      </c>
      <c r="N342" s="23" t="str">
        <f>'Olieforbrug, TJ'!M342</f>
        <v>January</v>
      </c>
    </row>
    <row r="343" spans="1:14" x14ac:dyDescent="0.25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83">I342-I343</f>
        <v>25225</v>
      </c>
      <c r="H343" s="67">
        <v>7190</v>
      </c>
      <c r="I343" s="67">
        <v>920099</v>
      </c>
      <c r="J343" s="15"/>
      <c r="K343" s="15"/>
      <c r="L343" s="14">
        <f t="shared" si="82"/>
        <v>292.27350000000001</v>
      </c>
      <c r="N343" s="23" t="str">
        <f>'Olieforbrug, TJ'!M343</f>
        <v>February</v>
      </c>
    </row>
    <row r="344" spans="1:14" x14ac:dyDescent="0.25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83"/>
        <v>46199</v>
      </c>
      <c r="H344" s="67">
        <v>2111</v>
      </c>
      <c r="I344" s="67">
        <v>873900</v>
      </c>
      <c r="J344" s="15"/>
      <c r="K344" s="15"/>
      <c r="L344" s="14">
        <f t="shared" si="82"/>
        <v>85.812149999999988</v>
      </c>
      <c r="N344" s="23" t="str">
        <f>'Olieforbrug, TJ'!M344</f>
        <v>March</v>
      </c>
    </row>
    <row r="345" spans="1:14" x14ac:dyDescent="0.25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83"/>
        <v>-147193</v>
      </c>
      <c r="H345" s="67">
        <v>4439</v>
      </c>
      <c r="I345" s="67">
        <v>1021093</v>
      </c>
      <c r="L345" s="14">
        <f t="shared" si="82"/>
        <v>180.44535000000002</v>
      </c>
      <c r="N345" s="23" t="str">
        <f>'Olieforbrug, TJ'!M345</f>
        <v>April</v>
      </c>
    </row>
    <row r="346" spans="1:14" x14ac:dyDescent="0.25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83"/>
        <v>275572</v>
      </c>
      <c r="H346" s="67">
        <v>1744</v>
      </c>
      <c r="I346" s="67">
        <v>745521</v>
      </c>
      <c r="L346" s="14">
        <f t="shared" si="82"/>
        <v>70.893599999999992</v>
      </c>
      <c r="N346" s="23" t="str">
        <f>'Olieforbrug, TJ'!M346</f>
        <v>May</v>
      </c>
    </row>
    <row r="347" spans="1:14" x14ac:dyDescent="0.25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83"/>
        <v>-154300</v>
      </c>
      <c r="H347" s="67">
        <v>5782</v>
      </c>
      <c r="I347" s="67">
        <v>899821</v>
      </c>
      <c r="L347" s="14">
        <f t="shared" si="82"/>
        <v>235.03829999999999</v>
      </c>
      <c r="N347" s="23" t="str">
        <f>'Olieforbrug, TJ'!M347</f>
        <v>June</v>
      </c>
    </row>
    <row r="348" spans="1:14" x14ac:dyDescent="0.25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83"/>
        <v>105613</v>
      </c>
      <c r="H348" s="67">
        <v>1503</v>
      </c>
      <c r="I348" s="67">
        <v>794208</v>
      </c>
      <c r="L348" s="14">
        <f t="shared" si="82"/>
        <v>61.09695</v>
      </c>
      <c r="N348" s="23" t="str">
        <f>'Olieforbrug, TJ'!M348</f>
        <v>July</v>
      </c>
    </row>
    <row r="349" spans="1:14" x14ac:dyDescent="0.25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82"/>
        <v>123.0882</v>
      </c>
      <c r="N349" s="23" t="str">
        <f>'Olieforbrug, TJ'!M349</f>
        <v>August</v>
      </c>
    </row>
    <row r="350" spans="1:14" x14ac:dyDescent="0.25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82"/>
        <v>180.44535000000002</v>
      </c>
      <c r="N350" s="23" t="str">
        <f>'Olieforbrug, TJ'!M350</f>
        <v>September</v>
      </c>
    </row>
    <row r="351" spans="1:14" x14ac:dyDescent="0.25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82"/>
        <v>337.47629999999998</v>
      </c>
      <c r="N351" s="23" t="str">
        <f>'Olieforbrug, TJ'!M351</f>
        <v>October</v>
      </c>
    </row>
    <row r="352" spans="1:14" x14ac:dyDescent="0.25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82"/>
        <v>414.91454999999996</v>
      </c>
      <c r="N352" s="23" t="str">
        <f>'Olieforbrug, TJ'!M352</f>
        <v>November</v>
      </c>
    </row>
    <row r="353" spans="1:14" ht="13.8" thickBot="1" x14ac:dyDescent="0.3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82"/>
        <v>680.68425000000002</v>
      </c>
      <c r="N353" s="43" t="str">
        <f>'Olieforbrug, TJ'!M353</f>
        <v>December</v>
      </c>
    </row>
    <row r="354" spans="1:14" x14ac:dyDescent="0.25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5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5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5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5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5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5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5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5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5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5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5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8" thickBot="1" x14ac:dyDescent="0.3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5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5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4">H368*40.65/1000</f>
        <v>88.088549999999998</v>
      </c>
      <c r="N368" s="23" t="str">
        <f>'Olieforbrug, TJ'!M368</f>
        <v>January</v>
      </c>
    </row>
    <row r="369" spans="1:14" x14ac:dyDescent="0.25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5">I368-I369</f>
        <v>159885</v>
      </c>
      <c r="H369" s="16">
        <v>2498</v>
      </c>
      <c r="I369" s="16">
        <v>774919</v>
      </c>
      <c r="J369" s="15"/>
      <c r="K369" s="15"/>
      <c r="L369" s="14">
        <f t="shared" si="84"/>
        <v>101.5437</v>
      </c>
      <c r="N369" s="23" t="str">
        <f>'Olieforbrug, TJ'!M369</f>
        <v>February</v>
      </c>
    </row>
    <row r="370" spans="1:14" x14ac:dyDescent="0.25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5"/>
        <v>163086</v>
      </c>
      <c r="H370" s="16">
        <v>641</v>
      </c>
      <c r="I370" s="16">
        <v>611833</v>
      </c>
      <c r="J370" s="15"/>
      <c r="K370" s="15"/>
      <c r="L370" s="14">
        <f t="shared" si="84"/>
        <v>26.056649999999998</v>
      </c>
      <c r="N370" s="23" t="str">
        <f>'Olieforbrug, TJ'!M370</f>
        <v>March</v>
      </c>
    </row>
    <row r="371" spans="1:14" x14ac:dyDescent="0.25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5"/>
        <v>13419</v>
      </c>
      <c r="H371" s="16">
        <v>-739</v>
      </c>
      <c r="I371" s="16">
        <v>598414</v>
      </c>
      <c r="J371" s="15"/>
      <c r="K371" s="15"/>
      <c r="L371" s="14">
        <f t="shared" si="84"/>
        <v>-30.04035</v>
      </c>
      <c r="N371" s="23" t="str">
        <f>'Olieforbrug, TJ'!M371</f>
        <v>April</v>
      </c>
    </row>
    <row r="372" spans="1:14" x14ac:dyDescent="0.25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5"/>
        <v>-13133</v>
      </c>
      <c r="H372" s="16">
        <v>-572</v>
      </c>
      <c r="I372" s="16">
        <v>611547</v>
      </c>
      <c r="J372" s="15"/>
      <c r="K372" s="15"/>
      <c r="L372" s="14">
        <f t="shared" si="84"/>
        <v>-23.251799999999999</v>
      </c>
      <c r="N372" s="23" t="str">
        <f>'Olieforbrug, TJ'!M372</f>
        <v>May</v>
      </c>
    </row>
    <row r="373" spans="1:14" x14ac:dyDescent="0.25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5"/>
        <v>66492</v>
      </c>
      <c r="H373" s="16">
        <v>2580</v>
      </c>
      <c r="I373" s="16">
        <v>545055</v>
      </c>
      <c r="J373" s="15"/>
      <c r="K373" s="15"/>
      <c r="L373" s="14">
        <f t="shared" si="84"/>
        <v>104.877</v>
      </c>
      <c r="N373" s="23" t="str">
        <f>'Olieforbrug, TJ'!M373</f>
        <v>June</v>
      </c>
    </row>
    <row r="374" spans="1:14" x14ac:dyDescent="0.25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5"/>
        <v>44823</v>
      </c>
      <c r="H374" s="16">
        <v>476</v>
      </c>
      <c r="I374" s="16">
        <v>500232</v>
      </c>
      <c r="J374" s="15"/>
      <c r="K374" s="15"/>
      <c r="L374" s="14">
        <f t="shared" si="84"/>
        <v>19.349399999999999</v>
      </c>
      <c r="N374" s="23" t="str">
        <f>'Olieforbrug, TJ'!M374</f>
        <v>July</v>
      </c>
    </row>
    <row r="375" spans="1:14" x14ac:dyDescent="0.25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4"/>
        <v>76.21875</v>
      </c>
      <c r="N375" s="23" t="str">
        <f>'Olieforbrug, TJ'!M375</f>
        <v>August</v>
      </c>
    </row>
    <row r="376" spans="1:14" x14ac:dyDescent="0.25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4"/>
        <v>306.21645000000001</v>
      </c>
      <c r="N376" s="23" t="str">
        <f>'Olieforbrug, TJ'!M376</f>
        <v>September</v>
      </c>
    </row>
    <row r="377" spans="1:14" x14ac:dyDescent="0.25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4"/>
        <v>417.88200000000001</v>
      </c>
      <c r="N377" s="23" t="str">
        <f>'Olieforbrug, TJ'!M377</f>
        <v>October</v>
      </c>
    </row>
    <row r="378" spans="1:14" x14ac:dyDescent="0.25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4"/>
        <v>603.69315000000006</v>
      </c>
      <c r="N378" s="23" t="str">
        <f>'Olieforbrug, TJ'!M378</f>
        <v>November</v>
      </c>
    </row>
    <row r="379" spans="1:14" ht="13.8" thickBot="1" x14ac:dyDescent="0.3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4"/>
        <v>801.08954999999992</v>
      </c>
      <c r="N379" s="43" t="str">
        <f>'Olieforbrug, TJ'!M379</f>
        <v>December</v>
      </c>
    </row>
    <row r="380" spans="1:14" x14ac:dyDescent="0.25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5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6">H381*40.65/1000</f>
        <v>43.576799999999999</v>
      </c>
      <c r="N381" s="23" t="str">
        <f>'Olieforbrug, TJ'!M381</f>
        <v>January</v>
      </c>
    </row>
    <row r="382" spans="1:14" x14ac:dyDescent="0.25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7">I381-I382</f>
        <v>-194892</v>
      </c>
      <c r="H382" s="16">
        <v>66</v>
      </c>
      <c r="I382" s="16">
        <v>420608</v>
      </c>
      <c r="J382" s="15"/>
      <c r="K382" s="15"/>
      <c r="L382" s="14">
        <f t="shared" si="86"/>
        <v>2.6829000000000001</v>
      </c>
      <c r="N382" s="23" t="str">
        <f>'Olieforbrug, TJ'!M382</f>
        <v>February</v>
      </c>
    </row>
    <row r="383" spans="1:14" x14ac:dyDescent="0.25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7"/>
        <v>95071</v>
      </c>
      <c r="H383" s="16">
        <v>3303</v>
      </c>
      <c r="I383" s="16">
        <v>325537</v>
      </c>
      <c r="J383" s="15"/>
      <c r="K383" s="15"/>
      <c r="L383" s="14">
        <f t="shared" si="86"/>
        <v>134.26694999999998</v>
      </c>
      <c r="N383" s="23" t="str">
        <f>'Olieforbrug, TJ'!M383</f>
        <v>March</v>
      </c>
    </row>
    <row r="384" spans="1:14" x14ac:dyDescent="0.25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7"/>
        <v>2593</v>
      </c>
      <c r="H384" s="16">
        <v>1764</v>
      </c>
      <c r="I384" s="16">
        <v>322944</v>
      </c>
      <c r="J384" s="15"/>
      <c r="K384" s="15"/>
      <c r="L384" s="14">
        <f t="shared" si="86"/>
        <v>71.706599999999995</v>
      </c>
      <c r="N384" s="23" t="str">
        <f>'Olieforbrug, TJ'!M384</f>
        <v>April</v>
      </c>
    </row>
    <row r="385" spans="1:14" x14ac:dyDescent="0.25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7"/>
        <v>0</v>
      </c>
      <c r="H385" s="16">
        <v>1764</v>
      </c>
      <c r="I385" s="16">
        <v>322944</v>
      </c>
      <c r="J385" s="15"/>
      <c r="K385" s="15"/>
      <c r="L385" s="14">
        <f t="shared" si="86"/>
        <v>71.706599999999995</v>
      </c>
      <c r="N385" s="23" t="str">
        <f>'Olieforbrug, TJ'!M385</f>
        <v>May</v>
      </c>
    </row>
    <row r="386" spans="1:14" x14ac:dyDescent="0.25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7"/>
        <v>-44958</v>
      </c>
      <c r="H386" s="16">
        <v>1426</v>
      </c>
      <c r="I386" s="16">
        <v>367902</v>
      </c>
      <c r="J386" s="15"/>
      <c r="K386" s="15"/>
      <c r="L386" s="14">
        <f t="shared" si="86"/>
        <v>57.966900000000003</v>
      </c>
      <c r="N386" s="23" t="str">
        <f>'Olieforbrug, TJ'!M386</f>
        <v>June</v>
      </c>
    </row>
    <row r="387" spans="1:14" x14ac:dyDescent="0.25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7"/>
        <v>107506</v>
      </c>
      <c r="H387" s="16">
        <v>2184</v>
      </c>
      <c r="I387" s="16">
        <v>260396</v>
      </c>
      <c r="J387" s="15"/>
      <c r="K387" s="15"/>
      <c r="L387" s="14">
        <f t="shared" si="86"/>
        <v>88.779599999999988</v>
      </c>
      <c r="N387" s="23" t="str">
        <f>'Olieforbrug, TJ'!M387</f>
        <v>July</v>
      </c>
    </row>
    <row r="388" spans="1:14" x14ac:dyDescent="0.25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6"/>
        <v>40.65</v>
      </c>
      <c r="N388" s="23" t="str">
        <f>'Olieforbrug, TJ'!M388</f>
        <v>August</v>
      </c>
    </row>
    <row r="389" spans="1:14" x14ac:dyDescent="0.25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6"/>
        <v>165.40485000000001</v>
      </c>
      <c r="N389" s="23" t="str">
        <f>'Olieforbrug, TJ'!M389</f>
        <v>September</v>
      </c>
    </row>
    <row r="390" spans="1:14" x14ac:dyDescent="0.25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6"/>
        <v>390.8091</v>
      </c>
      <c r="N390" s="23" t="str">
        <f>'Olieforbrug, TJ'!M390</f>
        <v>October</v>
      </c>
    </row>
    <row r="391" spans="1:14" x14ac:dyDescent="0.25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6"/>
        <v>303.57420000000002</v>
      </c>
      <c r="N391" s="23" t="str">
        <f>'Olieforbrug, TJ'!M391</f>
        <v>November</v>
      </c>
    </row>
    <row r="392" spans="1:14" ht="13.8" thickBot="1" x14ac:dyDescent="0.3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6"/>
        <v>536.86454999999989</v>
      </c>
      <c r="N392" s="43" t="str">
        <f>'Olieforbrug, TJ'!M392</f>
        <v>December</v>
      </c>
    </row>
    <row r="393" spans="1:14" x14ac:dyDescent="0.25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5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8">H394*40.65/1000</f>
        <v>197.2338</v>
      </c>
      <c r="N394" s="23" t="str">
        <f>'Olieforbrug, TJ'!M394</f>
        <v>January</v>
      </c>
    </row>
    <row r="395" spans="1:14" x14ac:dyDescent="0.25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9">I394-I395</f>
        <v>-84957</v>
      </c>
      <c r="H395" s="16">
        <v>3977</v>
      </c>
      <c r="I395" s="16">
        <v>319711</v>
      </c>
      <c r="J395" s="15"/>
      <c r="K395" s="15"/>
      <c r="L395" s="14">
        <f t="shared" si="88"/>
        <v>161.66504999999998</v>
      </c>
      <c r="N395" s="23" t="str">
        <f>'Olieforbrug, TJ'!M395</f>
        <v>February</v>
      </c>
    </row>
    <row r="396" spans="1:14" x14ac:dyDescent="0.25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9"/>
        <v>110178</v>
      </c>
      <c r="H396" s="16">
        <v>578</v>
      </c>
      <c r="I396" s="16">
        <v>209533</v>
      </c>
      <c r="J396" s="15"/>
      <c r="K396" s="15"/>
      <c r="L396" s="14">
        <f t="shared" si="88"/>
        <v>23.495699999999999</v>
      </c>
      <c r="N396" s="23" t="str">
        <f>'Olieforbrug, TJ'!M396</f>
        <v>March</v>
      </c>
    </row>
    <row r="397" spans="1:14" x14ac:dyDescent="0.25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9"/>
        <v>-13240</v>
      </c>
      <c r="H397" s="16">
        <v>1227</v>
      </c>
      <c r="I397" s="16">
        <v>222773</v>
      </c>
      <c r="J397" s="15"/>
      <c r="K397" s="15"/>
      <c r="L397" s="14">
        <f t="shared" si="88"/>
        <v>49.877549999999992</v>
      </c>
      <c r="N397" s="23" t="str">
        <f>'Olieforbrug, TJ'!M397</f>
        <v>April</v>
      </c>
    </row>
    <row r="398" spans="1:14" x14ac:dyDescent="0.25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9"/>
        <v>-119801</v>
      </c>
      <c r="H398" s="16">
        <v>971</v>
      </c>
      <c r="I398" s="16">
        <v>342574</v>
      </c>
      <c r="J398" s="15"/>
      <c r="K398" s="15"/>
      <c r="L398" s="14">
        <f t="shared" si="88"/>
        <v>39.471150000000002</v>
      </c>
      <c r="N398" s="23" t="str">
        <f>'Olieforbrug, TJ'!M398</f>
        <v>May</v>
      </c>
    </row>
    <row r="399" spans="1:14" x14ac:dyDescent="0.25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9"/>
        <v>-220662</v>
      </c>
      <c r="H399" s="16">
        <v>1269</v>
      </c>
      <c r="I399" s="16">
        <v>563236</v>
      </c>
      <c r="J399" s="15"/>
      <c r="K399" s="15"/>
      <c r="L399" s="14">
        <f t="shared" si="88"/>
        <v>51.584849999999996</v>
      </c>
      <c r="N399" s="23" t="str">
        <f>'Olieforbrug, TJ'!M399</f>
        <v>June</v>
      </c>
    </row>
    <row r="400" spans="1:14" ht="12" customHeight="1" x14ac:dyDescent="0.25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9"/>
        <v>-262676</v>
      </c>
      <c r="H400" s="16">
        <v>-1027</v>
      </c>
      <c r="I400" s="16">
        <v>825912</v>
      </c>
      <c r="J400" s="15"/>
      <c r="K400" s="15"/>
      <c r="L400" s="14">
        <f t="shared" ref="L400:L405" si="90">H400*40.65/1000</f>
        <v>-41.747549999999997</v>
      </c>
      <c r="N400" s="23" t="str">
        <f>'Olieforbrug, TJ'!M400</f>
        <v>July</v>
      </c>
    </row>
    <row r="401" spans="1:14" ht="12" customHeight="1" x14ac:dyDescent="0.25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90"/>
        <v>-13.21125</v>
      </c>
      <c r="N401" s="23" t="str">
        <f>'Olieforbrug, TJ'!M401</f>
        <v>August</v>
      </c>
    </row>
    <row r="402" spans="1:14" ht="12" customHeight="1" x14ac:dyDescent="0.25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90"/>
        <v>126.2589</v>
      </c>
      <c r="N402" s="23" t="str">
        <f>'Olieforbrug, TJ'!M402</f>
        <v>September</v>
      </c>
    </row>
    <row r="403" spans="1:14" ht="12" customHeight="1" x14ac:dyDescent="0.25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90"/>
        <v>462.75959999999998</v>
      </c>
      <c r="N403" s="23" t="str">
        <f>'Olieforbrug, TJ'!M403</f>
        <v>October</v>
      </c>
    </row>
    <row r="404" spans="1:14" ht="12" customHeight="1" x14ac:dyDescent="0.25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90"/>
        <v>598.65254999999991</v>
      </c>
      <c r="N404" s="23" t="str">
        <f>'Olieforbrug, TJ'!M404</f>
        <v>November</v>
      </c>
    </row>
    <row r="405" spans="1:14" ht="13.8" thickBot="1" x14ac:dyDescent="0.3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90"/>
        <v>327.11054999999999</v>
      </c>
      <c r="N405" s="43" t="str">
        <f>'Olieforbrug, TJ'!M405</f>
        <v>December</v>
      </c>
    </row>
    <row r="406" spans="1:14" x14ac:dyDescent="0.25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5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5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91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5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91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5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91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5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91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5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91"/>
        <v>6841</v>
      </c>
      <c r="H412" s="16">
        <v>1740</v>
      </c>
      <c r="I412" s="16">
        <v>1111660</v>
      </c>
      <c r="J412" s="15"/>
      <c r="K412" s="15"/>
      <c r="L412" s="14">
        <f t="shared" ref="L412:L418" si="92">H412*40.65/1000</f>
        <v>70.730999999999995</v>
      </c>
      <c r="N412" s="23" t="str">
        <f>'Olieforbrug, TJ'!M412</f>
        <v>June</v>
      </c>
    </row>
    <row r="413" spans="1:14" x14ac:dyDescent="0.25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91"/>
        <v>206229</v>
      </c>
      <c r="H413" s="16">
        <v>1461</v>
      </c>
      <c r="I413" s="16">
        <v>905431</v>
      </c>
      <c r="J413" s="15"/>
      <c r="K413" s="15"/>
      <c r="L413" s="14">
        <f t="shared" si="92"/>
        <v>59.389650000000003</v>
      </c>
      <c r="N413" s="23" t="str">
        <f>'Olieforbrug, TJ'!M413</f>
        <v>July</v>
      </c>
    </row>
    <row r="414" spans="1:14" x14ac:dyDescent="0.25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92"/>
        <v>178.90064999999998</v>
      </c>
      <c r="N414" s="23" t="str">
        <f>'Olieforbrug, TJ'!M414</f>
        <v>August</v>
      </c>
    </row>
    <row r="415" spans="1:14" x14ac:dyDescent="0.25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92"/>
        <v>164.10405</v>
      </c>
      <c r="N415" s="23" t="str">
        <f>'Olieforbrug, TJ'!M415</f>
        <v>September</v>
      </c>
    </row>
    <row r="416" spans="1:14" x14ac:dyDescent="0.25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92"/>
        <v>473.12534999999997</v>
      </c>
      <c r="N416" s="23" t="str">
        <f>'Olieforbrug, TJ'!M416</f>
        <v>October</v>
      </c>
    </row>
    <row r="417" spans="1:14" x14ac:dyDescent="0.25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92"/>
        <v>449.3451</v>
      </c>
      <c r="N417" s="23" t="str">
        <f>'Olieforbrug, TJ'!M417</f>
        <v>November</v>
      </c>
    </row>
    <row r="418" spans="1:14" ht="13.8" thickBot="1" x14ac:dyDescent="0.3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92"/>
        <v>314.38709999999998</v>
      </c>
      <c r="N418" s="43" t="str">
        <f>'Olieforbrug, TJ'!M418</f>
        <v>December</v>
      </c>
    </row>
    <row r="419" spans="1:14" x14ac:dyDescent="0.25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5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93">H420*40.65/1000</f>
        <v>355.07774999999998</v>
      </c>
      <c r="N420" s="23" t="str">
        <f>'Olieforbrug, TJ'!M420</f>
        <v>January</v>
      </c>
    </row>
    <row r="421" spans="1:14" x14ac:dyDescent="0.25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4">I420-I421</f>
        <v>76038</v>
      </c>
      <c r="H421" s="16">
        <v>2168</v>
      </c>
      <c r="I421" s="16">
        <v>756668</v>
      </c>
      <c r="J421" s="15"/>
      <c r="K421" s="15"/>
      <c r="L421" s="14">
        <f t="shared" si="93"/>
        <v>88.129199999999997</v>
      </c>
      <c r="N421" s="23" t="str">
        <f>'Olieforbrug, TJ'!M421</f>
        <v>February</v>
      </c>
    </row>
    <row r="422" spans="1:14" s="102" customFormat="1" x14ac:dyDescent="0.25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4"/>
        <v>-5262</v>
      </c>
      <c r="H422" s="103">
        <v>2563</v>
      </c>
      <c r="I422" s="103">
        <v>761930</v>
      </c>
      <c r="J422" s="104"/>
      <c r="K422" s="104"/>
      <c r="L422" s="105">
        <f t="shared" si="93"/>
        <v>104.18594999999999</v>
      </c>
      <c r="N422" s="101" t="str">
        <f>'Olieforbrug, TJ'!M422</f>
        <v>March</v>
      </c>
    </row>
    <row r="423" spans="1:14" ht="12" customHeight="1" x14ac:dyDescent="0.25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4"/>
        <v>191808</v>
      </c>
      <c r="H423" s="16">
        <v>1686</v>
      </c>
      <c r="I423" s="16">
        <v>570122</v>
      </c>
      <c r="J423" s="15"/>
      <c r="K423" s="15"/>
      <c r="L423" s="14">
        <f t="shared" si="93"/>
        <v>68.535899999999998</v>
      </c>
      <c r="N423" s="23" t="str">
        <f>'Olieforbrug, TJ'!M423</f>
        <v>April</v>
      </c>
    </row>
    <row r="424" spans="1:14" ht="12" customHeight="1" x14ac:dyDescent="0.25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4"/>
        <v>-101633</v>
      </c>
      <c r="H424" s="16">
        <v>1838</v>
      </c>
      <c r="I424" s="16">
        <v>671755</v>
      </c>
      <c r="J424" s="15"/>
      <c r="K424" s="15"/>
      <c r="L424" s="14">
        <f t="shared" si="93"/>
        <v>74.714699999999993</v>
      </c>
      <c r="N424" s="23" t="str">
        <f>'Olieforbrug, TJ'!M424</f>
        <v>May</v>
      </c>
    </row>
    <row r="425" spans="1:14" ht="12" customHeight="1" x14ac:dyDescent="0.25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4"/>
        <v>10765</v>
      </c>
      <c r="H425" s="16">
        <v>2489</v>
      </c>
      <c r="I425" s="16">
        <v>660990</v>
      </c>
      <c r="J425" s="15"/>
      <c r="K425" s="15"/>
      <c r="L425" s="14">
        <f t="shared" si="93"/>
        <v>101.17784999999999</v>
      </c>
      <c r="N425" s="23" t="str">
        <f>'Olieforbrug, TJ'!M425</f>
        <v>June</v>
      </c>
    </row>
    <row r="426" spans="1:14" x14ac:dyDescent="0.25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4"/>
        <v>239979</v>
      </c>
      <c r="H426" s="16">
        <v>2057</v>
      </c>
      <c r="I426" s="16">
        <v>421011</v>
      </c>
      <c r="J426" s="15"/>
      <c r="K426" s="15"/>
      <c r="L426" s="14">
        <f t="shared" si="93"/>
        <v>83.617050000000006</v>
      </c>
      <c r="N426" s="23" t="str">
        <f>'Olieforbrug, TJ'!M426</f>
        <v>July</v>
      </c>
    </row>
    <row r="427" spans="1:14" x14ac:dyDescent="0.25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93"/>
        <v>98.129099999999994</v>
      </c>
      <c r="N427" s="23" t="str">
        <f>'Olieforbrug, TJ'!M427</f>
        <v>August</v>
      </c>
    </row>
    <row r="428" spans="1:14" x14ac:dyDescent="0.25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93"/>
        <v>157.23419999999999</v>
      </c>
      <c r="N428" s="23" t="str">
        <f>'Olieforbrug, TJ'!M428</f>
        <v>September</v>
      </c>
    </row>
    <row r="429" spans="1:14" x14ac:dyDescent="0.25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93"/>
        <v>313.24889999999999</v>
      </c>
      <c r="N429" s="23" t="str">
        <f>'Olieforbrug, TJ'!M429</f>
        <v>October</v>
      </c>
    </row>
    <row r="430" spans="1:14" x14ac:dyDescent="0.25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93"/>
        <v>190.32329999999999</v>
      </c>
      <c r="N430" s="23" t="str">
        <f>'Olieforbrug, TJ'!M430</f>
        <v>November</v>
      </c>
    </row>
    <row r="431" spans="1:14" ht="13.8" thickBot="1" x14ac:dyDescent="0.3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93"/>
        <v>507.63719999999995</v>
      </c>
      <c r="N431" s="43" t="str">
        <f>'Olieforbrug, TJ'!M431</f>
        <v>December</v>
      </c>
    </row>
    <row r="432" spans="1:14" x14ac:dyDescent="0.25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5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5">H433*40.65/1000</f>
        <v>7.1543999999999999</v>
      </c>
      <c r="N433" s="23" t="str">
        <f>'Olieforbrug, TJ'!M433</f>
        <v>January</v>
      </c>
    </row>
    <row r="434" spans="1:14" x14ac:dyDescent="0.25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6">I433-I434</f>
        <v>84264</v>
      </c>
      <c r="H434" s="16">
        <v>909</v>
      </c>
      <c r="I434" s="16">
        <v>197994</v>
      </c>
      <c r="J434" s="15"/>
      <c r="K434" s="15"/>
      <c r="L434" s="14">
        <f t="shared" si="95"/>
        <v>36.950849999999996</v>
      </c>
      <c r="N434" s="23" t="str">
        <f>'Olieforbrug, TJ'!M434</f>
        <v>February</v>
      </c>
    </row>
    <row r="435" spans="1:14" x14ac:dyDescent="0.25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6"/>
        <v>-141609</v>
      </c>
      <c r="H435" s="16">
        <v>5251</v>
      </c>
      <c r="I435" s="16">
        <v>339603</v>
      </c>
      <c r="J435" s="15"/>
      <c r="K435" s="15"/>
      <c r="L435" s="14">
        <f t="shared" si="95"/>
        <v>213.45314999999999</v>
      </c>
      <c r="N435" s="23" t="str">
        <f>'Olieforbrug, TJ'!M435</f>
        <v>March</v>
      </c>
    </row>
    <row r="436" spans="1:14" x14ac:dyDescent="0.25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6"/>
        <v>-45528</v>
      </c>
      <c r="H436" s="16">
        <v>12539</v>
      </c>
      <c r="I436" s="16">
        <v>385131</v>
      </c>
      <c r="J436" s="15"/>
      <c r="K436" s="15"/>
      <c r="L436" s="14">
        <f t="shared" si="95"/>
        <v>509.71034999999995</v>
      </c>
      <c r="N436" s="23" t="str">
        <f>'Olieforbrug, TJ'!M436</f>
        <v>April</v>
      </c>
    </row>
    <row r="437" spans="1:14" x14ac:dyDescent="0.25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6"/>
        <v>25588</v>
      </c>
      <c r="H437" s="16">
        <v>2202</v>
      </c>
      <c r="I437" s="16">
        <v>359543</v>
      </c>
      <c r="J437" s="15"/>
      <c r="K437" s="15"/>
      <c r="L437" s="14">
        <f t="shared" si="95"/>
        <v>89.511300000000006</v>
      </c>
      <c r="N437" s="23" t="str">
        <f>'Olieforbrug, TJ'!M437</f>
        <v>May</v>
      </c>
    </row>
    <row r="438" spans="1:14" x14ac:dyDescent="0.25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6"/>
        <v>-30941</v>
      </c>
      <c r="H438" s="16">
        <v>2327</v>
      </c>
      <c r="I438" s="16">
        <v>390484</v>
      </c>
      <c r="J438" s="15"/>
      <c r="K438" s="15"/>
      <c r="L438" s="14">
        <f t="shared" si="95"/>
        <v>94.592550000000003</v>
      </c>
      <c r="N438" s="23" t="str">
        <f>'Olieforbrug, TJ'!M438</f>
        <v>June</v>
      </c>
    </row>
    <row r="439" spans="1:14" x14ac:dyDescent="0.25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6"/>
        <v>117893</v>
      </c>
      <c r="H439" s="16">
        <v>5013</v>
      </c>
      <c r="I439" s="16">
        <v>272591</v>
      </c>
      <c r="J439" s="15"/>
      <c r="K439" s="15"/>
      <c r="L439" s="14">
        <f t="shared" ref="L439" si="97">H439*40.65/1000</f>
        <v>203.77844999999999</v>
      </c>
      <c r="N439" s="23" t="str">
        <f>'Olieforbrug, TJ'!M439</f>
        <v>July</v>
      </c>
    </row>
    <row r="440" spans="1:14" x14ac:dyDescent="0.25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8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9">H440*40.65/1000</f>
        <v>116.09639999999999</v>
      </c>
      <c r="N440" s="23" t="str">
        <f>'Olieforbrug, TJ'!M440</f>
        <v>August</v>
      </c>
    </row>
    <row r="441" spans="1:14" x14ac:dyDescent="0.25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100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101">H441*40.65/1000</f>
        <v>419.95514999999995</v>
      </c>
      <c r="N441" s="23" t="str">
        <f>'Olieforbrug, TJ'!M441</f>
        <v>September</v>
      </c>
    </row>
    <row r="442" spans="1:14" x14ac:dyDescent="0.25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102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103">H442*40.65/1000</f>
        <v>324.4683</v>
      </c>
      <c r="N442" s="23" t="str">
        <f>'Olieforbrug, TJ'!M442</f>
        <v>October</v>
      </c>
    </row>
    <row r="443" spans="1:14" x14ac:dyDescent="0.25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4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5">H443*40.65/1000</f>
        <v>184.14449999999999</v>
      </c>
      <c r="N443" s="23" t="str">
        <f>'Olieforbrug, TJ'!M443</f>
        <v>November</v>
      </c>
    </row>
    <row r="444" spans="1:14" ht="13.8" thickBot="1" x14ac:dyDescent="0.3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6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7">H444*40.65/1000</f>
        <v>366.45974999999999</v>
      </c>
      <c r="N444" s="43" t="str">
        <f>'Olieforbrug, TJ'!M444</f>
        <v>December</v>
      </c>
    </row>
    <row r="445" spans="1:14" x14ac:dyDescent="0.25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5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8">H446*40.65/1000</f>
        <v>168.81944999999999</v>
      </c>
      <c r="N446" s="23" t="str">
        <f>'Olieforbrug, TJ'!M446</f>
        <v>January</v>
      </c>
    </row>
    <row r="447" spans="1:14" x14ac:dyDescent="0.25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9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10">H447*40.65/1000</f>
        <v>14.471399999999999</v>
      </c>
      <c r="N447" s="23" t="str">
        <f>'Olieforbrug, TJ'!M447</f>
        <v>February</v>
      </c>
    </row>
    <row r="448" spans="1:14" x14ac:dyDescent="0.25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9"/>
        <v>-4721</v>
      </c>
      <c r="H448" s="16">
        <v>1886</v>
      </c>
      <c r="I448" s="16">
        <v>561000</v>
      </c>
      <c r="J448" s="15"/>
      <c r="K448" s="15"/>
      <c r="L448" s="14">
        <f t="shared" ref="L448" si="111">H448*40.65/1000</f>
        <v>76.665899999999993</v>
      </c>
      <c r="N448" s="23" t="str">
        <f>'Olieforbrug, TJ'!M448</f>
        <v>March</v>
      </c>
    </row>
    <row r="449" spans="1:14" x14ac:dyDescent="0.25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9"/>
        <v>129905</v>
      </c>
      <c r="H449" s="16">
        <v>1716</v>
      </c>
      <c r="I449" s="16">
        <v>431095</v>
      </c>
      <c r="J449" s="15"/>
      <c r="K449" s="15"/>
      <c r="L449" s="14">
        <f t="shared" ref="L449" si="112">H449*40.65/1000</f>
        <v>69.755399999999995</v>
      </c>
      <c r="N449" s="23" t="str">
        <f>'Olieforbrug, TJ'!M449</f>
        <v>April</v>
      </c>
    </row>
    <row r="450" spans="1:14" x14ac:dyDescent="0.25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9"/>
        <v>-9637</v>
      </c>
      <c r="H450" s="77">
        <v>924</v>
      </c>
      <c r="I450" s="16">
        <v>440732</v>
      </c>
      <c r="J450" s="15"/>
      <c r="K450" s="15"/>
      <c r="L450" s="14">
        <f t="shared" ref="L450" si="113">H450*40.65/1000</f>
        <v>37.560600000000001</v>
      </c>
      <c r="N450" s="23" t="str">
        <f>'Olieforbrug, TJ'!M450</f>
        <v>May</v>
      </c>
    </row>
    <row r="451" spans="1:14" x14ac:dyDescent="0.25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9"/>
        <v>7366</v>
      </c>
      <c r="H451" s="77">
        <v>-60</v>
      </c>
      <c r="I451" s="16">
        <v>433366</v>
      </c>
      <c r="J451" s="15"/>
      <c r="K451" s="15"/>
      <c r="L451" s="14">
        <f t="shared" ref="L451" si="114">H451*40.65/1000</f>
        <v>-2.4390000000000001</v>
      </c>
      <c r="N451" s="23" t="str">
        <f>'Olieforbrug, TJ'!M451</f>
        <v>June</v>
      </c>
    </row>
    <row r="452" spans="1:14" x14ac:dyDescent="0.25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9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5">H452*40.65/1000</f>
        <v>42.0736895047921</v>
      </c>
      <c r="N452" s="23" t="str">
        <f>'Olieforbrug, TJ'!M452</f>
        <v>July</v>
      </c>
    </row>
    <row r="453" spans="1:14" x14ac:dyDescent="0.25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6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7">H453*40.65/1000</f>
        <v>14.287618693563173</v>
      </c>
      <c r="N453" s="23" t="str">
        <f>'Olieforbrug, TJ'!M453</f>
        <v>August</v>
      </c>
    </row>
    <row r="454" spans="1:14" x14ac:dyDescent="0.25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8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9">H454*40.65/1000</f>
        <v>169.55115000000001</v>
      </c>
      <c r="N454" s="23" t="str">
        <f>'Olieforbrug, TJ'!M454</f>
        <v>September</v>
      </c>
    </row>
    <row r="455" spans="1:14" x14ac:dyDescent="0.25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20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21">H455*40.65/1000</f>
        <v>140.03925000000001</v>
      </c>
      <c r="N455" s="23" t="str">
        <f>'Olieforbrug, TJ'!M455</f>
        <v>October</v>
      </c>
    </row>
    <row r="456" spans="1:14" x14ac:dyDescent="0.25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22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23">H456*40.65/1000</f>
        <v>182.76239999999999</v>
      </c>
      <c r="N456" s="23" t="str">
        <f>'Olieforbrug, TJ'!M456</f>
        <v>November</v>
      </c>
    </row>
    <row r="457" spans="1:14" ht="13.8" thickBot="1" x14ac:dyDescent="0.3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4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5">H457*40.65/1000</f>
        <v>239.83500000000001</v>
      </c>
      <c r="M457" s="69"/>
      <c r="N457" s="73" t="str">
        <f>'Olieforbrug, TJ'!M457</f>
        <v>December</v>
      </c>
    </row>
    <row r="458" spans="1:14" x14ac:dyDescent="0.25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5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6">H459*40.65/1000</f>
        <v>150.8115</v>
      </c>
      <c r="N459" s="23" t="str">
        <f>'Olieforbrug, TJ'!M459</f>
        <v>January</v>
      </c>
    </row>
    <row r="460" spans="1:14" x14ac:dyDescent="0.25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7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8">H460*40.65/1000</f>
        <v>37.194749999999999</v>
      </c>
      <c r="N460" s="23" t="str">
        <f>'Olieforbrug, TJ'!M460</f>
        <v>February</v>
      </c>
    </row>
    <row r="461" spans="1:14" x14ac:dyDescent="0.25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7"/>
        <v>45122</v>
      </c>
      <c r="H461" s="77">
        <v>571</v>
      </c>
      <c r="I461" s="16">
        <v>308370</v>
      </c>
      <c r="J461" s="15"/>
      <c r="K461" s="15"/>
      <c r="L461" s="14">
        <f t="shared" ref="L461" si="129">H461*40.65/1000</f>
        <v>23.211149999999996</v>
      </c>
      <c r="N461" s="23" t="str">
        <f>'Olieforbrug, TJ'!M461</f>
        <v>March</v>
      </c>
    </row>
    <row r="462" spans="1:14" x14ac:dyDescent="0.25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7"/>
        <v>-53694</v>
      </c>
      <c r="H462" s="77">
        <v>319</v>
      </c>
      <c r="I462" s="16">
        <v>362064</v>
      </c>
      <c r="J462" s="15"/>
      <c r="K462" s="15"/>
      <c r="L462" s="14">
        <f t="shared" ref="L462" si="130">H462*40.65/1000</f>
        <v>12.96735</v>
      </c>
      <c r="N462" s="23" t="str">
        <f>'Olieforbrug, TJ'!M462</f>
        <v>April</v>
      </c>
    </row>
    <row r="463" spans="1:14" x14ac:dyDescent="0.25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7"/>
        <v>-33258</v>
      </c>
      <c r="H463" s="77">
        <v>456</v>
      </c>
      <c r="I463" s="16">
        <v>395322</v>
      </c>
      <c r="J463" s="15"/>
      <c r="K463" s="15"/>
      <c r="L463" s="14">
        <f t="shared" ref="L463" si="131">H463*40.65/1000</f>
        <v>18.536399999999997</v>
      </c>
      <c r="N463" s="23" t="str">
        <f>'Olieforbrug, TJ'!M463</f>
        <v>Maj</v>
      </c>
    </row>
    <row r="464" spans="1:14" x14ac:dyDescent="0.25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7"/>
        <v>89138</v>
      </c>
      <c r="H464" s="77">
        <v>9</v>
      </c>
      <c r="I464" s="16">
        <v>306184</v>
      </c>
      <c r="J464" s="15"/>
      <c r="K464" s="15"/>
      <c r="L464" s="14">
        <f t="shared" ref="L464" si="132">H464*40.65/1000</f>
        <v>0.36584999999999995</v>
      </c>
      <c r="N464" s="23" t="str">
        <f>'Olieforbrug, TJ'!M464</f>
        <v>June</v>
      </c>
    </row>
    <row r="465" spans="1:14" x14ac:dyDescent="0.25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7"/>
        <v>76963</v>
      </c>
      <c r="H465" s="77">
        <v>660</v>
      </c>
      <c r="I465" s="16">
        <v>229221</v>
      </c>
      <c r="J465" s="15"/>
      <c r="K465" s="15"/>
      <c r="L465" s="14">
        <f t="shared" ref="L465" si="133">H465*40.65/1000</f>
        <v>26.829000000000001</v>
      </c>
      <c r="N465" s="23" t="str">
        <f>'Olieforbrug, TJ'!M465</f>
        <v>July</v>
      </c>
    </row>
    <row r="466" spans="1:14" x14ac:dyDescent="0.25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4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5">H466*40.65/1000</f>
        <v>39.5931</v>
      </c>
      <c r="N466" s="23" t="str">
        <f>'Olieforbrug, TJ'!M466</f>
        <v>August</v>
      </c>
    </row>
    <row r="467" spans="1:14" x14ac:dyDescent="0.25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6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7">H467*40.65/1000</f>
        <v>17.235599999999998</v>
      </c>
      <c r="N467" s="23" t="str">
        <f>'Olieforbrug, TJ'!M467</f>
        <v>September</v>
      </c>
    </row>
    <row r="468" spans="1:14" x14ac:dyDescent="0.25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8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9">H468*40.65/1000</f>
        <v>20.568899999999999</v>
      </c>
      <c r="N468" s="23" t="str">
        <f>'Olieforbrug, TJ'!M468</f>
        <v>October</v>
      </c>
    </row>
    <row r="469" spans="1:14" x14ac:dyDescent="0.25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40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41">H469*40.65/1000</f>
        <v>8.7397500000000008</v>
      </c>
      <c r="N469" s="23" t="str">
        <f>'Olieforbrug, TJ'!M469</f>
        <v>November</v>
      </c>
    </row>
    <row r="470" spans="1:14" ht="13.8" thickBot="1" x14ac:dyDescent="0.3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42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43">H470*40.65/1000</f>
        <v>7.6421999999999999</v>
      </c>
      <c r="N470" s="43" t="str">
        <f>'Olieforbrug, TJ'!M470</f>
        <v>December</v>
      </c>
    </row>
    <row r="471" spans="1:14" x14ac:dyDescent="0.25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5">
      <c r="A472" s="179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4">H472*40.65/1000</f>
        <v>21.625799999999998</v>
      </c>
      <c r="M472" s="174"/>
      <c r="N472" s="180" t="str">
        <f>'Olieforbrug, TJ'!M472</f>
        <v>January</v>
      </c>
    </row>
    <row r="473" spans="1:14" x14ac:dyDescent="0.25">
      <c r="A473" s="179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5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6">H473*40.65/1000</f>
        <v>15.203100000000001</v>
      </c>
      <c r="M473" s="174"/>
      <c r="N473" s="180" t="str">
        <f>'Olieforbrug, TJ'!M473</f>
        <v>February</v>
      </c>
    </row>
    <row r="474" spans="1:14" x14ac:dyDescent="0.25">
      <c r="A474" s="179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5"/>
        <v>-91273</v>
      </c>
      <c r="H474" s="77">
        <v>757</v>
      </c>
      <c r="I474" s="16">
        <v>425576</v>
      </c>
      <c r="J474" s="15"/>
      <c r="K474" s="15"/>
      <c r="L474" s="14">
        <f t="shared" ref="L474" si="147">H474*40.65/1000</f>
        <v>30.77205</v>
      </c>
      <c r="M474" s="174"/>
      <c r="N474" s="180" t="str">
        <f>'Olieforbrug, TJ'!M474</f>
        <v>March</v>
      </c>
    </row>
    <row r="475" spans="1:14" x14ac:dyDescent="0.25">
      <c r="A475" s="179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5"/>
        <v>12600</v>
      </c>
      <c r="H475" s="77">
        <v>139</v>
      </c>
      <c r="I475" s="16">
        <v>412976</v>
      </c>
      <c r="J475" s="15"/>
      <c r="K475" s="15"/>
      <c r="L475" s="14">
        <f t="shared" ref="L475" si="148">H475*40.65/1000</f>
        <v>5.6503499999999995</v>
      </c>
      <c r="M475" s="174"/>
      <c r="N475" s="180" t="str">
        <f>'Olieforbrug, TJ'!M475</f>
        <v>April</v>
      </c>
    </row>
    <row r="476" spans="1:14" x14ac:dyDescent="0.25">
      <c r="A476" s="179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5"/>
        <v>189251</v>
      </c>
      <c r="H476" s="77">
        <v>212</v>
      </c>
      <c r="I476" s="16">
        <v>223725</v>
      </c>
      <c r="J476" s="15"/>
      <c r="K476" s="15"/>
      <c r="L476" s="14">
        <f t="shared" ref="L476" si="149">H476*40.65/1000</f>
        <v>8.617799999999999</v>
      </c>
      <c r="M476" s="174"/>
      <c r="N476" s="180" t="str">
        <f>'Olieforbrug, TJ'!M476</f>
        <v>May</v>
      </c>
    </row>
    <row r="477" spans="1:14" x14ac:dyDescent="0.25">
      <c r="A477" s="179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5"/>
        <v>-106033</v>
      </c>
      <c r="H477" s="77">
        <v>-5</v>
      </c>
      <c r="I477" s="16">
        <v>329758</v>
      </c>
      <c r="J477" s="15"/>
      <c r="K477" s="15"/>
      <c r="L477" s="14">
        <f t="shared" ref="L477" si="150">H477*40.65/1000</f>
        <v>-0.20324999999999999</v>
      </c>
      <c r="M477" s="174"/>
      <c r="N477" s="180" t="str">
        <f>'Olieforbrug, TJ'!M477</f>
        <v>June</v>
      </c>
    </row>
    <row r="478" spans="1:14" x14ac:dyDescent="0.25">
      <c r="A478" s="179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5"/>
        <v>77852</v>
      </c>
      <c r="H478" s="77">
        <v>-63</v>
      </c>
      <c r="I478" s="16">
        <v>251906</v>
      </c>
      <c r="J478" s="15"/>
      <c r="K478" s="15"/>
      <c r="L478" s="14">
        <f t="shared" ref="L478" si="151">H478*40.65/1000</f>
        <v>-2.5609499999999996</v>
      </c>
      <c r="M478" s="174"/>
      <c r="N478" s="180" t="str">
        <f>'Olieforbrug, TJ'!M478</f>
        <v>July</v>
      </c>
    </row>
    <row r="479" spans="1:14" x14ac:dyDescent="0.25">
      <c r="A479" s="179" t="str">
        <f>'Olieforbrug, TJ'!A479</f>
        <v>August</v>
      </c>
      <c r="B479" s="77"/>
      <c r="C479" s="16">
        <v>117332</v>
      </c>
      <c r="D479" s="16">
        <v>103690</v>
      </c>
      <c r="E479" s="16">
        <v>106684</v>
      </c>
      <c r="F479" s="16">
        <v>33929</v>
      </c>
      <c r="G479" s="69">
        <f t="shared" ref="G479" si="152">I478-I479</f>
        <v>-80422</v>
      </c>
      <c r="H479" s="77">
        <v>135</v>
      </c>
      <c r="I479" s="16">
        <v>332328</v>
      </c>
      <c r="J479" s="15"/>
      <c r="K479" s="15"/>
      <c r="L479" s="14">
        <f t="shared" ref="L479" si="153">H479*40.65/1000</f>
        <v>5.4877500000000001</v>
      </c>
      <c r="M479" s="174"/>
      <c r="N479" s="180" t="str">
        <f>'Olieforbrug, TJ'!M479</f>
        <v>August</v>
      </c>
    </row>
    <row r="480" spans="1:14" x14ac:dyDescent="0.25">
      <c r="A480" s="179" t="str">
        <f>'Olieforbrug, TJ'!A480</f>
        <v>September</v>
      </c>
      <c r="B480" s="77"/>
      <c r="C480" s="16">
        <v>122983</v>
      </c>
      <c r="D480" s="16">
        <v>178498</v>
      </c>
      <c r="E480" s="16">
        <v>162249</v>
      </c>
      <c r="F480" s="16">
        <v>30224</v>
      </c>
      <c r="G480" s="69">
        <f t="shared" ref="G480" si="154">I479-I480</f>
        <v>-111193</v>
      </c>
      <c r="H480" s="77">
        <v>591</v>
      </c>
      <c r="I480" s="16">
        <v>443521</v>
      </c>
      <c r="J480" s="15"/>
      <c r="K480" s="15"/>
      <c r="L480" s="14">
        <f t="shared" ref="L480" si="155">H480*40.65/1000</f>
        <v>24.024149999999999</v>
      </c>
      <c r="M480" s="174"/>
      <c r="N480" s="180" t="str">
        <f>'Olieforbrug, TJ'!M480</f>
        <v>September</v>
      </c>
    </row>
    <row r="481" spans="1:14" x14ac:dyDescent="0.25">
      <c r="A481" s="179" t="str">
        <f>'Olieforbrug, TJ'!A481</f>
        <v>Oktober</v>
      </c>
      <c r="B481" s="77"/>
      <c r="C481" s="16">
        <v>105261</v>
      </c>
      <c r="D481" s="16">
        <v>211490</v>
      </c>
      <c r="E481" s="16">
        <v>452295</v>
      </c>
      <c r="F481" s="16">
        <v>32224</v>
      </c>
      <c r="G481" s="69">
        <f t="shared" ref="G481" si="156">I480-I481</f>
        <v>153412</v>
      </c>
      <c r="H481" s="77">
        <v>498</v>
      </c>
      <c r="I481" s="16">
        <v>290109</v>
      </c>
      <c r="J481" s="15"/>
      <c r="K481" s="15"/>
      <c r="L481" s="14">
        <f t="shared" ref="L481" si="157">H481*40.65/1000</f>
        <v>20.2437</v>
      </c>
      <c r="M481" s="174"/>
      <c r="N481" s="180" t="str">
        <f>'Olieforbrug, TJ'!M481</f>
        <v>October</v>
      </c>
    </row>
    <row r="482" spans="1:14" x14ac:dyDescent="0.25">
      <c r="A482" s="179" t="str">
        <f>'Olieforbrug, TJ'!A482</f>
        <v>November</v>
      </c>
      <c r="B482" s="77"/>
      <c r="C482" s="16">
        <v>112881</v>
      </c>
      <c r="D482" s="16">
        <v>107269</v>
      </c>
      <c r="E482" s="16">
        <v>97808</v>
      </c>
      <c r="F482" s="16">
        <v>15953</v>
      </c>
      <c r="G482" s="69">
        <f t="shared" ref="G482" si="158">I481-I482</f>
        <v>-94517</v>
      </c>
      <c r="H482" s="77">
        <v>212</v>
      </c>
      <c r="I482" s="16">
        <v>384626</v>
      </c>
      <c r="J482" s="15"/>
      <c r="K482" s="15"/>
      <c r="L482" s="14">
        <f t="shared" ref="L482" si="159">H482*40.65/1000</f>
        <v>8.617799999999999</v>
      </c>
      <c r="M482" s="174"/>
      <c r="N482" s="180" t="str">
        <f>'Olieforbrug, TJ'!M482</f>
        <v>November</v>
      </c>
    </row>
    <row r="483" spans="1:14" x14ac:dyDescent="0.25">
      <c r="A483" s="179" t="str">
        <f>'Olieforbrug, TJ'!A483</f>
        <v>December</v>
      </c>
      <c r="B483" s="77"/>
      <c r="C483" s="16">
        <v>111963</v>
      </c>
      <c r="D483" s="16">
        <v>131251</v>
      </c>
      <c r="E483" s="16">
        <v>214844</v>
      </c>
      <c r="F483" s="16">
        <v>36869</v>
      </c>
      <c r="G483" s="69">
        <f t="shared" ref="G483" si="160">I482-I483</f>
        <v>8629</v>
      </c>
      <c r="H483" s="77">
        <v>7</v>
      </c>
      <c r="I483" s="16">
        <v>375997</v>
      </c>
      <c r="J483" s="15"/>
      <c r="K483" s="15"/>
      <c r="L483" s="14">
        <f t="shared" ref="L483" si="161">H483*40.65/1000</f>
        <v>0.28455000000000003</v>
      </c>
      <c r="M483" s="174"/>
      <c r="N483" s="180" t="str">
        <f>'Olieforbrug, TJ'!M483</f>
        <v>December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2026-01-26T11:02:33Z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