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enne_projektmappe" defaultThemeVersion="124226"/>
  <bookViews>
    <workbookView xWindow="13380" yWindow="120" windowWidth="7110" windowHeight="8025"/>
  </bookViews>
  <sheets>
    <sheet name="Information" sheetId="6" r:id="rId1"/>
    <sheet name="Støtte til VE-el" sheetId="3" r:id="rId2"/>
    <sheet name="Input" sheetId="4" r:id="rId3"/>
    <sheet name="Elpris" sheetId="5" r:id="rId4"/>
  </sheets>
  <definedNames>
    <definedName name="Elprisforløb">Input!$B$65:$F$65</definedName>
    <definedName name="ValgtElpris">'Støtte til VE-el'!$C$3</definedName>
  </definedNames>
  <calcPr calcId="145621"/>
</workbook>
</file>

<file path=xl/calcChain.xml><?xml version="1.0" encoding="utf-8"?>
<calcChain xmlns="http://schemas.openxmlformats.org/spreadsheetml/2006/main">
  <c r="Z12" i="3" l="1"/>
  <c r="X12" i="3"/>
  <c r="X11" i="3"/>
  <c r="C20" i="4"/>
  <c r="O96" i="3" l="1"/>
  <c r="H199" i="4" l="1"/>
  <c r="L12" i="3"/>
  <c r="G66" i="4"/>
  <c r="N190" i="4"/>
  <c r="N191" i="4" s="1"/>
  <c r="N192" i="4" s="1"/>
  <c r="N193" i="4" s="1"/>
  <c r="N194" i="4" s="1"/>
  <c r="N195" i="4" s="1"/>
  <c r="N196" i="4" s="1"/>
  <c r="N197" i="4" s="1"/>
  <c r="N198" i="4" s="1"/>
  <c r="N199" i="4" s="1"/>
  <c r="N200" i="4" s="1"/>
  <c r="N201" i="4" s="1"/>
  <c r="N202" i="4" s="1"/>
  <c r="N203" i="4" s="1"/>
  <c r="N204" i="4" s="1"/>
  <c r="N205" i="4" s="1"/>
  <c r="N206" i="4" s="1"/>
  <c r="N207" i="4" s="1"/>
  <c r="N208" i="4" s="1"/>
  <c r="N209" i="4" s="1"/>
  <c r="N210" i="4" s="1"/>
  <c r="N211" i="4" s="1"/>
  <c r="N212" i="4" s="1"/>
  <c r="N213" i="4" s="1"/>
  <c r="N214" i="4" s="1"/>
  <c r="N215" i="4" s="1"/>
  <c r="N216" i="4" s="1"/>
  <c r="N217" i="4" s="1"/>
  <c r="N218" i="4" s="1"/>
  <c r="N219" i="4" s="1"/>
  <c r="N220" i="4" s="1"/>
  <c r="N221" i="4" s="1"/>
  <c r="N222" i="4" s="1"/>
  <c r="N223" i="4" s="1"/>
  <c r="N224" i="4" s="1"/>
  <c r="N225" i="4" s="1"/>
  <c r="N226" i="4" s="1"/>
  <c r="N227" i="4" s="1"/>
  <c r="N189" i="4"/>
  <c r="L189" i="4"/>
  <c r="L190" i="4"/>
  <c r="O12" i="3" s="1"/>
  <c r="L191" i="4"/>
  <c r="L192" i="4"/>
  <c r="L193" i="4"/>
  <c r="L194" i="4"/>
  <c r="L195" i="4"/>
  <c r="L196" i="4"/>
  <c r="L197" i="4"/>
  <c r="L198" i="4"/>
  <c r="G185" i="4"/>
  <c r="D25" i="3" l="1"/>
  <c r="D26" i="3"/>
  <c r="D27" i="3"/>
  <c r="D28" i="3"/>
  <c r="D29" i="3"/>
  <c r="D30" i="3"/>
  <c r="D31" i="3"/>
  <c r="D32" i="3"/>
  <c r="D33" i="3"/>
  <c r="D34" i="3"/>
  <c r="D35" i="3"/>
  <c r="D36" i="3"/>
  <c r="D37" i="3"/>
  <c r="D38" i="3"/>
  <c r="D39" i="3"/>
  <c r="D40" i="3"/>
  <c r="D41" i="3"/>
  <c r="D42" i="3"/>
  <c r="D43" i="3"/>
  <c r="D44" i="3"/>
  <c r="D45" i="3"/>
  <c r="D46" i="3"/>
  <c r="D47" i="3"/>
  <c r="D48" i="3"/>
  <c r="D49" i="3"/>
  <c r="D50" i="3"/>
  <c r="D24" i="3"/>
  <c r="E24" i="3"/>
  <c r="E36" i="3"/>
  <c r="C66" i="4" l="1"/>
  <c r="D66" i="4"/>
  <c r="C67" i="4"/>
  <c r="D67" i="4"/>
  <c r="C68" i="4"/>
  <c r="D68" i="4"/>
  <c r="C69" i="4"/>
  <c r="D69" i="4"/>
  <c r="C70" i="4"/>
  <c r="D70" i="4"/>
  <c r="C71" i="4"/>
  <c r="D71" i="4"/>
  <c r="C72" i="4"/>
  <c r="D72" i="4"/>
  <c r="C73" i="4"/>
  <c r="D73" i="4"/>
  <c r="C74" i="4"/>
  <c r="D74" i="4"/>
  <c r="C75" i="4"/>
  <c r="D75" i="4"/>
  <c r="C76" i="4"/>
  <c r="D76" i="4"/>
  <c r="I14" i="5" l="1"/>
  <c r="H13" i="5"/>
  <c r="G12" i="5"/>
  <c r="G11" i="5"/>
  <c r="G10" i="5"/>
  <c r="G9" i="5"/>
  <c r="G8" i="5"/>
  <c r="G7" i="5"/>
  <c r="G6" i="5"/>
  <c r="G5" i="5"/>
  <c r="E83" i="3" l="1"/>
  <c r="A96" i="3" s="1"/>
  <c r="E82" i="3"/>
  <c r="A90" i="3" s="1"/>
  <c r="E84" i="3"/>
  <c r="E81" i="3"/>
  <c r="A95" i="3" s="1"/>
  <c r="AS13" i="3" l="1"/>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1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22" i="3"/>
  <c r="H32" i="3"/>
  <c r="AS52" i="3" l="1"/>
  <c r="C15" i="4" l="1"/>
  <c r="Y37" i="3"/>
  <c r="Z37" i="3"/>
  <c r="AA37" i="3"/>
  <c r="AB37" i="3"/>
  <c r="AC37" i="3"/>
  <c r="Y38" i="3"/>
  <c r="Z38" i="3"/>
  <c r="AA38" i="3"/>
  <c r="AB38" i="3"/>
  <c r="AC38" i="3"/>
  <c r="Y39" i="3"/>
  <c r="Z39" i="3"/>
  <c r="AA39" i="3"/>
  <c r="AB39" i="3"/>
  <c r="AC39" i="3"/>
  <c r="Y40" i="3"/>
  <c r="Z40" i="3"/>
  <c r="AA40" i="3"/>
  <c r="AB40" i="3"/>
  <c r="AC40" i="3"/>
  <c r="Y41" i="3"/>
  <c r="Z41" i="3"/>
  <c r="AA41" i="3"/>
  <c r="AB41" i="3"/>
  <c r="AC41" i="3"/>
  <c r="Y42" i="3"/>
  <c r="Z42" i="3"/>
  <c r="AA42" i="3"/>
  <c r="AB42" i="3"/>
  <c r="AC42" i="3"/>
  <c r="Y43" i="3"/>
  <c r="Z43" i="3"/>
  <c r="AA43" i="3"/>
  <c r="AB43" i="3"/>
  <c r="AC43" i="3"/>
  <c r="Y44" i="3"/>
  <c r="Z44" i="3"/>
  <c r="AA44" i="3"/>
  <c r="AB44" i="3"/>
  <c r="AC44" i="3"/>
  <c r="Y45" i="3"/>
  <c r="Z45" i="3"/>
  <c r="AA45" i="3"/>
  <c r="AB45" i="3"/>
  <c r="AC45" i="3"/>
  <c r="Y46" i="3"/>
  <c r="Z46" i="3"/>
  <c r="AA46" i="3"/>
  <c r="AB46" i="3"/>
  <c r="AC46" i="3"/>
  <c r="Y47" i="3"/>
  <c r="Z47" i="3"/>
  <c r="AA47" i="3"/>
  <c r="AB47" i="3"/>
  <c r="AC47" i="3"/>
  <c r="Y48" i="3"/>
  <c r="Z48" i="3"/>
  <c r="AA48" i="3"/>
  <c r="AB48" i="3"/>
  <c r="AC48" i="3"/>
  <c r="Y49" i="3"/>
  <c r="Z49" i="3"/>
  <c r="AA49" i="3"/>
  <c r="AB49" i="3"/>
  <c r="AC49" i="3"/>
  <c r="Y50" i="3"/>
  <c r="Z50" i="3"/>
  <c r="AA50" i="3"/>
  <c r="AB50" i="3"/>
  <c r="AC50" i="3"/>
  <c r="X38" i="3"/>
  <c r="X39" i="3"/>
  <c r="X40" i="3"/>
  <c r="X41" i="3"/>
  <c r="X42" i="3"/>
  <c r="X43" i="3"/>
  <c r="X44" i="3"/>
  <c r="X45" i="3"/>
  <c r="X46" i="3"/>
  <c r="X47" i="3"/>
  <c r="X48" i="3"/>
  <c r="X49" i="3"/>
  <c r="X50" i="3"/>
  <c r="Y13" i="3"/>
  <c r="Z13" i="3"/>
  <c r="AA13" i="3"/>
  <c r="AB13" i="3"/>
  <c r="AC13" i="3"/>
  <c r="Y14" i="3"/>
  <c r="Z14" i="3"/>
  <c r="AA14" i="3"/>
  <c r="AB14" i="3"/>
  <c r="AC14" i="3"/>
  <c r="Y15" i="3"/>
  <c r="Z15" i="3"/>
  <c r="AA15" i="3"/>
  <c r="AB15" i="3"/>
  <c r="AC15" i="3"/>
  <c r="Y16" i="3"/>
  <c r="Z16" i="3"/>
  <c r="AA16" i="3"/>
  <c r="AB16" i="3"/>
  <c r="AC16" i="3"/>
  <c r="Y17" i="3"/>
  <c r="Z17" i="3"/>
  <c r="AA17" i="3"/>
  <c r="AB17" i="3"/>
  <c r="AC17" i="3"/>
  <c r="Y18" i="3"/>
  <c r="Z18" i="3"/>
  <c r="AA18" i="3"/>
  <c r="AB18" i="3"/>
  <c r="AC18" i="3"/>
  <c r="Y19" i="3"/>
  <c r="Z19" i="3"/>
  <c r="AA19" i="3"/>
  <c r="AB19" i="3"/>
  <c r="AC19" i="3"/>
  <c r="Y20" i="3"/>
  <c r="Z20" i="3"/>
  <c r="AA20" i="3"/>
  <c r="AB20" i="3"/>
  <c r="AC20" i="3"/>
  <c r="Y21" i="3"/>
  <c r="Z21" i="3"/>
  <c r="AA21" i="3"/>
  <c r="AB21" i="3"/>
  <c r="AC21" i="3"/>
  <c r="Y22" i="3"/>
  <c r="Z22" i="3"/>
  <c r="AA22" i="3"/>
  <c r="AB22" i="3"/>
  <c r="AC22" i="3"/>
  <c r="Y23" i="3"/>
  <c r="Z23" i="3"/>
  <c r="AA23" i="3"/>
  <c r="AB23" i="3"/>
  <c r="AC23" i="3"/>
  <c r="Y24" i="3"/>
  <c r="Z24" i="3"/>
  <c r="AA24" i="3"/>
  <c r="AB24" i="3"/>
  <c r="AC24" i="3"/>
  <c r="Y25" i="3"/>
  <c r="Z25" i="3"/>
  <c r="AA25" i="3"/>
  <c r="AB25" i="3"/>
  <c r="AC25" i="3"/>
  <c r="Y26" i="3"/>
  <c r="Z26" i="3"/>
  <c r="AA26" i="3"/>
  <c r="AB26" i="3"/>
  <c r="AC26" i="3"/>
  <c r="Y27" i="3"/>
  <c r="Z27" i="3"/>
  <c r="AA27" i="3"/>
  <c r="AB27" i="3"/>
  <c r="AC27" i="3"/>
  <c r="Y28" i="3"/>
  <c r="Z28" i="3"/>
  <c r="AA28" i="3"/>
  <c r="AB28" i="3"/>
  <c r="AC28" i="3"/>
  <c r="Y29" i="3"/>
  <c r="Z29" i="3"/>
  <c r="AA29" i="3"/>
  <c r="AB29" i="3"/>
  <c r="AC29" i="3"/>
  <c r="Y30" i="3"/>
  <c r="Z30" i="3"/>
  <c r="AA30" i="3"/>
  <c r="AB30" i="3"/>
  <c r="AC30" i="3"/>
  <c r="Y31" i="3"/>
  <c r="Z31" i="3"/>
  <c r="AA31" i="3"/>
  <c r="AB31" i="3"/>
  <c r="AC31" i="3"/>
  <c r="Y32" i="3"/>
  <c r="Z32" i="3"/>
  <c r="AA32" i="3"/>
  <c r="AB32" i="3"/>
  <c r="AC32" i="3"/>
  <c r="Y33" i="3"/>
  <c r="Z33" i="3"/>
  <c r="AA33" i="3"/>
  <c r="AB33" i="3"/>
  <c r="AC33" i="3"/>
  <c r="Y34" i="3"/>
  <c r="Z34" i="3"/>
  <c r="AA34" i="3"/>
  <c r="AB34" i="3"/>
  <c r="AC34" i="3"/>
  <c r="Y35" i="3"/>
  <c r="Z35" i="3"/>
  <c r="AA35" i="3"/>
  <c r="AB35" i="3"/>
  <c r="AC35" i="3"/>
  <c r="Y36" i="3"/>
  <c r="Z36" i="3"/>
  <c r="AA36" i="3"/>
  <c r="AB36" i="3"/>
  <c r="AC36" i="3"/>
  <c r="X14" i="3"/>
  <c r="X15" i="3"/>
  <c r="X16" i="3"/>
  <c r="X17" i="3"/>
  <c r="X18" i="3"/>
  <c r="X19" i="3"/>
  <c r="X20" i="3"/>
  <c r="X21" i="3"/>
  <c r="X22" i="3"/>
  <c r="X23" i="3"/>
  <c r="X24" i="3"/>
  <c r="X25" i="3"/>
  <c r="X26" i="3"/>
  <c r="X27" i="3"/>
  <c r="X28" i="3"/>
  <c r="X29" i="3"/>
  <c r="X30" i="3"/>
  <c r="X31" i="3"/>
  <c r="X32" i="3"/>
  <c r="X33" i="3"/>
  <c r="X34" i="3"/>
  <c r="X35" i="3"/>
  <c r="X36" i="3"/>
  <c r="X37" i="3"/>
  <c r="X13" i="3"/>
  <c r="AP32" i="3"/>
  <c r="AP33" i="3"/>
  <c r="AP34" i="3"/>
  <c r="AP35" i="3"/>
  <c r="AP36" i="3"/>
  <c r="AP37" i="3"/>
  <c r="AP38" i="3"/>
  <c r="AP39" i="3"/>
  <c r="AP40" i="3"/>
  <c r="AP41" i="3"/>
  <c r="AP42" i="3"/>
  <c r="AP43" i="3"/>
  <c r="AP44" i="3"/>
  <c r="AP45" i="3"/>
  <c r="AP46" i="3"/>
  <c r="AP47" i="3"/>
  <c r="AP48" i="3"/>
  <c r="AP49" i="3"/>
  <c r="AP50" i="3"/>
  <c r="AM42" i="3"/>
  <c r="AM43" i="3"/>
  <c r="AM44" i="3"/>
  <c r="AM45" i="3"/>
  <c r="AM46" i="3"/>
  <c r="AM47" i="3"/>
  <c r="AM48" i="3"/>
  <c r="AM49" i="3"/>
  <c r="AM50"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12"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J13" i="3"/>
  <c r="AI13" i="3"/>
  <c r="AF37" i="3"/>
  <c r="AF38" i="3"/>
  <c r="AF39" i="3"/>
  <c r="AF40" i="3"/>
  <c r="AF41" i="3"/>
  <c r="AF42" i="3"/>
  <c r="AF43" i="3"/>
  <c r="AF44" i="3"/>
  <c r="AF45" i="3"/>
  <c r="AF46" i="3"/>
  <c r="AF47" i="3"/>
  <c r="AF48" i="3"/>
  <c r="AF49" i="3"/>
  <c r="AF50" i="3"/>
  <c r="O42" i="3"/>
  <c r="O43" i="3"/>
  <c r="O44" i="3"/>
  <c r="O45" i="3"/>
  <c r="O46" i="3"/>
  <c r="O47" i="3"/>
  <c r="O48" i="3"/>
  <c r="O49" i="3"/>
  <c r="O50" i="3"/>
  <c r="L42" i="3"/>
  <c r="L43" i="3"/>
  <c r="L44" i="3"/>
  <c r="L45" i="3"/>
  <c r="L46" i="3"/>
  <c r="L47" i="3"/>
  <c r="L48" i="3"/>
  <c r="L49" i="3"/>
  <c r="L50" i="3"/>
  <c r="H33" i="3"/>
  <c r="H34" i="3"/>
  <c r="H35" i="3"/>
  <c r="H36" i="3"/>
  <c r="H37" i="3"/>
  <c r="H38" i="3"/>
  <c r="H39" i="3"/>
  <c r="H40" i="3"/>
  <c r="H41" i="3"/>
  <c r="H42" i="3"/>
  <c r="H43" i="3"/>
  <c r="H44" i="3"/>
  <c r="H45" i="3"/>
  <c r="H46" i="3"/>
  <c r="H47" i="3"/>
  <c r="H48" i="3"/>
  <c r="H49" i="3"/>
  <c r="H50" i="3"/>
  <c r="G32" i="3"/>
  <c r="G33" i="3"/>
  <c r="G34" i="3"/>
  <c r="G35" i="3"/>
  <c r="G36" i="3"/>
  <c r="G37" i="3"/>
  <c r="G38" i="3"/>
  <c r="G39" i="3"/>
  <c r="G40" i="3"/>
  <c r="G41" i="3"/>
  <c r="G42" i="3"/>
  <c r="G43" i="3"/>
  <c r="G44" i="3"/>
  <c r="G45" i="3"/>
  <c r="G46" i="3"/>
  <c r="G47" i="3"/>
  <c r="G48" i="3"/>
  <c r="G49" i="3"/>
  <c r="G50"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12" i="3"/>
  <c r="E25" i="3"/>
  <c r="E26" i="3"/>
  <c r="E27" i="3"/>
  <c r="E28" i="3"/>
  <c r="E29" i="3"/>
  <c r="E30" i="3"/>
  <c r="E31" i="3"/>
  <c r="E32" i="3"/>
  <c r="E33" i="3"/>
  <c r="E34" i="3"/>
  <c r="E35" i="3"/>
  <c r="E37" i="3"/>
  <c r="E38" i="3"/>
  <c r="E39" i="3"/>
  <c r="E40" i="3"/>
  <c r="E41" i="3"/>
  <c r="E42" i="3"/>
  <c r="E43" i="3"/>
  <c r="E44" i="3"/>
  <c r="E45" i="3"/>
  <c r="E46" i="3"/>
  <c r="E47" i="3"/>
  <c r="E48" i="3"/>
  <c r="E49" i="3"/>
  <c r="E50" i="3"/>
  <c r="C25" i="3"/>
  <c r="C26" i="3"/>
  <c r="C27" i="3"/>
  <c r="C28" i="3"/>
  <c r="C29" i="3"/>
  <c r="C30" i="3"/>
  <c r="C31" i="3"/>
  <c r="C32" i="3"/>
  <c r="C33" i="3"/>
  <c r="C34" i="3"/>
  <c r="C35" i="3"/>
  <c r="C36" i="3"/>
  <c r="C37" i="3"/>
  <c r="C38" i="3"/>
  <c r="C39" i="3"/>
  <c r="C40" i="3"/>
  <c r="C41" i="3"/>
  <c r="C42" i="3"/>
  <c r="C43" i="3"/>
  <c r="C44" i="3"/>
  <c r="C45" i="3"/>
  <c r="C46" i="3"/>
  <c r="C47" i="3"/>
  <c r="C48" i="3"/>
  <c r="C49" i="3"/>
  <c r="C50" i="3"/>
  <c r="C24"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21" i="3"/>
  <c r="U52" i="3" l="1"/>
  <c r="F52" i="3"/>
  <c r="E130" i="4" l="1"/>
  <c r="L5" i="5" l="1"/>
  <c r="H6" i="5" l="1"/>
  <c r="I6" i="5"/>
  <c r="H7" i="5"/>
  <c r="I7" i="5"/>
  <c r="H8" i="5"/>
  <c r="I8" i="5"/>
  <c r="H9" i="5"/>
  <c r="I9" i="5"/>
  <c r="H10" i="5"/>
  <c r="I10" i="5"/>
  <c r="H11" i="5"/>
  <c r="I11" i="5"/>
  <c r="H12" i="5"/>
  <c r="I12" i="5"/>
  <c r="I13" i="5"/>
  <c r="H14" i="5"/>
  <c r="H15" i="5"/>
  <c r="I15" i="5"/>
  <c r="H16" i="5"/>
  <c r="I16" i="5"/>
  <c r="I5" i="5"/>
  <c r="N5" i="5" s="1"/>
  <c r="H5" i="5"/>
  <c r="M5" i="5" s="1"/>
  <c r="G13" i="5"/>
  <c r="G14" i="5"/>
  <c r="G15" i="5"/>
  <c r="L15" i="5" s="1"/>
  <c r="G16" i="5"/>
  <c r="L13" i="5" l="1"/>
  <c r="L9" i="5"/>
  <c r="N15" i="5"/>
  <c r="N13" i="5"/>
  <c r="N11" i="5"/>
  <c r="N9" i="5"/>
  <c r="N7" i="5"/>
  <c r="L16" i="5"/>
  <c r="L12" i="5"/>
  <c r="L8" i="5"/>
  <c r="M15" i="5"/>
  <c r="M13" i="5"/>
  <c r="M11" i="5"/>
  <c r="M9" i="5"/>
  <c r="M7" i="5"/>
  <c r="L11" i="5"/>
  <c r="L7" i="5"/>
  <c r="N16" i="5"/>
  <c r="N14" i="5"/>
  <c r="N12" i="5"/>
  <c r="N10" i="5"/>
  <c r="N8" i="5"/>
  <c r="N6" i="5"/>
  <c r="L14" i="5"/>
  <c r="L10" i="5"/>
  <c r="L6" i="5"/>
  <c r="M16" i="5"/>
  <c r="M14" i="5"/>
  <c r="M12" i="5"/>
  <c r="M10" i="5"/>
  <c r="M8" i="5"/>
  <c r="M6" i="5"/>
  <c r="C38" i="4"/>
  <c r="O143" i="4" l="1"/>
  <c r="AP12" i="3" s="1"/>
  <c r="C11" i="4"/>
  <c r="O144" i="4" l="1"/>
  <c r="AP13" i="3" s="1"/>
  <c r="O145" i="4" l="1"/>
  <c r="AP14" i="3" s="1"/>
  <c r="O146" i="4" l="1"/>
  <c r="AP15" i="3" s="1"/>
  <c r="B76" i="4"/>
  <c r="B66" i="4"/>
  <c r="B67" i="4"/>
  <c r="G67" i="4" s="1"/>
  <c r="B68" i="4"/>
  <c r="G68" i="4" s="1"/>
  <c r="Q12" i="3" s="1"/>
  <c r="B69" i="4"/>
  <c r="G69" i="4" s="1"/>
  <c r="B70" i="4"/>
  <c r="G70" i="4" s="1"/>
  <c r="B71" i="4"/>
  <c r="G71" i="4" s="1"/>
  <c r="B72" i="4"/>
  <c r="G72" i="4" s="1"/>
  <c r="B73" i="4"/>
  <c r="G73" i="4" s="1"/>
  <c r="B74" i="4"/>
  <c r="G74" i="4" s="1"/>
  <c r="B75" i="4"/>
  <c r="G75" i="4" s="1"/>
  <c r="H66" i="4" l="1"/>
  <c r="G76" i="4"/>
  <c r="O147" i="4"/>
  <c r="AP16" i="3" s="1"/>
  <c r="O148" i="4" l="1"/>
  <c r="AP17" i="3" s="1"/>
  <c r="O149" i="4" l="1"/>
  <c r="AP18" i="3" s="1"/>
  <c r="O150" i="4" l="1"/>
  <c r="AP19" i="3" s="1"/>
  <c r="O151" i="4" l="1"/>
  <c r="AP20" i="3" s="1"/>
  <c r="H67" i="4"/>
  <c r="O152" i="4" l="1"/>
  <c r="AP21" i="3" s="1"/>
  <c r="H12" i="3" l="1"/>
  <c r="I12" i="3"/>
  <c r="AF15" i="3"/>
  <c r="AF19" i="3"/>
  <c r="AF23" i="3"/>
  <c r="AF27" i="3"/>
  <c r="AF31" i="3"/>
  <c r="AF35" i="3"/>
  <c r="AF12" i="3"/>
  <c r="AF16" i="3"/>
  <c r="AF20" i="3"/>
  <c r="AF24" i="3"/>
  <c r="AF28" i="3"/>
  <c r="AF32" i="3"/>
  <c r="AF36" i="3"/>
  <c r="AF13" i="3"/>
  <c r="AF17" i="3"/>
  <c r="AF21" i="3"/>
  <c r="AF25" i="3"/>
  <c r="AF29" i="3"/>
  <c r="AF33" i="3"/>
  <c r="AF14" i="3"/>
  <c r="AF18" i="3"/>
  <c r="AF22" i="3"/>
  <c r="AF26" i="3"/>
  <c r="AF30" i="3"/>
  <c r="AF34" i="3"/>
  <c r="O153" i="4"/>
  <c r="AP22" i="3" s="1"/>
  <c r="H68" i="4"/>
  <c r="R12" i="3" s="1"/>
  <c r="Q13" i="3"/>
  <c r="C18" i="4"/>
  <c r="C39" i="4"/>
  <c r="E62" i="4"/>
  <c r="D12" i="3" l="1"/>
  <c r="E12" i="3"/>
  <c r="H13" i="3"/>
  <c r="I13" i="3"/>
  <c r="AF52" i="3"/>
  <c r="B12" i="3"/>
  <c r="C12" i="3"/>
  <c r="O154" i="4"/>
  <c r="AP23" i="3" s="1"/>
  <c r="B141" i="4"/>
  <c r="C141" i="4" s="1"/>
  <c r="H69" i="4"/>
  <c r="R13" i="3" s="1"/>
  <c r="D13" i="3" s="1"/>
  <c r="Q14" i="3"/>
  <c r="B39" i="4"/>
  <c r="C40" i="4"/>
  <c r="H14" i="3" l="1"/>
  <c r="I14" i="3"/>
  <c r="C13" i="3"/>
  <c r="E13" i="3"/>
  <c r="B13" i="3"/>
  <c r="B40" i="4"/>
  <c r="O155" i="4"/>
  <c r="AP24" i="3" s="1"/>
  <c r="H70" i="4"/>
  <c r="R14" i="3" s="1"/>
  <c r="D14" i="3" s="1"/>
  <c r="Q15" i="3"/>
  <c r="C41" i="4"/>
  <c r="B41" i="4" s="1"/>
  <c r="I15" i="3" l="1"/>
  <c r="H15" i="3"/>
  <c r="E14" i="3"/>
  <c r="B14" i="3"/>
  <c r="C14" i="3"/>
  <c r="O156" i="4"/>
  <c r="AP25" i="3" s="1"/>
  <c r="H71" i="4"/>
  <c r="R15" i="3" s="1"/>
  <c r="D15" i="3" s="1"/>
  <c r="Q16" i="3"/>
  <c r="C42" i="4"/>
  <c r="B42" i="4" s="1"/>
  <c r="H16" i="3" l="1"/>
  <c r="I16" i="3"/>
  <c r="E15" i="3"/>
  <c r="B15" i="3"/>
  <c r="C15" i="3"/>
  <c r="O157" i="4"/>
  <c r="AP26" i="3" s="1"/>
  <c r="H72" i="4"/>
  <c r="R16" i="3" s="1"/>
  <c r="D16" i="3" s="1"/>
  <c r="Q17" i="3"/>
  <c r="C43" i="4"/>
  <c r="B43" i="4" s="1"/>
  <c r="I17" i="3" l="1"/>
  <c r="C16" i="3"/>
  <c r="E16" i="3"/>
  <c r="B16" i="3"/>
  <c r="H17" i="3"/>
  <c r="O158" i="4"/>
  <c r="AP27" i="3" s="1"/>
  <c r="H73" i="4"/>
  <c r="R17" i="3" s="1"/>
  <c r="D17" i="3" s="1"/>
  <c r="Q18" i="3"/>
  <c r="C44" i="4"/>
  <c r="C45" i="4" s="1"/>
  <c r="C46" i="4" s="1"/>
  <c r="C47" i="4" s="1"/>
  <c r="C48" i="4" s="1"/>
  <c r="C49" i="4" s="1"/>
  <c r="C50" i="4" s="1"/>
  <c r="C51" i="4" s="1"/>
  <c r="C52" i="4" s="1"/>
  <c r="C53" i="4" s="1"/>
  <c r="C54" i="4" s="1"/>
  <c r="C55" i="4" s="1"/>
  <c r="C56" i="4" s="1"/>
  <c r="C57" i="4" s="1"/>
  <c r="H18" i="3" l="1"/>
  <c r="I18" i="3"/>
  <c r="C17" i="3"/>
  <c r="E17" i="3"/>
  <c r="B17" i="3"/>
  <c r="O159" i="4"/>
  <c r="AP28" i="3" s="1"/>
  <c r="H74" i="4"/>
  <c r="R18" i="3" s="1"/>
  <c r="D18" i="3" s="1"/>
  <c r="Q19" i="3"/>
  <c r="B44" i="4"/>
  <c r="B45" i="4" s="1"/>
  <c r="B46" i="4" s="1"/>
  <c r="B47" i="4" s="1"/>
  <c r="B48" i="4" s="1"/>
  <c r="B49" i="4" s="1"/>
  <c r="B50" i="4" s="1"/>
  <c r="B51" i="4" s="1"/>
  <c r="B52" i="4" s="1"/>
  <c r="B53" i="4" s="1"/>
  <c r="H19" i="3" l="1"/>
  <c r="I19" i="3"/>
  <c r="E18" i="3"/>
  <c r="B18" i="3"/>
  <c r="C18" i="3"/>
  <c r="O160" i="4"/>
  <c r="AP29" i="3" s="1"/>
  <c r="H75" i="4"/>
  <c r="R19" i="3" s="1"/>
  <c r="D19" i="3" s="1"/>
  <c r="Q20" i="3"/>
  <c r="H20" i="3" l="1"/>
  <c r="I20" i="3"/>
  <c r="E19" i="3"/>
  <c r="B19" i="3"/>
  <c r="C19" i="3"/>
  <c r="O161" i="4"/>
  <c r="AP30" i="3" s="1"/>
  <c r="H76" i="4"/>
  <c r="R20" i="3" s="1"/>
  <c r="D20" i="3" s="1"/>
  <c r="B20" i="3" l="1"/>
  <c r="C20" i="3"/>
  <c r="E20" i="3"/>
  <c r="O162" i="4"/>
  <c r="C4" i="3"/>
  <c r="AS11" i="3" l="1"/>
  <c r="B11" i="3"/>
  <c r="O163" i="4"/>
  <c r="O164" i="4" s="1"/>
  <c r="O165" i="4" s="1"/>
  <c r="O166" i="4" s="1"/>
  <c r="O167" i="4" s="1"/>
  <c r="O168" i="4" s="1"/>
  <c r="O169" i="4" s="1"/>
  <c r="O170" i="4" s="1"/>
  <c r="O171" i="4" s="1"/>
  <c r="O172" i="4" s="1"/>
  <c r="O173" i="4" s="1"/>
  <c r="O174" i="4" s="1"/>
  <c r="O175" i="4" s="1"/>
  <c r="O176" i="4" s="1"/>
  <c r="O177" i="4" s="1"/>
  <c r="O178" i="4" s="1"/>
  <c r="O179" i="4" s="1"/>
  <c r="O180" i="4" s="1"/>
  <c r="AP31" i="3"/>
  <c r="AP52" i="3" s="1"/>
  <c r="AF11" i="3"/>
  <c r="U11" i="3"/>
  <c r="F11" i="3"/>
  <c r="B52" i="3"/>
  <c r="AP11" i="3" l="1"/>
  <c r="E76" i="3" l="1"/>
  <c r="A88" i="3" s="1"/>
  <c r="E77" i="3"/>
  <c r="A92" i="3" s="1"/>
  <c r="E78" i="3"/>
  <c r="E79" i="3"/>
  <c r="A94" i="3" s="1"/>
  <c r="E80" i="3"/>
  <c r="A89" i="3" s="1"/>
  <c r="O16" i="3" l="1"/>
  <c r="O19" i="3"/>
  <c r="O15" i="3"/>
  <c r="O18" i="3"/>
  <c r="O14" i="3"/>
  <c r="O17" i="3"/>
  <c r="O13" i="3"/>
  <c r="C31" i="4" l="1"/>
  <c r="C34" i="4"/>
  <c r="C26" i="4"/>
  <c r="C25" i="4"/>
  <c r="C36" i="4"/>
  <c r="C28" i="4"/>
  <c r="C37" i="4"/>
  <c r="C21" i="4"/>
  <c r="C27" i="4"/>
  <c r="C19" i="4"/>
  <c r="C35" i="4"/>
  <c r="C33" i="4"/>
  <c r="C22" i="4"/>
  <c r="C24" i="4"/>
  <c r="D141" i="4"/>
  <c r="C32" i="4"/>
  <c r="C30" i="4"/>
  <c r="C23" i="4"/>
  <c r="C29" i="4"/>
  <c r="H200" i="4" l="1"/>
  <c r="H201" i="4" s="1"/>
  <c r="H202" i="4" s="1"/>
  <c r="H203" i="4" s="1"/>
  <c r="H204" i="4" s="1"/>
  <c r="H205" i="4" s="1"/>
  <c r="H206" i="4" s="1"/>
  <c r="H207" i="4" s="1"/>
  <c r="H208" i="4" s="1"/>
  <c r="H209" i="4" s="1"/>
  <c r="H210" i="4" s="1"/>
  <c r="H211" i="4" s="1"/>
  <c r="H212" i="4" s="1"/>
  <c r="H213" i="4" s="1"/>
  <c r="H214" i="4" s="1"/>
  <c r="H215" i="4" s="1"/>
  <c r="H216" i="4" s="1"/>
  <c r="H217" i="4" s="1"/>
  <c r="H218" i="4" s="1"/>
  <c r="H219" i="4" s="1"/>
  <c r="H220" i="4" s="1"/>
  <c r="H221" i="4" s="1"/>
  <c r="H222" i="4" s="1"/>
  <c r="H223" i="4" s="1"/>
  <c r="H224" i="4" s="1"/>
  <c r="H225" i="4" s="1"/>
  <c r="H226" i="4" s="1"/>
  <c r="H227" i="4" s="1"/>
  <c r="F199" i="4"/>
  <c r="G199" i="4"/>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B77" i="4"/>
  <c r="AA12" i="3"/>
  <c r="AB12" i="3"/>
  <c r="D77" i="4"/>
  <c r="D78" i="4" s="1"/>
  <c r="D79" i="4" s="1"/>
  <c r="D80" i="4" s="1"/>
  <c r="D81" i="4" s="1"/>
  <c r="D82" i="4" s="1"/>
  <c r="D83" i="4" s="1"/>
  <c r="D84" i="4" s="1"/>
  <c r="D85" i="4" s="1"/>
  <c r="D86" i="4" s="1"/>
  <c r="D87" i="4" s="1"/>
  <c r="D88" i="4" s="1"/>
  <c r="D89" i="4" s="1"/>
  <c r="D90" i="4" s="1"/>
  <c r="D91" i="4" s="1"/>
  <c r="D92" i="4" s="1"/>
  <c r="D93" i="4" s="1"/>
  <c r="D94" i="4" s="1"/>
  <c r="D95" i="4" s="1"/>
  <c r="D96" i="4" s="1"/>
  <c r="D97" i="4" s="1"/>
  <c r="D98" i="4" s="1"/>
  <c r="D99" i="4" s="1"/>
  <c r="D100" i="4" s="1"/>
  <c r="D101" i="4" s="1"/>
  <c r="D102" i="4" s="1"/>
  <c r="D103" i="4" s="1"/>
  <c r="D104" i="4" s="1"/>
  <c r="D105" i="4" s="1"/>
  <c r="C77" i="4"/>
  <c r="C78" i="4" s="1"/>
  <c r="C79" i="4" s="1"/>
  <c r="C80" i="4" s="1"/>
  <c r="C81" i="4" s="1"/>
  <c r="C82" i="4" s="1"/>
  <c r="C83" i="4" s="1"/>
  <c r="C84" i="4" s="1"/>
  <c r="C85" i="4" s="1"/>
  <c r="C86" i="4" s="1"/>
  <c r="C87" i="4" s="1"/>
  <c r="C88" i="4" s="1"/>
  <c r="C89" i="4" s="1"/>
  <c r="C90" i="4" s="1"/>
  <c r="C91" i="4" s="1"/>
  <c r="C92" i="4" s="1"/>
  <c r="C93" i="4" s="1"/>
  <c r="C94" i="4" s="1"/>
  <c r="C95" i="4" s="1"/>
  <c r="C96" i="4" s="1"/>
  <c r="C97" i="4" s="1"/>
  <c r="C98" i="4" s="1"/>
  <c r="C99" i="4" s="1"/>
  <c r="C100" i="4" s="1"/>
  <c r="C101" i="4" s="1"/>
  <c r="C102" i="4" s="1"/>
  <c r="C103" i="4" s="1"/>
  <c r="C104" i="4" s="1"/>
  <c r="C105" i="4" s="1"/>
  <c r="AI12" i="3"/>
  <c r="G77" i="4"/>
  <c r="C5" i="3"/>
  <c r="B190" i="4"/>
  <c r="B54" i="4"/>
  <c r="B55" i="4" s="1"/>
  <c r="B56" i="4" s="1"/>
  <c r="B57" i="4" s="1"/>
  <c r="J141" i="4"/>
  <c r="D142" i="4"/>
  <c r="F200" i="4" l="1"/>
  <c r="L199" i="4"/>
  <c r="AS58" i="3"/>
  <c r="N71" i="3" s="1"/>
  <c r="M96" i="3" s="1"/>
  <c r="Q21" i="3"/>
  <c r="O20" i="3"/>
  <c r="Y12" i="3"/>
  <c r="X52" i="3"/>
  <c r="Z52" i="3"/>
  <c r="Z11" i="3"/>
  <c r="AC12" i="3"/>
  <c r="AB52" i="3"/>
  <c r="AB11" i="3"/>
  <c r="AJ12" i="3"/>
  <c r="AI52" i="3"/>
  <c r="AI11" i="3"/>
  <c r="B58" i="3"/>
  <c r="F58" i="3"/>
  <c r="AF58" i="3"/>
  <c r="J65" i="3" s="1"/>
  <c r="J88" i="3" s="1"/>
  <c r="J93" i="3" s="1"/>
  <c r="U58" i="3"/>
  <c r="AP58" i="3"/>
  <c r="B78" i="4"/>
  <c r="G78" i="4" s="1"/>
  <c r="B191" i="4"/>
  <c r="N143" i="4"/>
  <c r="AM12" i="3" s="1"/>
  <c r="J142" i="4"/>
  <c r="D143" i="4"/>
  <c r="I141" i="4"/>
  <c r="B142" i="4"/>
  <c r="F201" i="4" l="1"/>
  <c r="L200" i="4"/>
  <c r="M69" i="3"/>
  <c r="N89" i="3"/>
  <c r="F65" i="3"/>
  <c r="F88" i="3" s="1"/>
  <c r="N72" i="3"/>
  <c r="M91" i="3" s="1"/>
  <c r="J92" i="3"/>
  <c r="J94" i="3"/>
  <c r="Q22" i="3"/>
  <c r="H22" i="3" s="1"/>
  <c r="M90" i="3"/>
  <c r="H21" i="3"/>
  <c r="I21" i="3"/>
  <c r="AC52" i="3"/>
  <c r="AC11" i="3"/>
  <c r="AC58" i="3" s="1"/>
  <c r="I65" i="3" s="1"/>
  <c r="I88" i="3" s="1"/>
  <c r="AJ52" i="3"/>
  <c r="AJ11" i="3"/>
  <c r="AJ58" i="3" s="1"/>
  <c r="K65" i="3" s="1"/>
  <c r="K88" i="3" s="1"/>
  <c r="K93" i="3" s="1"/>
  <c r="Y52" i="3"/>
  <c r="Y11" i="3"/>
  <c r="Y58" i="3" s="1"/>
  <c r="I67" i="3" s="1"/>
  <c r="I93" i="3" s="1"/>
  <c r="L13" i="3"/>
  <c r="AA52" i="3"/>
  <c r="AA11" i="3"/>
  <c r="AA58" i="3" s="1"/>
  <c r="O21" i="3"/>
  <c r="N144" i="4"/>
  <c r="AM13" i="3" s="1"/>
  <c r="B192" i="4"/>
  <c r="H77" i="4"/>
  <c r="R21" i="3" s="1"/>
  <c r="D21" i="3" s="1"/>
  <c r="B79" i="4"/>
  <c r="G79" i="4" s="1"/>
  <c r="C142" i="4"/>
  <c r="I142" i="4" s="1"/>
  <c r="B143" i="4"/>
  <c r="J143" i="4"/>
  <c r="D144" i="4"/>
  <c r="F202" i="4" l="1"/>
  <c r="L201" i="4"/>
  <c r="I68" i="3"/>
  <c r="I94" i="3" s="1"/>
  <c r="Q23" i="3"/>
  <c r="H23" i="3" s="1"/>
  <c r="I11" i="3"/>
  <c r="I58" i="3" s="1"/>
  <c r="I52" i="3"/>
  <c r="K94" i="3"/>
  <c r="L14" i="3"/>
  <c r="O22" i="3"/>
  <c r="K92" i="3"/>
  <c r="C21" i="3"/>
  <c r="E21" i="3"/>
  <c r="H78" i="4"/>
  <c r="R22" i="3" s="1"/>
  <c r="D22" i="3" s="1"/>
  <c r="B193" i="4"/>
  <c r="B80" i="4"/>
  <c r="G80" i="4" s="1"/>
  <c r="N145" i="4"/>
  <c r="AM14" i="3" s="1"/>
  <c r="J144" i="4"/>
  <c r="D145" i="4"/>
  <c r="C143" i="4"/>
  <c r="I143" i="4" s="1"/>
  <c r="G12" i="3" s="1"/>
  <c r="B144" i="4"/>
  <c r="F203" i="4" l="1"/>
  <c r="L202" i="4"/>
  <c r="Q24" i="3"/>
  <c r="H24" i="3" s="1"/>
  <c r="L15" i="3"/>
  <c r="O23" i="3"/>
  <c r="E22" i="3"/>
  <c r="C22" i="3"/>
  <c r="N146" i="4"/>
  <c r="AM15" i="3" s="1"/>
  <c r="H79" i="4"/>
  <c r="R23" i="3" s="1"/>
  <c r="D23" i="3" s="1"/>
  <c r="D52" i="3" s="1"/>
  <c r="B194" i="4"/>
  <c r="B81" i="4"/>
  <c r="G81" i="4" s="1"/>
  <c r="C144" i="4"/>
  <c r="I144" i="4" s="1"/>
  <c r="G13" i="3" s="1"/>
  <c r="B145" i="4"/>
  <c r="J145" i="4"/>
  <c r="D146" i="4"/>
  <c r="F204" i="4" l="1"/>
  <c r="L203" i="4"/>
  <c r="D11" i="3"/>
  <c r="D58" i="3" s="1"/>
  <c r="E23" i="3"/>
  <c r="Q25" i="3"/>
  <c r="H25" i="3" s="1"/>
  <c r="O24" i="3"/>
  <c r="L16" i="3"/>
  <c r="C23" i="3"/>
  <c r="H80" i="4"/>
  <c r="R24" i="3" s="1"/>
  <c r="B82" i="4"/>
  <c r="G82" i="4" s="1"/>
  <c r="N147" i="4"/>
  <c r="AM16" i="3" s="1"/>
  <c r="B195" i="4"/>
  <c r="B146" i="4"/>
  <c r="C145" i="4"/>
  <c r="I145" i="4" s="1"/>
  <c r="G14" i="3" s="1"/>
  <c r="J146" i="4"/>
  <c r="D147" i="4"/>
  <c r="F205" i="4" l="1"/>
  <c r="L204" i="4"/>
  <c r="Q26" i="3"/>
  <c r="H26" i="3" s="1"/>
  <c r="O25" i="3"/>
  <c r="L17" i="3"/>
  <c r="C11" i="3"/>
  <c r="C58" i="3" s="1"/>
  <c r="C52" i="3"/>
  <c r="E52" i="3"/>
  <c r="E11" i="3"/>
  <c r="E58" i="3" s="1"/>
  <c r="B83" i="4"/>
  <c r="G83" i="4" s="1"/>
  <c r="N148" i="4"/>
  <c r="AM17" i="3" s="1"/>
  <c r="B196" i="4"/>
  <c r="H81" i="4"/>
  <c r="R25" i="3" s="1"/>
  <c r="J147" i="4"/>
  <c r="D148" i="4"/>
  <c r="B147" i="4"/>
  <c r="C146" i="4"/>
  <c r="I146" i="4" s="1"/>
  <c r="G15" i="3" s="1"/>
  <c r="F206" i="4" l="1"/>
  <c r="L205" i="4"/>
  <c r="Q27" i="3"/>
  <c r="H27" i="3" s="1"/>
  <c r="L18" i="3"/>
  <c r="O26" i="3"/>
  <c r="N149" i="4"/>
  <c r="AM18" i="3" s="1"/>
  <c r="H82" i="4"/>
  <c r="R26" i="3" s="1"/>
  <c r="B197" i="4"/>
  <c r="B84" i="4"/>
  <c r="G84" i="4" s="1"/>
  <c r="C147" i="4"/>
  <c r="I147" i="4" s="1"/>
  <c r="G16" i="3" s="1"/>
  <c r="B148" i="4"/>
  <c r="J148" i="4"/>
  <c r="D149" i="4"/>
  <c r="F207" i="4" l="1"/>
  <c r="L206" i="4"/>
  <c r="Q28" i="3"/>
  <c r="H28" i="3" s="1"/>
  <c r="O27" i="3"/>
  <c r="L19" i="3"/>
  <c r="H83" i="4"/>
  <c r="R27" i="3" s="1"/>
  <c r="B198" i="4"/>
  <c r="B85" i="4"/>
  <c r="G85" i="4" s="1"/>
  <c r="N150" i="4"/>
  <c r="AM19" i="3" s="1"/>
  <c r="J149" i="4"/>
  <c r="D150" i="4"/>
  <c r="B149" i="4"/>
  <c r="C148" i="4"/>
  <c r="I148" i="4" s="1"/>
  <c r="G17" i="3" s="1"/>
  <c r="F208" i="4" l="1"/>
  <c r="L207" i="4"/>
  <c r="Q29" i="3"/>
  <c r="H29" i="3" s="1"/>
  <c r="O28" i="3"/>
  <c r="L20" i="3"/>
  <c r="B199" i="4"/>
  <c r="H84" i="4"/>
  <c r="R28" i="3" s="1"/>
  <c r="N151" i="4"/>
  <c r="AM20" i="3" s="1"/>
  <c r="B86" i="4"/>
  <c r="G86" i="4" s="1"/>
  <c r="C149" i="4"/>
  <c r="I149" i="4" s="1"/>
  <c r="G18" i="3" s="1"/>
  <c r="B150" i="4"/>
  <c r="D151" i="4"/>
  <c r="J150" i="4"/>
  <c r="F209" i="4" l="1"/>
  <c r="L208" i="4"/>
  <c r="Q30" i="3"/>
  <c r="H30" i="3" s="1"/>
  <c r="O29" i="3"/>
  <c r="L21" i="3"/>
  <c r="B87" i="4"/>
  <c r="G87" i="4" s="1"/>
  <c r="B200" i="4"/>
  <c r="N152" i="4"/>
  <c r="AM21" i="3" s="1"/>
  <c r="H85" i="4"/>
  <c r="R29" i="3" s="1"/>
  <c r="J151" i="4"/>
  <c r="D152" i="4"/>
  <c r="C150" i="4"/>
  <c r="I150" i="4" s="1"/>
  <c r="G19" i="3" s="1"/>
  <c r="B151" i="4"/>
  <c r="F210" i="4" l="1"/>
  <c r="L209" i="4"/>
  <c r="Q31" i="3"/>
  <c r="H31" i="3" s="1"/>
  <c r="O30" i="3"/>
  <c r="L22" i="3"/>
  <c r="N153" i="4"/>
  <c r="AM22" i="3" s="1"/>
  <c r="H86" i="4"/>
  <c r="R30" i="3" s="1"/>
  <c r="B201" i="4"/>
  <c r="B88" i="4"/>
  <c r="G88" i="4" s="1"/>
  <c r="J152" i="4"/>
  <c r="D153" i="4"/>
  <c r="C151" i="4"/>
  <c r="I151" i="4" s="1"/>
  <c r="G20" i="3" s="1"/>
  <c r="B152" i="4"/>
  <c r="F211" i="4" l="1"/>
  <c r="L210" i="4"/>
  <c r="O32" i="3" s="1"/>
  <c r="Q32" i="3"/>
  <c r="O31" i="3"/>
  <c r="L23" i="3"/>
  <c r="H52" i="3"/>
  <c r="H11" i="3"/>
  <c r="H87" i="4"/>
  <c r="R31" i="3" s="1"/>
  <c r="B89" i="4"/>
  <c r="G89" i="4" s="1"/>
  <c r="B202" i="4"/>
  <c r="N154" i="4"/>
  <c r="AM23" i="3" s="1"/>
  <c r="C152" i="4"/>
  <c r="I152" i="4" s="1"/>
  <c r="G21" i="3" s="1"/>
  <c r="B153" i="4"/>
  <c r="D154" i="4"/>
  <c r="J153" i="4"/>
  <c r="F212" i="4" l="1"/>
  <c r="L211" i="4"/>
  <c r="O33" i="3" s="1"/>
  <c r="H58" i="3"/>
  <c r="Q33" i="3"/>
  <c r="L24" i="3"/>
  <c r="N155" i="4"/>
  <c r="AM24" i="3" s="1"/>
  <c r="B203" i="4"/>
  <c r="H88" i="4"/>
  <c r="R32" i="3" s="1"/>
  <c r="B90" i="4"/>
  <c r="G90" i="4" s="1"/>
  <c r="J154" i="4"/>
  <c r="D155" i="4"/>
  <c r="C153" i="4"/>
  <c r="I153" i="4" s="1"/>
  <c r="G22" i="3" s="1"/>
  <c r="B154" i="4"/>
  <c r="F213" i="4" l="1"/>
  <c r="L212" i="4"/>
  <c r="O34" i="3" s="1"/>
  <c r="Q34" i="3"/>
  <c r="L25" i="3"/>
  <c r="B204" i="4"/>
  <c r="H89" i="4"/>
  <c r="R33" i="3" s="1"/>
  <c r="N156" i="4"/>
  <c r="AM25" i="3" s="1"/>
  <c r="B91" i="4"/>
  <c r="G91" i="4" s="1"/>
  <c r="C154" i="4"/>
  <c r="I154" i="4" s="1"/>
  <c r="G23" i="3" s="1"/>
  <c r="B155" i="4"/>
  <c r="D156" i="4"/>
  <c r="J155" i="4"/>
  <c r="F214" i="4" l="1"/>
  <c r="L213" i="4"/>
  <c r="O35" i="3" s="1"/>
  <c r="Q35" i="3"/>
  <c r="L26" i="3"/>
  <c r="N157" i="4"/>
  <c r="AM26" i="3" s="1"/>
  <c r="H90" i="4"/>
  <c r="R34" i="3" s="1"/>
  <c r="B92" i="4"/>
  <c r="G92" i="4" s="1"/>
  <c r="B205" i="4"/>
  <c r="J156" i="4"/>
  <c r="D157" i="4"/>
  <c r="C155" i="4"/>
  <c r="I155" i="4" s="1"/>
  <c r="G24" i="3" s="1"/>
  <c r="B156" i="4"/>
  <c r="F215" i="4" l="1"/>
  <c r="L214" i="4"/>
  <c r="O36" i="3" s="1"/>
  <c r="Q36" i="3"/>
  <c r="L27" i="3"/>
  <c r="H91" i="4"/>
  <c r="R35" i="3" s="1"/>
  <c r="B93" i="4"/>
  <c r="G93" i="4" s="1"/>
  <c r="N158" i="4"/>
  <c r="AM27" i="3" s="1"/>
  <c r="B206" i="4"/>
  <c r="B157" i="4"/>
  <c r="C156" i="4"/>
  <c r="I156" i="4" s="1"/>
  <c r="G25" i="3" s="1"/>
  <c r="D158" i="4"/>
  <c r="J157" i="4"/>
  <c r="F216" i="4" l="1"/>
  <c r="L215" i="4"/>
  <c r="O37" i="3" s="1"/>
  <c r="Q37" i="3"/>
  <c r="L28" i="3"/>
  <c r="H92" i="4"/>
  <c r="R36" i="3" s="1"/>
  <c r="B94" i="4"/>
  <c r="G94" i="4" s="1"/>
  <c r="B207" i="4"/>
  <c r="N159" i="4"/>
  <c r="AM28" i="3" s="1"/>
  <c r="C157" i="4"/>
  <c r="I157" i="4" s="1"/>
  <c r="G26" i="3" s="1"/>
  <c r="B158" i="4"/>
  <c r="J158" i="4"/>
  <c r="D159" i="4"/>
  <c r="F217" i="4" l="1"/>
  <c r="L216" i="4"/>
  <c r="O38" i="3" s="1"/>
  <c r="Q38" i="3"/>
  <c r="L29" i="3"/>
  <c r="B208" i="4"/>
  <c r="N160" i="4"/>
  <c r="AM29" i="3" s="1"/>
  <c r="H93" i="4"/>
  <c r="R37" i="3" s="1"/>
  <c r="B95" i="4"/>
  <c r="G95" i="4" s="1"/>
  <c r="J159" i="4"/>
  <c r="D160" i="4"/>
  <c r="C158" i="4"/>
  <c r="I158" i="4" s="1"/>
  <c r="G27" i="3" s="1"/>
  <c r="B159" i="4"/>
  <c r="F218" i="4" l="1"/>
  <c r="L217" i="4"/>
  <c r="O39" i="3" s="1"/>
  <c r="Q39" i="3"/>
  <c r="L30" i="3"/>
  <c r="H94" i="4"/>
  <c r="R38" i="3" s="1"/>
  <c r="N161" i="4"/>
  <c r="AM30" i="3" s="1"/>
  <c r="B209" i="4"/>
  <c r="B96" i="4"/>
  <c r="G96" i="4" s="1"/>
  <c r="C159" i="4"/>
  <c r="I159" i="4" s="1"/>
  <c r="G28" i="3" s="1"/>
  <c r="B160" i="4"/>
  <c r="J160" i="4"/>
  <c r="D161" i="4"/>
  <c r="F219" i="4" l="1"/>
  <c r="L218" i="4"/>
  <c r="O40" i="3" s="1"/>
  <c r="Q40" i="3"/>
  <c r="L31" i="3"/>
  <c r="N162" i="4"/>
  <c r="AM31" i="3" s="1"/>
  <c r="B210" i="4"/>
  <c r="L32" i="3" s="1"/>
  <c r="H95" i="4"/>
  <c r="R39" i="3" s="1"/>
  <c r="B97" i="4"/>
  <c r="G97" i="4" s="1"/>
  <c r="D162" i="4"/>
  <c r="J161" i="4"/>
  <c r="C160" i="4"/>
  <c r="I160" i="4" s="1"/>
  <c r="G29" i="3" s="1"/>
  <c r="B161" i="4"/>
  <c r="F220" i="4" l="1"/>
  <c r="L219" i="4"/>
  <c r="O41" i="3" s="1"/>
  <c r="Q41" i="3"/>
  <c r="N163" i="4"/>
  <c r="AM32" i="3" s="1"/>
  <c r="H96" i="4"/>
  <c r="R40" i="3" s="1"/>
  <c r="B211" i="4"/>
  <c r="L33" i="3" s="1"/>
  <c r="B98" i="4"/>
  <c r="G98" i="4" s="1"/>
  <c r="B162" i="4"/>
  <c r="C161" i="4"/>
  <c r="I161" i="4" s="1"/>
  <c r="G30" i="3" s="1"/>
  <c r="J162" i="4"/>
  <c r="D163" i="4"/>
  <c r="F221" i="4" l="1"/>
  <c r="L220" i="4"/>
  <c r="Q42" i="3"/>
  <c r="O52" i="3"/>
  <c r="O11" i="3"/>
  <c r="O58" i="3" s="1"/>
  <c r="B212" i="4"/>
  <c r="L34" i="3" s="1"/>
  <c r="N164" i="4"/>
  <c r="AM33" i="3" s="1"/>
  <c r="H97" i="4"/>
  <c r="R41" i="3" s="1"/>
  <c r="B99" i="4"/>
  <c r="G99" i="4" s="1"/>
  <c r="J163" i="4"/>
  <c r="D164" i="4"/>
  <c r="C162" i="4"/>
  <c r="I162" i="4" s="1"/>
  <c r="G31" i="3" s="1"/>
  <c r="B163" i="4"/>
  <c r="F222" i="4" l="1"/>
  <c r="L221" i="4"/>
  <c r="Q43" i="3"/>
  <c r="G52" i="3"/>
  <c r="G11" i="3"/>
  <c r="G58" i="3" s="1"/>
  <c r="E65" i="3" s="1" a="1"/>
  <c r="B100" i="4"/>
  <c r="G100" i="4" s="1"/>
  <c r="N165" i="4"/>
  <c r="AM34" i="3" s="1"/>
  <c r="B213" i="4"/>
  <c r="L35" i="3" s="1"/>
  <c r="H98" i="4"/>
  <c r="R42" i="3" s="1"/>
  <c r="J164" i="4"/>
  <c r="D165" i="4"/>
  <c r="C163" i="4"/>
  <c r="I163" i="4" s="1"/>
  <c r="B164" i="4"/>
  <c r="F223" i="4" l="1"/>
  <c r="L222" i="4"/>
  <c r="E65" i="3"/>
  <c r="E88" i="3" s="1"/>
  <c r="E68" i="3"/>
  <c r="E94" i="3" s="1"/>
  <c r="E72" i="3"/>
  <c r="E70" i="3"/>
  <c r="E95" i="3" s="1"/>
  <c r="E66" i="3"/>
  <c r="E92" i="3" s="1"/>
  <c r="E71" i="3"/>
  <c r="E69" i="3"/>
  <c r="E89" i="3" s="1"/>
  <c r="E67" i="3"/>
  <c r="Q44" i="3"/>
  <c r="N166" i="4"/>
  <c r="AM35" i="3" s="1"/>
  <c r="B214" i="4"/>
  <c r="L36" i="3" s="1"/>
  <c r="H99" i="4"/>
  <c r="R43" i="3" s="1"/>
  <c r="B101" i="4"/>
  <c r="G101" i="4" s="1"/>
  <c r="D166" i="4"/>
  <c r="J165" i="4"/>
  <c r="B165" i="4"/>
  <c r="C164" i="4"/>
  <c r="I164" i="4" s="1"/>
  <c r="F224" i="4" l="1"/>
  <c r="L223" i="4"/>
  <c r="O67" i="3"/>
  <c r="E93" i="3"/>
  <c r="O93" i="3" s="1"/>
  <c r="E96" i="3"/>
  <c r="E90" i="3"/>
  <c r="E91" i="3"/>
  <c r="O91" i="3" s="1"/>
  <c r="O66" i="3"/>
  <c r="O69" i="3"/>
  <c r="O65" i="3"/>
  <c r="O95" i="3"/>
  <c r="Q45" i="3"/>
  <c r="Q11" i="3" s="1"/>
  <c r="Q58" i="3" s="1"/>
  <c r="H100" i="4"/>
  <c r="R44" i="3" s="1"/>
  <c r="B102" i="4"/>
  <c r="G102" i="4" s="1"/>
  <c r="B215" i="4"/>
  <c r="L37" i="3" s="1"/>
  <c r="N167" i="4"/>
  <c r="AM36" i="3" s="1"/>
  <c r="J166" i="4"/>
  <c r="D167" i="4"/>
  <c r="H71" i="3"/>
  <c r="H96" i="3" s="1"/>
  <c r="C165" i="4"/>
  <c r="I165" i="4" s="1"/>
  <c r="B166" i="4"/>
  <c r="F225" i="4" l="1"/>
  <c r="L224" i="4"/>
  <c r="O90" i="3"/>
  <c r="O72" i="3"/>
  <c r="O70" i="3"/>
  <c r="O68" i="3"/>
  <c r="Q46" i="3"/>
  <c r="O94" i="3"/>
  <c r="O89" i="3"/>
  <c r="O92" i="3"/>
  <c r="O88" i="3"/>
  <c r="H101" i="4"/>
  <c r="R45" i="3" s="1"/>
  <c r="R11" i="3" s="1"/>
  <c r="R58" i="3" s="1"/>
  <c r="N168" i="4"/>
  <c r="AM37" i="3" s="1"/>
  <c r="B103" i="4"/>
  <c r="G103" i="4" s="1"/>
  <c r="B216" i="4"/>
  <c r="L38" i="3" s="1"/>
  <c r="C166" i="4"/>
  <c r="I166" i="4" s="1"/>
  <c r="B167" i="4"/>
  <c r="J167" i="4"/>
  <c r="D168" i="4"/>
  <c r="F226" i="4" l="1"/>
  <c r="L225" i="4"/>
  <c r="Q47" i="3"/>
  <c r="H102" i="4"/>
  <c r="R46" i="3" s="1"/>
  <c r="B104" i="4"/>
  <c r="G104" i="4" s="1"/>
  <c r="B217" i="4"/>
  <c r="L39" i="3" s="1"/>
  <c r="N169" i="4"/>
  <c r="AM38" i="3" s="1"/>
  <c r="J168" i="4"/>
  <c r="D169" i="4"/>
  <c r="B168" i="4"/>
  <c r="C167" i="4"/>
  <c r="I167" i="4" s="1"/>
  <c r="F227" i="4" l="1"/>
  <c r="L227" i="4" s="1"/>
  <c r="L226" i="4"/>
  <c r="Q48" i="3"/>
  <c r="B218" i="4"/>
  <c r="L40" i="3" s="1"/>
  <c r="H103" i="4"/>
  <c r="R47" i="3" s="1"/>
  <c r="N170" i="4"/>
  <c r="AM39" i="3" s="1"/>
  <c r="B105" i="4"/>
  <c r="G105" i="4" s="1"/>
  <c r="J169" i="4"/>
  <c r="D170" i="4"/>
  <c r="C168" i="4"/>
  <c r="I168" i="4" s="1"/>
  <c r="B169" i="4"/>
  <c r="Q49" i="3" l="1"/>
  <c r="Q52" i="3" s="1"/>
  <c r="N171" i="4"/>
  <c r="AM40" i="3" s="1"/>
  <c r="H104" i="4"/>
  <c r="R48" i="3" s="1"/>
  <c r="B219" i="4"/>
  <c r="L41" i="3" s="1"/>
  <c r="H105" i="4"/>
  <c r="R49" i="3" s="1"/>
  <c r="J170" i="4"/>
  <c r="D171" i="4"/>
  <c r="C169" i="4"/>
  <c r="I169" i="4" s="1"/>
  <c r="B170" i="4"/>
  <c r="L52" i="3" l="1"/>
  <c r="L11" i="3"/>
  <c r="L58" i="3" s="1"/>
  <c r="R52" i="3"/>
  <c r="B220" i="4"/>
  <c r="N172" i="4"/>
  <c r="AM41" i="3" s="1"/>
  <c r="C170" i="4"/>
  <c r="I170" i="4" s="1"/>
  <c r="B171" i="4"/>
  <c r="J171" i="4"/>
  <c r="D172" i="4"/>
  <c r="AM52" i="3" l="1"/>
  <c r="AM11" i="3"/>
  <c r="AM58" i="3" s="1"/>
  <c r="L71" i="3" s="1"/>
  <c r="L96" i="3" s="1"/>
  <c r="N173" i="4"/>
  <c r="B221" i="4"/>
  <c r="J172" i="4"/>
  <c r="D173" i="4"/>
  <c r="C171" i="4"/>
  <c r="I171" i="4" s="1"/>
  <c r="B172" i="4"/>
  <c r="B222" i="4" l="1"/>
  <c r="N174" i="4"/>
  <c r="C172" i="4"/>
  <c r="I172" i="4" s="1"/>
  <c r="B173" i="4"/>
  <c r="D174" i="4"/>
  <c r="J173" i="4"/>
  <c r="N175" i="4" l="1"/>
  <c r="B223" i="4"/>
  <c r="B224" i="4" s="1"/>
  <c r="B225" i="4" s="1"/>
  <c r="B226" i="4" s="1"/>
  <c r="B227" i="4" s="1"/>
  <c r="J174" i="4"/>
  <c r="D175" i="4"/>
  <c r="C173" i="4"/>
  <c r="I173" i="4" s="1"/>
  <c r="B174" i="4"/>
  <c r="N176" i="4" l="1"/>
  <c r="N177" i="4" s="1"/>
  <c r="N178" i="4" s="1"/>
  <c r="N179" i="4" s="1"/>
  <c r="N180" i="4" s="1"/>
  <c r="C174" i="4"/>
  <c r="I174" i="4" s="1"/>
  <c r="B175" i="4"/>
  <c r="J175" i="4"/>
  <c r="D176" i="4"/>
  <c r="G71" i="3" l="1"/>
  <c r="C175" i="4"/>
  <c r="I175" i="4" s="1"/>
  <c r="B176" i="4"/>
  <c r="J176" i="4"/>
  <c r="D177" i="4"/>
  <c r="G96" i="3" l="1"/>
  <c r="O71" i="3"/>
  <c r="C176" i="4"/>
  <c r="I176" i="4" s="1"/>
  <c r="B177" i="4"/>
  <c r="J177" i="4"/>
  <c r="D178" i="4"/>
  <c r="C177" i="4" l="1"/>
  <c r="I177" i="4" s="1"/>
  <c r="B178" i="4"/>
  <c r="D179" i="4"/>
  <c r="J178" i="4"/>
  <c r="J179" i="4" l="1"/>
  <c r="D180" i="4"/>
  <c r="J180" i="4" s="1"/>
  <c r="C178" i="4"/>
  <c r="I178" i="4" s="1"/>
  <c r="B179" i="4"/>
  <c r="B180" i="4" l="1"/>
  <c r="C180" i="4" s="1"/>
  <c r="I180" i="4" s="1"/>
  <c r="C179" i="4"/>
  <c r="I179" i="4" s="1"/>
</calcChain>
</file>

<file path=xl/comments1.xml><?xml version="1.0" encoding="utf-8"?>
<comments xmlns="http://schemas.openxmlformats.org/spreadsheetml/2006/main">
  <authors>
    <author>Iben Moll Rasmusen</author>
  </authors>
  <commentList>
    <comment ref="I138" authorId="0">
      <text>
        <r>
          <rPr>
            <b/>
            <sz val="9"/>
            <color indexed="81"/>
            <rFont val="Tahoma"/>
            <family val="2"/>
          </rPr>
          <t>Iben Moll Rasmusen:</t>
        </r>
        <r>
          <rPr>
            <sz val="9"/>
            <color indexed="81"/>
            <rFont val="Tahoma"/>
            <family val="2"/>
          </rPr>
          <t xml:space="preserve">
Iflg. ENDK vælger de fleste den faste afregningspris, hvorfor det er denne der vises på resultatsiden.</t>
        </r>
      </text>
    </comment>
  </commentList>
</comments>
</file>

<file path=xl/sharedStrings.xml><?xml version="1.0" encoding="utf-8"?>
<sst xmlns="http://schemas.openxmlformats.org/spreadsheetml/2006/main" count="365" uniqueCount="211">
  <si>
    <t>Deflator</t>
  </si>
  <si>
    <t>Inflation</t>
  </si>
  <si>
    <t>Elpris</t>
  </si>
  <si>
    <t>Middel</t>
  </si>
  <si>
    <t>Afregningspris</t>
  </si>
  <si>
    <t>Elafgift</t>
  </si>
  <si>
    <t>Øre/kWh (løbende priser)</t>
  </si>
  <si>
    <t>Pristillæg</t>
  </si>
  <si>
    <t>PSO-besparelse</t>
  </si>
  <si>
    <t>Egetforbrug</t>
  </si>
  <si>
    <t>Solceller</t>
  </si>
  <si>
    <t>Input</t>
  </si>
  <si>
    <t>Elprisforløb</t>
  </si>
  <si>
    <t xml:space="preserve">Kilde: </t>
  </si>
  <si>
    <t>Kr./MWh (løbende priser)</t>
  </si>
  <si>
    <t>Forløb for elpris:</t>
  </si>
  <si>
    <t>Vælg fra rullelisten</t>
  </si>
  <si>
    <t>Elpris vindkraft</t>
  </si>
  <si>
    <t>Valgt elprisforløb:</t>
  </si>
  <si>
    <t>Elpris vindkraft ift. gennemsnitlig elpris:</t>
  </si>
  <si>
    <t>Landmølle</t>
  </si>
  <si>
    <t>Kystmølle</t>
  </si>
  <si>
    <t>Havmølle (Horns Rev 3)</t>
  </si>
  <si>
    <t>Havmølle (90 øre)</t>
  </si>
  <si>
    <t>Biomasse</t>
  </si>
  <si>
    <t>Biogas</t>
  </si>
  <si>
    <t>Pristillæg + loft</t>
  </si>
  <si>
    <t>Øre/kWh</t>
  </si>
  <si>
    <t>Tillæg</t>
  </si>
  <si>
    <t>Loft</t>
  </si>
  <si>
    <t>Eget-forbrug</t>
  </si>
  <si>
    <t>År</t>
  </si>
  <si>
    <t>Beregninger i løbende priser</t>
  </si>
  <si>
    <t>Afgifter</t>
  </si>
  <si>
    <t>Elpriser</t>
  </si>
  <si>
    <t xml:space="preserve">ENS notat "Oversigt over støtteregler mv. for elproduktion baseret på vedvarende energi og anden miljøvenlig elproduktion" (http://www.ens.dk/undergrund-forsyning/el-naturgas-varmeforsyning/elforsyning/elproduktion/stotte-vedvarende-energi) </t>
  </si>
  <si>
    <t>Basis 1</t>
  </si>
  <si>
    <t>Basis 2</t>
  </si>
  <si>
    <t>Ekstra 1</t>
  </si>
  <si>
    <t>Ekstra 2</t>
  </si>
  <si>
    <t>Beregnet tillæg</t>
  </si>
  <si>
    <t>Basis 1 + Ekstra 1+2</t>
  </si>
  <si>
    <t>Basis 2 + Ekstra 1+2</t>
  </si>
  <si>
    <t>Støtteordninger er relativt komplicerede, så fremgår særskilt herunder</t>
  </si>
  <si>
    <t>I alt</t>
  </si>
  <si>
    <t>Forskellig levetid for forskellige typer anlæg (flis, træpiller, halm og små/store)</t>
  </si>
  <si>
    <t xml:space="preserve">Svært at sige, kan levetidsforlænges og nogle dele skal skiftes ud efter ca. 10 år, mens andre kan holde 20 år eller mere </t>
  </si>
  <si>
    <t>Afgiftsbesparelse, egetforbrug af el</t>
  </si>
  <si>
    <t>PSO-besparelse, egetforbrug af el</t>
  </si>
  <si>
    <t>Nettilslutning</t>
  </si>
  <si>
    <t>Mio. kr. (løbende priser)</t>
  </si>
  <si>
    <t>Havmølle (Horns Rev 3) Mio. kr. (løbende priser)</t>
  </si>
  <si>
    <t>Havmølle (Horns Rev 3) øre/kwh (løbende priser)</t>
  </si>
  <si>
    <t>Kapacitet (MW)</t>
  </si>
  <si>
    <t>FLH (h)</t>
  </si>
  <si>
    <t>Elafgiftsbesparelse</t>
  </si>
  <si>
    <t>Andre input</t>
  </si>
  <si>
    <t>Teknisk levetid (år)</t>
  </si>
  <si>
    <t>Fuldlasttimer</t>
  </si>
  <si>
    <t>Nominelt pristillæg</t>
  </si>
  <si>
    <t>Omregning til real støttesats</t>
  </si>
  <si>
    <t>Rente</t>
  </si>
  <si>
    <t>Nominel rente</t>
  </si>
  <si>
    <t>Real rente</t>
  </si>
  <si>
    <t>Nutidsværdi (nominel rente)</t>
  </si>
  <si>
    <t>Real pristillæg</t>
  </si>
  <si>
    <t xml:space="preserve">Havmølle (Horns Rev 3) øre/kwh </t>
  </si>
  <si>
    <t xml:space="preserve">Havmølle (90 øre) øre/kwh </t>
  </si>
  <si>
    <t>Reference</t>
  </si>
  <si>
    <t>Beregning</t>
  </si>
  <si>
    <t>Farvekoder:</t>
  </si>
  <si>
    <t>Realt tillæg og besparelser (før korrigering for egetforbrug)</t>
  </si>
  <si>
    <t>Tabeller og korrektion for egetforbrug</t>
  </si>
  <si>
    <t>Tilskudssatser og andre begunstigelser</t>
  </si>
  <si>
    <t>Kilde: Danmarks konvergensprogram 2015</t>
  </si>
  <si>
    <t>Landmøller (AT6)</t>
  </si>
  <si>
    <t>Landmøller pr MW</t>
  </si>
  <si>
    <t>Landmøller øre/kwh</t>
  </si>
  <si>
    <t>Landmøller (pr MW) Mio. kr.</t>
  </si>
  <si>
    <t>Landmøller  øre/kwh</t>
  </si>
  <si>
    <t>Nettab</t>
  </si>
  <si>
    <t>Havmølle (90 øre KF) Mio. kr. (løbende priser)</t>
  </si>
  <si>
    <t>Havmølle (90 øre KF) øre/kwh (løbende priser)</t>
  </si>
  <si>
    <t>Kilde: BF15 (hav) og AT6 (land)</t>
  </si>
  <si>
    <t>Kilde: AT6 (land)</t>
  </si>
  <si>
    <t>øre/kwh</t>
  </si>
  <si>
    <t>Forstærkninger i transmissionsnet</t>
  </si>
  <si>
    <t>Nettilslutning - forstærkning af transmissionsnet</t>
  </si>
  <si>
    <t>Kilde: Energinet.dk (hav) og AT6 (land)</t>
  </si>
  <si>
    <t>Forstærkninger i transmissionsnet (mellem 0 og max)</t>
  </si>
  <si>
    <t>Forstærkninger i transmissionsnet (max)</t>
  </si>
  <si>
    <t>Tarif solcelle</t>
  </si>
  <si>
    <t>Solceller fiskale tariffer</t>
  </si>
  <si>
    <t>sol øre/kwh</t>
  </si>
  <si>
    <t>Tarifbegunstigelse</t>
  </si>
  <si>
    <t>Kilde 2015-2016: http://www.skm.dk/skattetal/satser/satser-og-beloebsgraenser/elafgiftsloven</t>
  </si>
  <si>
    <t>Antaget at den efter 2016 stiger med inflationen, så den er konstant i faste priser.</t>
  </si>
  <si>
    <t>kr./MWh (2015-priser)</t>
  </si>
  <si>
    <t>BF2015</t>
  </si>
  <si>
    <t>kilde: BF15</t>
  </si>
  <si>
    <t>kr./MWh (løbende priser)</t>
  </si>
  <si>
    <t>BF15 forløb A, (løbende priser)</t>
  </si>
  <si>
    <t>BF15 forløb B, (løbende priser)</t>
  </si>
  <si>
    <t>Forløb A (2015-priser)</t>
  </si>
  <si>
    <t>Forløb B (2015-priser)</t>
  </si>
  <si>
    <t>Forløb FM (2015-priser)</t>
  </si>
  <si>
    <t>Forløb B (løbende priser)</t>
  </si>
  <si>
    <t>Forløb FM (løbende priser)</t>
  </si>
  <si>
    <t>Forløb A (løbende priser)</t>
  </si>
  <si>
    <t>Elpris (øre/kWh)</t>
  </si>
  <si>
    <t>Elpris vindkraft (øre/kWh)</t>
  </si>
  <si>
    <t xml:space="preserve">Kr./MWh </t>
  </si>
  <si>
    <t>BF15 forløb FM, (løbende priser)</t>
  </si>
  <si>
    <t>Balancegodtgørelse</t>
  </si>
  <si>
    <t>Landmølle øre/kwh balance</t>
  </si>
  <si>
    <t>landvind øre/kwh</t>
  </si>
  <si>
    <t>gns årlig vækstrate (2016-2035)</t>
  </si>
  <si>
    <t>Landmøller pr MW (max pris)</t>
  </si>
  <si>
    <t xml:space="preserve">Mio. kr. </t>
  </si>
  <si>
    <t>BVT (2015=1)</t>
  </si>
  <si>
    <t>kr./MWh (2016-priser)</t>
  </si>
  <si>
    <t>Forløb A (2016-priser)</t>
  </si>
  <si>
    <t>Forløb B (2016-priser)</t>
  </si>
  <si>
    <t>Forløb FM (2016-priser)</t>
  </si>
  <si>
    <t>Afgiftsbegunstigelse fra varmesiden, biomasse</t>
  </si>
  <si>
    <t>Solceller, kommercielle</t>
  </si>
  <si>
    <t>Til udarbejdelse af figur</t>
  </si>
  <si>
    <t>Denne værdi er blot valgt til illustration da den eksakte værdi ikke kendes</t>
  </si>
  <si>
    <t>Kystmølle (70 øre)</t>
  </si>
  <si>
    <t>Havmølle (90 øre/Kriegers Flak)</t>
  </si>
  <si>
    <t>Solceller, med egetforbrug</t>
  </si>
  <si>
    <t>Afgiftsbegunstigelse fra varmesiden</t>
  </si>
  <si>
    <t>Eventuel afgiftsbegunstigelse fra varmesiden (max)</t>
  </si>
  <si>
    <t>Solceller overgangsordning 2017</t>
  </si>
  <si>
    <t>Balancering</t>
  </si>
  <si>
    <t>Biomasse øre/kwh</t>
  </si>
  <si>
    <t>Solceller, med egetforbrug, 50%</t>
  </si>
  <si>
    <t>Solceller, overgangsordning 2017</t>
  </si>
  <si>
    <t>Kilde PSO-tarif: 2015-2024: ENS elprisfremskrivning april 2016. 2025 og frem stiger tariffen med inflationen, så den er konstant i faste priser</t>
  </si>
  <si>
    <t>Balancering (indirekte støtte ved at opstilleren ikke selv skal balancere produktionen)</t>
  </si>
  <si>
    <t>Kilde: BF15 og DKs konvergensprogram 2015</t>
  </si>
  <si>
    <t>BVT (2016=1)</t>
  </si>
  <si>
    <t>Solceller, kommercielle 60/40</t>
  </si>
  <si>
    <t>PSO-begunstigelse</t>
  </si>
  <si>
    <t>Elafgiftsbegunstigelse</t>
  </si>
  <si>
    <t xml:space="preserve">Kilde:  Baseret på ENS teknologikatalog (http://www.ens.dk/info/tal-kort/fremskrivninger-analyser-modeller/teknologikataloger) </t>
  </si>
  <si>
    <t xml:space="preserve">Note: Faktisk støttesats for det kystnære udbud er ikke afgjort endnu, men der er loft på 70 øre/kWh. </t>
  </si>
  <si>
    <t>Note: Faktisk støttesats for Kriegers Flak er ikke afjort endnu, men der er i forbindelse med fx Energiaftale 2012 regnet med 90 øre/kWh</t>
  </si>
  <si>
    <t>Kilde: Skøn pba. Energinet.dk og Energistyrelsen</t>
  </si>
  <si>
    <t>Havmølle (90 øre/KF) Nettilslutning 2018, for 600 MW</t>
  </si>
  <si>
    <t>Havmølle (Horns Rev 3) Nettilslutning 2016, for 400 MW</t>
  </si>
  <si>
    <t>Kilde: Skøn pba. Energinet.dk</t>
  </si>
  <si>
    <t>Andel</t>
  </si>
  <si>
    <t>Havmølle (90 øre/KF) Andel af ilandføringskablet, der kan tilskrives havmølleparken</t>
  </si>
  <si>
    <t>Kilde: AT6</t>
  </si>
  <si>
    <t>Note: Skøn</t>
  </si>
  <si>
    <t xml:space="preserve">Biomasse indirekte støtte </t>
  </si>
  <si>
    <t>Øre/kWh (løbende priser), groft skøn</t>
  </si>
  <si>
    <t>Kilde: Grove skøn</t>
  </si>
  <si>
    <t>Anden støtte</t>
  </si>
  <si>
    <t>Note: Biomasse modtager støtte hele levetiden</t>
  </si>
  <si>
    <t>Note: Gråmarkering kun aktuel hvis levetid for biogasanlæg er længere end 25 år</t>
  </si>
  <si>
    <t>DKs konvergensprogram 2015</t>
  </si>
  <si>
    <t>Støtte til VE-el over teknisk levetid fra 2017</t>
  </si>
  <si>
    <t>Solceller, kommercielle (nu afskaffet "60/40"-ordn.)</t>
  </si>
  <si>
    <t>Solceller, 60/40</t>
  </si>
  <si>
    <t>DIREKTE STØTTE</t>
  </si>
  <si>
    <t>INDIREKTE STØTTE</t>
  </si>
  <si>
    <t>Landvind øre/kwh</t>
  </si>
  <si>
    <t>Landvind (pr MW) Mio. kr.</t>
  </si>
  <si>
    <t>Tarif solcelle (groft skøn)</t>
  </si>
  <si>
    <t>Afgiftsbegunstigelse fra varmesiden (groft skøn)</t>
  </si>
  <si>
    <t>Balancering (sol), groft skøn</t>
  </si>
  <si>
    <t>Real støtte</t>
  </si>
  <si>
    <t>-</t>
  </si>
  <si>
    <t>Note: Nettab og forstærkninger i transmissionsnettet for havmøller er som et groft skøn antaget at være lig omkostningerne ved landvind</t>
  </si>
  <si>
    <t>Real støtte under hensyn til egetforbrug, øre/kWh, 2016-priser</t>
  </si>
  <si>
    <t>Note: Skøn over forstærkninger i transmissionsnettet er forbundet med stor usikkerhed, og er derfor i figuren angivet som et spænd</t>
  </si>
  <si>
    <t>øre/kWh</t>
  </si>
  <si>
    <t>Kilde: ENS Basisfremskrivning 2015</t>
  </si>
  <si>
    <t>Note: "Ekstra 1 tillæg" reguleres i VE-lovens § 43 a stk. 5 og § 43 e stk. 4., "Ekstra 2 tillæg" reguleres pba. naturgasprisen i VE-lovens § 43 a stk. 5 og § 43 e stk. 1 og stk 2.</t>
  </si>
  <si>
    <t>Note: Indirekte støtte til biomasse er groft skønnet ved afgiftsfordelen, hvis det alternative brændsel er kul.</t>
  </si>
  <si>
    <t xml:space="preserve">Indirekte støtte, biomasse </t>
  </si>
  <si>
    <t>Havmølle (77 øre/HR3)</t>
  </si>
  <si>
    <t>Information</t>
  </si>
  <si>
    <t>Metode</t>
  </si>
  <si>
    <t>For at kunne sammenligne tilskud på tværs af teknologier, omregnes de nominelle tilskudssatser til en real tilskudssats (øre/kWh) for et typisk anlægs levetid inden for hver teknologi.</t>
  </si>
  <si>
    <t>Samme metode anvendes i delanalyse 6 af Afgifts- og tilskudsanalysen.</t>
  </si>
  <si>
    <t>Følsomheder</t>
  </si>
  <si>
    <t xml:space="preserve">Omregningen laves ved hjælp af annuitetsmetoden, hvor nutidsværdien af de nominelle tilskud omregnes til en annuitet, hvorefter der korrigeres for inflationen. </t>
  </si>
  <si>
    <t>Beregningerne er en beskrivelse af, hvilken støtte der tildeles de forskellige teknologier. Beregningerne forholder sig således ikke til teknologiernes omkostninger, og dermed ikke hvilket "støttebehov" teknologierne måtte have for at være rentable.</t>
  </si>
  <si>
    <t>samtidig med at der tages højde for at fremtidige pengestrømme og produktion samfundsøkonomisk ikke er "lige så meget værd" som de er idag.</t>
  </si>
  <si>
    <t xml:space="preserve">Dette regneark indeholder beregninger af den gældende støtte til elproduktion fra diverse VE-teknologier. Uddybning af støtteordninger, inkl. lovhjemmel kan findes i notatet "Oversigt over støtteregler mv. for elproduktion baseret på vedvarende energi og anden </t>
  </si>
  <si>
    <t>miljøvenlig produktion" Energistyrelsen, 24. juni 2015.</t>
  </si>
  <si>
    <t>Link:</t>
  </si>
  <si>
    <t xml:space="preserve">http://www.ens.dk/sites/ens.dk/files/byggeri/oversigt_over_stoette_til_elproduktion_juni_2015.pdf </t>
  </si>
  <si>
    <t>Valgt elpris</t>
  </si>
  <si>
    <t>PSO-tarif afh. af valgt elpris:</t>
  </si>
  <si>
    <t>PSO-tarif (løb. priser)</t>
  </si>
  <si>
    <t>Generelt</t>
  </si>
  <si>
    <t>Note: Støtteperiode for landvind afhænger af mølletype og placering. De 9 år er valgt på baggrund af BF2014. Ved opdatering til BF15 er støtteperioden kortere.</t>
  </si>
  <si>
    <t>Real støtte under hensyn til egetforbrug, øre/kWh, 2016-priser, OBS dataetiketter i figur opdaterer ikke automatisk</t>
  </si>
  <si>
    <t>Beregningerne er følsomme overfor de bagvedliggende antagelser, som elprisudvikling, teknisk levetid, størrelsen på evt. egetforbrug, rente, mm., som fremgår af arket "input".</t>
  </si>
  <si>
    <t xml:space="preserve">Denne værdi kan ikke umiddelbart sammenlignes med den nominelle støttesats, som modtageren ser. Metoden er valgt for bedst at kunne sammenligne støtte til VE-elproduktion på tværs af teknologier, hvor der er forskel i fx teknisk levetid, </t>
  </si>
  <si>
    <t>Realrenten er brugt til at tilbagediskontere, hvilket betyder, at beregningerne ikke forholder sig til investorers afkastkrav, ligseom de ikke forholder sig til teknologiernes omkostninger.</t>
  </si>
  <si>
    <t>Beregninger af den reale støtte er især følsom over for elprisen. Størrelsen af det direkte tilskud til VE-elproduktion for teknologier, der støttes i form af fast afregningspris, er afhængig af elprisen. Det gælder fx havvind, sol og biogas.</t>
  </si>
  <si>
    <t>En elprisfremskrivning med lavere priser end den benyttede (fx den senere offentliggjorte elprisfremskrivning fra april 2016) vil fx bevirke højere støtte til disse teknologier.</t>
  </si>
  <si>
    <t>For teknologier der støttes med fast pristillæg, fx landvind og biomasse, vil en ændret antagelse om elpris ikke påvirke beregningen af det reale støtteniveau.</t>
  </si>
  <si>
    <t>Ud over elprisen, er beregningerne følsomme overfor ændringer i antagelser om fx teknisk levetid, antal fuldlasttimer, størrelsen på et evt. egetforbrug, mv.</t>
  </si>
  <si>
    <t>Energistyrelsen har lavet en beregning af den gældende støtte til elproduktion fra diverse VE-teknologier. Beregningen beskriver forskelle i den reale støtte pr. kWh over hver teknologis levetid.</t>
  </si>
  <si>
    <t>Udover direkte støtte, indeholder beregningerne indirekte støtte i form af fx nettilslutningsomkostninger, som visse VE-producenter ikke selv betaler, balancering af produktionen, som for nogle VE-producenter godtgøres, og for andre håndteres af Energinet.dk, værdi af egenproduktion, mv.</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</si>
</sst>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
    <numFmt numFmtId="167" formatCode="#,##0.0"/>
    <numFmt numFmtId="168" formatCode="0.0000%"/>
  </numFmts>
  <fonts count="36"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rgb="FF0070C0"/>
      <name val="Calibri"/>
      <family val="2"/>
    </font>
    <font>
      <sz val="11"/>
      <color theme="1"/>
      <name val="Calibri"/>
      <family val="2"/>
    </font>
    <font>
      <sz val="11"/>
      <color rgb="FF0070C0"/>
      <name val="Calibri"/>
      <family val="2"/>
      <scheme val="minor"/>
    </font>
    <font>
      <sz val="11"/>
      <name val="Calibri"/>
      <family val="2"/>
      <scheme val="minor"/>
    </font>
    <font>
      <i/>
      <sz val="11"/>
      <color theme="1"/>
      <name val="Calibri"/>
      <family val="2"/>
      <scheme val="minor"/>
    </font>
    <font>
      <sz val="9"/>
      <color indexed="81"/>
      <name val="Tahoma"/>
      <family val="2"/>
    </font>
    <font>
      <b/>
      <sz val="9"/>
      <color indexed="81"/>
      <name val="Tahoma"/>
      <family val="2"/>
    </font>
    <font>
      <b/>
      <sz val="15"/>
      <color theme="1"/>
      <name val="Calibri"/>
      <family val="2"/>
    </font>
    <font>
      <b/>
      <sz val="15"/>
      <name val="Calibri"/>
      <family val="2"/>
    </font>
    <font>
      <sz val="11"/>
      <name val="Calibri"/>
      <family val="2"/>
    </font>
    <font>
      <b/>
      <sz val="13"/>
      <color theme="1"/>
      <name val="Calibri"/>
      <family val="2"/>
    </font>
    <font>
      <sz val="11"/>
      <color theme="1"/>
      <name val="Calibri"/>
      <family val="2"/>
      <scheme val="minor"/>
    </font>
    <font>
      <i/>
      <sz val="11"/>
      <color theme="1"/>
      <name val="Calibri"/>
      <family val="2"/>
    </font>
    <font>
      <i/>
      <sz val="11"/>
      <color rgb="FF0070C0"/>
      <name val="Calibri"/>
      <family val="2"/>
    </font>
    <font>
      <sz val="11"/>
      <color theme="0" tint="-0.34998626667073579"/>
      <name val="Calibri"/>
      <family val="2"/>
    </font>
    <font>
      <sz val="11"/>
      <color rgb="FFFF0000"/>
      <name val="Calibri"/>
      <family val="2"/>
    </font>
    <font>
      <b/>
      <sz val="11"/>
      <name val="Calibri"/>
      <family val="2"/>
    </font>
    <font>
      <sz val="11"/>
      <color theme="3" tint="0.39997558519241921"/>
      <name val="Calibri"/>
      <family val="2"/>
    </font>
    <font>
      <sz val="11"/>
      <color theme="0" tint="-0.499984740745262"/>
      <name val="Calibri"/>
      <family val="2"/>
    </font>
    <font>
      <sz val="11"/>
      <color theme="6" tint="-0.249977111117893"/>
      <name val="Calibri"/>
      <family val="2"/>
    </font>
    <font>
      <sz val="10"/>
      <color rgb="FF000000"/>
      <name val="Calibri"/>
      <family val="2"/>
    </font>
    <font>
      <sz val="8"/>
      <color rgb="FF000000"/>
      <name val="Arial"/>
      <family val="2"/>
    </font>
    <font>
      <sz val="11"/>
      <color rgb="FF000000"/>
      <name val="Calibri"/>
      <family val="2"/>
    </font>
    <font>
      <sz val="10"/>
      <color theme="1"/>
      <name val="Times New Roman"/>
      <family val="1"/>
    </font>
    <font>
      <sz val="11"/>
      <color theme="6" tint="-0.249977111117893"/>
      <name val="Calibri"/>
      <family val="2"/>
      <scheme val="minor"/>
    </font>
    <font>
      <sz val="9"/>
      <color theme="1"/>
      <name val="Calibri"/>
      <family val="2"/>
      <scheme val="minor"/>
    </font>
    <font>
      <sz val="11"/>
      <color theme="6"/>
      <name val="Calibri"/>
      <family val="2"/>
    </font>
    <font>
      <sz val="11"/>
      <color theme="4"/>
      <name val="Calibri"/>
      <family val="2"/>
    </font>
    <font>
      <b/>
      <sz val="14"/>
      <color theme="0"/>
      <name val="Calibri"/>
      <family val="2"/>
    </font>
    <font>
      <u/>
      <sz val="11"/>
      <color theme="10"/>
      <name val="Calibri"/>
      <family val="2"/>
    </font>
  </fonts>
  <fills count="8">
    <fill>
      <patternFill patternType="none"/>
    </fill>
    <fill>
      <patternFill patternType="gray125"/>
    </fill>
    <fill>
      <patternFill patternType="solid">
        <fgColor theme="4"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9" fontId="7" fillId="0" borderId="0" applyFont="0" applyFill="0" applyBorder="0" applyAlignment="0" applyProtection="0"/>
    <xf numFmtId="0" fontId="35" fillId="0" borderId="0" applyNumberFormat="0" applyFill="0" applyBorder="0" applyAlignment="0" applyProtection="0"/>
  </cellStyleXfs>
  <cellXfs count="279">
    <xf numFmtId="0" fontId="0" fillId="0" borderId="0" xfId="0"/>
    <xf numFmtId="0" fontId="5" fillId="0" borderId="0" xfId="0" applyFont="1"/>
    <xf numFmtId="0" fontId="0" fillId="0" borderId="1" xfId="0" applyBorder="1"/>
    <xf numFmtId="0" fontId="0" fillId="0" borderId="1" xfId="0" applyBorder="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0" fillId="0" borderId="0" xfId="0" applyAlignment="1">
      <alignment horizontal="left"/>
    </xf>
    <xf numFmtId="0" fontId="0" fillId="0" borderId="1" xfId="0" applyBorder="1" applyAlignment="1">
      <alignment horizontal="center" vertical="top" wrapText="1"/>
    </xf>
    <xf numFmtId="0" fontId="0" fillId="0" borderId="1" xfId="0" applyFill="1" applyBorder="1" applyAlignment="1">
      <alignment horizontal="center" vertical="top" wrapText="1"/>
    </xf>
    <xf numFmtId="1" fontId="9" fillId="0" borderId="1" xfId="0" applyNumberFormat="1" applyFont="1" applyBorder="1" applyAlignment="1">
      <alignment horizontal="center"/>
    </xf>
    <xf numFmtId="1" fontId="10" fillId="0" borderId="1" xfId="0" applyNumberFormat="1" applyFont="1" applyBorder="1" applyAlignment="1">
      <alignment horizontal="center"/>
    </xf>
    <xf numFmtId="0" fontId="0" fillId="0" borderId="1" xfId="0" applyBorder="1" applyAlignment="1">
      <alignment horizontal="left"/>
    </xf>
    <xf numFmtId="0" fontId="0" fillId="0" borderId="0" xfId="0" applyAlignment="1">
      <alignment horizontal="center"/>
    </xf>
    <xf numFmtId="0" fontId="5" fillId="0" borderId="0" xfId="0" applyFont="1" applyAlignment="1">
      <alignment horizontal="left"/>
    </xf>
    <xf numFmtId="164" fontId="6" fillId="0" borderId="1" xfId="0" applyNumberFormat="1" applyFont="1" applyBorder="1" applyAlignment="1">
      <alignment horizontal="center"/>
    </xf>
    <xf numFmtId="164" fontId="0" fillId="0" borderId="1" xfId="0" applyNumberFormat="1" applyBorder="1" applyAlignment="1">
      <alignment horizontal="center"/>
    </xf>
    <xf numFmtId="1" fontId="0" fillId="0" borderId="1" xfId="0" applyNumberFormat="1" applyBorder="1" applyAlignment="1">
      <alignment horizontal="center"/>
    </xf>
    <xf numFmtId="0" fontId="13" fillId="3" borderId="0" xfId="0" applyFont="1" applyFill="1"/>
    <xf numFmtId="0" fontId="0" fillId="3" borderId="0" xfId="0" applyFill="1"/>
    <xf numFmtId="0" fontId="14" fillId="2" borderId="0" xfId="0" applyFont="1" applyFill="1"/>
    <xf numFmtId="0" fontId="15" fillId="2" borderId="0" xfId="0" applyFont="1" applyFill="1"/>
    <xf numFmtId="0" fontId="16" fillId="4" borderId="0" xfId="0" applyFont="1" applyFill="1"/>
    <xf numFmtId="165" fontId="6" fillId="0" borderId="1" xfId="0" applyNumberFormat="1" applyFont="1" applyBorder="1" applyAlignment="1">
      <alignment horizontal="center"/>
    </xf>
    <xf numFmtId="0" fontId="17" fillId="0" borderId="1" xfId="0" applyFont="1" applyBorder="1" applyAlignment="1">
      <alignment horizontal="left" vertical="top" wrapText="1"/>
    </xf>
    <xf numFmtId="0" fontId="0" fillId="0" borderId="1" xfId="0" applyFont="1" applyFill="1" applyBorder="1" applyAlignment="1">
      <alignment horizontal="center" vertical="top" wrapText="1"/>
    </xf>
    <xf numFmtId="0" fontId="0" fillId="0" borderId="1" xfId="0" applyBorder="1" applyAlignment="1">
      <alignment vertical="top"/>
    </xf>
    <xf numFmtId="0" fontId="0" fillId="0" borderId="1" xfId="0" applyBorder="1" applyAlignment="1">
      <alignment horizontal="center" vertical="top"/>
    </xf>
    <xf numFmtId="0" fontId="18" fillId="0" borderId="0" xfId="0" applyFont="1"/>
    <xf numFmtId="0" fontId="0" fillId="0" borderId="0" xfId="0" applyFont="1"/>
    <xf numFmtId="9" fontId="6" fillId="0" borderId="0" xfId="0" applyNumberFormat="1" applyFont="1" applyAlignment="1">
      <alignment horizontal="left"/>
    </xf>
    <xf numFmtId="0" fontId="0" fillId="0" borderId="1" xfId="0" applyBorder="1" applyAlignment="1">
      <alignment horizontal="left"/>
    </xf>
    <xf numFmtId="0" fontId="0" fillId="0" borderId="4" xfId="0" applyBorder="1" applyAlignment="1">
      <alignment horizontal="center" vertical="top" wrapText="1"/>
    </xf>
    <xf numFmtId="9" fontId="6" fillId="0" borderId="1" xfId="0" applyNumberFormat="1" applyFont="1" applyBorder="1" applyAlignment="1">
      <alignment horizontal="center"/>
    </xf>
    <xf numFmtId="9" fontId="6" fillId="0" borderId="1" xfId="1" applyFont="1" applyBorder="1" applyAlignment="1">
      <alignment horizontal="center"/>
    </xf>
    <xf numFmtId="0" fontId="16" fillId="5" borderId="0" xfId="0" applyFont="1" applyFill="1"/>
    <xf numFmtId="0" fontId="0" fillId="0" borderId="1" xfId="0" applyBorder="1" applyAlignment="1">
      <alignment horizontal="left" vertical="top" wrapText="1"/>
    </xf>
    <xf numFmtId="0" fontId="0" fillId="0" borderId="1" xfId="0" applyBorder="1" applyAlignment="1">
      <alignment horizontal="center" vertical="top"/>
    </xf>
    <xf numFmtId="164" fontId="0" fillId="0" borderId="1" xfId="0" applyNumberFormat="1" applyFill="1" applyBorder="1" applyAlignment="1">
      <alignment horizontal="center"/>
    </xf>
    <xf numFmtId="164" fontId="0" fillId="0" borderId="11" xfId="0" applyNumberFormat="1" applyBorder="1" applyAlignment="1">
      <alignment horizontal="center"/>
    </xf>
    <xf numFmtId="0" fontId="0" fillId="0" borderId="1" xfId="0" applyFill="1" applyBorder="1" applyAlignment="1">
      <alignment horizontal="center"/>
    </xf>
    <xf numFmtId="0" fontId="0" fillId="0" borderId="0" xfId="0" applyFill="1" applyAlignment="1">
      <alignment horizontal="left"/>
    </xf>
    <xf numFmtId="0" fontId="0" fillId="0" borderId="0" xfId="0" applyFill="1"/>
    <xf numFmtId="1" fontId="6" fillId="0" borderId="1" xfId="0" applyNumberFormat="1" applyFont="1" applyFill="1" applyBorder="1" applyAlignment="1">
      <alignment horizontal="center"/>
    </xf>
    <xf numFmtId="0" fontId="6" fillId="0" borderId="1" xfId="0" applyFont="1" applyFill="1" applyBorder="1" applyAlignment="1">
      <alignment horizontal="center"/>
    </xf>
    <xf numFmtId="0" fontId="0" fillId="0" borderId="11" xfId="0" applyBorder="1" applyAlignment="1">
      <alignment horizontal="center" vertical="top" wrapText="1"/>
    </xf>
    <xf numFmtId="0" fontId="0" fillId="0" borderId="0" xfId="0" applyAlignment="1">
      <alignment horizontal="center" wrapText="1"/>
    </xf>
    <xf numFmtId="0" fontId="4" fillId="0" borderId="1" xfId="0" applyFont="1" applyBorder="1" applyAlignment="1">
      <alignment horizontal="left" vertical="top" wrapText="1"/>
    </xf>
    <xf numFmtId="0" fontId="18" fillId="0" borderId="0" xfId="0" applyFont="1" applyFill="1"/>
    <xf numFmtId="1" fontId="0" fillId="0" borderId="0" xfId="0" applyNumberFormat="1" applyAlignment="1">
      <alignment horizontal="center"/>
    </xf>
    <xf numFmtId="0" fontId="0" fillId="0" borderId="1" xfId="0" applyBorder="1" applyAlignment="1">
      <alignment horizontal="left"/>
    </xf>
    <xf numFmtId="165" fontId="15" fillId="0" borderId="1" xfId="0" applyNumberFormat="1" applyFont="1" applyBorder="1" applyAlignment="1">
      <alignment horizontal="center"/>
    </xf>
    <xf numFmtId="0" fontId="0" fillId="0" borderId="0" xfId="0" applyBorder="1"/>
    <xf numFmtId="0" fontId="6" fillId="0" borderId="0" xfId="0" applyFont="1" applyBorder="1" applyAlignment="1">
      <alignment horizontal="center"/>
    </xf>
    <xf numFmtId="1" fontId="6" fillId="0" borderId="0" xfId="0" applyNumberFormat="1" applyFont="1" applyFill="1" applyBorder="1" applyAlignment="1">
      <alignment horizontal="center"/>
    </xf>
    <xf numFmtId="0" fontId="6" fillId="0" borderId="0" xfId="0" applyFont="1" applyFill="1" applyBorder="1" applyAlignment="1">
      <alignment horizontal="center"/>
    </xf>
    <xf numFmtId="0" fontId="0" fillId="4" borderId="0" xfId="0" applyFill="1"/>
    <xf numFmtId="0" fontId="0" fillId="0" borderId="0" xfId="0" applyBorder="1" applyAlignment="1">
      <alignment horizontal="left"/>
    </xf>
    <xf numFmtId="1" fontId="0" fillId="0" borderId="0" xfId="0" applyNumberFormat="1" applyBorder="1" applyAlignment="1">
      <alignment horizontal="center"/>
    </xf>
    <xf numFmtId="164" fontId="0" fillId="0" borderId="0" xfId="0" applyNumberFormat="1" applyBorder="1" applyAlignment="1">
      <alignment horizontal="center"/>
    </xf>
    <xf numFmtId="0" fontId="0" fillId="0" borderId="1" xfId="0" applyBorder="1" applyAlignment="1">
      <alignment horizontal="left"/>
    </xf>
    <xf numFmtId="165" fontId="15" fillId="0" borderId="0" xfId="0" applyNumberFormat="1" applyFont="1" applyBorder="1" applyAlignment="1">
      <alignment horizontal="center"/>
    </xf>
    <xf numFmtId="166" fontId="6" fillId="0" borderId="0" xfId="1" applyNumberFormat="1" applyFont="1" applyBorder="1" applyAlignment="1">
      <alignment horizontal="center"/>
    </xf>
    <xf numFmtId="0" fontId="20" fillId="0" borderId="0" xfId="0" applyFont="1" applyBorder="1" applyAlignment="1">
      <alignment horizontal="left"/>
    </xf>
    <xf numFmtId="0" fontId="19" fillId="0" borderId="12" xfId="0" applyFont="1" applyBorder="1" applyAlignment="1"/>
    <xf numFmtId="0" fontId="6" fillId="0" borderId="0" xfId="0" applyFont="1" applyBorder="1" applyAlignment="1"/>
    <xf numFmtId="0" fontId="6" fillId="0" borderId="0" xfId="0" applyFont="1" applyFill="1" applyBorder="1" applyAlignment="1"/>
    <xf numFmtId="0" fontId="19" fillId="0" borderId="12" xfId="0" applyFont="1" applyFill="1" applyBorder="1" applyAlignment="1"/>
    <xf numFmtId="0" fontId="0" fillId="0" borderId="1" xfId="0" applyBorder="1" applyAlignment="1">
      <alignment horizontal="left"/>
    </xf>
    <xf numFmtId="164" fontId="15" fillId="0" borderId="1" xfId="0" applyNumberFormat="1" applyFont="1" applyBorder="1" applyAlignment="1">
      <alignment horizontal="center"/>
    </xf>
    <xf numFmtId="164" fontId="0" fillId="0" borderId="0" xfId="0" applyNumberFormat="1"/>
    <xf numFmtId="164" fontId="0" fillId="0" borderId="0" xfId="0" applyNumberFormat="1" applyFill="1" applyBorder="1" applyAlignment="1">
      <alignment horizontal="center"/>
    </xf>
    <xf numFmtId="164" fontId="6" fillId="0" borderId="11" xfId="0" applyNumberFormat="1" applyFont="1" applyBorder="1" applyAlignment="1">
      <alignment horizontal="center"/>
    </xf>
    <xf numFmtId="164" fontId="6" fillId="0" borderId="0" xfId="0" applyNumberFormat="1" applyFont="1" applyBorder="1" applyAlignment="1">
      <alignment horizontal="center"/>
    </xf>
    <xf numFmtId="0" fontId="15" fillId="0" borderId="1" xfId="0" applyFont="1" applyBorder="1" applyAlignment="1">
      <alignment horizontal="center" vertical="top" wrapText="1"/>
    </xf>
    <xf numFmtId="10" fontId="0" fillId="0" borderId="0" xfId="1" applyNumberFormat="1" applyFont="1"/>
    <xf numFmtId="165" fontId="0" fillId="0" borderId="0" xfId="0" applyNumberFormat="1"/>
    <xf numFmtId="165" fontId="6" fillId="0" borderId="0" xfId="0" applyNumberFormat="1" applyFont="1" applyBorder="1" applyAlignment="1">
      <alignment horizontal="center"/>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center" vertical="top" wrapText="1"/>
    </xf>
    <xf numFmtId="1" fontId="20" fillId="0" borderId="0" xfId="0" applyNumberFormat="1" applyFont="1" applyBorder="1" applyAlignment="1">
      <alignment horizontal="center"/>
    </xf>
    <xf numFmtId="1" fontId="20" fillId="0" borderId="0" xfId="0" applyNumberFormat="1" applyFont="1" applyFill="1" applyBorder="1" applyAlignment="1">
      <alignment horizontal="center"/>
    </xf>
    <xf numFmtId="1" fontId="6" fillId="0" borderId="1" xfId="0" applyNumberFormat="1" applyFont="1" applyBorder="1" applyAlignment="1">
      <alignment horizontal="center"/>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5" fillId="0" borderId="1" xfId="0" applyFont="1" applyBorder="1" applyAlignment="1">
      <alignment horizontal="center" vertical="top"/>
    </xf>
    <xf numFmtId="0" fontId="5" fillId="0" borderId="1" xfId="0" applyFont="1" applyBorder="1" applyAlignment="1">
      <alignment horizontal="center" vertical="top" wrapText="1"/>
    </xf>
    <xf numFmtId="0" fontId="0" fillId="0" borderId="1" xfId="0" applyBorder="1" applyAlignment="1">
      <alignment horizontal="left"/>
    </xf>
    <xf numFmtId="0" fontId="0" fillId="0" borderId="0" xfId="0" applyFill="1" applyAlignment="1">
      <alignment horizontal="left"/>
    </xf>
    <xf numFmtId="0" fontId="0" fillId="0" borderId="1" xfId="0" applyBorder="1" applyAlignment="1">
      <alignment horizontal="center" vertical="top" wrapText="1"/>
    </xf>
    <xf numFmtId="0" fontId="0" fillId="0" borderId="1" xfId="0" applyBorder="1" applyAlignment="1">
      <alignment horizontal="left"/>
    </xf>
    <xf numFmtId="0" fontId="16" fillId="0" borderId="0" xfId="0" applyFont="1" applyFill="1"/>
    <xf numFmtId="164" fontId="0" fillId="0" borderId="11" xfId="0" applyNumberFormat="1" applyFill="1" applyBorder="1" applyAlignment="1">
      <alignment horizontal="center"/>
    </xf>
    <xf numFmtId="1" fontId="0" fillId="0" borderId="11" xfId="0" applyNumberFormat="1" applyBorder="1" applyAlignment="1">
      <alignment horizontal="center"/>
    </xf>
    <xf numFmtId="164" fontId="0" fillId="0" borderId="15" xfId="0" applyNumberFormat="1" applyBorder="1"/>
    <xf numFmtId="0" fontId="0" fillId="0" borderId="14" xfId="0" applyBorder="1" applyAlignment="1">
      <alignment vertical="top"/>
    </xf>
    <xf numFmtId="0" fontId="0" fillId="0" borderId="14" xfId="0" applyBorder="1" applyAlignment="1">
      <alignment horizontal="center" vertical="top" wrapText="1"/>
    </xf>
    <xf numFmtId="0" fontId="0" fillId="0" borderId="14" xfId="0" applyFont="1" applyFill="1" applyBorder="1" applyAlignment="1">
      <alignment horizontal="center" vertical="top" wrapText="1"/>
    </xf>
    <xf numFmtId="0" fontId="0" fillId="0" borderId="14" xfId="0" applyFill="1" applyBorder="1" applyAlignment="1">
      <alignment horizontal="center" vertical="top" wrapText="1"/>
    </xf>
    <xf numFmtId="0" fontId="0" fillId="0" borderId="13" xfId="0" applyBorder="1"/>
    <xf numFmtId="164" fontId="0" fillId="0" borderId="13" xfId="0" applyNumberFormat="1" applyBorder="1" applyAlignment="1">
      <alignment horizontal="center"/>
    </xf>
    <xf numFmtId="10" fontId="0" fillId="0" borderId="0" xfId="0" applyNumberFormat="1"/>
    <xf numFmtId="10" fontId="23" fillId="0" borderId="1" xfId="1" applyNumberFormat="1" applyFont="1" applyBorder="1"/>
    <xf numFmtId="10" fontId="15" fillId="0" borderId="1" xfId="1" applyNumberFormat="1" applyFont="1" applyBorder="1"/>
    <xf numFmtId="0" fontId="22" fillId="0" borderId="0" xfId="0" applyFont="1" applyBorder="1"/>
    <xf numFmtId="0" fontId="15" fillId="0" borderId="0" xfId="0" applyFont="1" applyBorder="1" applyAlignment="1">
      <alignment horizontal="center" vertical="top" wrapText="1"/>
    </xf>
    <xf numFmtId="164" fontId="15" fillId="0" borderId="0" xfId="0" applyNumberFormat="1" applyFont="1" applyBorder="1" applyAlignment="1">
      <alignment horizontal="center"/>
    </xf>
    <xf numFmtId="0" fontId="21" fillId="0" borderId="0" xfId="0" applyFont="1" applyBorder="1"/>
    <xf numFmtId="0" fontId="24" fillId="0" borderId="1" xfId="0" applyFont="1" applyBorder="1"/>
    <xf numFmtId="164" fontId="24" fillId="0" borderId="1" xfId="0" applyNumberFormat="1" applyFont="1" applyBorder="1" applyAlignment="1">
      <alignment horizontal="center"/>
    </xf>
    <xf numFmtId="164" fontId="24" fillId="0" borderId="0" xfId="0" applyNumberFormat="1" applyFont="1" applyBorder="1" applyAlignment="1">
      <alignment horizontal="center"/>
    </xf>
    <xf numFmtId="0" fontId="24" fillId="0" borderId="0" xfId="0" applyFont="1"/>
    <xf numFmtId="0" fontId="23" fillId="0" borderId="0" xfId="0" applyFont="1"/>
    <xf numFmtId="0" fontId="25" fillId="0" borderId="0" xfId="0" applyFont="1"/>
    <xf numFmtId="9" fontId="25" fillId="0" borderId="0" xfId="0" applyNumberFormat="1" applyFont="1"/>
    <xf numFmtId="9" fontId="25" fillId="0" borderId="1" xfId="0" applyNumberFormat="1" applyFont="1" applyBorder="1" applyAlignment="1">
      <alignment horizontal="center"/>
    </xf>
    <xf numFmtId="164" fontId="0" fillId="0" borderId="1" xfId="0" applyNumberFormat="1" applyBorder="1"/>
    <xf numFmtId="164" fontId="0" fillId="0" borderId="0" xfId="0" applyNumberFormat="1" applyBorder="1"/>
    <xf numFmtId="0" fontId="6" fillId="0" borderId="0" xfId="0" applyFont="1"/>
    <xf numFmtId="0" fontId="26" fillId="0" borderId="0" xfId="0" applyFont="1" applyAlignment="1">
      <alignment vertical="center"/>
    </xf>
    <xf numFmtId="10" fontId="0" fillId="0" borderId="0" xfId="1" applyNumberFormat="1" applyFont="1" applyBorder="1"/>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center" vertical="top" wrapText="1"/>
    </xf>
    <xf numFmtId="0" fontId="15" fillId="0" borderId="0" xfId="0" applyFont="1"/>
    <xf numFmtId="0" fontId="15" fillId="0" borderId="0" xfId="0" applyFont="1" applyBorder="1" applyAlignment="1">
      <alignment horizontal="left"/>
    </xf>
    <xf numFmtId="1" fontId="15" fillId="0" borderId="0" xfId="0" applyNumberFormat="1" applyFont="1" applyBorder="1" applyAlignment="1">
      <alignment horizontal="center"/>
    </xf>
    <xf numFmtId="2" fontId="0" fillId="0" borderId="0" xfId="0" applyNumberFormat="1"/>
    <xf numFmtId="164" fontId="25" fillId="0" borderId="11" xfId="0" applyNumberFormat="1" applyFont="1" applyBorder="1" applyAlignment="1">
      <alignment horizontal="center"/>
    </xf>
    <xf numFmtId="164" fontId="15" fillId="0" borderId="11" xfId="0" applyNumberFormat="1" applyFont="1" applyBorder="1" applyAlignment="1">
      <alignment horizontal="center"/>
    </xf>
    <xf numFmtId="0" fontId="5" fillId="0" borderId="0" xfId="0" applyFont="1" applyBorder="1" applyAlignment="1">
      <alignment horizontal="left"/>
    </xf>
    <xf numFmtId="164" fontId="25" fillId="0" borderId="1" xfId="0" applyNumberFormat="1" applyFont="1" applyBorder="1" applyAlignment="1">
      <alignment horizontal="center"/>
    </xf>
    <xf numFmtId="2" fontId="0" fillId="0" borderId="1" xfId="0" applyNumberFormat="1" applyBorder="1" applyAlignment="1">
      <alignment horizontal="center" vertical="top" wrapText="1"/>
    </xf>
    <xf numFmtId="0" fontId="6" fillId="0" borderId="1" xfId="0" applyFont="1" applyBorder="1" applyAlignment="1">
      <alignment horizontal="center" vertical="top" wrapText="1"/>
    </xf>
    <xf numFmtId="1" fontId="6" fillId="0" borderId="0" xfId="0" applyNumberFormat="1" applyFont="1" applyBorder="1" applyAlignment="1">
      <alignment horizontal="center"/>
    </xf>
    <xf numFmtId="2" fontId="6" fillId="0" borderId="1" xfId="0" applyNumberFormat="1" applyFont="1" applyBorder="1" applyAlignment="1">
      <alignment horizontal="center" vertical="top" wrapText="1"/>
    </xf>
    <xf numFmtId="49" fontId="15" fillId="0" borderId="1" xfId="0" applyNumberFormat="1" applyFont="1" applyBorder="1" applyAlignment="1">
      <alignment horizontal="center" vertical="top" wrapText="1"/>
    </xf>
    <xf numFmtId="0" fontId="0" fillId="0" borderId="1" xfId="0" applyBorder="1" applyAlignment="1">
      <alignment horizontal="center" vertical="top" wrapText="1"/>
    </xf>
    <xf numFmtId="168" fontId="0" fillId="0" borderId="0" xfId="0" applyNumberFormat="1"/>
    <xf numFmtId="164" fontId="0" fillId="0" borderId="16" xfId="0" applyNumberFormat="1" applyBorder="1" applyAlignment="1">
      <alignment horizontal="center"/>
    </xf>
    <xf numFmtId="0" fontId="0" fillId="0" borderId="17" xfId="0" applyBorder="1"/>
    <xf numFmtId="164" fontId="0" fillId="0" borderId="15" xfId="0" applyNumberFormat="1" applyBorder="1" applyAlignment="1">
      <alignment horizontal="center"/>
    </xf>
    <xf numFmtId="0" fontId="29" fillId="0" borderId="0" xfId="0" applyFont="1" applyBorder="1"/>
    <xf numFmtId="0" fontId="28" fillId="0" borderId="0" xfId="0" applyFont="1" applyBorder="1" applyAlignment="1">
      <alignment vertical="center"/>
    </xf>
    <xf numFmtId="1" fontId="30" fillId="0" borderId="1" xfId="0" applyNumberFormat="1" applyFont="1" applyBorder="1" applyAlignment="1">
      <alignment horizontal="center"/>
    </xf>
    <xf numFmtId="1" fontId="0" fillId="0" borderId="0" xfId="0" applyNumberFormat="1"/>
    <xf numFmtId="0" fontId="28" fillId="0" borderId="1" xfId="0" applyFont="1" applyBorder="1" applyAlignment="1">
      <alignment vertical="center" wrapText="1"/>
    </xf>
    <xf numFmtId="0" fontId="28" fillId="0" borderId="1" xfId="0" applyFont="1" applyBorder="1" applyAlignment="1">
      <alignment horizontal="left" vertical="center"/>
    </xf>
    <xf numFmtId="0" fontId="6" fillId="0" borderId="1" xfId="0" applyFont="1" applyBorder="1" applyAlignment="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vertical="center"/>
    </xf>
    <xf numFmtId="1" fontId="0" fillId="0" borderId="1" xfId="0" applyNumberFormat="1" applyBorder="1"/>
    <xf numFmtId="0" fontId="0" fillId="0" borderId="0" xfId="0" applyFont="1" applyFill="1" applyBorder="1" applyAlignment="1">
      <alignment horizontal="center" vertical="top" wrapText="1"/>
    </xf>
    <xf numFmtId="0" fontId="3" fillId="0" borderId="1" xfId="0" applyFont="1" applyBorder="1" applyAlignment="1">
      <alignment horizontal="left" vertical="top" wrapText="1"/>
    </xf>
    <xf numFmtId="0" fontId="0" fillId="0" borderId="1" xfId="0" applyBorder="1" applyAlignment="1">
      <alignment horizontal="center" vertical="top" wrapText="1"/>
    </xf>
    <xf numFmtId="1" fontId="31" fillId="0" borderId="0" xfId="0" applyNumberFormat="1" applyFont="1" applyBorder="1" applyAlignment="1">
      <alignment horizontal="center"/>
    </xf>
    <xf numFmtId="1" fontId="0" fillId="0" borderId="0" xfId="0" applyNumberFormat="1" applyBorder="1"/>
    <xf numFmtId="0" fontId="0" fillId="0" borderId="1" xfId="0" applyBorder="1" applyAlignment="1">
      <alignment horizontal="center" vertical="top" wrapText="1"/>
    </xf>
    <xf numFmtId="10" fontId="6" fillId="0" borderId="1" xfId="1" applyNumberFormat="1" applyFont="1" applyBorder="1" applyAlignment="1">
      <alignment horizontal="center"/>
    </xf>
    <xf numFmtId="10" fontId="15" fillId="0" borderId="1" xfId="1" applyNumberFormat="1" applyFont="1" applyBorder="1" applyAlignment="1">
      <alignment horizontal="center"/>
    </xf>
    <xf numFmtId="0" fontId="0" fillId="0" borderId="1" xfId="0" applyBorder="1" applyAlignment="1">
      <alignment horizontal="left"/>
    </xf>
    <xf numFmtId="0" fontId="0" fillId="0" borderId="1" xfId="0" applyBorder="1" applyAlignment="1">
      <alignment horizontal="left"/>
    </xf>
    <xf numFmtId="0" fontId="0" fillId="0" borderId="1" xfId="0" applyBorder="1" applyAlignment="1">
      <alignment horizontal="left"/>
    </xf>
    <xf numFmtId="0" fontId="6" fillId="0" borderId="1" xfId="0" applyFont="1" applyBorder="1"/>
    <xf numFmtId="0" fontId="0" fillId="0" borderId="1" xfId="0" applyBorder="1" applyAlignment="1">
      <alignment horizontal="left"/>
    </xf>
    <xf numFmtId="0" fontId="0" fillId="0" borderId="1" xfId="0" applyBorder="1" applyAlignment="1">
      <alignment horizontal="center" vertical="top" wrapText="1"/>
    </xf>
    <xf numFmtId="164" fontId="33" fillId="0" borderId="11" xfId="0" applyNumberFormat="1" applyFont="1" applyBorder="1" applyAlignment="1">
      <alignment horizontal="center"/>
    </xf>
    <xf numFmtId="164" fontId="0" fillId="0" borderId="11" xfId="0" applyNumberFormat="1" applyBorder="1"/>
    <xf numFmtId="0" fontId="15" fillId="0" borderId="1" xfId="0" applyFont="1" applyFill="1" applyBorder="1" applyAlignment="1">
      <alignment horizontal="center" vertical="top" wrapText="1"/>
    </xf>
    <xf numFmtId="0" fontId="15" fillId="0" borderId="0" xfId="0" applyFont="1" applyFill="1" applyBorder="1"/>
    <xf numFmtId="0" fontId="0" fillId="0" borderId="1" xfId="0" applyBorder="1" applyAlignment="1">
      <alignment horizontal="center" vertical="top" wrapText="1"/>
    </xf>
    <xf numFmtId="0" fontId="0" fillId="0" borderId="1" xfId="0" applyBorder="1" applyAlignment="1">
      <alignment horizontal="left"/>
    </xf>
    <xf numFmtId="0" fontId="6" fillId="0" borderId="0" xfId="0" applyFont="1" applyBorder="1" applyAlignment="1">
      <alignment horizontal="center"/>
    </xf>
    <xf numFmtId="0" fontId="0" fillId="0" borderId="1" xfId="0" applyBorder="1" applyAlignment="1">
      <alignment horizontal="center"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Fill="1" applyBorder="1" applyAlignment="1">
      <alignment horizontal="left"/>
    </xf>
    <xf numFmtId="0" fontId="19" fillId="0" borderId="1" xfId="0" applyFont="1" applyBorder="1" applyAlignment="1">
      <alignment horizontal="center"/>
    </xf>
    <xf numFmtId="0" fontId="0" fillId="0" borderId="1" xfId="0" applyFill="1" applyBorder="1" applyAlignment="1">
      <alignment horizontal="left"/>
    </xf>
    <xf numFmtId="165" fontId="0" fillId="0" borderId="0" xfId="0" applyNumberFormat="1" applyFill="1"/>
    <xf numFmtId="165" fontId="6" fillId="0" borderId="0" xfId="0" applyNumberFormat="1" applyFont="1" applyFill="1" applyBorder="1" applyAlignment="1">
      <alignment horizontal="center"/>
    </xf>
    <xf numFmtId="2" fontId="0" fillId="0" borderId="0" xfId="0" applyNumberFormat="1" applyFill="1"/>
    <xf numFmtId="10" fontId="0" fillId="0" borderId="0" xfId="1" applyNumberFormat="1" applyFont="1" applyFill="1"/>
    <xf numFmtId="0" fontId="20" fillId="0" borderId="0" xfId="0" applyFont="1" applyFill="1" applyBorder="1" applyAlignment="1">
      <alignment horizontal="left"/>
    </xf>
    <xf numFmtId="0" fontId="0" fillId="0" borderId="0" xfId="0" applyFill="1" applyBorder="1"/>
    <xf numFmtId="0" fontId="27" fillId="0" borderId="0" xfId="0" applyFont="1" applyFill="1" applyBorder="1" applyAlignment="1">
      <alignment horizontal="justify" vertical="center"/>
    </xf>
    <xf numFmtId="0" fontId="27" fillId="0" borderId="0" xfId="0" applyFont="1" applyFill="1" applyBorder="1" applyAlignment="1">
      <alignment horizontal="center" vertical="center"/>
    </xf>
    <xf numFmtId="3" fontId="27" fillId="0" borderId="0" xfId="0" applyNumberFormat="1" applyFont="1" applyFill="1" applyBorder="1" applyAlignment="1">
      <alignment horizontal="right" vertical="center"/>
    </xf>
    <xf numFmtId="0" fontId="27" fillId="0" borderId="0" xfId="0" applyFont="1" applyFill="1" applyBorder="1" applyAlignment="1">
      <alignment horizontal="right" vertical="center"/>
    </xf>
    <xf numFmtId="2" fontId="0" fillId="0" borderId="0" xfId="0" applyNumberFormat="1" applyFill="1" applyBorder="1"/>
    <xf numFmtId="3" fontId="0" fillId="0" borderId="0" xfId="0" applyNumberFormat="1" applyFill="1" applyBorder="1"/>
    <xf numFmtId="167" fontId="0" fillId="0" borderId="0" xfId="0" applyNumberFormat="1" applyFill="1" applyBorder="1"/>
    <xf numFmtId="164" fontId="15" fillId="0" borderId="1" xfId="0" applyNumberFormat="1" applyFont="1" applyFill="1" applyBorder="1" applyAlignment="1">
      <alignment horizontal="center"/>
    </xf>
    <xf numFmtId="1" fontId="20" fillId="0" borderId="0" xfId="0" applyNumberFormat="1" applyFont="1" applyFill="1" applyBorder="1" applyAlignment="1">
      <alignment horizontal="left"/>
    </xf>
    <xf numFmtId="2" fontId="0" fillId="0" borderId="1" xfId="0" applyNumberFormat="1" applyFill="1" applyBorder="1" applyAlignment="1">
      <alignment horizontal="center" vertical="top" wrapText="1"/>
    </xf>
    <xf numFmtId="2" fontId="0" fillId="0" borderId="0" xfId="0" applyNumberFormat="1" applyBorder="1" applyAlignment="1">
      <alignment horizontal="center" vertical="top" wrapText="1"/>
    </xf>
    <xf numFmtId="0" fontId="2" fillId="0" borderId="1" xfId="0" applyFont="1" applyBorder="1" applyAlignment="1">
      <alignment horizontal="left" vertical="top" wrapText="1"/>
    </xf>
    <xf numFmtId="0" fontId="15" fillId="0" borderId="1" xfId="0" applyFont="1" applyFill="1" applyBorder="1" applyAlignment="1">
      <alignment horizontal="left"/>
    </xf>
    <xf numFmtId="0" fontId="0" fillId="0" borderId="1" xfId="0" applyFill="1" applyBorder="1" applyAlignment="1">
      <alignment vertical="top" wrapText="1"/>
    </xf>
    <xf numFmtId="0" fontId="32" fillId="0" borderId="1" xfId="0" applyFont="1" applyFill="1" applyBorder="1" applyAlignment="1">
      <alignment horizontal="center"/>
    </xf>
    <xf numFmtId="0" fontId="19" fillId="0" borderId="1" xfId="0" applyFont="1" applyFill="1" applyBorder="1" applyAlignment="1">
      <alignment horizontal="center"/>
    </xf>
    <xf numFmtId="0" fontId="0" fillId="0" borderId="1" xfId="0" applyBorder="1" applyAlignment="1">
      <alignment horizontal="left"/>
    </xf>
    <xf numFmtId="1" fontId="20" fillId="0" borderId="1" xfId="0" applyNumberFormat="1" applyFont="1" applyFill="1" applyBorder="1" applyAlignment="1">
      <alignment horizontal="center"/>
    </xf>
    <xf numFmtId="0" fontId="20" fillId="0" borderId="1" xfId="0" applyFont="1" applyFill="1" applyBorder="1" applyAlignment="1">
      <alignment horizontal="center"/>
    </xf>
    <xf numFmtId="0" fontId="20" fillId="0" borderId="1" xfId="0" applyFont="1" applyFill="1" applyBorder="1" applyAlignment="1">
      <alignment horizontal="left"/>
    </xf>
    <xf numFmtId="164" fontId="0" fillId="0" borderId="1" xfId="0" applyNumberFormat="1" applyFill="1" applyBorder="1"/>
    <xf numFmtId="0" fontId="20" fillId="0" borderId="0" xfId="0" applyFont="1" applyFill="1" applyBorder="1" applyAlignment="1">
      <alignment horizontal="center"/>
    </xf>
    <xf numFmtId="0" fontId="15" fillId="0" borderId="0" xfId="0" applyFont="1" applyFill="1"/>
    <xf numFmtId="1" fontId="15" fillId="0" borderId="1" xfId="0" applyNumberFormat="1" applyFont="1" applyFill="1" applyBorder="1" applyAlignment="1">
      <alignment horizontal="center"/>
    </xf>
    <xf numFmtId="0" fontId="15" fillId="0" borderId="1" xfId="0" applyFont="1" applyFill="1" applyBorder="1" applyAlignment="1">
      <alignment horizontal="center"/>
    </xf>
    <xf numFmtId="0" fontId="28" fillId="0" borderId="0" xfId="0" applyFont="1" applyBorder="1" applyAlignment="1">
      <alignment horizontal="center" vertical="center" wrapText="1"/>
    </xf>
    <xf numFmtId="0" fontId="28" fillId="0" borderId="0" xfId="0" applyFont="1" applyFill="1" applyBorder="1" applyAlignment="1">
      <alignment horizontal="center" vertical="center" wrapText="1"/>
    </xf>
    <xf numFmtId="1" fontId="8" fillId="0" borderId="0" xfId="0" applyNumberFormat="1" applyFont="1" applyBorder="1" applyAlignment="1">
      <alignment horizontal="center"/>
    </xf>
    <xf numFmtId="1" fontId="30" fillId="0" borderId="0" xfId="0" applyNumberFormat="1" applyFont="1" applyBorder="1" applyAlignment="1">
      <alignment horizontal="center"/>
    </xf>
    <xf numFmtId="0" fontId="0" fillId="0" borderId="1" xfId="0" applyBorder="1" applyAlignment="1">
      <alignment wrapText="1"/>
    </xf>
    <xf numFmtId="9" fontId="15" fillId="0" borderId="0" xfId="0" applyNumberFormat="1" applyFont="1" applyFill="1"/>
    <xf numFmtId="0" fontId="0" fillId="0" borderId="18" xfId="0" applyBorder="1"/>
    <xf numFmtId="0" fontId="0" fillId="0" borderId="18" xfId="0" quotePrefix="1" applyBorder="1" applyAlignment="1">
      <alignment vertical="top"/>
    </xf>
    <xf numFmtId="164" fontId="0" fillId="0" borderId="18" xfId="0" applyNumberFormat="1" applyBorder="1"/>
    <xf numFmtId="164" fontId="0" fillId="0" borderId="7" xfId="0" applyNumberFormat="1" applyBorder="1"/>
    <xf numFmtId="0" fontId="0" fillId="0" borderId="7" xfId="0" applyBorder="1"/>
    <xf numFmtId="1" fontId="30" fillId="0" borderId="0" xfId="0" applyNumberFormat="1" applyFont="1" applyFill="1" applyBorder="1" applyAlignment="1">
      <alignment horizontal="center"/>
    </xf>
    <xf numFmtId="1" fontId="10" fillId="0" borderId="0" xfId="0" applyNumberFormat="1" applyFont="1" applyFill="1" applyBorder="1" applyAlignment="1">
      <alignment horizontal="center"/>
    </xf>
    <xf numFmtId="0" fontId="5" fillId="0" borderId="0" xfId="0" applyFont="1" applyBorder="1"/>
    <xf numFmtId="0" fontId="28" fillId="0" borderId="0" xfId="0" applyFont="1" applyBorder="1" applyAlignment="1">
      <alignment vertical="center" wrapText="1"/>
    </xf>
    <xf numFmtId="0" fontId="28" fillId="0" borderId="0" xfId="0" applyFont="1" applyBorder="1" applyAlignment="1">
      <alignment horizontal="left" vertical="center"/>
    </xf>
    <xf numFmtId="1" fontId="6" fillId="0" borderId="0" xfId="0" applyNumberFormat="1" applyFont="1" applyBorder="1" applyAlignment="1">
      <alignment horizontal="center" vertical="center"/>
    </xf>
    <xf numFmtId="1" fontId="8" fillId="0" borderId="0" xfId="0" applyNumberFormat="1"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left"/>
    </xf>
    <xf numFmtId="0" fontId="0" fillId="6" borderId="0" xfId="0" applyFill="1"/>
    <xf numFmtId="0" fontId="0" fillId="7" borderId="0" xfId="0" applyFill="1"/>
    <xf numFmtId="0" fontId="34" fillId="7" borderId="0" xfId="0" applyFont="1" applyFill="1"/>
    <xf numFmtId="0" fontId="5" fillId="6" borderId="0" xfId="0" applyFont="1" applyFill="1"/>
    <xf numFmtId="0" fontId="35" fillId="6" borderId="0" xfId="2" applyFill="1"/>
    <xf numFmtId="1" fontId="0" fillId="0" borderId="11" xfId="0" applyNumberFormat="1" applyFill="1" applyBorder="1" applyAlignment="1">
      <alignment horizontal="center"/>
    </xf>
    <xf numFmtId="0" fontId="1" fillId="0" borderId="1" xfId="0" applyFont="1" applyBorder="1" applyAlignment="1">
      <alignment horizontal="left" vertical="top" wrapText="1"/>
    </xf>
    <xf numFmtId="0" fontId="0" fillId="0" borderId="0" xfId="0" applyFill="1" applyBorder="1" applyAlignment="1">
      <alignment horizontal="left"/>
    </xf>
    <xf numFmtId="0" fontId="0" fillId="0" borderId="0" xfId="0" applyFill="1" applyAlignment="1">
      <alignment horizontal="left"/>
    </xf>
    <xf numFmtId="0" fontId="0" fillId="0" borderId="1" xfId="0" applyBorder="1" applyAlignment="1">
      <alignment horizontal="center" vertical="top"/>
    </xf>
    <xf numFmtId="0" fontId="0" fillId="0" borderId="3" xfId="0"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0" fillId="0" borderId="1" xfId="0" applyBorder="1" applyAlignment="1">
      <alignment horizontal="left"/>
    </xf>
    <xf numFmtId="0" fontId="0" fillId="0" borderId="3"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 xfId="0" applyFont="1" applyBorder="1" applyAlignment="1">
      <alignment horizontal="left"/>
    </xf>
    <xf numFmtId="0" fontId="0" fillId="0" borderId="1" xfId="0" applyFill="1" applyBorder="1" applyAlignment="1">
      <alignment horizontal="left"/>
    </xf>
    <xf numFmtId="0" fontId="0" fillId="0" borderId="1"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horizontal="center" vertical="top" wrapText="1"/>
    </xf>
    <xf numFmtId="0" fontId="0" fillId="0" borderId="9" xfId="0" applyBorder="1" applyAlignment="1">
      <alignment horizontal="left" vertical="top"/>
    </xf>
    <xf numFmtId="0" fontId="0" fillId="0" borderId="10" xfId="0" applyBorder="1" applyAlignment="1">
      <alignment horizontal="left" vertical="top"/>
    </xf>
    <xf numFmtId="0" fontId="0" fillId="0" borderId="2" xfId="0" applyBorder="1" applyAlignment="1">
      <alignment horizontal="left" vertical="top"/>
    </xf>
    <xf numFmtId="0" fontId="6" fillId="0" borderId="3" xfId="0" applyFont="1" applyFill="1" applyBorder="1" applyAlignment="1">
      <alignment horizontal="center"/>
    </xf>
    <xf numFmtId="0" fontId="6" fillId="0" borderId="4" xfId="0" applyFont="1" applyFill="1" applyBorder="1" applyAlignment="1">
      <alignment horizontal="center"/>
    </xf>
    <xf numFmtId="0" fontId="0" fillId="0" borderId="0" xfId="0" applyBorder="1" applyAlignment="1">
      <alignment horizontal="center" vertical="top" wrapText="1"/>
    </xf>
    <xf numFmtId="0" fontId="0" fillId="0" borderId="3" xfId="0" applyFill="1" applyBorder="1" applyAlignment="1">
      <alignment horizontal="left"/>
    </xf>
    <xf numFmtId="0" fontId="0" fillId="0" borderId="5" xfId="0" applyFill="1" applyBorder="1" applyAlignment="1">
      <alignment horizontal="left"/>
    </xf>
    <xf numFmtId="0" fontId="0" fillId="0" borderId="4" xfId="0" applyFill="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0" xfId="0" applyFont="1" applyFill="1" applyBorder="1" applyAlignment="1">
      <alignment horizontal="center"/>
    </xf>
    <xf numFmtId="0" fontId="0" fillId="0" borderId="3" xfId="0" applyBorder="1"/>
    <xf numFmtId="0" fontId="0" fillId="0" borderId="5" xfId="0" applyBorder="1"/>
    <xf numFmtId="0" fontId="0" fillId="0" borderId="4" xfId="0" applyBorder="1"/>
    <xf numFmtId="0" fontId="0" fillId="0" borderId="3" xfId="0" applyBorder="1" applyAlignment="1">
      <alignment horizontal="left" vertical="top"/>
    </xf>
    <xf numFmtId="0" fontId="0" fillId="0" borderId="5" xfId="0" applyBorder="1" applyAlignment="1">
      <alignment horizontal="left" vertical="top"/>
    </xf>
    <xf numFmtId="0" fontId="0" fillId="0" borderId="4" xfId="0" applyBorder="1" applyAlignment="1">
      <alignment horizontal="left" vertical="top"/>
    </xf>
  </cellXfs>
  <cellStyles count="3">
    <cellStyle name="Link" xfId="2" builtinId="8"/>
    <cellStyle name="Normal" xfId="0" builtinId="0"/>
    <cellStyle name="Procent" xfId="1" builtinId="5"/>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137351614132324E-2"/>
          <c:y val="5.2300097385298887E-2"/>
          <c:w val="0.93214761584246442"/>
          <c:h val="0.6505224886625961"/>
        </c:manualLayout>
      </c:layout>
      <c:barChart>
        <c:barDir val="col"/>
        <c:grouping val="stacked"/>
        <c:varyColors val="0"/>
        <c:ser>
          <c:idx val="0"/>
          <c:order val="0"/>
          <c:tx>
            <c:strRef>
              <c:f>'Støtte til VE-el'!$E$87</c:f>
              <c:strCache>
                <c:ptCount val="1"/>
                <c:pt idx="0">
                  <c:v>Pristillæg</c:v>
                </c:pt>
              </c:strCache>
            </c:strRef>
          </c:tx>
          <c:invertIfNegative val="0"/>
          <c:cat>
            <c:strRef>
              <c:f>'Støtte til VE-el'!$A$102:$A$110</c:f>
              <c:strCache>
                <c:ptCount val="9"/>
                <c:pt idx="0">
                  <c:v>Landmølle</c:v>
                </c:pt>
                <c:pt idx="1">
                  <c:v>Biomasse</c:v>
                </c:pt>
                <c:pt idx="2">
                  <c:v>Solceller, kommercielle (nu afskaffet "60/40"-ordn.)</c:v>
                </c:pt>
                <c:pt idx="3">
                  <c:v>Solceller, overgangsordning 2017</c:v>
                </c:pt>
                <c:pt idx="4">
                  <c:v>Kystmølle (70 øre)</c:v>
                </c:pt>
                <c:pt idx="5">
                  <c:v>Havmølle (77 øre/HR3)</c:v>
                </c:pt>
                <c:pt idx="6">
                  <c:v>Havmølle (90 øre/Kriegers Flak)</c:v>
                </c:pt>
                <c:pt idx="7">
                  <c:v>Biogas</c:v>
                </c:pt>
                <c:pt idx="8">
                  <c:v>Solceller, med egetforbrug, 50%</c:v>
                </c:pt>
              </c:strCache>
            </c:strRef>
          </c:cat>
          <c:val>
            <c:numRef>
              <c:f>'Støtte til VE-el'!$E$88:$E$96</c:f>
              <c:numCache>
                <c:formatCode>0.0</c:formatCode>
                <c:ptCount val="9"/>
                <c:pt idx="0">
                  <c:v>10.274258459812602</c:v>
                </c:pt>
                <c:pt idx="1">
                  <c:v>12.782151537128012</c:v>
                </c:pt>
                <c:pt idx="2">
                  <c:v>12.371535154875433</c:v>
                </c:pt>
                <c:pt idx="3">
                  <c:v>17.977120035966433</c:v>
                </c:pt>
                <c:pt idx="4">
                  <c:v>21.948997772949994</c:v>
                </c:pt>
                <c:pt idx="5">
                  <c:v>24.426510931257958</c:v>
                </c:pt>
                <c:pt idx="6">
                  <c:v>32.300061431149949</c:v>
                </c:pt>
                <c:pt idx="7">
                  <c:v>50.445453361999093</c:v>
                </c:pt>
                <c:pt idx="8">
                  <c:v>6.1857675774377165</c:v>
                </c:pt>
              </c:numCache>
            </c:numRef>
          </c:val>
        </c:ser>
        <c:ser>
          <c:idx val="7"/>
          <c:order val="1"/>
          <c:tx>
            <c:strRef>
              <c:f>'Støtte til VE-el'!$F$87</c:f>
              <c:strCache>
                <c:ptCount val="1"/>
                <c:pt idx="0">
                  <c:v>Balancegodtgørelse</c:v>
                </c:pt>
              </c:strCache>
            </c:strRef>
          </c:tx>
          <c:invertIfNegative val="0"/>
          <c:cat>
            <c:strRef>
              <c:f>'Støtte til VE-el'!$A$102:$A$110</c:f>
              <c:strCache>
                <c:ptCount val="9"/>
                <c:pt idx="0">
                  <c:v>Landmølle</c:v>
                </c:pt>
                <c:pt idx="1">
                  <c:v>Biomasse</c:v>
                </c:pt>
                <c:pt idx="2">
                  <c:v>Solceller, kommercielle (nu afskaffet "60/40"-ordn.)</c:v>
                </c:pt>
                <c:pt idx="3">
                  <c:v>Solceller, overgangsordning 2017</c:v>
                </c:pt>
                <c:pt idx="4">
                  <c:v>Kystmølle (70 øre)</c:v>
                </c:pt>
                <c:pt idx="5">
                  <c:v>Havmølle (77 øre/HR3)</c:v>
                </c:pt>
                <c:pt idx="6">
                  <c:v>Havmølle (90 øre/Kriegers Flak)</c:v>
                </c:pt>
                <c:pt idx="7">
                  <c:v>Biogas</c:v>
                </c:pt>
                <c:pt idx="8">
                  <c:v>Solceller, med egetforbrug, 50%</c:v>
                </c:pt>
              </c:strCache>
            </c:strRef>
          </c:cat>
          <c:val>
            <c:numRef>
              <c:f>'Støtte til VE-el'!$F$88:$F$96</c:f>
              <c:numCache>
                <c:formatCode>0.0</c:formatCode>
                <c:ptCount val="9"/>
                <c:pt idx="0">
                  <c:v>1.3098738937110261</c:v>
                </c:pt>
              </c:numCache>
            </c:numRef>
          </c:val>
        </c:ser>
        <c:ser>
          <c:idx val="6"/>
          <c:order val="2"/>
          <c:tx>
            <c:strRef>
              <c:f>'Støtte til VE-el'!$M$87</c:f>
              <c:strCache>
                <c:ptCount val="1"/>
                <c:pt idx="0">
                  <c:v>Balancering</c:v>
                </c:pt>
              </c:strCache>
            </c:strRef>
          </c:tx>
          <c:invertIfNegative val="0"/>
          <c:cat>
            <c:strRef>
              <c:f>'Støtte til VE-el'!$A$102:$A$110</c:f>
              <c:strCache>
                <c:ptCount val="9"/>
                <c:pt idx="0">
                  <c:v>Landmølle</c:v>
                </c:pt>
                <c:pt idx="1">
                  <c:v>Biomasse</c:v>
                </c:pt>
                <c:pt idx="2">
                  <c:v>Solceller, kommercielle (nu afskaffet "60/40"-ordn.)</c:v>
                </c:pt>
                <c:pt idx="3">
                  <c:v>Solceller, overgangsordning 2017</c:v>
                </c:pt>
                <c:pt idx="4">
                  <c:v>Kystmølle (70 øre)</c:v>
                </c:pt>
                <c:pt idx="5">
                  <c:v>Havmølle (77 øre/HR3)</c:v>
                </c:pt>
                <c:pt idx="6">
                  <c:v>Havmølle (90 øre/Kriegers Flak)</c:v>
                </c:pt>
                <c:pt idx="7">
                  <c:v>Biogas</c:v>
                </c:pt>
                <c:pt idx="8">
                  <c:v>Solceller, med egetforbrug, 50%</c:v>
                </c:pt>
              </c:strCache>
            </c:strRef>
          </c:cat>
          <c:val>
            <c:numRef>
              <c:f>'Støtte til VE-el'!$M$88:$M$96</c:f>
              <c:numCache>
                <c:formatCode>General</c:formatCode>
                <c:ptCount val="9"/>
                <c:pt idx="2" formatCode="0.0">
                  <c:v>0.79711526574825442</c:v>
                </c:pt>
                <c:pt idx="3" formatCode="0.0">
                  <c:v>0.79711526574825442</c:v>
                </c:pt>
                <c:pt idx="8" formatCode="0.0">
                  <c:v>0.39855763287412721</c:v>
                </c:pt>
              </c:numCache>
            </c:numRef>
          </c:val>
        </c:ser>
        <c:ser>
          <c:idx val="4"/>
          <c:order val="3"/>
          <c:tx>
            <c:strRef>
              <c:f>'Støtte til VE-el'!$I$87</c:f>
              <c:strCache>
                <c:ptCount val="1"/>
                <c:pt idx="0">
                  <c:v>Nettilslutning</c:v>
                </c:pt>
              </c:strCache>
            </c:strRef>
          </c:tx>
          <c:invertIfNegative val="0"/>
          <c:cat>
            <c:strRef>
              <c:f>'Støtte til VE-el'!$A$102:$A$110</c:f>
              <c:strCache>
                <c:ptCount val="9"/>
                <c:pt idx="0">
                  <c:v>Landmølle</c:v>
                </c:pt>
                <c:pt idx="1">
                  <c:v>Biomasse</c:v>
                </c:pt>
                <c:pt idx="2">
                  <c:v>Solceller, kommercielle (nu afskaffet "60/40"-ordn.)</c:v>
                </c:pt>
                <c:pt idx="3">
                  <c:v>Solceller, overgangsordning 2017</c:v>
                </c:pt>
                <c:pt idx="4">
                  <c:v>Kystmølle (70 øre)</c:v>
                </c:pt>
                <c:pt idx="5">
                  <c:v>Havmølle (77 øre/HR3)</c:v>
                </c:pt>
                <c:pt idx="6">
                  <c:v>Havmølle (90 øre/Kriegers Flak)</c:v>
                </c:pt>
                <c:pt idx="7">
                  <c:v>Biogas</c:v>
                </c:pt>
                <c:pt idx="8">
                  <c:v>Solceller, med egetforbrug, 50%</c:v>
                </c:pt>
              </c:strCache>
            </c:strRef>
          </c:cat>
          <c:val>
            <c:numRef>
              <c:f>'Støtte til VE-el'!$I$88:$I$96</c:f>
              <c:numCache>
                <c:formatCode>0.0</c:formatCode>
                <c:ptCount val="9"/>
                <c:pt idx="0">
                  <c:v>0.65874014885199395</c:v>
                </c:pt>
                <c:pt idx="5">
                  <c:v>4.8660958391165456</c:v>
                </c:pt>
                <c:pt idx="6">
                  <c:v>5.8778512202871944</c:v>
                </c:pt>
              </c:numCache>
            </c:numRef>
          </c:val>
        </c:ser>
        <c:ser>
          <c:idx val="5"/>
          <c:order val="4"/>
          <c:tx>
            <c:strRef>
              <c:f>'Støtte til VE-el'!$J$87</c:f>
              <c:strCache>
                <c:ptCount val="1"/>
                <c:pt idx="0">
                  <c:v>Nettab</c:v>
                </c:pt>
              </c:strCache>
            </c:strRef>
          </c:tx>
          <c:invertIfNegative val="0"/>
          <c:dPt>
            <c:idx val="2"/>
            <c:invertIfNegative val="0"/>
            <c:bubble3D val="0"/>
          </c:dPt>
          <c:cat>
            <c:strRef>
              <c:f>'Støtte til VE-el'!$A$102:$A$110</c:f>
              <c:strCache>
                <c:ptCount val="9"/>
                <c:pt idx="0">
                  <c:v>Landmølle</c:v>
                </c:pt>
                <c:pt idx="1">
                  <c:v>Biomasse</c:v>
                </c:pt>
                <c:pt idx="2">
                  <c:v>Solceller, kommercielle (nu afskaffet "60/40"-ordn.)</c:v>
                </c:pt>
                <c:pt idx="3">
                  <c:v>Solceller, overgangsordning 2017</c:v>
                </c:pt>
                <c:pt idx="4">
                  <c:v>Kystmølle (70 øre)</c:v>
                </c:pt>
                <c:pt idx="5">
                  <c:v>Havmølle (77 øre/HR3)</c:v>
                </c:pt>
                <c:pt idx="6">
                  <c:v>Havmølle (90 øre/Kriegers Flak)</c:v>
                </c:pt>
                <c:pt idx="7">
                  <c:v>Biogas</c:v>
                </c:pt>
                <c:pt idx="8">
                  <c:v>Solceller, med egetforbrug, 50%</c:v>
                </c:pt>
              </c:strCache>
            </c:strRef>
          </c:cat>
          <c:val>
            <c:numRef>
              <c:f>'Støtte til VE-el'!$J$88:$J$96</c:f>
              <c:numCache>
                <c:formatCode>0.0</c:formatCode>
                <c:ptCount val="9"/>
                <c:pt idx="0">
                  <c:v>0.5760928740803849</c:v>
                </c:pt>
                <c:pt idx="4">
                  <c:v>0.5760928740803849</c:v>
                </c:pt>
                <c:pt idx="5">
                  <c:v>0.5760928740803849</c:v>
                </c:pt>
                <c:pt idx="6">
                  <c:v>0.5760928740803849</c:v>
                </c:pt>
              </c:numCache>
            </c:numRef>
          </c:val>
        </c:ser>
        <c:ser>
          <c:idx val="9"/>
          <c:order val="5"/>
          <c:tx>
            <c:strRef>
              <c:f>'Støtte til VE-el'!$K$87</c:f>
              <c:strCache>
                <c:ptCount val="1"/>
                <c:pt idx="0">
                  <c:v>Forstærkninger i transmissionsnet (max)</c:v>
                </c:pt>
              </c:strCache>
            </c:strRef>
          </c:tx>
          <c:spPr>
            <a:noFill/>
            <a:ln>
              <a:solidFill>
                <a:schemeClr val="tx1"/>
              </a:solidFill>
              <a:prstDash val="dash"/>
            </a:ln>
          </c:spPr>
          <c:invertIfNegative val="0"/>
          <c:cat>
            <c:strRef>
              <c:f>'Støtte til VE-el'!$A$102:$A$110</c:f>
              <c:strCache>
                <c:ptCount val="9"/>
                <c:pt idx="0">
                  <c:v>Landmølle</c:v>
                </c:pt>
                <c:pt idx="1">
                  <c:v>Biomasse</c:v>
                </c:pt>
                <c:pt idx="2">
                  <c:v>Solceller, kommercielle (nu afskaffet "60/40"-ordn.)</c:v>
                </c:pt>
                <c:pt idx="3">
                  <c:v>Solceller, overgangsordning 2017</c:v>
                </c:pt>
                <c:pt idx="4">
                  <c:v>Kystmølle (70 øre)</c:v>
                </c:pt>
                <c:pt idx="5">
                  <c:v>Havmølle (77 øre/HR3)</c:v>
                </c:pt>
                <c:pt idx="6">
                  <c:v>Havmølle (90 øre/Kriegers Flak)</c:v>
                </c:pt>
                <c:pt idx="7">
                  <c:v>Biogas</c:v>
                </c:pt>
                <c:pt idx="8">
                  <c:v>Solceller, med egetforbrug, 50%</c:v>
                </c:pt>
              </c:strCache>
            </c:strRef>
          </c:cat>
          <c:val>
            <c:numRef>
              <c:f>'Støtte til VE-el'!$K$88:$K$96</c:f>
              <c:numCache>
                <c:formatCode>0.0</c:formatCode>
                <c:ptCount val="9"/>
                <c:pt idx="0">
                  <c:v>1.8821147110056975</c:v>
                </c:pt>
                <c:pt idx="4">
                  <c:v>1.8821147110056975</c:v>
                </c:pt>
                <c:pt idx="5">
                  <c:v>1.8821147110056975</c:v>
                </c:pt>
                <c:pt idx="6">
                  <c:v>1.8821147110056975</c:v>
                </c:pt>
              </c:numCache>
            </c:numRef>
          </c:val>
        </c:ser>
        <c:ser>
          <c:idx val="3"/>
          <c:order val="6"/>
          <c:tx>
            <c:strRef>
              <c:f>'Støtte til VE-el'!$H$87</c:f>
              <c:strCache>
                <c:ptCount val="1"/>
                <c:pt idx="0">
                  <c:v>PSO-begunstigelse</c:v>
                </c:pt>
              </c:strCache>
            </c:strRef>
          </c:tx>
          <c:invertIfNegative val="0"/>
          <c:cat>
            <c:strRef>
              <c:f>'Støtte til VE-el'!$A$102:$A$110</c:f>
              <c:strCache>
                <c:ptCount val="9"/>
                <c:pt idx="0">
                  <c:v>Landmølle</c:v>
                </c:pt>
                <c:pt idx="1">
                  <c:v>Biomasse</c:v>
                </c:pt>
                <c:pt idx="2">
                  <c:v>Solceller, kommercielle (nu afskaffet "60/40"-ordn.)</c:v>
                </c:pt>
                <c:pt idx="3">
                  <c:v>Solceller, overgangsordning 2017</c:v>
                </c:pt>
                <c:pt idx="4">
                  <c:v>Kystmølle (70 øre)</c:v>
                </c:pt>
                <c:pt idx="5">
                  <c:v>Havmølle (77 øre/HR3)</c:v>
                </c:pt>
                <c:pt idx="6">
                  <c:v>Havmølle (90 øre/Kriegers Flak)</c:v>
                </c:pt>
                <c:pt idx="7">
                  <c:v>Biogas</c:v>
                </c:pt>
                <c:pt idx="8">
                  <c:v>Solceller, med egetforbrug, 50%</c:v>
                </c:pt>
              </c:strCache>
            </c:strRef>
          </c:cat>
          <c:val>
            <c:numRef>
              <c:f>'Støtte til VE-el'!$H$88:$H$96</c:f>
              <c:numCache>
                <c:formatCode>0.0</c:formatCode>
                <c:ptCount val="9"/>
                <c:pt idx="8">
                  <c:v>7.9294367998222715</c:v>
                </c:pt>
              </c:numCache>
            </c:numRef>
          </c:val>
        </c:ser>
        <c:ser>
          <c:idx val="1"/>
          <c:order val="7"/>
          <c:tx>
            <c:strRef>
              <c:f>'Støtte til VE-el'!$L$87</c:f>
              <c:strCache>
                <c:ptCount val="1"/>
                <c:pt idx="0">
                  <c:v>Tarifbegunstigelse</c:v>
                </c:pt>
              </c:strCache>
            </c:strRef>
          </c:tx>
          <c:invertIfNegative val="0"/>
          <c:cat>
            <c:strRef>
              <c:f>'Støtte til VE-el'!$A$102:$A$110</c:f>
              <c:strCache>
                <c:ptCount val="9"/>
                <c:pt idx="0">
                  <c:v>Landmølle</c:v>
                </c:pt>
                <c:pt idx="1">
                  <c:v>Biomasse</c:v>
                </c:pt>
                <c:pt idx="2">
                  <c:v>Solceller, kommercielle (nu afskaffet "60/40"-ordn.)</c:v>
                </c:pt>
                <c:pt idx="3">
                  <c:v>Solceller, overgangsordning 2017</c:v>
                </c:pt>
                <c:pt idx="4">
                  <c:v>Kystmølle (70 øre)</c:v>
                </c:pt>
                <c:pt idx="5">
                  <c:v>Havmølle (77 øre/HR3)</c:v>
                </c:pt>
                <c:pt idx="6">
                  <c:v>Havmølle (90 øre/Kriegers Flak)</c:v>
                </c:pt>
                <c:pt idx="7">
                  <c:v>Biogas</c:v>
                </c:pt>
                <c:pt idx="8">
                  <c:v>Solceller, med egetforbrug, 50%</c:v>
                </c:pt>
              </c:strCache>
            </c:strRef>
          </c:cat>
          <c:val>
            <c:numRef>
              <c:f>'Støtte til VE-el'!$L$88:$L$96</c:f>
              <c:numCache>
                <c:formatCode>0.0</c:formatCode>
                <c:ptCount val="9"/>
                <c:pt idx="8">
                  <c:v>12.745833731698164</c:v>
                </c:pt>
              </c:numCache>
            </c:numRef>
          </c:val>
        </c:ser>
        <c:ser>
          <c:idx val="8"/>
          <c:order val="8"/>
          <c:tx>
            <c:strRef>
              <c:f>'Støtte til VE-el'!$G$87</c:f>
              <c:strCache>
                <c:ptCount val="1"/>
                <c:pt idx="0">
                  <c:v>Elafgiftsbegunstigelse</c:v>
                </c:pt>
              </c:strCache>
            </c:strRef>
          </c:tx>
          <c:invertIfNegative val="0"/>
          <c:val>
            <c:numRef>
              <c:f>'Støtte til VE-el'!$G$88:$G$96</c:f>
              <c:numCache>
                <c:formatCode>0.0</c:formatCode>
                <c:ptCount val="9"/>
                <c:pt idx="8">
                  <c:v>45.130769723212438</c:v>
                </c:pt>
              </c:numCache>
            </c:numRef>
          </c:val>
        </c:ser>
        <c:ser>
          <c:idx val="2"/>
          <c:order val="9"/>
          <c:tx>
            <c:strRef>
              <c:f>'Støtte til VE-el'!$C$101</c:f>
              <c:strCache>
                <c:ptCount val="1"/>
                <c:pt idx="0">
                  <c:v>Eventuel afgiftsbegunstigelse fra varmesiden (max)</c:v>
                </c:pt>
              </c:strCache>
            </c:strRef>
          </c:tx>
          <c:spPr>
            <a:noFill/>
            <a:ln>
              <a:solidFill>
                <a:srgbClr val="C00000"/>
              </a:solidFill>
              <a:prstDash val="dash"/>
            </a:ln>
          </c:spPr>
          <c:invertIfNegative val="0"/>
          <c:cat>
            <c:strRef>
              <c:f>'Støtte til VE-el'!$A$102:$A$110</c:f>
              <c:strCache>
                <c:ptCount val="9"/>
                <c:pt idx="0">
                  <c:v>Landmølle</c:v>
                </c:pt>
                <c:pt idx="1">
                  <c:v>Biomasse</c:v>
                </c:pt>
                <c:pt idx="2">
                  <c:v>Solceller, kommercielle (nu afskaffet "60/40"-ordn.)</c:v>
                </c:pt>
                <c:pt idx="3">
                  <c:v>Solceller, overgangsordning 2017</c:v>
                </c:pt>
                <c:pt idx="4">
                  <c:v>Kystmølle (70 øre)</c:v>
                </c:pt>
                <c:pt idx="5">
                  <c:v>Havmølle (77 øre/HR3)</c:v>
                </c:pt>
                <c:pt idx="6">
                  <c:v>Havmølle (90 øre/Kriegers Flak)</c:v>
                </c:pt>
                <c:pt idx="7">
                  <c:v>Biogas</c:v>
                </c:pt>
                <c:pt idx="8">
                  <c:v>Solceller, med egetforbrug, 50%</c:v>
                </c:pt>
              </c:strCache>
            </c:strRef>
          </c:cat>
          <c:val>
            <c:numRef>
              <c:f>'Støtte til VE-el'!$C$102:$C$110</c:f>
              <c:numCache>
                <c:formatCode>General</c:formatCode>
                <c:ptCount val="9"/>
                <c:pt idx="0">
                  <c:v>0</c:v>
                </c:pt>
                <c:pt idx="1">
                  <c:v>22</c:v>
                </c:pt>
                <c:pt idx="3">
                  <c:v>0</c:v>
                </c:pt>
                <c:pt idx="4">
                  <c:v>0</c:v>
                </c:pt>
                <c:pt idx="6">
                  <c:v>0</c:v>
                </c:pt>
                <c:pt idx="7">
                  <c:v>0</c:v>
                </c:pt>
                <c:pt idx="8">
                  <c:v>0</c:v>
                </c:pt>
              </c:numCache>
            </c:numRef>
          </c:val>
        </c:ser>
        <c:dLbls>
          <c:showLegendKey val="0"/>
          <c:showVal val="0"/>
          <c:showCatName val="0"/>
          <c:showSerName val="0"/>
          <c:showPercent val="0"/>
          <c:showBubbleSize val="0"/>
        </c:dLbls>
        <c:gapWidth val="150"/>
        <c:overlap val="100"/>
        <c:axId val="128159744"/>
        <c:axId val="128975616"/>
      </c:barChart>
      <c:catAx>
        <c:axId val="128159744"/>
        <c:scaling>
          <c:orientation val="minMax"/>
        </c:scaling>
        <c:delete val="0"/>
        <c:axPos val="b"/>
        <c:majorTickMark val="out"/>
        <c:minorTickMark val="none"/>
        <c:tickLblPos val="nextTo"/>
        <c:txPr>
          <a:bodyPr rot="0" vert="horz"/>
          <a:lstStyle/>
          <a:p>
            <a:pPr>
              <a:defRPr sz="1000"/>
            </a:pPr>
            <a:endParaRPr lang="da-DK"/>
          </a:p>
        </c:txPr>
        <c:crossAx val="128975616"/>
        <c:crosses val="autoZero"/>
        <c:auto val="1"/>
        <c:lblAlgn val="ctr"/>
        <c:lblOffset val="100"/>
        <c:noMultiLvlLbl val="0"/>
      </c:catAx>
      <c:valAx>
        <c:axId val="128975616"/>
        <c:scaling>
          <c:orientation val="minMax"/>
          <c:min val="0"/>
        </c:scaling>
        <c:delete val="0"/>
        <c:axPos val="l"/>
        <c:majorGridlines/>
        <c:numFmt formatCode="0.0" sourceLinked="1"/>
        <c:majorTickMark val="out"/>
        <c:minorTickMark val="none"/>
        <c:tickLblPos val="nextTo"/>
        <c:txPr>
          <a:bodyPr/>
          <a:lstStyle/>
          <a:p>
            <a:pPr>
              <a:defRPr sz="1300"/>
            </a:pPr>
            <a:endParaRPr lang="da-DK"/>
          </a:p>
        </c:txPr>
        <c:crossAx val="128159744"/>
        <c:crosses val="autoZero"/>
        <c:crossBetween val="between"/>
        <c:majorUnit val="25"/>
      </c:valAx>
    </c:plotArea>
    <c:legend>
      <c:legendPos val="b"/>
      <c:layout>
        <c:manualLayout>
          <c:xMode val="edge"/>
          <c:yMode val="edge"/>
          <c:x val="0.1172412327746418"/>
          <c:y val="0.83218880589725885"/>
          <c:w val="0.75665057850415907"/>
          <c:h val="0.15358440953409885"/>
        </c:manualLayout>
      </c:layout>
      <c:overlay val="0"/>
      <c:txPr>
        <a:bodyPr/>
        <a:lstStyle/>
        <a:p>
          <a:pPr>
            <a:defRPr sz="1200"/>
          </a:pPr>
          <a:endParaRPr lang="da-DK"/>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690563</xdr:colOff>
      <xdr:row>86</xdr:row>
      <xdr:rowOff>35719</xdr:rowOff>
    </xdr:from>
    <xdr:to>
      <xdr:col>28</xdr:col>
      <xdr:colOff>642938</xdr:colOff>
      <xdr:row>117</xdr:row>
      <xdr:rowOff>142875</xdr:rowOff>
    </xdr:to>
    <xdr:graphicFrame macro="">
      <xdr:nvGraphicFramePr>
        <xdr:cNvPr id="3"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0.29424</cdr:x>
      <cdr:y>0.57523</cdr:y>
    </cdr:from>
    <cdr:to>
      <cdr:x>0.34125</cdr:x>
      <cdr:y>0.60634</cdr:y>
    </cdr:to>
    <cdr:sp macro="" textlink="">
      <cdr:nvSpPr>
        <cdr:cNvPr id="2" name="Tekstboks 1"/>
        <cdr:cNvSpPr txBox="1"/>
      </cdr:nvSpPr>
      <cdr:spPr>
        <a:xfrm xmlns:a="http://schemas.openxmlformats.org/drawingml/2006/main">
          <a:off x="2781569" y="3897015"/>
          <a:ext cx="444412" cy="2107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da-DK" sz="1300"/>
            <a:t>13,2</a:t>
          </a:r>
        </a:p>
      </cdr:txBody>
    </cdr:sp>
  </cdr:relSizeAnchor>
  <cdr:relSizeAnchor xmlns:cdr="http://schemas.openxmlformats.org/drawingml/2006/chartDrawing">
    <cdr:from>
      <cdr:x>0.91332</cdr:x>
      <cdr:y>0.18033</cdr:y>
    </cdr:from>
    <cdr:to>
      <cdr:x>0.96033</cdr:x>
      <cdr:y>0.20921</cdr:y>
    </cdr:to>
    <cdr:sp macro="" textlink="">
      <cdr:nvSpPr>
        <cdr:cNvPr id="3" name="Tekstboks 1"/>
        <cdr:cNvSpPr txBox="1"/>
      </cdr:nvSpPr>
      <cdr:spPr>
        <a:xfrm xmlns:a="http://schemas.openxmlformats.org/drawingml/2006/main">
          <a:off x="8634170" y="1221641"/>
          <a:ext cx="444412" cy="1956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a-DK" sz="1300"/>
            <a:t>72,4</a:t>
          </a:r>
        </a:p>
      </cdr:txBody>
    </cdr:sp>
  </cdr:relSizeAnchor>
  <cdr:relSizeAnchor xmlns:cdr="http://schemas.openxmlformats.org/drawingml/2006/chartDrawing">
    <cdr:from>
      <cdr:x>0.50176</cdr:x>
      <cdr:y>0.49529</cdr:y>
    </cdr:from>
    <cdr:to>
      <cdr:x>0.54877</cdr:x>
      <cdr:y>0.53048</cdr:y>
    </cdr:to>
    <cdr:sp macro="" textlink="">
      <cdr:nvSpPr>
        <cdr:cNvPr id="4" name="Tekstboks 1"/>
        <cdr:cNvSpPr txBox="1"/>
      </cdr:nvSpPr>
      <cdr:spPr>
        <a:xfrm xmlns:a="http://schemas.openxmlformats.org/drawingml/2006/main">
          <a:off x="4743456" y="3355414"/>
          <a:ext cx="444412" cy="238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a-DK" sz="1300"/>
            <a:t>22,5-24,4</a:t>
          </a:r>
        </a:p>
      </cdr:txBody>
    </cdr:sp>
  </cdr:relSizeAnchor>
  <cdr:relSizeAnchor xmlns:cdr="http://schemas.openxmlformats.org/drawingml/2006/chartDrawing">
    <cdr:from>
      <cdr:x>0.39532</cdr:x>
      <cdr:y>0.54002</cdr:y>
    </cdr:from>
    <cdr:to>
      <cdr:x>0.44233</cdr:x>
      <cdr:y>0.5709</cdr:y>
    </cdr:to>
    <cdr:sp macro="" textlink="">
      <cdr:nvSpPr>
        <cdr:cNvPr id="6" name="Tekstboks 1"/>
        <cdr:cNvSpPr txBox="1"/>
      </cdr:nvSpPr>
      <cdr:spPr>
        <a:xfrm xmlns:a="http://schemas.openxmlformats.org/drawingml/2006/main">
          <a:off x="3737135" y="3658461"/>
          <a:ext cx="444412" cy="2092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a-DK" sz="1300"/>
            <a:t>18,8</a:t>
          </a:r>
        </a:p>
      </cdr:txBody>
    </cdr:sp>
  </cdr:relSizeAnchor>
  <cdr:relSizeAnchor xmlns:cdr="http://schemas.openxmlformats.org/drawingml/2006/chartDrawing">
    <cdr:from>
      <cdr:x>0.08592</cdr:x>
      <cdr:y>0.55687</cdr:y>
    </cdr:from>
    <cdr:to>
      <cdr:x>0.13293</cdr:x>
      <cdr:y>0.58377</cdr:y>
    </cdr:to>
    <cdr:sp macro="" textlink="">
      <cdr:nvSpPr>
        <cdr:cNvPr id="7" name="Tekstboks 1"/>
        <cdr:cNvSpPr txBox="1"/>
      </cdr:nvSpPr>
      <cdr:spPr>
        <a:xfrm xmlns:a="http://schemas.openxmlformats.org/drawingml/2006/main">
          <a:off x="812250" y="3772633"/>
          <a:ext cx="444412" cy="1822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a-DK" sz="1300"/>
            <a:t>12,8-14,7</a:t>
          </a:r>
        </a:p>
      </cdr:txBody>
    </cdr:sp>
  </cdr:relSizeAnchor>
  <cdr:relSizeAnchor xmlns:cdr="http://schemas.openxmlformats.org/drawingml/2006/chartDrawing">
    <cdr:from>
      <cdr:x>0.1692</cdr:x>
      <cdr:y>0.42466</cdr:y>
    </cdr:from>
    <cdr:to>
      <cdr:x>0.22981</cdr:x>
      <cdr:y>0.46501</cdr:y>
    </cdr:to>
    <cdr:sp macro="" textlink="">
      <cdr:nvSpPr>
        <cdr:cNvPr id="8" name="Tekstboks 1"/>
        <cdr:cNvSpPr txBox="1"/>
      </cdr:nvSpPr>
      <cdr:spPr>
        <a:xfrm xmlns:a="http://schemas.openxmlformats.org/drawingml/2006/main">
          <a:off x="1599511" y="2876934"/>
          <a:ext cx="572980" cy="2733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300"/>
            <a:t>12,8-34,8</a:t>
          </a:r>
        </a:p>
        <a:p xmlns:a="http://schemas.openxmlformats.org/drawingml/2006/main">
          <a:endParaRPr lang="da-DK" sz="1100"/>
        </a:p>
      </cdr:txBody>
    </cdr:sp>
  </cdr:relSizeAnchor>
  <cdr:relSizeAnchor xmlns:cdr="http://schemas.openxmlformats.org/drawingml/2006/chartDrawing">
    <cdr:from>
      <cdr:x>0.81301</cdr:x>
      <cdr:y>0.33163</cdr:y>
    </cdr:from>
    <cdr:to>
      <cdr:x>0.86002</cdr:x>
      <cdr:y>0.36278</cdr:y>
    </cdr:to>
    <cdr:sp macro="" textlink="">
      <cdr:nvSpPr>
        <cdr:cNvPr id="9" name="Tekstboks 1"/>
        <cdr:cNvSpPr txBox="1"/>
      </cdr:nvSpPr>
      <cdr:spPr>
        <a:xfrm xmlns:a="http://schemas.openxmlformats.org/drawingml/2006/main">
          <a:off x="7685878" y="2246667"/>
          <a:ext cx="444412" cy="21103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a-DK" sz="1300"/>
            <a:t>50,4</a:t>
          </a:r>
        </a:p>
      </cdr:txBody>
    </cdr:sp>
  </cdr:relSizeAnchor>
  <cdr:relSizeAnchor xmlns:cdr="http://schemas.openxmlformats.org/drawingml/2006/chartDrawing">
    <cdr:from>
      <cdr:x>0.70572</cdr:x>
      <cdr:y>0.38498</cdr:y>
    </cdr:from>
    <cdr:to>
      <cdr:x>0.75273</cdr:x>
      <cdr:y>0.42532</cdr:y>
    </cdr:to>
    <cdr:sp macro="" textlink="">
      <cdr:nvSpPr>
        <cdr:cNvPr id="10" name="Tekstboks 1"/>
        <cdr:cNvSpPr txBox="1"/>
      </cdr:nvSpPr>
      <cdr:spPr>
        <a:xfrm xmlns:a="http://schemas.openxmlformats.org/drawingml/2006/main">
          <a:off x="6671530" y="2608132"/>
          <a:ext cx="444412" cy="2732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a-DK" sz="1300"/>
            <a:t>38,7-40,6</a:t>
          </a:r>
        </a:p>
      </cdr:txBody>
    </cdr:sp>
  </cdr:relSizeAnchor>
  <cdr:relSizeAnchor xmlns:cdr="http://schemas.openxmlformats.org/drawingml/2006/chartDrawing">
    <cdr:from>
      <cdr:x>0.00883</cdr:x>
      <cdr:y>0.00457</cdr:y>
    </cdr:from>
    <cdr:to>
      <cdr:x>0.06944</cdr:x>
      <cdr:y>0.04492</cdr:y>
    </cdr:to>
    <cdr:sp macro="" textlink="">
      <cdr:nvSpPr>
        <cdr:cNvPr id="12" name="Tekstboks 1"/>
        <cdr:cNvSpPr txBox="1"/>
      </cdr:nvSpPr>
      <cdr:spPr>
        <a:xfrm xmlns:a="http://schemas.openxmlformats.org/drawingml/2006/main">
          <a:off x="98425" y="38893"/>
          <a:ext cx="675453" cy="3434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300"/>
            <a:t>øre/kWh</a:t>
          </a:r>
        </a:p>
        <a:p xmlns:a="http://schemas.openxmlformats.org/drawingml/2006/main">
          <a:endParaRPr lang="da-DK" sz="1100"/>
        </a:p>
      </cdr:txBody>
    </cdr:sp>
  </cdr:relSizeAnchor>
  <cdr:relSizeAnchor xmlns:cdr="http://schemas.openxmlformats.org/drawingml/2006/chartDrawing">
    <cdr:from>
      <cdr:x>0.60235</cdr:x>
      <cdr:y>0.43813</cdr:y>
    </cdr:from>
    <cdr:to>
      <cdr:x>0.64936</cdr:x>
      <cdr:y>0.47847</cdr:y>
    </cdr:to>
    <cdr:sp macro="" textlink="">
      <cdr:nvSpPr>
        <cdr:cNvPr id="11" name="Tekstboks 1"/>
        <cdr:cNvSpPr txBox="1"/>
      </cdr:nvSpPr>
      <cdr:spPr>
        <a:xfrm xmlns:a="http://schemas.openxmlformats.org/drawingml/2006/main">
          <a:off x="5694321" y="2968156"/>
          <a:ext cx="444412" cy="2732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a-DK" sz="1300"/>
            <a:t>29,9-31,8</a:t>
          </a:r>
        </a:p>
      </cdr:txBody>
    </cdr:sp>
  </cdr:relSizeAnchor>
</c:userShape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ns.dk/sites/ens.dk/files/byggeri/oversigt_over_stoette_til_elproduktion_juni_2015.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6"/>
  <sheetViews>
    <sheetView tabSelected="1" workbookViewId="0">
      <selection activeCell="A9" sqref="A9"/>
    </sheetView>
  </sheetViews>
  <sheetFormatPr defaultRowHeight="15" x14ac:dyDescent="0.25"/>
  <cols>
    <col min="1" max="16384" width="9.140625" style="234"/>
  </cols>
  <sheetData>
    <row r="1" spans="1:8" s="235" customFormat="1" ht="18.75" x14ac:dyDescent="0.3">
      <c r="A1" s="236" t="s">
        <v>184</v>
      </c>
    </row>
    <row r="3" spans="1:8" x14ac:dyDescent="0.25">
      <c r="A3" s="234" t="s">
        <v>209</v>
      </c>
    </row>
    <row r="5" spans="1:8" x14ac:dyDescent="0.25">
      <c r="A5" s="237" t="s">
        <v>199</v>
      </c>
    </row>
    <row r="6" spans="1:8" x14ac:dyDescent="0.25">
      <c r="A6" s="234" t="s">
        <v>192</v>
      </c>
    </row>
    <row r="7" spans="1:8" x14ac:dyDescent="0.25">
      <c r="A7" s="234" t="s">
        <v>193</v>
      </c>
      <c r="G7" s="234" t="s">
        <v>194</v>
      </c>
      <c r="H7" s="238" t="s">
        <v>195</v>
      </c>
    </row>
    <row r="8" spans="1:8" x14ac:dyDescent="0.25">
      <c r="A8" s="234" t="s">
        <v>210</v>
      </c>
    </row>
    <row r="9" spans="1:8" x14ac:dyDescent="0.25">
      <c r="A9" s="234" t="s">
        <v>202</v>
      </c>
    </row>
    <row r="10" spans="1:8" x14ac:dyDescent="0.25">
      <c r="A10" s="234" t="s">
        <v>190</v>
      </c>
    </row>
    <row r="12" spans="1:8" x14ac:dyDescent="0.25">
      <c r="A12" s="237" t="s">
        <v>185</v>
      </c>
    </row>
    <row r="13" spans="1:8" x14ac:dyDescent="0.25">
      <c r="A13" s="234" t="s">
        <v>186</v>
      </c>
    </row>
    <row r="14" spans="1:8" x14ac:dyDescent="0.25">
      <c r="A14" s="234" t="s">
        <v>203</v>
      </c>
    </row>
    <row r="15" spans="1:8" x14ac:dyDescent="0.25">
      <c r="A15" s="234" t="s">
        <v>191</v>
      </c>
    </row>
    <row r="16" spans="1:8" x14ac:dyDescent="0.25">
      <c r="A16" s="234" t="s">
        <v>189</v>
      </c>
    </row>
    <row r="18" spans="1:1" x14ac:dyDescent="0.25">
      <c r="A18" s="234" t="s">
        <v>187</v>
      </c>
    </row>
    <row r="19" spans="1:1" x14ac:dyDescent="0.25">
      <c r="A19" s="234" t="s">
        <v>204</v>
      </c>
    </row>
    <row r="21" spans="1:1" x14ac:dyDescent="0.25">
      <c r="A21" s="237" t="s">
        <v>188</v>
      </c>
    </row>
    <row r="22" spans="1:1" x14ac:dyDescent="0.25">
      <c r="A22" s="234" t="s">
        <v>205</v>
      </c>
    </row>
    <row r="23" spans="1:1" x14ac:dyDescent="0.25">
      <c r="A23" s="234" t="s">
        <v>206</v>
      </c>
    </row>
    <row r="24" spans="1:1" x14ac:dyDescent="0.25">
      <c r="A24" s="234" t="s">
        <v>207</v>
      </c>
    </row>
    <row r="26" spans="1:1" x14ac:dyDescent="0.25">
      <c r="A26" s="234" t="s">
        <v>208</v>
      </c>
    </row>
  </sheetData>
  <hyperlinks>
    <hyperlink ref="H7"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theme="6"/>
  </sheetPr>
  <dimension ref="A1:AS110"/>
  <sheetViews>
    <sheetView zoomScale="80" zoomScaleNormal="80" workbookViewId="0">
      <selection activeCell="E5" sqref="E5"/>
    </sheetView>
  </sheetViews>
  <sheetFormatPr defaultColWidth="10.7109375" defaultRowHeight="15" x14ac:dyDescent="0.25"/>
  <cols>
    <col min="1" max="1" width="12.42578125" customWidth="1"/>
    <col min="2" max="2" width="11.42578125" customWidth="1"/>
    <col min="4" max="4" width="10.85546875" customWidth="1"/>
    <col min="5" max="5" width="12.42578125" bestFit="1" customWidth="1"/>
    <col min="7" max="8" width="11.42578125" bestFit="1" customWidth="1"/>
    <col min="9" max="9" width="13.42578125" bestFit="1" customWidth="1"/>
    <col min="12" max="12" width="12.42578125" bestFit="1" customWidth="1"/>
    <col min="13" max="13" width="13.28515625" customWidth="1"/>
    <col min="14" max="14" width="12.42578125" customWidth="1"/>
    <col min="17" max="17" width="10.42578125" customWidth="1"/>
    <col min="18" max="18" width="11.85546875" customWidth="1"/>
    <col min="22" max="22" width="9.42578125" customWidth="1"/>
    <col min="27" max="27" width="12.140625" customWidth="1"/>
    <col min="28" max="28" width="13" bestFit="1" customWidth="1"/>
    <col min="31" max="31" width="13.42578125" bestFit="1" customWidth="1"/>
    <col min="32" max="32" width="13.42578125" customWidth="1"/>
    <col min="48" max="48" width="10.42578125" customWidth="1"/>
  </cols>
  <sheetData>
    <row r="1" spans="1:45" s="18" customFormat="1" ht="19.5" x14ac:dyDescent="0.3">
      <c r="A1" s="17" t="s">
        <v>163</v>
      </c>
    </row>
    <row r="3" spans="1:45" x14ac:dyDescent="0.25">
      <c r="A3" t="s">
        <v>15</v>
      </c>
      <c r="C3" s="242" t="s">
        <v>101</v>
      </c>
      <c r="D3" s="242"/>
      <c r="E3" s="242"/>
      <c r="F3" s="242"/>
      <c r="G3" s="242"/>
      <c r="H3" s="27" t="s">
        <v>16</v>
      </c>
    </row>
    <row r="4" spans="1:45" x14ac:dyDescent="0.25">
      <c r="A4" t="s">
        <v>62</v>
      </c>
      <c r="C4" s="116">
        <f>Input!C10</f>
        <v>0.05</v>
      </c>
      <c r="E4" s="141"/>
      <c r="F4" s="40"/>
      <c r="G4" s="40"/>
      <c r="H4" s="27"/>
      <c r="X4" s="57"/>
    </row>
    <row r="5" spans="1:45" x14ac:dyDescent="0.25">
      <c r="A5" t="s">
        <v>63</v>
      </c>
      <c r="C5" s="219">
        <f>Input!C11</f>
        <v>2.9748251568578247E-2</v>
      </c>
      <c r="F5" s="90"/>
      <c r="G5" s="90"/>
      <c r="H5" s="27"/>
      <c r="X5" s="57"/>
    </row>
    <row r="7" spans="1:45" s="34" customFormat="1" ht="17.25" x14ac:dyDescent="0.3">
      <c r="A7" s="34" t="s">
        <v>32</v>
      </c>
    </row>
    <row r="8" spans="1:45" x14ac:dyDescent="0.25">
      <c r="A8" s="1" t="s">
        <v>166</v>
      </c>
      <c r="K8" s="1" t="s">
        <v>167</v>
      </c>
    </row>
    <row r="9" spans="1:45" x14ac:dyDescent="0.25">
      <c r="A9" s="1" t="s">
        <v>59</v>
      </c>
      <c r="K9" s="1" t="s">
        <v>47</v>
      </c>
      <c r="N9" s="1" t="s">
        <v>48</v>
      </c>
      <c r="Q9" s="1" t="s">
        <v>34</v>
      </c>
      <c r="T9" s="1" t="s">
        <v>113</v>
      </c>
      <c r="W9" s="1" t="s">
        <v>49</v>
      </c>
      <c r="AF9" s="1" t="s">
        <v>80</v>
      </c>
      <c r="AI9" s="1" t="s">
        <v>86</v>
      </c>
      <c r="AL9" s="1" t="s">
        <v>170</v>
      </c>
      <c r="AO9" s="1" t="s">
        <v>171</v>
      </c>
      <c r="AR9" s="1" t="s">
        <v>172</v>
      </c>
    </row>
    <row r="10" spans="1:45" ht="75.75" thickBot="1" x14ac:dyDescent="0.3">
      <c r="A10" s="97" t="s">
        <v>27</v>
      </c>
      <c r="B10" s="98" t="s">
        <v>20</v>
      </c>
      <c r="C10" s="98" t="s">
        <v>21</v>
      </c>
      <c r="D10" s="98" t="s">
        <v>22</v>
      </c>
      <c r="E10" s="98" t="s">
        <v>23</v>
      </c>
      <c r="F10" s="98" t="s">
        <v>24</v>
      </c>
      <c r="G10" s="98" t="s">
        <v>25</v>
      </c>
      <c r="H10" s="98" t="s">
        <v>142</v>
      </c>
      <c r="I10" s="98" t="s">
        <v>133</v>
      </c>
      <c r="K10" s="97" t="s">
        <v>27</v>
      </c>
      <c r="L10" s="98" t="s">
        <v>10</v>
      </c>
      <c r="N10" s="97" t="s">
        <v>27</v>
      </c>
      <c r="O10" s="98" t="s">
        <v>10</v>
      </c>
      <c r="Q10" s="99" t="s">
        <v>109</v>
      </c>
      <c r="R10" s="100" t="s">
        <v>110</v>
      </c>
      <c r="T10" s="97"/>
      <c r="U10" s="98" t="s">
        <v>115</v>
      </c>
      <c r="W10" s="97"/>
      <c r="X10" s="98" t="s">
        <v>51</v>
      </c>
      <c r="Y10" s="98" t="s">
        <v>52</v>
      </c>
      <c r="Z10" s="98" t="s">
        <v>81</v>
      </c>
      <c r="AA10" s="98" t="s">
        <v>82</v>
      </c>
      <c r="AB10" s="98" t="s">
        <v>169</v>
      </c>
      <c r="AC10" s="98" t="s">
        <v>168</v>
      </c>
      <c r="AE10" s="97"/>
      <c r="AF10" s="98" t="s">
        <v>168</v>
      </c>
      <c r="AH10" s="97"/>
      <c r="AI10" s="98" t="s">
        <v>78</v>
      </c>
      <c r="AJ10" s="98" t="s">
        <v>77</v>
      </c>
      <c r="AL10" s="97" t="s">
        <v>27</v>
      </c>
      <c r="AM10" s="98" t="s">
        <v>10</v>
      </c>
      <c r="AO10" s="97" t="s">
        <v>27</v>
      </c>
      <c r="AP10" s="98" t="s">
        <v>24</v>
      </c>
      <c r="AR10" s="97" t="s">
        <v>27</v>
      </c>
      <c r="AS10" s="98" t="s">
        <v>10</v>
      </c>
    </row>
    <row r="11" spans="1:45" ht="15.75" thickBot="1" x14ac:dyDescent="0.3">
      <c r="A11" s="101" t="s">
        <v>64</v>
      </c>
      <c r="B11" s="102">
        <f t="shared" ref="B11:C11" si="0">NPV($C$4,B12:B50)</f>
        <v>175.94972094504143</v>
      </c>
      <c r="C11" s="102">
        <f t="shared" si="0"/>
        <v>375.88309154180325</v>
      </c>
      <c r="D11" s="102">
        <f t="shared" ref="D11:I11" si="1">NPV($C$4,D12:D50)</f>
        <v>418.31123859952345</v>
      </c>
      <c r="E11" s="102">
        <f t="shared" si="1"/>
        <v>553.14812427077948</v>
      </c>
      <c r="F11" s="102">
        <f t="shared" si="1"/>
        <v>186.93315513809972</v>
      </c>
      <c r="G11" s="102">
        <f t="shared" si="1"/>
        <v>737.74182162834347</v>
      </c>
      <c r="H11" s="142">
        <f t="shared" si="1"/>
        <v>238.58634562362653</v>
      </c>
      <c r="I11" s="142">
        <f t="shared" si="1"/>
        <v>346.69063463221391</v>
      </c>
      <c r="J11" s="144"/>
      <c r="K11" s="143" t="s">
        <v>64</v>
      </c>
      <c r="L11" s="102">
        <f>NPV($C$4,L12:L50)</f>
        <v>1740.7032011220242</v>
      </c>
      <c r="M11" s="96"/>
      <c r="N11" s="101" t="s">
        <v>64</v>
      </c>
      <c r="O11" s="102">
        <f>NPV($C$4,O12:O50)</f>
        <v>305.84003120704836</v>
      </c>
      <c r="P11" s="96"/>
      <c r="Q11" s="102">
        <f>NPV($C$4,Q12:Q45)</f>
        <v>641.39804587261472</v>
      </c>
      <c r="R11" s="102">
        <f>NPV($C$4,R12:R45)</f>
        <v>577.25824128535339</v>
      </c>
      <c r="S11" s="96"/>
      <c r="T11" s="101" t="s">
        <v>64</v>
      </c>
      <c r="U11" s="102">
        <f>NPV($C$4,U12:U50)</f>
        <v>22.431978616571964</v>
      </c>
      <c r="W11" s="101" t="s">
        <v>64</v>
      </c>
      <c r="X11" s="102">
        <f>NPV($C$4,X12:X50)</f>
        <v>1500</v>
      </c>
      <c r="Y11" s="102">
        <f t="shared" ref="Y11:AC11" si="2">NPV($C$4,Y12:Y50)</f>
        <v>83.333333333333329</v>
      </c>
      <c r="Z11" s="102">
        <f t="shared" si="2"/>
        <v>2566.828573885623</v>
      </c>
      <c r="AA11" s="102">
        <f t="shared" si="2"/>
        <v>100.65994407394599</v>
      </c>
      <c r="AB11" s="102">
        <f t="shared" si="2"/>
        <v>0.3384336080871303</v>
      </c>
      <c r="AC11" s="102">
        <f t="shared" si="2"/>
        <v>11.28112026957101</v>
      </c>
      <c r="AE11" s="143" t="s">
        <v>64</v>
      </c>
      <c r="AF11" s="102">
        <f>NPV($C$4,AF12:AF50)</f>
        <v>9.8657611962313254</v>
      </c>
      <c r="AH11" s="143" t="s">
        <v>64</v>
      </c>
      <c r="AI11" s="102">
        <f>NPV($C$4,AI12:AI50)</f>
        <v>0.96695316596322944</v>
      </c>
      <c r="AJ11" s="102">
        <f>NPV($C$4,AJ12:AJ50)</f>
        <v>32.231772198774323</v>
      </c>
      <c r="AL11" s="143" t="s">
        <v>64</v>
      </c>
      <c r="AM11" s="102">
        <f>NPV($C$4,AM12:AM50)</f>
        <v>491.60946542253669</v>
      </c>
      <c r="AO11" s="143" t="s">
        <v>64</v>
      </c>
      <c r="AP11" s="102">
        <f>NPV($C$4,AP12:AP50)</f>
        <v>328.067561790654</v>
      </c>
      <c r="AR11" s="143" t="s">
        <v>64</v>
      </c>
      <c r="AS11" s="102">
        <f>NPV($C$4,AS12:AS50)</f>
        <v>15.37245102688283</v>
      </c>
    </row>
    <row r="12" spans="1:45" x14ac:dyDescent="0.25">
      <c r="A12" s="163">
        <v>2017</v>
      </c>
      <c r="B12" s="94">
        <f>IF(A12-$A$12&lt;Input!$E$237,IF(R12&gt;Input!$G$113-Input!$F$113,Input!$G$113-R12,Input!$F$113),"")</f>
        <v>25</v>
      </c>
      <c r="C12" s="37">
        <f>IF(A12-$A$12&lt;Input!$E$238,IF(R12&gt;Input!$H$114,0,Input!$H$114-R12),"")</f>
        <v>52.835275790257867</v>
      </c>
      <c r="D12" s="37">
        <f>IF(A12-$A$12&lt;Input!$E$239,IF(R12&gt;Input!$H$115,0,Input!$H$115-R12),"")</f>
        <v>59.835275790257867</v>
      </c>
      <c r="E12" s="37">
        <f>IF(A12-$A$12&lt;Input!$E$240,IF(R12&gt;Input!$H$116,0,Input!$H$116-R12),"")</f>
        <v>72.835275790257867</v>
      </c>
      <c r="F12" s="15">
        <f>IF(A12-$A$12&lt;Input!$E$241,Input!$E$117,"")</f>
        <v>15</v>
      </c>
      <c r="G12" s="94">
        <f>IF(A12-$A$12&lt;Input!$E$242,Input!I143,"")</f>
        <v>78.69681309077842</v>
      </c>
      <c r="H12" s="15">
        <f>IF(A12-$A$12&lt;Input!$E$243,IF(Q12&gt;Input!$H$119,0,Input!$H$119-Q12),"")</f>
        <v>40.928084211397632</v>
      </c>
      <c r="I12" s="15">
        <f>IF(A12-$A$12&lt;Input!$E$243,IF(Q12&gt;Input!$H$120,0,Input!$H$120-Q12),"")</f>
        <v>54.928084211397632</v>
      </c>
      <c r="J12" s="69"/>
      <c r="K12" s="163">
        <v>2017</v>
      </c>
      <c r="L12" s="95">
        <f>IF(A12-$A$12&lt;Input!$E$243,Input!B190,"")</f>
        <v>89.860974496477951</v>
      </c>
      <c r="N12" s="163">
        <v>2017</v>
      </c>
      <c r="O12" s="239">
        <f>IF(A12-$A$12&lt;Input!$E$243,Input!L190,"")</f>
        <v>21.26312369732414</v>
      </c>
      <c r="Q12" s="95">
        <f>Input!G68/10</f>
        <v>19.071915788602368</v>
      </c>
      <c r="R12" s="95">
        <f>Input!H68/10</f>
        <v>17.164724209742133</v>
      </c>
      <c r="S12" s="69"/>
      <c r="T12" s="205">
        <v>2017</v>
      </c>
      <c r="U12" s="94">
        <f>IF(N12-$N$12&lt;Input!$E$237,IF(N12-$N$12&lt;Input!$E$126,Input!$E$113,0),"")</f>
        <v>1.8</v>
      </c>
      <c r="W12" s="163">
        <v>2017</v>
      </c>
      <c r="X12" s="38">
        <f>Input!E273*(1+C4)</f>
        <v>1575</v>
      </c>
      <c r="Y12" s="38">
        <f>X12*1000000*100/(Input!F248*1000*Input!E248)</f>
        <v>87.5</v>
      </c>
      <c r="Z12" s="38">
        <f>(Input!E274/Input!B21*Input!E280)</f>
        <v>2695.1700025799041</v>
      </c>
      <c r="AA12" s="38">
        <f>Z12*1000000*100/(Input!F249*1000*Input!E249)</f>
        <v>105.6929412776433</v>
      </c>
      <c r="AB12" s="132">
        <f>Input!E275*(1+Input!C19)</f>
        <v>0.35535528849148684</v>
      </c>
      <c r="AC12" s="38">
        <f>AB12*1000000*100/(Input!F250*Input!E250*1000)</f>
        <v>11.845176283049561</v>
      </c>
      <c r="AE12" s="205">
        <v>2017</v>
      </c>
      <c r="AF12" s="132">
        <f>IF($W12-$A$12&lt;Input!$E$237,Input!$E$268,"")</f>
        <v>0.7</v>
      </c>
      <c r="AH12" s="205">
        <v>2017</v>
      </c>
      <c r="AI12" s="131">
        <f>Input!E285*(1+Input!C19)</f>
        <v>1.015300824261391</v>
      </c>
      <c r="AJ12" s="38">
        <f>AI12*1000000*100/(Input!E250*Input!F250*1000)</f>
        <v>33.843360808713037</v>
      </c>
      <c r="AL12" s="163">
        <v>2017</v>
      </c>
      <c r="AM12" s="38">
        <f>IF(AL12-$AL$12&lt;Input!$E$243,Input!N143,"")</f>
        <v>25.491667463396343</v>
      </c>
      <c r="AO12" s="165">
        <v>2017</v>
      </c>
      <c r="AP12" s="38">
        <f>IF(AO12-$AL$12&lt;Input!$E$241,Input!O143,"")</f>
        <v>22.432667367788785</v>
      </c>
      <c r="AR12" s="167">
        <v>2017</v>
      </c>
      <c r="AS12" s="38">
        <f>IF(AL12-$AL$12&lt;Input!$E$243,Input!$E$290,"")</f>
        <v>1</v>
      </c>
    </row>
    <row r="13" spans="1:45" x14ac:dyDescent="0.25">
      <c r="A13" s="163">
        <v>2018</v>
      </c>
      <c r="B13" s="94">
        <f>IF(A13-$A$12&lt;Input!$E$237,IF(R13&gt;Input!$G$113-Input!$F$113,Input!$G$113-R13,Input!$F$113),"")</f>
        <v>25</v>
      </c>
      <c r="C13" s="37">
        <f>IF(A13-$A$12&lt;Input!$E$238,IF(R13&gt;Input!$H$114,0,Input!$H$114-R13),"")</f>
        <v>51.963065996170243</v>
      </c>
      <c r="D13" s="37">
        <f>IF(A13-$A$12&lt;Input!$E$239,IF(R13&gt;Input!$H$115,0,Input!$H$115-R13),"")</f>
        <v>58.963065996170243</v>
      </c>
      <c r="E13" s="37">
        <f>IF(A13-$A$12&lt;Input!$E$240,IF(R13&gt;Input!$H$116,0,Input!$H$116-R13),"")</f>
        <v>71.963065996170243</v>
      </c>
      <c r="F13" s="15">
        <f>IF(A13-$A$12&lt;Input!$E$241,Input!$E$117,"")</f>
        <v>15</v>
      </c>
      <c r="G13" s="94">
        <f>IF(A13-$A$12&lt;Input!$E$242,Input!I144,"")</f>
        <v>75.964422709523731</v>
      </c>
      <c r="H13" s="15">
        <f>IF(A13-$A$12&lt;Input!$E$243,IF(Q13&gt;Input!$H$119,0,Input!$H$119-Q13),"")</f>
        <v>39.958962217966935</v>
      </c>
      <c r="I13" s="15">
        <f>IF(A13-$A$12&lt;Input!$E$243,IF(Q13&gt;Input!$H$120,0,Input!$H$120-Q13),"")</f>
        <v>53.958962217966935</v>
      </c>
      <c r="J13" s="69"/>
      <c r="K13" s="163">
        <v>2018</v>
      </c>
      <c r="L13" s="95">
        <f>IF(A13-$A$12&lt;Input!$E$243,Input!B191,"")</f>
        <v>91.94225216323936</v>
      </c>
      <c r="N13" s="163">
        <v>2018</v>
      </c>
      <c r="O13" s="239">
        <f>IF(A13-$A$12&lt;Input!$E$243,Input!L191,"")</f>
        <v>20.631835709002207</v>
      </c>
      <c r="Q13" s="95">
        <f>Input!G69/10</f>
        <v>20.041037782033065</v>
      </c>
      <c r="R13" s="95">
        <f>Input!H69/10</f>
        <v>18.036934003829757</v>
      </c>
      <c r="S13" s="69"/>
      <c r="T13" s="205">
        <v>2018</v>
      </c>
      <c r="U13" s="94">
        <f>IF(N13-$N$12&lt;Input!$E$237,IF(N13-$N$12&lt;Input!$E$126,Input!$E$113,0),"")</f>
        <v>1.8</v>
      </c>
      <c r="W13" s="163">
        <v>2018</v>
      </c>
      <c r="X13" s="71">
        <f>IF($W13-$A$12&lt;Input!$E$238,0,"")</f>
        <v>0</v>
      </c>
      <c r="Y13" s="71">
        <f>IF($W13-$A$12&lt;Input!$E$238,0,"")</f>
        <v>0</v>
      </c>
      <c r="Z13" s="71">
        <f>IF($W13-$A$12&lt;Input!$E$238,0,"")</f>
        <v>0</v>
      </c>
      <c r="AA13" s="71">
        <f>IF($W13-$A$12&lt;Input!$E$238,0,"")</f>
        <v>0</v>
      </c>
      <c r="AB13" s="71">
        <f>IF($W13-$A$12&lt;Input!$E$238,0,"")</f>
        <v>0</v>
      </c>
      <c r="AC13" s="71">
        <f>IF($W13-$A$12&lt;Input!$E$238,0,"")</f>
        <v>0</v>
      </c>
      <c r="AE13" s="205">
        <v>2018</v>
      </c>
      <c r="AF13" s="132">
        <f>IF($W13-$A$12&lt;Input!$E$237,Input!$E$268,"")</f>
        <v>0.7</v>
      </c>
      <c r="AH13" s="205">
        <v>2018</v>
      </c>
      <c r="AI13" s="71">
        <f>IF($W13-$A$12&lt;Input!$E$237,0,"")</f>
        <v>0</v>
      </c>
      <c r="AJ13" s="71">
        <f>IF($W13-$A$12&lt;Input!$E$237,0,"")</f>
        <v>0</v>
      </c>
      <c r="AL13" s="163">
        <v>2018</v>
      </c>
      <c r="AM13" s="38">
        <f>IF(AL13-$AL$12&lt;Input!$E$243,Input!N144,"")</f>
        <v>25.993004402575192</v>
      </c>
      <c r="AO13" s="165">
        <v>2018</v>
      </c>
      <c r="AP13" s="38">
        <f>IF(AO13-$AL$12&lt;Input!$E$241,Input!O144,"")</f>
        <v>22.873843874266171</v>
      </c>
      <c r="AR13" s="167">
        <v>2018</v>
      </c>
      <c r="AS13" s="38">
        <f>IF(AL13-$AL$12&lt;Input!$E$243,Input!$E$290,"")</f>
        <v>1</v>
      </c>
    </row>
    <row r="14" spans="1:45" x14ac:dyDescent="0.25">
      <c r="A14" s="163">
        <v>2019</v>
      </c>
      <c r="B14" s="94">
        <f>IF(A14-$A$12&lt;Input!$E$237,IF(R14&gt;Input!$G$113-Input!$F$113,Input!$G$113-R14,Input!$F$113),"")</f>
        <v>25</v>
      </c>
      <c r="C14" s="37">
        <f>IF(A14-$A$12&lt;Input!$E$238,IF(R14&gt;Input!$H$114,0,Input!$H$114-R14),"")</f>
        <v>49.75731573007743</v>
      </c>
      <c r="D14" s="37">
        <f>IF(A14-$A$12&lt;Input!$E$239,IF(R14&gt;Input!$H$115,0,Input!$H$115-R14),"")</f>
        <v>56.75731573007743</v>
      </c>
      <c r="E14" s="37">
        <f>IF(A14-$A$12&lt;Input!$E$240,IF(R14&gt;Input!$H$116,0,Input!$H$116-R14),"")</f>
        <v>69.757315730077437</v>
      </c>
      <c r="F14" s="15">
        <f>IF(A14-$A$12&lt;Input!$E$241,Input!$E$117,"")</f>
        <v>15</v>
      </c>
      <c r="G14" s="94">
        <f>IF(A14-$A$12&lt;Input!$E$242,Input!I145,"")</f>
        <v>70.655103164060591</v>
      </c>
      <c r="H14" s="15">
        <f>IF(A14-$A$12&lt;Input!$E$243,IF(Q14&gt;Input!$H$119,0,Input!$H$119-Q14),"")</f>
        <v>37.508128588974927</v>
      </c>
      <c r="I14" s="15">
        <f>IF(A14-$A$12&lt;Input!$E$243,IF(Q14&gt;Input!$H$120,0,Input!$H$120-Q14),"")</f>
        <v>51.508128588974927</v>
      </c>
      <c r="J14" s="69"/>
      <c r="K14" s="163">
        <v>2019</v>
      </c>
      <c r="L14" s="95">
        <f>IF(A14-$A$12&lt;Input!$E$243,Input!B192,"")</f>
        <v>93.805399581813774</v>
      </c>
      <c r="N14" s="163">
        <v>2019</v>
      </c>
      <c r="O14" s="239">
        <f>IF(A14-$A$12&lt;Input!$E$243,Input!L192,"")</f>
        <v>17.386932337127654</v>
      </c>
      <c r="Q14" s="95">
        <f>Input!G70/10</f>
        <v>22.491871411025077</v>
      </c>
      <c r="R14" s="95">
        <f>Input!H70/10</f>
        <v>20.24268426992257</v>
      </c>
      <c r="S14" s="69"/>
      <c r="T14" s="205">
        <v>2019</v>
      </c>
      <c r="U14" s="94">
        <f>IF(N14-$N$12&lt;Input!$E$237,IF(N14-$N$12&lt;Input!$E$126,Input!$E$113,0),"")</f>
        <v>1.8</v>
      </c>
      <c r="W14" s="163">
        <v>2019</v>
      </c>
      <c r="X14" s="71">
        <f>IF($W14-$A$12&lt;Input!$E$238,0,"")</f>
        <v>0</v>
      </c>
      <c r="Y14" s="71">
        <f>IF($W14-$A$12&lt;Input!$E$238,0,"")</f>
        <v>0</v>
      </c>
      <c r="Z14" s="71">
        <f>IF($W14-$A$12&lt;Input!$E$238,0,"")</f>
        <v>0</v>
      </c>
      <c r="AA14" s="71">
        <f>IF($W14-$A$12&lt;Input!$E$238,0,"")</f>
        <v>0</v>
      </c>
      <c r="AB14" s="71">
        <f>IF($W14-$A$12&lt;Input!$E$238,0,"")</f>
        <v>0</v>
      </c>
      <c r="AC14" s="71">
        <f>IF($W14-$A$12&lt;Input!$E$238,0,"")</f>
        <v>0</v>
      </c>
      <c r="AE14" s="205">
        <v>2019</v>
      </c>
      <c r="AF14" s="132">
        <f>IF($W14-$A$12&lt;Input!$E$237,Input!$E$268,"")</f>
        <v>0.7</v>
      </c>
      <c r="AH14" s="205">
        <v>2019</v>
      </c>
      <c r="AI14" s="71">
        <f>IF($W14-$A$12&lt;Input!$E$237,0,"")</f>
        <v>0</v>
      </c>
      <c r="AJ14" s="71">
        <f>IF($W14-$A$12&lt;Input!$E$237,0,"")</f>
        <v>0</v>
      </c>
      <c r="AL14" s="163">
        <v>2019</v>
      </c>
      <c r="AM14" s="38">
        <f>IF(AL14-$AL$12&lt;Input!$E$243,Input!N145,"")</f>
        <v>26.504200984201759</v>
      </c>
      <c r="AO14" s="165">
        <v>2019</v>
      </c>
      <c r="AP14" s="38">
        <f>IF(AO14-$AL$12&lt;Input!$E$241,Input!O145,"")</f>
        <v>23.323696866097549</v>
      </c>
      <c r="AR14" s="167">
        <v>2019</v>
      </c>
      <c r="AS14" s="38">
        <f>IF(AL14-$AL$12&lt;Input!$E$243,Input!$E$290,"")</f>
        <v>1</v>
      </c>
    </row>
    <row r="15" spans="1:45" x14ac:dyDescent="0.25">
      <c r="A15" s="163">
        <v>2020</v>
      </c>
      <c r="B15" s="94">
        <f>IF(A15-$A$12&lt;Input!$E$237,IF(R15&gt;Input!$G$113-Input!$F$113,Input!$G$113-R15,Input!$F$113),"")</f>
        <v>25</v>
      </c>
      <c r="C15" s="37">
        <f>IF(A15-$A$12&lt;Input!$E$238,IF(R15&gt;Input!$H$114,0,Input!$H$114-R15),"")</f>
        <v>47.723613337197335</v>
      </c>
      <c r="D15" s="37">
        <f>IF(A15-$A$12&lt;Input!$E$239,IF(R15&gt;Input!$H$115,0,Input!$H$115-R15),"")</f>
        <v>54.723613337197335</v>
      </c>
      <c r="E15" s="37">
        <f>IF(A15-$A$12&lt;Input!$E$240,IF(R15&gt;Input!$H$116,0,Input!$H$116-R15),"")</f>
        <v>67.723613337197335</v>
      </c>
      <c r="F15" s="15">
        <f>IF(A15-$A$12&lt;Input!$E$241,Input!$E$117,"")</f>
        <v>15</v>
      </c>
      <c r="G15" s="94">
        <f>IF(A15-$A$12&lt;Input!$E$242,Input!I146,"")</f>
        <v>64.943431610514892</v>
      </c>
      <c r="H15" s="15">
        <f>IF(A15-$A$12&lt;Input!$E$243,IF(Q15&gt;Input!$H$119,0,Input!$H$119-Q15),"")</f>
        <v>35.248459263552597</v>
      </c>
      <c r="I15" s="15">
        <f>IF(A15-$A$12&lt;Input!$E$243,IF(Q15&gt;Input!$H$120,0,Input!$H$120-Q15),"")</f>
        <v>49.248459263552597</v>
      </c>
      <c r="J15" s="69"/>
      <c r="K15" s="163">
        <v>2020</v>
      </c>
      <c r="L15" s="95">
        <f>IF(A15-$A$12&lt;Input!$E$243,Input!B193,"")</f>
        <v>95.888881308503656</v>
      </c>
      <c r="N15" s="163">
        <v>2020</v>
      </c>
      <c r="O15" s="239">
        <f>IF(A15-$A$12&lt;Input!$E$243,Input!L193,"")</f>
        <v>18.630989735344716</v>
      </c>
      <c r="Q15" s="95">
        <f>Input!G71/10</f>
        <v>24.751540736447403</v>
      </c>
      <c r="R15" s="95">
        <f>Input!H71/10</f>
        <v>22.276386662802661</v>
      </c>
      <c r="S15" s="69"/>
      <c r="T15" s="205">
        <v>2020</v>
      </c>
      <c r="U15" s="94">
        <f>IF(N15-$N$12&lt;Input!$E$237,IF(N15-$N$12&lt;Input!$E$126,Input!$E$113,0),"")</f>
        <v>1.8</v>
      </c>
      <c r="W15" s="163">
        <v>2020</v>
      </c>
      <c r="X15" s="71">
        <f>IF($W15-$A$12&lt;Input!$E$238,0,"")</f>
        <v>0</v>
      </c>
      <c r="Y15" s="71">
        <f>IF($W15-$A$12&lt;Input!$E$238,0,"")</f>
        <v>0</v>
      </c>
      <c r="Z15" s="71">
        <f>IF($W15-$A$12&lt;Input!$E$238,0,"")</f>
        <v>0</v>
      </c>
      <c r="AA15" s="71">
        <f>IF($W15-$A$12&lt;Input!$E$238,0,"")</f>
        <v>0</v>
      </c>
      <c r="AB15" s="71">
        <f>IF($W15-$A$12&lt;Input!$E$238,0,"")</f>
        <v>0</v>
      </c>
      <c r="AC15" s="71">
        <f>IF($W15-$A$12&lt;Input!$E$238,0,"")</f>
        <v>0</v>
      </c>
      <c r="AE15" s="205">
        <v>2020</v>
      </c>
      <c r="AF15" s="132">
        <f>IF($W15-$A$12&lt;Input!$E$237,Input!$E$268,"")</f>
        <v>0.7</v>
      </c>
      <c r="AH15" s="205">
        <v>2020</v>
      </c>
      <c r="AI15" s="71">
        <f>IF($W15-$A$12&lt;Input!$E$237,0,"")</f>
        <v>0</v>
      </c>
      <c r="AJ15" s="71">
        <f>IF($W15-$A$12&lt;Input!$E$237,0,"")</f>
        <v>0</v>
      </c>
      <c r="AL15" s="163">
        <v>2020</v>
      </c>
      <c r="AM15" s="38">
        <f>IF(AL15-$AL$12&lt;Input!$E$243,Input!N146,"")</f>
        <v>27.025451114891734</v>
      </c>
      <c r="AO15" s="165">
        <v>2020</v>
      </c>
      <c r="AP15" s="38">
        <f>IF(AO15-$AL$12&lt;Input!$E$241,Input!O146,"")</f>
        <v>23.782396981104728</v>
      </c>
      <c r="AR15" s="167">
        <v>2020</v>
      </c>
      <c r="AS15" s="38">
        <f>IF(AL15-$AL$12&lt;Input!$E$243,Input!$E$290,"")</f>
        <v>1</v>
      </c>
    </row>
    <row r="16" spans="1:45" x14ac:dyDescent="0.25">
      <c r="A16" s="163">
        <v>2021</v>
      </c>
      <c r="B16" s="94">
        <f>IF(A16-$A$12&lt;Input!$E$237,IF(R16&gt;Input!$G$113-Input!$F$113,Input!$G$113-R16,Input!$F$113),"")</f>
        <v>25</v>
      </c>
      <c r="C16" s="37">
        <f>IF(A16-$A$12&lt;Input!$E$238,IF(R16&gt;Input!$H$114,0,Input!$H$114-R16),"")</f>
        <v>43.054457287856842</v>
      </c>
      <c r="D16" s="37">
        <f>IF(A16-$A$12&lt;Input!$E$239,IF(R16&gt;Input!$H$115,0,Input!$H$115-R16),"")</f>
        <v>50.054457287856842</v>
      </c>
      <c r="E16" s="37">
        <f>IF(A16-$A$12&lt;Input!$E$240,IF(R16&gt;Input!$H$116,0,Input!$H$116-R16),"")</f>
        <v>63.054457287856842</v>
      </c>
      <c r="F16" s="15">
        <f>IF(A16-$A$12&lt;Input!$E$241,Input!$E$117,"")</f>
        <v>15</v>
      </c>
      <c r="G16" s="94">
        <f>IF(A16-$A$12&lt;Input!$E$242,Input!I147,"")</f>
        <v>58.337091723236966</v>
      </c>
      <c r="H16" s="15">
        <f>IF(A16-$A$12&lt;Input!$E$243,IF(Q16&gt;Input!$H$119,0,Input!$H$119-Q16),"")</f>
        <v>30.060508097618715</v>
      </c>
      <c r="I16" s="15">
        <f>IF(A16-$A$12&lt;Input!$E$243,IF(Q16&gt;Input!$H$120,0,Input!$H$120-Q16),"")</f>
        <v>44.060508097618715</v>
      </c>
      <c r="J16" s="69"/>
      <c r="K16" s="163">
        <v>2021</v>
      </c>
      <c r="L16" s="95">
        <f>IF(A16-$A$12&lt;Input!$E$243,Input!B194,"")</f>
        <v>97.742106898315029</v>
      </c>
      <c r="N16" s="163">
        <v>2021</v>
      </c>
      <c r="O16" s="239">
        <f>IF(A16-$A$12&lt;Input!$E$243,Input!L194,"")</f>
        <v>23.224495345202406</v>
      </c>
      <c r="Q16" s="95">
        <f>Input!G72/10</f>
        <v>29.939491902381285</v>
      </c>
      <c r="R16" s="95">
        <f>Input!H72/10</f>
        <v>26.945542712143158</v>
      </c>
      <c r="S16" s="69"/>
      <c r="T16" s="205">
        <v>2021</v>
      </c>
      <c r="U16" s="94">
        <f>IF(N16-$N$12&lt;Input!$E$237,IF(N16-$N$12&lt;Input!$E$126,Input!$E$113,0),"")</f>
        <v>1.8</v>
      </c>
      <c r="W16" s="163">
        <v>2021</v>
      </c>
      <c r="X16" s="71">
        <f>IF($W16-$A$12&lt;Input!$E$238,0,"")</f>
        <v>0</v>
      </c>
      <c r="Y16" s="71">
        <f>IF($W16-$A$12&lt;Input!$E$238,0,"")</f>
        <v>0</v>
      </c>
      <c r="Z16" s="71">
        <f>IF($W16-$A$12&lt;Input!$E$238,0,"")</f>
        <v>0</v>
      </c>
      <c r="AA16" s="71">
        <f>IF($W16-$A$12&lt;Input!$E$238,0,"")</f>
        <v>0</v>
      </c>
      <c r="AB16" s="71">
        <f>IF($W16-$A$12&lt;Input!$E$238,0,"")</f>
        <v>0</v>
      </c>
      <c r="AC16" s="71">
        <f>IF($W16-$A$12&lt;Input!$E$238,0,"")</f>
        <v>0</v>
      </c>
      <c r="AE16" s="205">
        <v>2021</v>
      </c>
      <c r="AF16" s="132">
        <f>IF($W16-$A$12&lt;Input!$E$237,Input!$E$268,"")</f>
        <v>0.7</v>
      </c>
      <c r="AH16" s="205">
        <v>2021</v>
      </c>
      <c r="AI16" s="71">
        <f>IF($W16-$A$12&lt;Input!$E$237,0,"")</f>
        <v>0</v>
      </c>
      <c r="AJ16" s="71">
        <f>IF($W16-$A$12&lt;Input!$E$237,0,"")</f>
        <v>0</v>
      </c>
      <c r="AL16" s="163">
        <v>2021</v>
      </c>
      <c r="AM16" s="38">
        <f>IF(AL16-$AL$12&lt;Input!$E$243,Input!N147,"")</f>
        <v>27.556952514763765</v>
      </c>
      <c r="AO16" s="165">
        <v>2021</v>
      </c>
      <c r="AP16" s="38">
        <f>IF(AO16-$AL$12&lt;Input!$E$241,Input!O147,"")</f>
        <v>24.250118212992113</v>
      </c>
      <c r="AR16" s="167">
        <v>2021</v>
      </c>
      <c r="AS16" s="38">
        <f>IF(AL16-$AL$12&lt;Input!$E$243,Input!$E$290,"")</f>
        <v>1</v>
      </c>
    </row>
    <row r="17" spans="1:45" x14ac:dyDescent="0.25">
      <c r="A17" s="163">
        <v>2022</v>
      </c>
      <c r="B17" s="94">
        <f>IF(A17-$A$12&lt;Input!$E$237,IF(R17&gt;Input!$G$113-Input!$F$113,Input!$G$113-R17,Input!$F$113),"")</f>
        <v>25</v>
      </c>
      <c r="C17" s="37">
        <f>IF(A17-$A$12&lt;Input!$E$238,IF(R17&gt;Input!$H$114,0,Input!$H$114-R17),"")</f>
        <v>40.162791039921281</v>
      </c>
      <c r="D17" s="37">
        <f>IF(A17-$A$12&lt;Input!$E$239,IF(R17&gt;Input!$H$115,0,Input!$H$115-R17),"")</f>
        <v>47.162791039921281</v>
      </c>
      <c r="E17" s="37">
        <f>IF(A17-$A$12&lt;Input!$E$240,IF(R17&gt;Input!$H$116,0,Input!$H$116-R17),"")</f>
        <v>60.162791039921281</v>
      </c>
      <c r="F17" s="15">
        <f>IF(A17-$A$12&lt;Input!$E$241,Input!$E$117,"")</f>
        <v>15</v>
      </c>
      <c r="G17" s="94">
        <f>IF(A17-$A$12&lt;Input!$E$242,Input!I148,"")</f>
        <v>54.76304081630672</v>
      </c>
      <c r="H17" s="15">
        <f>IF(A17-$A$12&lt;Input!$E$243,IF(Q17&gt;Input!$H$119,0,Input!$H$119-Q17),"")</f>
        <v>26.847545599912536</v>
      </c>
      <c r="I17" s="15">
        <f>IF(A17-$A$12&lt;Input!$E$243,IF(Q17&gt;Input!$H$120,0,Input!$H$120-Q17),"")</f>
        <v>40.847545599912536</v>
      </c>
      <c r="J17" s="69"/>
      <c r="K17" s="163">
        <v>2022</v>
      </c>
      <c r="L17" s="95">
        <f>IF(A17-$A$12&lt;Input!$E$243,Input!B195,"")</f>
        <v>99.647457095295195</v>
      </c>
      <c r="N17" s="163">
        <v>2022</v>
      </c>
      <c r="O17" s="239">
        <f>IF(A17-$A$12&lt;Input!$E$243,Input!L195,"")</f>
        <v>22.893101583754806</v>
      </c>
      <c r="Q17" s="95">
        <f>Input!G73/10</f>
        <v>33.152454400087464</v>
      </c>
      <c r="R17" s="95">
        <f>Input!H73/10</f>
        <v>29.837208960078719</v>
      </c>
      <c r="S17" s="69"/>
      <c r="T17" s="205">
        <v>2022</v>
      </c>
      <c r="U17" s="94">
        <f>IF(N17-$N$12&lt;Input!$E$237,IF(N17-$N$12&lt;Input!$E$126,Input!$E$113,0),"")</f>
        <v>1.8</v>
      </c>
      <c r="W17" s="163">
        <v>2022</v>
      </c>
      <c r="X17" s="71">
        <f>IF($W17-$A$12&lt;Input!$E$238,0,"")</f>
        <v>0</v>
      </c>
      <c r="Y17" s="71">
        <f>IF($W17-$A$12&lt;Input!$E$238,0,"")</f>
        <v>0</v>
      </c>
      <c r="Z17" s="71">
        <f>IF($W17-$A$12&lt;Input!$E$238,0,"")</f>
        <v>0</v>
      </c>
      <c r="AA17" s="71">
        <f>IF($W17-$A$12&lt;Input!$E$238,0,"")</f>
        <v>0</v>
      </c>
      <c r="AB17" s="71">
        <f>IF($W17-$A$12&lt;Input!$E$238,0,"")</f>
        <v>0</v>
      </c>
      <c r="AC17" s="71">
        <f>IF($W17-$A$12&lt;Input!$E$238,0,"")</f>
        <v>0</v>
      </c>
      <c r="AE17" s="205">
        <v>2022</v>
      </c>
      <c r="AF17" s="132">
        <f>IF($W17-$A$12&lt;Input!$E$237,Input!$E$268,"")</f>
        <v>0.7</v>
      </c>
      <c r="AH17" s="205">
        <v>2022</v>
      </c>
      <c r="AI17" s="71">
        <f>IF($W17-$A$12&lt;Input!$E$237,0,"")</f>
        <v>0</v>
      </c>
      <c r="AJ17" s="71">
        <f>IF($W17-$A$12&lt;Input!$E$237,0,"")</f>
        <v>0</v>
      </c>
      <c r="AL17" s="163">
        <v>2022</v>
      </c>
      <c r="AM17" s="38">
        <f>IF(AL17-$AL$12&lt;Input!$E$243,Input!N148,"")</f>
        <v>28.098906792438463</v>
      </c>
      <c r="AO17" s="165">
        <v>2022</v>
      </c>
      <c r="AP17" s="38">
        <f>IF(AO17-$AL$12&lt;Input!$E$241,Input!O148,"")</f>
        <v>24.727037977345848</v>
      </c>
      <c r="AR17" s="167">
        <v>2022</v>
      </c>
      <c r="AS17" s="38">
        <f>IF(AL17-$AL$12&lt;Input!$E$243,Input!$E$290,"")</f>
        <v>1</v>
      </c>
    </row>
    <row r="18" spans="1:45" x14ac:dyDescent="0.25">
      <c r="A18" s="163">
        <v>2023</v>
      </c>
      <c r="B18" s="94">
        <f>IF(A18-$A$12&lt;Input!$E$237,IF(R18&gt;Input!$G$113-Input!$F$113,Input!$G$113-R18,Input!$F$113),"")</f>
        <v>25</v>
      </c>
      <c r="C18" s="37">
        <f>IF(A18-$A$12&lt;Input!$E$238,IF(R18&gt;Input!$H$114,0,Input!$H$114-R18),"")</f>
        <v>37.793611648213229</v>
      </c>
      <c r="D18" s="37">
        <f>IF(A18-$A$12&lt;Input!$E$239,IF(R18&gt;Input!$H$115,0,Input!$H$115-R18),"")</f>
        <v>44.793611648213229</v>
      </c>
      <c r="E18" s="37">
        <f>IF(A18-$A$12&lt;Input!$E$240,IF(R18&gt;Input!$H$116,0,Input!$H$116-R18),"")</f>
        <v>57.793611648213229</v>
      </c>
      <c r="F18" s="15">
        <f>IF(A18-$A$12&lt;Input!$E$241,Input!$E$117,"")</f>
        <v>15</v>
      </c>
      <c r="G18" s="94">
        <f>IF(A18-$A$12&lt;Input!$E$242,Input!I149,"")</f>
        <v>53.166192876802185</v>
      </c>
      <c r="H18" s="15">
        <f>IF(A18-$A$12&lt;Input!$E$243,IF(Q18&gt;Input!$H$119,0,Input!$H$119-Q18),"")</f>
        <v>24.215124053570257</v>
      </c>
      <c r="I18" s="15">
        <f>IF(A18-$A$12&lt;Input!$E$243,IF(Q18&gt;Input!$H$120,0,Input!$H$120-Q18),"")</f>
        <v>38.215124053570257</v>
      </c>
      <c r="J18" s="69"/>
      <c r="K18" s="163">
        <v>2023</v>
      </c>
      <c r="L18" s="95">
        <f>IF(A18-$A$12&lt;Input!$E$243,Input!B196,"")</f>
        <v>101.60373485009424</v>
      </c>
      <c r="N18" s="163">
        <v>2023</v>
      </c>
      <c r="O18" s="239">
        <f>IF(A18-$A$12&lt;Input!$E$243,Input!L196,"")</f>
        <v>20.937204606395873</v>
      </c>
      <c r="Q18" s="95">
        <f>Input!G74/10</f>
        <v>35.784875946429743</v>
      </c>
      <c r="R18" s="95">
        <f>Input!H74/10</f>
        <v>32.206388351786771</v>
      </c>
      <c r="S18" s="69"/>
      <c r="T18" s="205">
        <v>2023</v>
      </c>
      <c r="U18" s="94">
        <f>IF(N18-$N$12&lt;Input!$E$237,IF(N18-$N$12&lt;Input!$E$126,Input!$E$113,0),"")</f>
        <v>1.8</v>
      </c>
      <c r="W18" s="163">
        <v>2023</v>
      </c>
      <c r="X18" s="71">
        <f>IF($W18-$A$12&lt;Input!$E$238,0,"")</f>
        <v>0</v>
      </c>
      <c r="Y18" s="71">
        <f>IF($W18-$A$12&lt;Input!$E$238,0,"")</f>
        <v>0</v>
      </c>
      <c r="Z18" s="71">
        <f>IF($W18-$A$12&lt;Input!$E$238,0,"")</f>
        <v>0</v>
      </c>
      <c r="AA18" s="71">
        <f>IF($W18-$A$12&lt;Input!$E$238,0,"")</f>
        <v>0</v>
      </c>
      <c r="AB18" s="71">
        <f>IF($W18-$A$12&lt;Input!$E$238,0,"")</f>
        <v>0</v>
      </c>
      <c r="AC18" s="71">
        <f>IF($W18-$A$12&lt;Input!$E$238,0,"")</f>
        <v>0</v>
      </c>
      <c r="AE18" s="205">
        <v>2023</v>
      </c>
      <c r="AF18" s="132">
        <f>IF($W18-$A$12&lt;Input!$E$237,Input!$E$268,"")</f>
        <v>0.7</v>
      </c>
      <c r="AH18" s="205">
        <v>2023</v>
      </c>
      <c r="AI18" s="71">
        <f>IF($W18-$A$12&lt;Input!$E$237,0,"")</f>
        <v>0</v>
      </c>
      <c r="AJ18" s="71">
        <f>IF($W18-$A$12&lt;Input!$E$237,0,"")</f>
        <v>0</v>
      </c>
      <c r="AL18" s="163">
        <v>2023</v>
      </c>
      <c r="AM18" s="38">
        <f>IF(AL18-$AL$12&lt;Input!$E$243,Input!N149,"")</f>
        <v>28.651519521512405</v>
      </c>
      <c r="AO18" s="165">
        <v>2023</v>
      </c>
      <c r="AP18" s="38">
        <f>IF(AO18-$AL$12&lt;Input!$E$241,Input!O149,"")</f>
        <v>25.213337178930917</v>
      </c>
      <c r="AR18" s="167">
        <v>2023</v>
      </c>
      <c r="AS18" s="38">
        <f>IF(AL18-$AL$12&lt;Input!$E$243,Input!$E$290,"")</f>
        <v>1</v>
      </c>
    </row>
    <row r="19" spans="1:45" x14ac:dyDescent="0.25">
      <c r="A19" s="163">
        <v>2024</v>
      </c>
      <c r="B19" s="94">
        <f>IF(A19-$A$12&lt;Input!$E$237,IF(R19&gt;Input!$G$113-Input!$F$113,Input!$G$113-R19,Input!$F$113),"")</f>
        <v>24.632767528447467</v>
      </c>
      <c r="C19" s="37">
        <f>IF(A19-$A$12&lt;Input!$E$238,IF(R19&gt;Input!$H$114,0,Input!$H$114-R19),"")</f>
        <v>36.632767528447467</v>
      </c>
      <c r="D19" s="37">
        <f>IF(A19-$A$12&lt;Input!$E$239,IF(R19&gt;Input!$H$115,0,Input!$H$115-R19),"")</f>
        <v>43.632767528447467</v>
      </c>
      <c r="E19" s="37">
        <f>IF(A19-$A$12&lt;Input!$E$240,IF(R19&gt;Input!$H$116,0,Input!$H$116-R19),"")</f>
        <v>56.632767528447467</v>
      </c>
      <c r="F19" s="15">
        <f>IF(A19-$A$12&lt;Input!$E$241,Input!$E$117,"")</f>
        <v>15</v>
      </c>
      <c r="G19" s="94">
        <f>IF(A19-$A$12&lt;Input!$E$242,Input!I150,"")</f>
        <v>52.913925548272687</v>
      </c>
      <c r="H19" s="15">
        <f>IF(A19-$A$12&lt;Input!$E$243,IF(Q19&gt;Input!$H$119,0,Input!$H$119-Q19),"")</f>
        <v>22.925297253830522</v>
      </c>
      <c r="I19" s="15">
        <f>IF(A19-$A$12&lt;Input!$E$243,IF(Q19&gt;Input!$H$120,0,Input!$H$120-Q19),"")</f>
        <v>36.925297253830522</v>
      </c>
      <c r="J19" s="69"/>
      <c r="K19" s="163">
        <v>2024</v>
      </c>
      <c r="L19" s="95">
        <f>IF(A19-$A$12&lt;Input!$E$243,Input!B197,"")</f>
        <v>103.57897657191371</v>
      </c>
      <c r="N19" s="163">
        <v>2024</v>
      </c>
      <c r="O19" s="239">
        <f>IF(A19-$A$12&lt;Input!$E$243,Input!L197,"")</f>
        <v>18.423286661984779</v>
      </c>
      <c r="Q19" s="95">
        <f>Input!G75/10</f>
        <v>37.074702746169478</v>
      </c>
      <c r="R19" s="95">
        <f>Input!H75/10</f>
        <v>33.367232471552533</v>
      </c>
      <c r="S19" s="69"/>
      <c r="T19" s="205">
        <v>2024</v>
      </c>
      <c r="U19" s="94">
        <f>IF(N19-$N$12&lt;Input!$E$237,IF(N19-$N$12&lt;Input!$E$126,Input!$E$113,0),"")</f>
        <v>1.8</v>
      </c>
      <c r="W19" s="163">
        <v>2024</v>
      </c>
      <c r="X19" s="71">
        <f>IF($W19-$A$12&lt;Input!$E$238,0,"")</f>
        <v>0</v>
      </c>
      <c r="Y19" s="71">
        <f>IF($W19-$A$12&lt;Input!$E$238,0,"")</f>
        <v>0</v>
      </c>
      <c r="Z19" s="71">
        <f>IF($W19-$A$12&lt;Input!$E$238,0,"")</f>
        <v>0</v>
      </c>
      <c r="AA19" s="71">
        <f>IF($W19-$A$12&lt;Input!$E$238,0,"")</f>
        <v>0</v>
      </c>
      <c r="AB19" s="71">
        <f>IF($W19-$A$12&lt;Input!$E$238,0,"")</f>
        <v>0</v>
      </c>
      <c r="AC19" s="71">
        <f>IF($W19-$A$12&lt;Input!$E$238,0,"")</f>
        <v>0</v>
      </c>
      <c r="AE19" s="205">
        <v>2024</v>
      </c>
      <c r="AF19" s="132">
        <f>IF($W19-$A$12&lt;Input!$E$237,Input!$E$268,"")</f>
        <v>0.7</v>
      </c>
      <c r="AH19" s="205">
        <v>2024</v>
      </c>
      <c r="AI19" s="71">
        <f>IF($W19-$A$12&lt;Input!$E$237,0,"")</f>
        <v>0</v>
      </c>
      <c r="AJ19" s="71">
        <f>IF($W19-$A$12&lt;Input!$E$237,0,"")</f>
        <v>0</v>
      </c>
      <c r="AL19" s="163">
        <v>2024</v>
      </c>
      <c r="AM19" s="38">
        <f>IF(AL19-$AL$12&lt;Input!$E$243,Input!N150,"")</f>
        <v>29.21500031853612</v>
      </c>
      <c r="AO19" s="165">
        <v>2024</v>
      </c>
      <c r="AP19" s="38">
        <f>IF(AO19-$AL$12&lt;Input!$E$241,Input!O150,"")</f>
        <v>25.709200280311787</v>
      </c>
      <c r="AR19" s="167">
        <v>2024</v>
      </c>
      <c r="AS19" s="38">
        <f>IF(AL19-$AL$12&lt;Input!$E$243,Input!$E$290,"")</f>
        <v>1</v>
      </c>
    </row>
    <row r="20" spans="1:45" x14ac:dyDescent="0.25">
      <c r="A20" s="163">
        <v>2025</v>
      </c>
      <c r="B20" s="94">
        <f>IF(A20-$A$12&lt;Input!$E$237,IF(R20&gt;Input!$G$113-Input!$F$113,Input!$G$113-R20,Input!$F$113),"")</f>
        <v>22.677252801461208</v>
      </c>
      <c r="C20" s="37">
        <f>IF(A20-$A$12&lt;Input!$E$238,IF(R20&gt;Input!$H$114,0,Input!$H$114-R20),"")</f>
        <v>34.677252801461208</v>
      </c>
      <c r="D20" s="37">
        <f>IF(A20-$A$12&lt;Input!$E$239,IF(R20&gt;Input!$H$115,0,Input!$H$115-R20),"")</f>
        <v>41.677252801461208</v>
      </c>
      <c r="E20" s="37">
        <f>IF(A20-$A$12&lt;Input!$E$240,IF(R20&gt;Input!$H$116,0,Input!$H$116-R20),"")</f>
        <v>54.677252801461208</v>
      </c>
      <c r="F20" s="15">
        <f>IF(A20-$A$12&lt;Input!$E$241,Input!$E$117,"")</f>
        <v>15</v>
      </c>
      <c r="G20" s="94">
        <f>IF(A20-$A$12&lt;Input!$E$242,Input!I151,"")</f>
        <v>51.788502794268396</v>
      </c>
      <c r="H20" s="15">
        <f>IF(A20-$A$12&lt;Input!$E$243,IF(Q20&gt;Input!$H$119,0,Input!$H$119-Q20),"")</f>
        <v>20.752503112734679</v>
      </c>
      <c r="I20" s="15">
        <f>IF(A20-$A$12&lt;Input!$E$243,IF(Q20&gt;Input!$H$120,0,Input!$H$120-Q20),"")</f>
        <v>34.752503112734679</v>
      </c>
      <c r="J20" s="69"/>
      <c r="K20" s="163">
        <v>2025</v>
      </c>
      <c r="L20" s="95">
        <f>IF(A20-$A$12&lt;Input!$E$243,Input!B198,"")</f>
        <v>105.5882240813265</v>
      </c>
      <c r="N20" s="163">
        <v>2025</v>
      </c>
      <c r="O20" s="239">
        <f>IF(A20-$A$12&lt;Input!$E$243,Input!L198,"")</f>
        <v>16.415616352467151</v>
      </c>
      <c r="Q20" s="95">
        <f>Input!G76/10</f>
        <v>39.247496887265321</v>
      </c>
      <c r="R20" s="95">
        <f>Input!H76/10</f>
        <v>35.322747198538792</v>
      </c>
      <c r="S20" s="69"/>
      <c r="T20" s="205">
        <v>2025</v>
      </c>
      <c r="U20" s="94">
        <f>IF(N20-$N$12&lt;Input!$E$237,IF(N20-$N$12&lt;Input!$E$126,Input!$E$113,0),"")</f>
        <v>1.8</v>
      </c>
      <c r="W20" s="163">
        <v>2025</v>
      </c>
      <c r="X20" s="71">
        <f>IF($W20-$A$12&lt;Input!$E$238,0,"")</f>
        <v>0</v>
      </c>
      <c r="Y20" s="71">
        <f>IF($W20-$A$12&lt;Input!$E$238,0,"")</f>
        <v>0</v>
      </c>
      <c r="Z20" s="71">
        <f>IF($W20-$A$12&lt;Input!$E$238,0,"")</f>
        <v>0</v>
      </c>
      <c r="AA20" s="71">
        <f>IF($W20-$A$12&lt;Input!$E$238,0,"")</f>
        <v>0</v>
      </c>
      <c r="AB20" s="71">
        <f>IF($W20-$A$12&lt;Input!$E$238,0,"")</f>
        <v>0</v>
      </c>
      <c r="AC20" s="71">
        <f>IF($W20-$A$12&lt;Input!$E$238,0,"")</f>
        <v>0</v>
      </c>
      <c r="AE20" s="205">
        <v>2025</v>
      </c>
      <c r="AF20" s="132">
        <f>IF($W20-$A$12&lt;Input!$E$237,Input!$E$268,"")</f>
        <v>0.7</v>
      </c>
      <c r="AH20" s="205">
        <v>2025</v>
      </c>
      <c r="AI20" s="71">
        <f>IF($W20-$A$12&lt;Input!$E$237,0,"")</f>
        <v>0</v>
      </c>
      <c r="AJ20" s="71">
        <f>IF($W20-$A$12&lt;Input!$E$237,0,"")</f>
        <v>0</v>
      </c>
      <c r="AL20" s="163">
        <v>2025</v>
      </c>
      <c r="AM20" s="38">
        <f>IF(AL20-$AL$12&lt;Input!$E$243,Input!N151,"")</f>
        <v>29.789562922525644</v>
      </c>
      <c r="AO20" s="165">
        <v>2025</v>
      </c>
      <c r="AP20" s="38">
        <f>IF(AO20-$AL$12&lt;Input!$E$241,Input!O151,"")</f>
        <v>26.214815371822567</v>
      </c>
      <c r="AR20" s="167">
        <v>2025</v>
      </c>
      <c r="AS20" s="38">
        <f>IF(AL20-$AL$12&lt;Input!$E$243,Input!$E$290,"")</f>
        <v>1</v>
      </c>
    </row>
    <row r="21" spans="1:45" x14ac:dyDescent="0.25">
      <c r="A21" s="163">
        <v>2026</v>
      </c>
      <c r="B21" s="71">
        <f>IF(A21-$A$12&lt;Input!$E$237,0,"")</f>
        <v>0</v>
      </c>
      <c r="C21" s="37">
        <f>IF(A21-$A$12&lt;Input!$E$238,IF(R21&gt;Input!$H$114,0,Input!$H$114-R21),"")</f>
        <v>33.992075417849449</v>
      </c>
      <c r="D21" s="37">
        <f>IF(A21-$A$12&lt;Input!$E$239,IF(R21&gt;Input!$H$115,0,Input!$H$115-R21),"")</f>
        <v>40.992075417849449</v>
      </c>
      <c r="E21" s="37">
        <f>IF(A21-$A$12&lt;Input!$E$240,IF(R21&gt;Input!$H$116,0,Input!$H$116-R21),"")</f>
        <v>53.992075417849449</v>
      </c>
      <c r="F21" s="15">
        <f>IF(A21-$A$12&lt;Input!$E$241,Input!$E$117,"")</f>
        <v>15</v>
      </c>
      <c r="G21" s="94">
        <f>IF(A21-$A$12&lt;Input!$E$242,Input!I152,"")</f>
        <v>52.086723868524864</v>
      </c>
      <c r="H21" s="15">
        <f>IF(A21-$A$12&lt;Input!$E$243,IF(Q21&gt;Input!$H$119,0,Input!$H$119-Q21),"")</f>
        <v>19.991194908721617</v>
      </c>
      <c r="I21" s="15">
        <f>IF(A21-$A$12&lt;Input!$E$243,IF(Q21&gt;Input!$H$120,0,Input!$H$120-Q21),"")</f>
        <v>33.991194908721617</v>
      </c>
      <c r="J21" s="69"/>
      <c r="K21" s="163">
        <v>2026</v>
      </c>
      <c r="L21" s="95">
        <f>IF(A21-$A$12&lt;Input!$E$243,Input!B199,"")</f>
        <v>107.63638479514685</v>
      </c>
      <c r="N21" s="163">
        <v>2026</v>
      </c>
      <c r="O21" s="239">
        <f>IF(A21-$A$12&lt;Input!$E$243,Input!L199,"")</f>
        <v>16.734040313082055</v>
      </c>
      <c r="Q21" s="95">
        <f>Input!G77/10</f>
        <v>40.008805091278383</v>
      </c>
      <c r="R21" s="95">
        <f>Input!H77/10</f>
        <v>36.007924582150551</v>
      </c>
      <c r="S21" s="69"/>
      <c r="T21" s="205">
        <v>2026</v>
      </c>
      <c r="U21" s="94">
        <f>IF(N21-$N$12&lt;Input!$E$237,IF(N21-$N$12&lt;Input!$E$126,Input!$E$113,0),"")</f>
        <v>1.8</v>
      </c>
      <c r="W21" s="163">
        <v>2026</v>
      </c>
      <c r="X21" s="71">
        <f>IF($W21-$A$12&lt;Input!$E$238,0,"")</f>
        <v>0</v>
      </c>
      <c r="Y21" s="71">
        <f>IF($W21-$A$12&lt;Input!$E$238,0,"")</f>
        <v>0</v>
      </c>
      <c r="Z21" s="71">
        <f>IF($W21-$A$12&lt;Input!$E$238,0,"")</f>
        <v>0</v>
      </c>
      <c r="AA21" s="71">
        <f>IF($W21-$A$12&lt;Input!$E$238,0,"")</f>
        <v>0</v>
      </c>
      <c r="AB21" s="71">
        <f>IF($W21-$A$12&lt;Input!$E$238,0,"")</f>
        <v>0</v>
      </c>
      <c r="AC21" s="71">
        <f>IF($W21-$A$12&lt;Input!$E$238,0,"")</f>
        <v>0</v>
      </c>
      <c r="AE21" s="205">
        <v>2026</v>
      </c>
      <c r="AF21" s="132">
        <f>IF($W21-$A$12&lt;Input!$E$237,Input!$E$268,"")</f>
        <v>0.7</v>
      </c>
      <c r="AH21" s="205">
        <v>2026</v>
      </c>
      <c r="AI21" s="71">
        <f>IF($W21-$A$12&lt;Input!$E$237,0,"")</f>
        <v>0</v>
      </c>
      <c r="AJ21" s="71">
        <f>IF($W21-$A$12&lt;Input!$E$237,0,"")</f>
        <v>0</v>
      </c>
      <c r="AL21" s="163">
        <v>2026</v>
      </c>
      <c r="AM21" s="38">
        <f>IF(AL21-$AL$12&lt;Input!$E$243,Input!N152,"")</f>
        <v>30.375425276037802</v>
      </c>
      <c r="AO21" s="165">
        <v>2026</v>
      </c>
      <c r="AP21" s="38">
        <f>IF(AO21-$AL$12&lt;Input!$E$241,Input!O152,"")</f>
        <v>26.730374242913268</v>
      </c>
      <c r="AR21" s="167">
        <v>2026</v>
      </c>
      <c r="AS21" s="38">
        <f>IF(AL21-$AL$12&lt;Input!$E$243,Input!$E$290,"")</f>
        <v>1</v>
      </c>
    </row>
    <row r="22" spans="1:45" x14ac:dyDescent="0.25">
      <c r="A22" s="163">
        <v>2027</v>
      </c>
      <c r="B22" s="71">
        <f>IF(A22-$A$12&lt;Input!$E$237,0,"")</f>
        <v>0</v>
      </c>
      <c r="C22" s="37">
        <f>IF(A22-$A$12&lt;Input!$E$238,IF(R22&gt;Input!$H$114,0,Input!$H$114-R22),"")</f>
        <v>33.294476686303497</v>
      </c>
      <c r="D22" s="37">
        <f>IF(A22-$A$12&lt;Input!$E$239,IF(R22&gt;Input!$H$115,0,Input!$H$115-R22),"")</f>
        <v>40.294476686303497</v>
      </c>
      <c r="E22" s="37">
        <f>IF(A22-$A$12&lt;Input!$E$240,IF(R22&gt;Input!$H$116,0,Input!$H$116-R22),"")</f>
        <v>53.294476686303497</v>
      </c>
      <c r="F22" s="15">
        <f>IF(A22-$A$12&lt;Input!$E$241,Input!$E$117,"")</f>
        <v>15</v>
      </c>
      <c r="G22" s="94">
        <f>IF(A22-$A$12&lt;Input!$E$242,Input!I153,"")</f>
        <v>52.382140584460103</v>
      </c>
      <c r="H22" s="38">
        <f>IF(A22-$A$12&lt;Input!$E$243,IF(Q22&gt;Input!$I$119,0,Input!$I$119-Q22),"")</f>
        <v>0</v>
      </c>
      <c r="I22" s="169">
        <f>IF(A22-$A$12&lt;Input!$E$243,0,"")</f>
        <v>0</v>
      </c>
      <c r="J22" s="69"/>
      <c r="K22" s="163">
        <v>2027</v>
      </c>
      <c r="L22" s="95">
        <f>IF(A22-$A$12&lt;Input!$E$243,Input!B200,"")</f>
        <v>109.7216759184933</v>
      </c>
      <c r="N22" s="163">
        <v>2027</v>
      </c>
      <c r="O22" s="239">
        <f>IF(A22-$A$12&lt;Input!$E$243,Input!L200,"")</f>
        <v>17.058236873464534</v>
      </c>
      <c r="Q22" s="95">
        <f>Input!G78/10</f>
        <v>40.783914792996114</v>
      </c>
      <c r="R22" s="95">
        <f>Input!H78/10</f>
        <v>36.705523313696503</v>
      </c>
      <c r="S22" s="69"/>
      <c r="T22" s="205">
        <v>2027</v>
      </c>
      <c r="U22" s="94">
        <f>IF(N22-$N$12&lt;Input!$E$237,IF(N22-$N$12&lt;Input!$E$126,Input!$E$113,0),"")</f>
        <v>1.8</v>
      </c>
      <c r="W22" s="163">
        <v>2027</v>
      </c>
      <c r="X22" s="71">
        <f>IF($W22-$A$12&lt;Input!$E$238,0,"")</f>
        <v>0</v>
      </c>
      <c r="Y22" s="71">
        <f>IF($W22-$A$12&lt;Input!$E$238,0,"")</f>
        <v>0</v>
      </c>
      <c r="Z22" s="71">
        <f>IF($W22-$A$12&lt;Input!$E$238,0,"")</f>
        <v>0</v>
      </c>
      <c r="AA22" s="71">
        <f>IF($W22-$A$12&lt;Input!$E$238,0,"")</f>
        <v>0</v>
      </c>
      <c r="AB22" s="71">
        <f>IF($W22-$A$12&lt;Input!$E$238,0,"")</f>
        <v>0</v>
      </c>
      <c r="AC22" s="71">
        <f>IF($W22-$A$12&lt;Input!$E$238,0,"")</f>
        <v>0</v>
      </c>
      <c r="AE22" s="205">
        <v>2027</v>
      </c>
      <c r="AF22" s="132">
        <f>IF($W22-$A$12&lt;Input!$E$237,Input!$E$268,"")</f>
        <v>0.7</v>
      </c>
      <c r="AH22" s="205">
        <v>2027</v>
      </c>
      <c r="AI22" s="71">
        <f>IF($W22-$A$12&lt;Input!$E$237,0,"")</f>
        <v>0</v>
      </c>
      <c r="AJ22" s="71">
        <f>IF($W22-$A$12&lt;Input!$E$237,0,"")</f>
        <v>0</v>
      </c>
      <c r="AL22" s="163">
        <v>2027</v>
      </c>
      <c r="AM22" s="38">
        <f>IF(AL22-$AL$12&lt;Input!$E$243,Input!N153,"")</f>
        <v>30.972809607839991</v>
      </c>
      <c r="AO22" s="165">
        <v>2027</v>
      </c>
      <c r="AP22" s="38">
        <f>IF(AO22-$AL$12&lt;Input!$E$241,Input!O153,"")</f>
        <v>27.256072454899194</v>
      </c>
      <c r="AR22" s="167">
        <v>2027</v>
      </c>
      <c r="AS22" s="38">
        <f>IF(AL22-$AL$12&lt;Input!$E$243,Input!$E$290,"")</f>
        <v>1</v>
      </c>
    </row>
    <row r="23" spans="1:45" x14ac:dyDescent="0.25">
      <c r="A23" s="163">
        <v>2028</v>
      </c>
      <c r="B23" s="71">
        <f>IF(A23-$A$12&lt;Input!$E$237,0,"")</f>
        <v>0</v>
      </c>
      <c r="C23" s="37">
        <f>IF(A23-$A$12&lt;Input!$E$238,IF(R23&gt;Input!$H$114,0,Input!$H$114-R23),"")</f>
        <v>32.578684660779956</v>
      </c>
      <c r="D23" s="37">
        <f>IF(A23-$A$12&lt;Input!$E$239,IF(R23&gt;Input!$H$115,0,Input!$H$115-R23)*0.11,"")</f>
        <v>4.3536553126857953</v>
      </c>
      <c r="E23" s="37">
        <f>IF(A23-$A$12&lt;Input!$E$240,IF(R23&gt;Input!$H$116,0,Input!$H$116-R23),"")</f>
        <v>52.578684660779956</v>
      </c>
      <c r="F23" s="15">
        <f>IF(A23-$A$12&lt;Input!$E$241,Input!$E$117,"")</f>
        <v>15</v>
      </c>
      <c r="G23" s="94">
        <f>IF(A23-$A$12&lt;Input!$E$242,Input!I154,"")</f>
        <v>52.676911227621183</v>
      </c>
      <c r="H23" s="38">
        <f>IF(A23-$A$12&lt;Input!$E$243,IF(Q23&gt;Input!$I$119,0,Input!$I$119-Q23),"")</f>
        <v>0</v>
      </c>
      <c r="I23" s="169">
        <f>IF(A23-$A$12&lt;Input!$E$243,0,"")</f>
        <v>0</v>
      </c>
      <c r="J23" s="69"/>
      <c r="K23" s="163">
        <v>2028</v>
      </c>
      <c r="L23" s="95">
        <f>IF(A23-$A$12&lt;Input!$E$243,Input!B201,"")</f>
        <v>111.86135119238403</v>
      </c>
      <c r="N23" s="163">
        <v>2028</v>
      </c>
      <c r="O23" s="239">
        <f>IF(A23-$A$12&lt;Input!$E$243,Input!L201,"")</f>
        <v>17.390888442525842</v>
      </c>
      <c r="Q23" s="95">
        <f>Input!G79/10</f>
        <v>41.579239265800048</v>
      </c>
      <c r="R23" s="95">
        <f>Input!H79/10</f>
        <v>37.421315339220044</v>
      </c>
      <c r="S23" s="69"/>
      <c r="T23" s="205">
        <v>2028</v>
      </c>
      <c r="U23" s="94">
        <f>IF(N23-$N$12&lt;Input!$E$237,IF(N23-$N$12&lt;Input!$E$126,Input!$E$113,0),"")</f>
        <v>1.8</v>
      </c>
      <c r="W23" s="163">
        <v>2028</v>
      </c>
      <c r="X23" s="71">
        <f>IF($W23-$A$12&lt;Input!$E$238,0,"")</f>
        <v>0</v>
      </c>
      <c r="Y23" s="71">
        <f>IF($W23-$A$12&lt;Input!$E$238,0,"")</f>
        <v>0</v>
      </c>
      <c r="Z23" s="71">
        <f>IF($W23-$A$12&lt;Input!$E$238,0,"")</f>
        <v>0</v>
      </c>
      <c r="AA23" s="71">
        <f>IF($W23-$A$12&lt;Input!$E$238,0,"")</f>
        <v>0</v>
      </c>
      <c r="AB23" s="71">
        <f>IF($W23-$A$12&lt;Input!$E$238,0,"")</f>
        <v>0</v>
      </c>
      <c r="AC23" s="71">
        <f>IF($W23-$A$12&lt;Input!$E$238,0,"")</f>
        <v>0</v>
      </c>
      <c r="AE23" s="205">
        <v>2028</v>
      </c>
      <c r="AF23" s="132">
        <f>IF($W23-$A$12&lt;Input!$E$237,Input!$E$268,"")</f>
        <v>0.7</v>
      </c>
      <c r="AH23" s="205">
        <v>2028</v>
      </c>
      <c r="AI23" s="71">
        <f>IF($W23-$A$12&lt;Input!$E$237,0,"")</f>
        <v>0</v>
      </c>
      <c r="AJ23" s="71">
        <f>IF($W23-$A$12&lt;Input!$E$237,0,"")</f>
        <v>0</v>
      </c>
      <c r="AL23" s="163">
        <v>2028</v>
      </c>
      <c r="AM23" s="38">
        <f>IF(AL23-$AL$12&lt;Input!$E$243,Input!N154,"")</f>
        <v>31.581942517205775</v>
      </c>
      <c r="AO23" s="165">
        <v>2028</v>
      </c>
      <c r="AP23" s="38">
        <f>IF(AO23-$AL$12&lt;Input!$E$241,Input!O154,"")</f>
        <v>27.792109415141084</v>
      </c>
      <c r="AR23" s="167">
        <v>2028</v>
      </c>
      <c r="AS23" s="38">
        <f>IF(AL23-$AL$12&lt;Input!$E$243,Input!$E$290,"")</f>
        <v>1</v>
      </c>
    </row>
    <row r="24" spans="1:45" x14ac:dyDescent="0.25">
      <c r="A24" s="163">
        <v>2029</v>
      </c>
      <c r="B24" s="71">
        <f>IF(A24-$A$12&lt;Input!$E$237,0,"")</f>
        <v>0</v>
      </c>
      <c r="C24" s="71">
        <f>IF(A24-$A$12&lt;Input!$E$238,0,"")</f>
        <v>0</v>
      </c>
      <c r="D24" s="71">
        <f>IF(A24-$A$12&lt;Input!$E$239,0,"")</f>
        <v>0</v>
      </c>
      <c r="E24" s="71">
        <f>IF(A24-$A$12&lt;Input!$E$240,0,"")</f>
        <v>0</v>
      </c>
      <c r="F24" s="15">
        <f>IF(A24-$A$12&lt;Input!$E$241,Input!$E$117,"")</f>
        <v>15</v>
      </c>
      <c r="G24" s="94">
        <f>IF(A24-$A$12&lt;Input!$E$242,Input!I155,"")</f>
        <v>52.967603889478141</v>
      </c>
      <c r="H24" s="38">
        <f>IF(A24-$A$12&lt;Input!$E$243,IF(Q24&gt;Input!$I$119,0,Input!$I$119-Q24),"")</f>
        <v>0</v>
      </c>
      <c r="I24" s="169">
        <f>IF(A24-$A$12&lt;Input!$E$243,0,"")</f>
        <v>0</v>
      </c>
      <c r="J24" s="69"/>
      <c r="K24" s="163">
        <v>2029</v>
      </c>
      <c r="L24" s="95">
        <f>IF(A24-$A$12&lt;Input!$E$243,Input!B202,"")</f>
        <v>114.03286812287695</v>
      </c>
      <c r="N24" s="163">
        <v>2029</v>
      </c>
      <c r="O24" s="239">
        <f>IF(A24-$A$12&lt;Input!$E$243,Input!L202,"")</f>
        <v>17.72849037819627</v>
      </c>
      <c r="Q24" s="95">
        <f>Input!G80/10</f>
        <v>42.386399389115702</v>
      </c>
      <c r="R24" s="95">
        <f>Input!H80/10</f>
        <v>38.147759450204134</v>
      </c>
      <c r="S24" s="69"/>
      <c r="T24" s="205">
        <v>2029</v>
      </c>
      <c r="U24" s="94">
        <f>IF(N24-$N$12&lt;Input!$E$237,IF(N24-$N$12&lt;Input!$E$126,Input!$E$113,0),"")</f>
        <v>1.8</v>
      </c>
      <c r="W24" s="163">
        <v>2029</v>
      </c>
      <c r="X24" s="71">
        <f>IF($W24-$A$12&lt;Input!$E$238,0,"")</f>
        <v>0</v>
      </c>
      <c r="Y24" s="71">
        <f>IF($W24-$A$12&lt;Input!$E$238,0,"")</f>
        <v>0</v>
      </c>
      <c r="Z24" s="71">
        <f>IF($W24-$A$12&lt;Input!$E$238,0,"")</f>
        <v>0</v>
      </c>
      <c r="AA24" s="71">
        <f>IF($W24-$A$12&lt;Input!$E$238,0,"")</f>
        <v>0</v>
      </c>
      <c r="AB24" s="71">
        <f>IF($W24-$A$12&lt;Input!$E$238,0,"")</f>
        <v>0</v>
      </c>
      <c r="AC24" s="71">
        <f>IF($W24-$A$12&lt;Input!$E$238,0,"")</f>
        <v>0</v>
      </c>
      <c r="AE24" s="205">
        <v>2029</v>
      </c>
      <c r="AF24" s="132">
        <f>IF($W24-$A$12&lt;Input!$E$237,Input!$E$268,"")</f>
        <v>0.7</v>
      </c>
      <c r="AH24" s="205">
        <v>2029</v>
      </c>
      <c r="AI24" s="71">
        <f>IF($W24-$A$12&lt;Input!$E$237,0,"")</f>
        <v>0</v>
      </c>
      <c r="AJ24" s="71">
        <f>IF($W24-$A$12&lt;Input!$E$237,0,"")</f>
        <v>0</v>
      </c>
      <c r="AL24" s="163">
        <v>2029</v>
      </c>
      <c r="AM24" s="38">
        <f>IF(AL24-$AL$12&lt;Input!$E$243,Input!N155,"")</f>
        <v>32.203055059868326</v>
      </c>
      <c r="AO24" s="165">
        <v>2029</v>
      </c>
      <c r="AP24" s="38">
        <f>IF(AO24-$AL$12&lt;Input!$E$241,Input!O155,"")</f>
        <v>28.338688452684128</v>
      </c>
      <c r="AR24" s="167">
        <v>2029</v>
      </c>
      <c r="AS24" s="38">
        <f>IF(AL24-$AL$12&lt;Input!$E$243,Input!$E$290,"")</f>
        <v>1</v>
      </c>
    </row>
    <row r="25" spans="1:45" x14ac:dyDescent="0.25">
      <c r="A25" s="163">
        <v>2030</v>
      </c>
      <c r="B25" s="71">
        <f>IF(A25-$A$12&lt;Input!$E$237,0,"")</f>
        <v>0</v>
      </c>
      <c r="C25" s="71">
        <f>IF(A25-$A$12&lt;Input!$E$238,0,"")</f>
        <v>0</v>
      </c>
      <c r="D25" s="71">
        <f>IF(A25-$A$12&lt;Input!$E$239,0,"")</f>
        <v>0</v>
      </c>
      <c r="E25" s="71">
        <f>IF(A25-$A$12&lt;Input!$E$240,0,"")</f>
        <v>0</v>
      </c>
      <c r="F25" s="15">
        <f>IF(A25-$A$12&lt;Input!$E$241,Input!$E$117,"")</f>
        <v>15</v>
      </c>
      <c r="G25" s="94">
        <f>IF(A25-$A$12&lt;Input!$E$242,Input!I156,"")</f>
        <v>53.247125013718808</v>
      </c>
      <c r="H25" s="38">
        <f>IF(A25-$A$12&lt;Input!$E$243,IF(Q25&gt;Input!$I$119,0,Input!$I$119-Q25),"")</f>
        <v>0</v>
      </c>
      <c r="I25" s="169">
        <f>IF(A25-$A$12&lt;Input!$E$243,0,"")</f>
        <v>0</v>
      </c>
      <c r="J25" s="69"/>
      <c r="K25" s="163">
        <v>2030</v>
      </c>
      <c r="L25" s="95">
        <f>IF(A25-$A$12&lt;Input!$E$243,Input!B203,"")</f>
        <v>116.18277976158831</v>
      </c>
      <c r="N25" s="163">
        <v>2030</v>
      </c>
      <c r="O25" s="239">
        <f>IF(A25-$A$12&lt;Input!$E$243,Input!L203,"")</f>
        <v>18.062733376976198</v>
      </c>
      <c r="Q25" s="95">
        <f>Input!G81/10</f>
        <v>43.185528753042014</v>
      </c>
      <c r="R25" s="95">
        <f>Input!H81/10</f>
        <v>38.866975877737815</v>
      </c>
      <c r="S25" s="69"/>
      <c r="T25" s="205">
        <v>2030</v>
      </c>
      <c r="U25" s="94">
        <f>IF(N25-$N$12&lt;Input!$E$237,IF(N25-$N$12&lt;Input!$E$126,Input!$E$113,0),"")</f>
        <v>1.8</v>
      </c>
      <c r="W25" s="163">
        <v>2030</v>
      </c>
      <c r="X25" s="71">
        <f>IF($W25-$A$12&lt;Input!$E$238,0,"")</f>
        <v>0</v>
      </c>
      <c r="Y25" s="71">
        <f>IF($W25-$A$12&lt;Input!$E$238,0,"")</f>
        <v>0</v>
      </c>
      <c r="Z25" s="71">
        <f>IF($W25-$A$12&lt;Input!$E$238,0,"")</f>
        <v>0</v>
      </c>
      <c r="AA25" s="71">
        <f>IF($W25-$A$12&lt;Input!$E$238,0,"")</f>
        <v>0</v>
      </c>
      <c r="AB25" s="71">
        <f>IF($W25-$A$12&lt;Input!$E$238,0,"")</f>
        <v>0</v>
      </c>
      <c r="AC25" s="71">
        <f>IF($W25-$A$12&lt;Input!$E$238,0,"")</f>
        <v>0</v>
      </c>
      <c r="AE25" s="205">
        <v>2030</v>
      </c>
      <c r="AF25" s="132">
        <f>IF($W25-$A$12&lt;Input!$E$237,Input!$E$268,"")</f>
        <v>0.7</v>
      </c>
      <c r="AH25" s="205">
        <v>2030</v>
      </c>
      <c r="AI25" s="71">
        <f>IF($W25-$A$12&lt;Input!$E$237,0,"")</f>
        <v>0</v>
      </c>
      <c r="AJ25" s="71">
        <f>IF($W25-$A$12&lt;Input!$E$237,0,"")</f>
        <v>0</v>
      </c>
      <c r="AL25" s="163">
        <v>2030</v>
      </c>
      <c r="AM25" s="38">
        <f>IF(AL25-$AL$12&lt;Input!$E$243,Input!N156,"")</f>
        <v>32.83638283566426</v>
      </c>
      <c r="AO25" s="165">
        <v>2030</v>
      </c>
      <c r="AP25" s="38">
        <f>IF(AO25-$AL$12&lt;Input!$E$241,Input!O156,"")</f>
        <v>28.896016895384548</v>
      </c>
      <c r="AR25" s="167">
        <v>2030</v>
      </c>
      <c r="AS25" s="38">
        <f>IF(AL25-$AL$12&lt;Input!$E$243,Input!$E$290,"")</f>
        <v>1</v>
      </c>
    </row>
    <row r="26" spans="1:45" x14ac:dyDescent="0.25">
      <c r="A26" s="163">
        <v>2031</v>
      </c>
      <c r="B26" s="71">
        <f>IF(A26-$A$12&lt;Input!$E$237,0,"")</f>
        <v>0</v>
      </c>
      <c r="C26" s="71">
        <f>IF(A26-$A$12&lt;Input!$E$238,0,"")</f>
        <v>0</v>
      </c>
      <c r="D26" s="71">
        <f>IF(A26-$A$12&lt;Input!$E$239,0,"")</f>
        <v>0</v>
      </c>
      <c r="E26" s="71">
        <f>IF(A26-$A$12&lt;Input!$E$240,0,"")</f>
        <v>0</v>
      </c>
      <c r="F26" s="15">
        <f>IF(A26-$A$12&lt;Input!$E$241,Input!$E$117,"")</f>
        <v>15</v>
      </c>
      <c r="G26" s="94">
        <f>IF(A26-$A$12&lt;Input!$E$242,Input!I157,"")</f>
        <v>53.536634030084805</v>
      </c>
      <c r="H26" s="38">
        <f>IF(A26-$A$12&lt;Input!$E$243,IF(Q26&gt;Input!$I$119,0,Input!$I$119-Q26),"")</f>
        <v>0</v>
      </c>
      <c r="I26" s="169">
        <f>IF(A26-$A$12&lt;Input!$E$243,0,"")</f>
        <v>0</v>
      </c>
      <c r="J26" s="69"/>
      <c r="K26" s="163">
        <v>2031</v>
      </c>
      <c r="L26" s="95">
        <f>IF(A26-$A$12&lt;Input!$E$243,Input!B204,"")</f>
        <v>118.47498479882053</v>
      </c>
      <c r="N26" s="163">
        <v>2031</v>
      </c>
      <c r="O26" s="239">
        <f>IF(A26-$A$12&lt;Input!$E$243,Input!L204,"")</f>
        <v>18.419098481321686</v>
      </c>
      <c r="Q26" s="95">
        <f>Input!G82/10</f>
        <v>44.037549050252935</v>
      </c>
      <c r="R26" s="95">
        <f>Input!H82/10</f>
        <v>39.63379414522764</v>
      </c>
      <c r="S26" s="69"/>
      <c r="T26" s="205">
        <v>2031</v>
      </c>
      <c r="U26" s="94">
        <f>IF(N26-$N$12&lt;Input!$E$237,IF(N26-$N$12&lt;Input!$E$126,Input!$E$113,0),"")</f>
        <v>1.8</v>
      </c>
      <c r="W26" s="163">
        <v>2031</v>
      </c>
      <c r="X26" s="71">
        <f>IF($W26-$A$12&lt;Input!$E$238,0,"")</f>
        <v>0</v>
      </c>
      <c r="Y26" s="71">
        <f>IF($W26-$A$12&lt;Input!$E$238,0,"")</f>
        <v>0</v>
      </c>
      <c r="Z26" s="71">
        <f>IF($W26-$A$12&lt;Input!$E$238,0,"")</f>
        <v>0</v>
      </c>
      <c r="AA26" s="71">
        <f>IF($W26-$A$12&lt;Input!$E$238,0,"")</f>
        <v>0</v>
      </c>
      <c r="AB26" s="71">
        <f>IF($W26-$A$12&lt;Input!$E$238,0,"")</f>
        <v>0</v>
      </c>
      <c r="AC26" s="71">
        <f>IF($W26-$A$12&lt;Input!$E$238,0,"")</f>
        <v>0</v>
      </c>
      <c r="AE26" s="205">
        <v>2031</v>
      </c>
      <c r="AF26" s="132">
        <f>IF($W26-$A$12&lt;Input!$E$237,Input!$E$268,"")</f>
        <v>0.7</v>
      </c>
      <c r="AH26" s="205">
        <v>2031</v>
      </c>
      <c r="AI26" s="71">
        <f>IF($W26-$A$12&lt;Input!$E$237,0,"")</f>
        <v>0</v>
      </c>
      <c r="AJ26" s="71">
        <f>IF($W26-$A$12&lt;Input!$E$237,0,"")</f>
        <v>0</v>
      </c>
      <c r="AL26" s="163">
        <v>2031</v>
      </c>
      <c r="AM26" s="38">
        <f>IF(AL26-$AL$12&lt;Input!$E$243,Input!N157,"")</f>
        <v>33.482166077901155</v>
      </c>
      <c r="AO26" s="165">
        <v>2031</v>
      </c>
      <c r="AP26" s="38">
        <f>IF(AO26-$AL$12&lt;Input!$E$241,Input!O157,"")</f>
        <v>29.464306148553014</v>
      </c>
      <c r="AR26" s="167">
        <v>2031</v>
      </c>
      <c r="AS26" s="38">
        <f>IF(AL26-$AL$12&lt;Input!$E$243,Input!$E$290,"")</f>
        <v>1</v>
      </c>
    </row>
    <row r="27" spans="1:45" x14ac:dyDescent="0.25">
      <c r="A27" s="163">
        <v>2032</v>
      </c>
      <c r="B27" s="71">
        <f>IF(A27-$A$12&lt;Input!$E$237,0,"")</f>
        <v>0</v>
      </c>
      <c r="C27" s="71">
        <f>IF(A27-$A$12&lt;Input!$E$238,0,"")</f>
        <v>0</v>
      </c>
      <c r="D27" s="71">
        <f>IF(A27-$A$12&lt;Input!$E$239,0,"")</f>
        <v>0</v>
      </c>
      <c r="E27" s="71">
        <f>IF(A27-$A$12&lt;Input!$E$240,0,"")</f>
        <v>0</v>
      </c>
      <c r="F27" s="15">
        <f>IF(A27-$A$12&lt;Input!$E$241,Input!$E$117,"")</f>
        <v>15</v>
      </c>
      <c r="G27" s="94">
        <f>IF(A27-$A$12&lt;Input!$E$242,Input!I158,"")</f>
        <v>53.824418526355025</v>
      </c>
      <c r="H27" s="38">
        <f>IF(A27-$A$12&lt;Input!$E$243,IF(Q27&gt;Input!$I$119,0,Input!$I$119-Q27),"")</f>
        <v>0</v>
      </c>
      <c r="I27" s="169">
        <f>IF(A27-$A$12&lt;Input!$E$243,0,"")</f>
        <v>0</v>
      </c>
      <c r="J27" s="69"/>
      <c r="K27" s="163">
        <v>2032</v>
      </c>
      <c r="L27" s="95">
        <f>IF(A27-$A$12&lt;Input!$E$243,Input!B205,"")</f>
        <v>120.82525404513768</v>
      </c>
      <c r="N27" s="163">
        <v>2032</v>
      </c>
      <c r="O27" s="239">
        <f>IF(A27-$A$12&lt;Input!$E$243,Input!L205,"")</f>
        <v>18.784490726604915</v>
      </c>
      <c r="Q27" s="95">
        <f>Input!G83/10</f>
        <v>44.911152008647434</v>
      </c>
      <c r="R27" s="95">
        <f>Input!H83/10</f>
        <v>40.420036807782694</v>
      </c>
      <c r="S27" s="69"/>
      <c r="T27" s="205">
        <v>2032</v>
      </c>
      <c r="U27" s="94">
        <f>IF(N27-$N$12&lt;Input!$E$237,IF(N27-$N$12&lt;Input!$E$126,Input!$E$113,0),"")</f>
        <v>1.8</v>
      </c>
      <c r="W27" s="163">
        <v>2032</v>
      </c>
      <c r="X27" s="71">
        <f>IF($W27-$A$12&lt;Input!$E$238,0,"")</f>
        <v>0</v>
      </c>
      <c r="Y27" s="71">
        <f>IF($W27-$A$12&lt;Input!$E$238,0,"")</f>
        <v>0</v>
      </c>
      <c r="Z27" s="71">
        <f>IF($W27-$A$12&lt;Input!$E$238,0,"")</f>
        <v>0</v>
      </c>
      <c r="AA27" s="71">
        <f>IF($W27-$A$12&lt;Input!$E$238,0,"")</f>
        <v>0</v>
      </c>
      <c r="AB27" s="71">
        <f>IF($W27-$A$12&lt;Input!$E$238,0,"")</f>
        <v>0</v>
      </c>
      <c r="AC27" s="71">
        <f>IF($W27-$A$12&lt;Input!$E$238,0,"")</f>
        <v>0</v>
      </c>
      <c r="AE27" s="205">
        <v>2032</v>
      </c>
      <c r="AF27" s="132">
        <f>IF($W27-$A$12&lt;Input!$E$237,Input!$E$268,"")</f>
        <v>0.7</v>
      </c>
      <c r="AH27" s="205">
        <v>2032</v>
      </c>
      <c r="AI27" s="71">
        <f>IF($W27-$A$12&lt;Input!$E$237,0,"")</f>
        <v>0</v>
      </c>
      <c r="AJ27" s="71">
        <f>IF($W27-$A$12&lt;Input!$E$237,0,"")</f>
        <v>0</v>
      </c>
      <c r="AL27" s="163">
        <v>2032</v>
      </c>
      <c r="AM27" s="38">
        <f>IF(AL27-$AL$12&lt;Input!$E$243,Input!N158,"")</f>
        <v>34.14064974448263</v>
      </c>
      <c r="AO27" s="165">
        <v>2032</v>
      </c>
      <c r="AP27" s="38">
        <f>IF(AO27-$AL$12&lt;Input!$E$241,Input!O158,"")</f>
        <v>30.043771775144709</v>
      </c>
      <c r="AR27" s="167">
        <v>2032</v>
      </c>
      <c r="AS27" s="38">
        <f>IF(AL27-$AL$12&lt;Input!$E$243,Input!$E$290,"")</f>
        <v>1</v>
      </c>
    </row>
    <row r="28" spans="1:45" x14ac:dyDescent="0.25">
      <c r="A28" s="163">
        <v>2033</v>
      </c>
      <c r="B28" s="71">
        <f>IF(A28-$A$12&lt;Input!$E$237,0,"")</f>
        <v>0</v>
      </c>
      <c r="C28" s="71">
        <f>IF(A28-$A$12&lt;Input!$E$238,0,"")</f>
        <v>0</v>
      </c>
      <c r="D28" s="71">
        <f>IF(A28-$A$12&lt;Input!$E$239,0,"")</f>
        <v>0</v>
      </c>
      <c r="E28" s="71">
        <f>IF(A28-$A$12&lt;Input!$E$240,0,"")</f>
        <v>0</v>
      </c>
      <c r="F28" s="15">
        <f>IF(A28-$A$12&lt;Input!$E$241,Input!$E$117,"")</f>
        <v>15</v>
      </c>
      <c r="G28" s="94">
        <f>IF(A28-$A$12&lt;Input!$E$242,Input!I159,"")</f>
        <v>54.1088104489301</v>
      </c>
      <c r="H28" s="38">
        <f>IF(A28-$A$12&lt;Input!$E$243,IF(Q28&gt;Input!$I$119,0,Input!$I$119-Q28),"")</f>
        <v>0</v>
      </c>
      <c r="I28" s="169">
        <f>IF(A28-$A$12&lt;Input!$E$243,0,"")</f>
        <v>0</v>
      </c>
      <c r="J28" s="69"/>
      <c r="K28" s="163">
        <v>2033</v>
      </c>
      <c r="L28" s="95">
        <f>IF(A28-$A$12&lt;Input!$E$243,Input!B206,"")</f>
        <v>123.22310958958899</v>
      </c>
      <c r="N28" s="163">
        <v>2033</v>
      </c>
      <c r="O28" s="239">
        <f>IF(A28-$A$12&lt;Input!$E$243,Input!L206,"")</f>
        <v>19.157281130353262</v>
      </c>
      <c r="Q28" s="95">
        <f>Input!G84/10</f>
        <v>45.802442953596739</v>
      </c>
      <c r="R28" s="95">
        <f>Input!H84/10</f>
        <v>41.222198658237069</v>
      </c>
      <c r="S28" s="69"/>
      <c r="T28" s="205">
        <v>2033</v>
      </c>
      <c r="U28" s="94">
        <f>IF(N28-$N$12&lt;Input!$E$237,IF(N28-$N$12&lt;Input!$E$126,Input!$E$113,0),"")</f>
        <v>1.8</v>
      </c>
      <c r="W28" s="163">
        <v>2033</v>
      </c>
      <c r="X28" s="71">
        <f>IF($W28-$A$12&lt;Input!$E$238,0,"")</f>
        <v>0</v>
      </c>
      <c r="Y28" s="71">
        <f>IF($W28-$A$12&lt;Input!$E$238,0,"")</f>
        <v>0</v>
      </c>
      <c r="Z28" s="71">
        <f>IF($W28-$A$12&lt;Input!$E$238,0,"")</f>
        <v>0</v>
      </c>
      <c r="AA28" s="71">
        <f>IF($W28-$A$12&lt;Input!$E$238,0,"")</f>
        <v>0</v>
      </c>
      <c r="AB28" s="71">
        <f>IF($W28-$A$12&lt;Input!$E$238,0,"")</f>
        <v>0</v>
      </c>
      <c r="AC28" s="71">
        <f>IF($W28-$A$12&lt;Input!$E$238,0,"")</f>
        <v>0</v>
      </c>
      <c r="AE28" s="205">
        <v>2033</v>
      </c>
      <c r="AF28" s="132">
        <f>IF($W28-$A$12&lt;Input!$E$237,Input!$E$268,"")</f>
        <v>0.7</v>
      </c>
      <c r="AH28" s="205">
        <v>2033</v>
      </c>
      <c r="AI28" s="71">
        <f>IF($W28-$A$12&lt;Input!$E$237,0,"")</f>
        <v>0</v>
      </c>
      <c r="AJ28" s="71">
        <f>IF($W28-$A$12&lt;Input!$E$237,0,"")</f>
        <v>0</v>
      </c>
      <c r="AL28" s="163">
        <v>2033</v>
      </c>
      <c r="AM28" s="38">
        <f>IF(AL28-$AL$12&lt;Input!$E$243,Input!N159,"")</f>
        <v>34.812083610825546</v>
      </c>
      <c r="AO28" s="165">
        <v>2033</v>
      </c>
      <c r="AP28" s="38">
        <f>IF(AO28-$AL$12&lt;Input!$E$241,Input!O159,"")</f>
        <v>30.634633577526472</v>
      </c>
      <c r="AR28" s="167">
        <v>2033</v>
      </c>
      <c r="AS28" s="38">
        <f>IF(AL28-$AL$12&lt;Input!$E$243,Input!$E$290,"")</f>
        <v>1</v>
      </c>
    </row>
    <row r="29" spans="1:45" x14ac:dyDescent="0.25">
      <c r="A29" s="163">
        <v>2034</v>
      </c>
      <c r="B29" s="71">
        <f>IF(A29-$A$12&lt;Input!$E$237,0,"")</f>
        <v>0</v>
      </c>
      <c r="C29" s="71">
        <f>IF(A29-$A$12&lt;Input!$E$238,0,"")</f>
        <v>0</v>
      </c>
      <c r="D29" s="71">
        <f>IF(A29-$A$12&lt;Input!$E$239,0,"")</f>
        <v>0</v>
      </c>
      <c r="E29" s="71">
        <f>IF(A29-$A$12&lt;Input!$E$240,0,"")</f>
        <v>0</v>
      </c>
      <c r="F29" s="15">
        <f>IF(A29-$A$12&lt;Input!$E$241,Input!$E$117,"")</f>
        <v>15</v>
      </c>
      <c r="G29" s="94">
        <f>IF(A29-$A$12&lt;Input!$E$242,Input!I160,"")</f>
        <v>54.388454840047004</v>
      </c>
      <c r="H29" s="38">
        <f>IF(A29-$A$12&lt;Input!$E$243,IF(Q29&gt;Input!$I$119,0,Input!$I$119-Q29),"")</f>
        <v>0</v>
      </c>
      <c r="I29" s="169">
        <f>IF(A29-$A$12&lt;Input!$E$243,0,"")</f>
        <v>0</v>
      </c>
      <c r="J29" s="69"/>
      <c r="K29" s="163">
        <v>2034</v>
      </c>
      <c r="L29" s="95">
        <f>IF(A29-$A$12&lt;Input!$E$243,Input!B207,"")</f>
        <v>125.659329785183</v>
      </c>
      <c r="N29" s="163">
        <v>2034</v>
      </c>
      <c r="O29" s="239">
        <f>IF(A29-$A$12&lt;Input!$E$243,Input!L207,"")</f>
        <v>19.536036019252627</v>
      </c>
      <c r="Q29" s="95">
        <f>Input!G85/10</f>
        <v>46.707994167997541</v>
      </c>
      <c r="R29" s="95">
        <f>Input!H85/10</f>
        <v>42.037194751197788</v>
      </c>
      <c r="S29" s="69"/>
      <c r="T29" s="205">
        <v>2034</v>
      </c>
      <c r="U29" s="94">
        <f>IF(N29-$N$12&lt;Input!$E$237,IF(N29-$N$12&lt;Input!$E$126,Input!$E$113,0),"")</f>
        <v>1.8</v>
      </c>
      <c r="W29" s="163">
        <v>2034</v>
      </c>
      <c r="X29" s="71">
        <f>IF($W29-$A$12&lt;Input!$E$238,0,"")</f>
        <v>0</v>
      </c>
      <c r="Y29" s="71">
        <f>IF($W29-$A$12&lt;Input!$E$238,0,"")</f>
        <v>0</v>
      </c>
      <c r="Z29" s="71">
        <f>IF($W29-$A$12&lt;Input!$E$238,0,"")</f>
        <v>0</v>
      </c>
      <c r="AA29" s="71">
        <f>IF($W29-$A$12&lt;Input!$E$238,0,"")</f>
        <v>0</v>
      </c>
      <c r="AB29" s="71">
        <f>IF($W29-$A$12&lt;Input!$E$238,0,"")</f>
        <v>0</v>
      </c>
      <c r="AC29" s="71">
        <f>IF($W29-$A$12&lt;Input!$E$238,0,"")</f>
        <v>0</v>
      </c>
      <c r="AE29" s="205">
        <v>2034</v>
      </c>
      <c r="AF29" s="132">
        <f>IF($W29-$A$12&lt;Input!$E$237,Input!$E$268,"")</f>
        <v>0.7</v>
      </c>
      <c r="AH29" s="205">
        <v>2034</v>
      </c>
      <c r="AI29" s="71">
        <f>IF($W29-$A$12&lt;Input!$E$237,0,"")</f>
        <v>0</v>
      </c>
      <c r="AJ29" s="71">
        <f>IF($W29-$A$12&lt;Input!$E$237,0,"")</f>
        <v>0</v>
      </c>
      <c r="AL29" s="163">
        <v>2034</v>
      </c>
      <c r="AM29" s="38">
        <f>IF(AL29-$AL$12&lt;Input!$E$243,Input!N160,"")</f>
        <v>35.496722364604587</v>
      </c>
      <c r="AO29" s="165">
        <v>2034</v>
      </c>
      <c r="AP29" s="38">
        <f>IF(AO29-$AL$12&lt;Input!$E$241,Input!O160,"")</f>
        <v>31.237115680852028</v>
      </c>
      <c r="AR29" s="167">
        <v>2034</v>
      </c>
      <c r="AS29" s="38">
        <f>IF(AL29-$AL$12&lt;Input!$E$243,Input!$E$290,"")</f>
        <v>1</v>
      </c>
    </row>
    <row r="30" spans="1:45" x14ac:dyDescent="0.25">
      <c r="A30" s="163">
        <v>2035</v>
      </c>
      <c r="B30" s="71">
        <f>IF(A30-$A$12&lt;Input!$E$237,0,"")</f>
        <v>0</v>
      </c>
      <c r="C30" s="71">
        <f>IF(A30-$A$12&lt;Input!$E$238,0,"")</f>
        <v>0</v>
      </c>
      <c r="D30" s="71">
        <f>IF(A30-$A$12&lt;Input!$E$239,0,"")</f>
        <v>0</v>
      </c>
      <c r="E30" s="71">
        <f>IF(A30-$A$12&lt;Input!$E$240,0,"")</f>
        <v>0</v>
      </c>
      <c r="F30" s="15">
        <f>IF(A30-$A$12&lt;Input!$E$241,Input!$E$117,"")</f>
        <v>15</v>
      </c>
      <c r="G30" s="94">
        <f>IF(A30-$A$12&lt;Input!$E$242,Input!I161,"")</f>
        <v>54.662697262047502</v>
      </c>
      <c r="H30" s="38">
        <f>IF(A30-$A$12&lt;Input!$E$243,IF(Q30&gt;Input!$I$119,0,Input!$I$119-Q30),"")</f>
        <v>0</v>
      </c>
      <c r="I30" s="169">
        <f>IF(A30-$A$12&lt;Input!$E$243,0,"")</f>
        <v>0</v>
      </c>
      <c r="J30" s="69"/>
      <c r="K30" s="163">
        <v>2035</v>
      </c>
      <c r="L30" s="95">
        <f>IF(A30-$A$12&lt;Input!$E$243,Input!B208,"")</f>
        <v>128.12968298635468</v>
      </c>
      <c r="N30" s="163">
        <v>2035</v>
      </c>
      <c r="O30" s="239">
        <f>IF(A30-$A$12&lt;Input!$E$243,Input!L208,"")</f>
        <v>19.920097506775036</v>
      </c>
      <c r="Q30" s="95">
        <f>Input!G86/10</f>
        <v>47.626232735006255</v>
      </c>
      <c r="R30" s="95">
        <f>Input!H86/10</f>
        <v>42.863609461505632</v>
      </c>
      <c r="S30" s="69"/>
      <c r="T30" s="205">
        <v>2035</v>
      </c>
      <c r="U30" s="94">
        <f>IF(N30-$N$12&lt;Input!$E$237,IF(N30-$N$12&lt;Input!$E$126,Input!$E$113,0),"")</f>
        <v>1.8</v>
      </c>
      <c r="W30" s="163">
        <v>2035</v>
      </c>
      <c r="X30" s="71">
        <f>IF($W30-$A$12&lt;Input!$E$238,0,"")</f>
        <v>0</v>
      </c>
      <c r="Y30" s="71">
        <f>IF($W30-$A$12&lt;Input!$E$238,0,"")</f>
        <v>0</v>
      </c>
      <c r="Z30" s="71">
        <f>IF($W30-$A$12&lt;Input!$E$238,0,"")</f>
        <v>0</v>
      </c>
      <c r="AA30" s="71">
        <f>IF($W30-$A$12&lt;Input!$E$238,0,"")</f>
        <v>0</v>
      </c>
      <c r="AB30" s="71">
        <f>IF($W30-$A$12&lt;Input!$E$238,0,"")</f>
        <v>0</v>
      </c>
      <c r="AC30" s="71">
        <f>IF($W30-$A$12&lt;Input!$E$238,0,"")</f>
        <v>0</v>
      </c>
      <c r="AE30" s="205">
        <v>2035</v>
      </c>
      <c r="AF30" s="132">
        <f>IF($W30-$A$12&lt;Input!$E$237,Input!$E$268,"")</f>
        <v>0.7</v>
      </c>
      <c r="AH30" s="205">
        <v>2035</v>
      </c>
      <c r="AI30" s="71">
        <f>IF($W30-$A$12&lt;Input!$E$237,0,"")</f>
        <v>0</v>
      </c>
      <c r="AJ30" s="71">
        <f>IF($W30-$A$12&lt;Input!$E$237,0,"")</f>
        <v>0</v>
      </c>
      <c r="AL30" s="163">
        <v>2035</v>
      </c>
      <c r="AM30" s="38">
        <f>IF(AL30-$AL$12&lt;Input!$E$243,Input!N161,"")</f>
        <v>36.194825702360163</v>
      </c>
      <c r="AO30" s="165">
        <v>2035</v>
      </c>
      <c r="AP30" s="38">
        <f>IF(AO30-$AL$12&lt;Input!$E$241,Input!O161,"")</f>
        <v>31.851446618076935</v>
      </c>
      <c r="AR30" s="167">
        <v>2035</v>
      </c>
      <c r="AS30" s="38">
        <f>IF(AL30-$AL$12&lt;Input!$E$243,Input!$E$290,"")</f>
        <v>1</v>
      </c>
    </row>
    <row r="31" spans="1:45" x14ac:dyDescent="0.25">
      <c r="A31" s="163">
        <v>2036</v>
      </c>
      <c r="B31" s="71">
        <f>IF(A31-$A$12&lt;Input!$E$237,0,"")</f>
        <v>0</v>
      </c>
      <c r="C31" s="71">
        <f>IF(A31-$A$12&lt;Input!$E$238,0,"")</f>
        <v>0</v>
      </c>
      <c r="D31" s="71">
        <f>IF(A31-$A$12&lt;Input!$E$239,0,"")</f>
        <v>0</v>
      </c>
      <c r="E31" s="71">
        <f>IF(A31-$A$12&lt;Input!$E$240,0,"")</f>
        <v>0</v>
      </c>
      <c r="F31" s="15">
        <f>IF(A31-$A$12&lt;Input!$E$241,Input!$E$117,"")</f>
        <v>15</v>
      </c>
      <c r="G31" s="94">
        <f>IF(A31-$A$12&lt;Input!$E$242,Input!I162,"")</f>
        <v>54.932953795796124</v>
      </c>
      <c r="H31" s="38">
        <f>IF(A31-$A$12&lt;Input!$E$243,IF(Q31&gt;Input!$I$119,0,Input!$I$119-Q31),"")</f>
        <v>0</v>
      </c>
      <c r="I31" s="169">
        <f>IF(A31-$A$12&lt;Input!$E$243,0,"")</f>
        <v>0</v>
      </c>
      <c r="J31" s="69"/>
      <c r="K31" s="163">
        <v>2036</v>
      </c>
      <c r="L31" s="95">
        <f>IF(A31-$A$12&lt;Input!$E$243,Input!B209,"")</f>
        <v>130.64860118424386</v>
      </c>
      <c r="N31" s="163">
        <v>2036</v>
      </c>
      <c r="O31" s="239">
        <f>IF(A31-$A$12&lt;Input!$E$243,Input!L209,"")</f>
        <v>20.31170930931798</v>
      </c>
      <c r="Q31" s="95">
        <f>Input!G87/10</f>
        <v>48.562523074114395</v>
      </c>
      <c r="R31" s="95">
        <f>Input!H87/10</f>
        <v>43.706270766702957</v>
      </c>
      <c r="S31" s="69"/>
      <c r="T31" s="205">
        <v>2036</v>
      </c>
      <c r="U31" s="94">
        <f>IF(N31-$N$12&lt;Input!$E$237,IF(N31-$N$12&lt;Input!$E$126,Input!$E$113,0),"")</f>
        <v>1.8</v>
      </c>
      <c r="W31" s="163">
        <v>2036</v>
      </c>
      <c r="X31" s="71">
        <f>IF($W31-$A$12&lt;Input!$E$238,0,"")</f>
        <v>0</v>
      </c>
      <c r="Y31" s="71">
        <f>IF($W31-$A$12&lt;Input!$E$238,0,"")</f>
        <v>0</v>
      </c>
      <c r="Z31" s="71">
        <f>IF($W31-$A$12&lt;Input!$E$238,0,"")</f>
        <v>0</v>
      </c>
      <c r="AA31" s="71">
        <f>IF($W31-$A$12&lt;Input!$E$238,0,"")</f>
        <v>0</v>
      </c>
      <c r="AB31" s="71">
        <f>IF($W31-$A$12&lt;Input!$E$238,0,"")</f>
        <v>0</v>
      </c>
      <c r="AC31" s="71">
        <f>IF($W31-$A$12&lt;Input!$E$238,0,"")</f>
        <v>0</v>
      </c>
      <c r="AE31" s="205">
        <v>2036</v>
      </c>
      <c r="AF31" s="132">
        <f>IF($W31-$A$12&lt;Input!$E$237,Input!$E$268,"")</f>
        <v>0.7</v>
      </c>
      <c r="AH31" s="205">
        <v>2036</v>
      </c>
      <c r="AI31" s="71">
        <f>IF($W31-$A$12&lt;Input!$E$237,0,"")</f>
        <v>0</v>
      </c>
      <c r="AJ31" s="71">
        <f>IF($W31-$A$12&lt;Input!$E$237,0,"")</f>
        <v>0</v>
      </c>
      <c r="AL31" s="163">
        <v>2036</v>
      </c>
      <c r="AM31" s="38">
        <f>IF(AL31-$AL$12&lt;Input!$E$243,Input!N162,"")</f>
        <v>36.906658428006253</v>
      </c>
      <c r="AO31" s="165">
        <v>2036</v>
      </c>
      <c r="AP31" s="38">
        <f>IF(AO31-$AL$12&lt;Input!$E$241,Input!O162,"")</f>
        <v>32.477859416645494</v>
      </c>
      <c r="AR31" s="167">
        <v>2036</v>
      </c>
      <c r="AS31" s="38">
        <f>IF(AL31-$AL$12&lt;Input!$E$243,Input!$E$290,"")</f>
        <v>1</v>
      </c>
    </row>
    <row r="32" spans="1:45" x14ac:dyDescent="0.25">
      <c r="A32" s="163">
        <v>2037</v>
      </c>
      <c r="B32" s="71">
        <f>IF(A32-$A$12&lt;Input!$E$237,0,"")</f>
        <v>0</v>
      </c>
      <c r="C32" s="71">
        <f>IF(A32-$A$12&lt;Input!$E$238,0,"")</f>
        <v>0</v>
      </c>
      <c r="D32" s="71">
        <f>IF(A32-$A$12&lt;Input!$E$239,0,"")</f>
        <v>0</v>
      </c>
      <c r="E32" s="71">
        <f>IF(A32-$A$12&lt;Input!$E$240,0,"")</f>
        <v>0</v>
      </c>
      <c r="F32" s="15" t="str">
        <f>IF(A32-$A$12&lt;Input!$E$241,Input!$E$117,"")</f>
        <v/>
      </c>
      <c r="G32" s="94" t="str">
        <f>IF(A32-$A$12&lt;Input!$E$242,Input!I163,"")</f>
        <v/>
      </c>
      <c r="H32" s="71">
        <f>IF(A32-$A$12&lt;Input!$E$243,0,"")</f>
        <v>0</v>
      </c>
      <c r="I32" s="169">
        <f>IF(A32-$A$12&lt;Input!$E$243,0,"")</f>
        <v>0</v>
      </c>
      <c r="J32" s="69"/>
      <c r="K32" s="163">
        <v>2037</v>
      </c>
      <c r="L32" s="95">
        <f>IF(A32-$A$12&lt;Input!$E$243,Input!B210,"")</f>
        <v>133.21703912447356</v>
      </c>
      <c r="N32" s="163">
        <v>2037</v>
      </c>
      <c r="O32" s="239">
        <f>IF(A32-$A$12&lt;Input!$E$243,Input!L210,"")</f>
        <v>20.711019859512074</v>
      </c>
      <c r="Q32" s="95">
        <f>Input!G88/10</f>
        <v>49.517220067470937</v>
      </c>
      <c r="R32" s="95">
        <f>Input!H88/10</f>
        <v>44.56549806072384</v>
      </c>
      <c r="S32" s="69"/>
      <c r="T32" s="205">
        <v>2037</v>
      </c>
      <c r="U32" s="94">
        <f>IF(N32-$N$12&lt;Input!$E$237,IF(N32-$N$12&lt;Input!$E$126,Input!$E$113,0),"")</f>
        <v>0</v>
      </c>
      <c r="W32" s="163">
        <v>2037</v>
      </c>
      <c r="X32" s="71">
        <f>IF($W32-$A$12&lt;Input!$E$238,0,"")</f>
        <v>0</v>
      </c>
      <c r="Y32" s="71">
        <f>IF($W32-$A$12&lt;Input!$E$238,0,"")</f>
        <v>0</v>
      </c>
      <c r="Z32" s="71">
        <f>IF($W32-$A$12&lt;Input!$E$238,0,"")</f>
        <v>0</v>
      </c>
      <c r="AA32" s="71">
        <f>IF($W32-$A$12&lt;Input!$E$238,0,"")</f>
        <v>0</v>
      </c>
      <c r="AB32" s="71">
        <f>IF($W32-$A$12&lt;Input!$E$238,0,"")</f>
        <v>0</v>
      </c>
      <c r="AC32" s="71">
        <f>IF($W32-$A$12&lt;Input!$E$238,0,"")</f>
        <v>0</v>
      </c>
      <c r="AE32" s="205">
        <v>2037</v>
      </c>
      <c r="AF32" s="132">
        <f>IF($W32-$A$12&lt;Input!$E$237,Input!$E$268,"")</f>
        <v>0.7</v>
      </c>
      <c r="AH32" s="205">
        <v>2037</v>
      </c>
      <c r="AI32" s="71">
        <f>IF($W32-$A$12&lt;Input!$E$237,0,"")</f>
        <v>0</v>
      </c>
      <c r="AJ32" s="71">
        <f>IF($W32-$A$12&lt;Input!$E$237,0,"")</f>
        <v>0</v>
      </c>
      <c r="AL32" s="163">
        <v>2037</v>
      </c>
      <c r="AM32" s="38">
        <f>IF(AL32-$AL$12&lt;Input!$E$243,Input!N163,"")</f>
        <v>37.632490553275581</v>
      </c>
      <c r="AO32" s="165">
        <v>2037</v>
      </c>
      <c r="AP32" s="38" t="str">
        <f>IF(AO32-$AL$12&lt;Input!$E$241,Input!O163,"")</f>
        <v/>
      </c>
      <c r="AR32" s="167">
        <v>2037</v>
      </c>
      <c r="AS32" s="38">
        <f>IF(AL32-$AL$12&lt;Input!$E$243,Input!$E$290,"")</f>
        <v>1</v>
      </c>
    </row>
    <row r="33" spans="1:45" x14ac:dyDescent="0.25">
      <c r="A33" s="163">
        <v>2038</v>
      </c>
      <c r="B33" s="71">
        <f>IF(A33-$A$12&lt;Input!$E$237,0,"")</f>
        <v>0</v>
      </c>
      <c r="C33" s="71">
        <f>IF(A33-$A$12&lt;Input!$E$238,0,"")</f>
        <v>0</v>
      </c>
      <c r="D33" s="71">
        <f>IF(A33-$A$12&lt;Input!$E$239,0,"")</f>
        <v>0</v>
      </c>
      <c r="E33" s="71">
        <f>IF(A33-$A$12&lt;Input!$E$240,0,"")</f>
        <v>0</v>
      </c>
      <c r="F33" s="15" t="str">
        <f>IF(A33-$A$12&lt;Input!$E$241,Input!$E$117,"")</f>
        <v/>
      </c>
      <c r="G33" s="94" t="str">
        <f>IF(A33-$A$12&lt;Input!$E$242,Input!I164,"")</f>
        <v/>
      </c>
      <c r="H33" s="71">
        <f>IF(A33-$A$12&lt;Input!$E$243,0,"")</f>
        <v>0</v>
      </c>
      <c r="I33" s="169">
        <f>IF(A33-$A$12&lt;Input!$E$243,0,"")</f>
        <v>0</v>
      </c>
      <c r="J33" s="69"/>
      <c r="K33" s="163">
        <v>2038</v>
      </c>
      <c r="L33" s="95">
        <f>IF(A33-$A$12&lt;Input!$E$243,Input!B211,"")</f>
        <v>135.83597032213589</v>
      </c>
      <c r="N33" s="163">
        <v>2038</v>
      </c>
      <c r="O33" s="239">
        <f>IF(A33-$A$12&lt;Input!$E$243,Input!L211,"")</f>
        <v>21.118180508044428</v>
      </c>
      <c r="Q33" s="95">
        <f>Input!G89/10</f>
        <v>50.490685573899441</v>
      </c>
      <c r="R33" s="95">
        <f>Input!H89/10</f>
        <v>45.441617016509497</v>
      </c>
      <c r="S33" s="69"/>
      <c r="T33" s="205">
        <v>2038</v>
      </c>
      <c r="U33" s="94">
        <f>IF(N33-$N$12&lt;Input!$E$237,IF(N33-$N$12&lt;Input!$E$126,Input!$E$113,0),"")</f>
        <v>0</v>
      </c>
      <c r="W33" s="163">
        <v>2038</v>
      </c>
      <c r="X33" s="71">
        <f>IF($W33-$A$12&lt;Input!$E$238,0,"")</f>
        <v>0</v>
      </c>
      <c r="Y33" s="71">
        <f>IF($W33-$A$12&lt;Input!$E$238,0,"")</f>
        <v>0</v>
      </c>
      <c r="Z33" s="71">
        <f>IF($W33-$A$12&lt;Input!$E$238,0,"")</f>
        <v>0</v>
      </c>
      <c r="AA33" s="71">
        <f>IF($W33-$A$12&lt;Input!$E$238,0,"")</f>
        <v>0</v>
      </c>
      <c r="AB33" s="71">
        <f>IF($W33-$A$12&lt;Input!$E$238,0,"")</f>
        <v>0</v>
      </c>
      <c r="AC33" s="71">
        <f>IF($W33-$A$12&lt;Input!$E$238,0,"")</f>
        <v>0</v>
      </c>
      <c r="AE33" s="205">
        <v>2038</v>
      </c>
      <c r="AF33" s="132">
        <f>IF($W33-$A$12&lt;Input!$E$237,Input!$E$268,"")</f>
        <v>0.7</v>
      </c>
      <c r="AH33" s="205">
        <v>2038</v>
      </c>
      <c r="AI33" s="71">
        <f>IF($W33-$A$12&lt;Input!$E$237,0,"")</f>
        <v>0</v>
      </c>
      <c r="AJ33" s="71">
        <f>IF($W33-$A$12&lt;Input!$E$237,0,"")</f>
        <v>0</v>
      </c>
      <c r="AL33" s="163">
        <v>2038</v>
      </c>
      <c r="AM33" s="38">
        <f>IF(AL33-$AL$12&lt;Input!$E$243,Input!N164,"")</f>
        <v>38.372597400140215</v>
      </c>
      <c r="AO33" s="165">
        <v>2038</v>
      </c>
      <c r="AP33" s="38" t="str">
        <f>IF(AO33-$AL$12&lt;Input!$E$241,Input!O164,"")</f>
        <v/>
      </c>
      <c r="AR33" s="167">
        <v>2038</v>
      </c>
      <c r="AS33" s="38">
        <f>IF(AL33-$AL$12&lt;Input!$E$243,Input!$E$290,"")</f>
        <v>1</v>
      </c>
    </row>
    <row r="34" spans="1:45" x14ac:dyDescent="0.25">
      <c r="A34" s="163">
        <v>2039</v>
      </c>
      <c r="B34" s="71">
        <f>IF(A34-$A$12&lt;Input!$E$237,0,"")</f>
        <v>0</v>
      </c>
      <c r="C34" s="71">
        <f>IF(A34-$A$12&lt;Input!$E$238,0,"")</f>
        <v>0</v>
      </c>
      <c r="D34" s="71">
        <f>IF(A34-$A$12&lt;Input!$E$239,0,"")</f>
        <v>0</v>
      </c>
      <c r="E34" s="71">
        <f>IF(A34-$A$12&lt;Input!$E$240,0,"")</f>
        <v>0</v>
      </c>
      <c r="F34" s="15" t="str">
        <f>IF(A34-$A$12&lt;Input!$E$241,Input!$E$117,"")</f>
        <v/>
      </c>
      <c r="G34" s="94" t="str">
        <f>IF(A34-$A$12&lt;Input!$E$242,Input!I165,"")</f>
        <v/>
      </c>
      <c r="H34" s="71">
        <f>IF(A34-$A$12&lt;Input!$E$243,0,"")</f>
        <v>0</v>
      </c>
      <c r="I34" s="169">
        <f>IF(A34-$A$12&lt;Input!$E$243,0,"")</f>
        <v>0</v>
      </c>
      <c r="J34" s="69"/>
      <c r="K34" s="163">
        <v>2039</v>
      </c>
      <c r="L34" s="95">
        <f>IF(A34-$A$12&lt;Input!$E$243,Input!B212,"")</f>
        <v>138.50638743078355</v>
      </c>
      <c r="N34" s="163">
        <v>2039</v>
      </c>
      <c r="O34" s="239">
        <f>IF(A34-$A$12&lt;Input!$E$243,Input!L212,"")</f>
        <v>21.53334558102511</v>
      </c>
      <c r="Q34" s="95">
        <f>Input!G90/10</f>
        <v>51.483288566053417</v>
      </c>
      <c r="R34" s="95">
        <f>Input!H90/10</f>
        <v>46.334959709448079</v>
      </c>
      <c r="S34" s="69"/>
      <c r="T34" s="205">
        <v>2039</v>
      </c>
      <c r="U34" s="94">
        <f>IF(N34-$N$12&lt;Input!$E$237,IF(N34-$N$12&lt;Input!$E$126,Input!$E$113,0),"")</f>
        <v>0</v>
      </c>
      <c r="W34" s="163">
        <v>2039</v>
      </c>
      <c r="X34" s="71">
        <f>IF($W34-$A$12&lt;Input!$E$238,0,"")</f>
        <v>0</v>
      </c>
      <c r="Y34" s="71">
        <f>IF($W34-$A$12&lt;Input!$E$238,0,"")</f>
        <v>0</v>
      </c>
      <c r="Z34" s="71">
        <f>IF($W34-$A$12&lt;Input!$E$238,0,"")</f>
        <v>0</v>
      </c>
      <c r="AA34" s="71">
        <f>IF($W34-$A$12&lt;Input!$E$238,0,"")</f>
        <v>0</v>
      </c>
      <c r="AB34" s="71">
        <f>IF($W34-$A$12&lt;Input!$E$238,0,"")</f>
        <v>0</v>
      </c>
      <c r="AC34" s="71">
        <f>IF($W34-$A$12&lt;Input!$E$238,0,"")</f>
        <v>0</v>
      </c>
      <c r="AE34" s="205">
        <v>2039</v>
      </c>
      <c r="AF34" s="132">
        <f>IF($W34-$A$12&lt;Input!$E$237,Input!$E$268,"")</f>
        <v>0.7</v>
      </c>
      <c r="AH34" s="205">
        <v>2039</v>
      </c>
      <c r="AI34" s="71">
        <f>IF($W34-$A$12&lt;Input!$E$237,0,"")</f>
        <v>0</v>
      </c>
      <c r="AJ34" s="71">
        <f>IF($W34-$A$12&lt;Input!$E$237,0,"")</f>
        <v>0</v>
      </c>
      <c r="AL34" s="163">
        <v>2039</v>
      </c>
      <c r="AM34" s="38">
        <f>IF(AL34-$AL$12&lt;Input!$E$243,Input!N165,"")</f>
        <v>39.127259705246459</v>
      </c>
      <c r="AO34" s="165">
        <v>2039</v>
      </c>
      <c r="AP34" s="38" t="str">
        <f>IF(AO34-$AL$12&lt;Input!$E$241,Input!O165,"")</f>
        <v/>
      </c>
      <c r="AR34" s="167">
        <v>2039</v>
      </c>
      <c r="AS34" s="38">
        <f>IF(AL34-$AL$12&lt;Input!$E$243,Input!$E$290,"")</f>
        <v>1</v>
      </c>
    </row>
    <row r="35" spans="1:45" x14ac:dyDescent="0.25">
      <c r="A35" s="163">
        <v>2040</v>
      </c>
      <c r="B35" s="71">
        <f>IF(A35-$A$12&lt;Input!$E$237,0,"")</f>
        <v>0</v>
      </c>
      <c r="C35" s="71">
        <f>IF(A35-$A$12&lt;Input!$E$238,0,"")</f>
        <v>0</v>
      </c>
      <c r="D35" s="71">
        <f>IF(A35-$A$12&lt;Input!$E$239,0,"")</f>
        <v>0</v>
      </c>
      <c r="E35" s="71">
        <f>IF(A35-$A$12&lt;Input!$E$240,0,"")</f>
        <v>0</v>
      </c>
      <c r="F35" s="15" t="str">
        <f>IF(A35-$A$12&lt;Input!$E$241,Input!$E$117,"")</f>
        <v/>
      </c>
      <c r="G35" s="94" t="str">
        <f>IF(A35-$A$12&lt;Input!$E$242,Input!I166,"")</f>
        <v/>
      </c>
      <c r="H35" s="71">
        <f>IF(A35-$A$12&lt;Input!$E$243,0,"")</f>
        <v>0</v>
      </c>
      <c r="I35" s="169">
        <f>IF(A35-$A$12&lt;Input!$E$243,0,"")</f>
        <v>0</v>
      </c>
      <c r="J35" s="69"/>
      <c r="K35" s="163">
        <v>2040</v>
      </c>
      <c r="L35" s="95">
        <f>IF(A35-$A$12&lt;Input!$E$243,Input!B213,"")</f>
        <v>141.22930261867521</v>
      </c>
      <c r="N35" s="163">
        <v>2040</v>
      </c>
      <c r="O35" s="239">
        <f>IF(A35-$A$12&lt;Input!$E$243,Input!L213,"")</f>
        <v>21.956672438481373</v>
      </c>
      <c r="Q35" s="95">
        <f>Input!G91/10</f>
        <v>52.49540527026803</v>
      </c>
      <c r="R35" s="95">
        <f>Input!H91/10</f>
        <v>47.245864743241228</v>
      </c>
      <c r="S35" s="69"/>
      <c r="T35" s="205">
        <v>2040</v>
      </c>
      <c r="U35" s="94">
        <f>IF(N35-$N$12&lt;Input!$E$237,IF(N35-$N$12&lt;Input!$E$126,Input!$E$113,0),"")</f>
        <v>0</v>
      </c>
      <c r="W35" s="163">
        <v>2040</v>
      </c>
      <c r="X35" s="71">
        <f>IF($W35-$A$12&lt;Input!$E$238,0,"")</f>
        <v>0</v>
      </c>
      <c r="Y35" s="71">
        <f>IF($W35-$A$12&lt;Input!$E$238,0,"")</f>
        <v>0</v>
      </c>
      <c r="Z35" s="71">
        <f>IF($W35-$A$12&lt;Input!$E$238,0,"")</f>
        <v>0</v>
      </c>
      <c r="AA35" s="71">
        <f>IF($W35-$A$12&lt;Input!$E$238,0,"")</f>
        <v>0</v>
      </c>
      <c r="AB35" s="71">
        <f>IF($W35-$A$12&lt;Input!$E$238,0,"")</f>
        <v>0</v>
      </c>
      <c r="AC35" s="71">
        <f>IF($W35-$A$12&lt;Input!$E$238,0,"")</f>
        <v>0</v>
      </c>
      <c r="AE35" s="205">
        <v>2040</v>
      </c>
      <c r="AF35" s="132">
        <f>IF($W35-$A$12&lt;Input!$E$237,Input!$E$268,"")</f>
        <v>0.7</v>
      </c>
      <c r="AH35" s="205">
        <v>2040</v>
      </c>
      <c r="AI35" s="71">
        <f>IF($W35-$A$12&lt;Input!$E$237,0,"")</f>
        <v>0</v>
      </c>
      <c r="AJ35" s="71">
        <f>IF($W35-$A$12&lt;Input!$E$237,0,"")</f>
        <v>0</v>
      </c>
      <c r="AL35" s="163">
        <v>2040</v>
      </c>
      <c r="AM35" s="38">
        <f>IF(AL35-$AL$12&lt;Input!$E$243,Input!N166,"")</f>
        <v>39.896763726403599</v>
      </c>
      <c r="AO35" s="165">
        <v>2040</v>
      </c>
      <c r="AP35" s="38" t="str">
        <f>IF(AO35-$AL$12&lt;Input!$E$241,Input!O166,"")</f>
        <v/>
      </c>
      <c r="AR35" s="167">
        <v>2040</v>
      </c>
      <c r="AS35" s="38">
        <f>IF(AL35-$AL$12&lt;Input!$E$243,Input!$E$290,"")</f>
        <v>1</v>
      </c>
    </row>
    <row r="36" spans="1:45" x14ac:dyDescent="0.25">
      <c r="A36" s="163">
        <v>2041</v>
      </c>
      <c r="B36" s="71">
        <f>IF(A36-$A$12&lt;Input!$E$237,0,"")</f>
        <v>0</v>
      </c>
      <c r="C36" s="71">
        <f>IF(A36-$A$12&lt;Input!$E$238,0,"")</f>
        <v>0</v>
      </c>
      <c r="D36" s="71">
        <f>IF(A36-$A$12&lt;Input!$E$239,0,"")</f>
        <v>0</v>
      </c>
      <c r="E36" s="71">
        <f>IF(A36-$A$12&lt;Input!$E$240,0,"")</f>
        <v>0</v>
      </c>
      <c r="F36" s="15" t="str">
        <f>IF(A36-$A$12&lt;Input!$E$241,Input!$E$117,"")</f>
        <v/>
      </c>
      <c r="G36" s="94" t="str">
        <f>IF(A36-$A$12&lt;Input!$E$242,Input!I167,"")</f>
        <v/>
      </c>
      <c r="H36" s="71">
        <f>IF(A36-$A$12&lt;Input!$E$243,0,"")</f>
        <v>0</v>
      </c>
      <c r="I36" s="169">
        <f>IF(A36-$A$12&lt;Input!$E$243,0,"")</f>
        <v>0</v>
      </c>
      <c r="J36" s="69"/>
      <c r="K36" s="163">
        <v>2041</v>
      </c>
      <c r="L36" s="95">
        <f>IF(A36-$A$12&lt;Input!$E$243,Input!B214,"")</f>
        <v>144.00574795241778</v>
      </c>
      <c r="N36" s="163">
        <v>2041</v>
      </c>
      <c r="O36" s="239">
        <f>IF(A36-$A$12&lt;Input!$E$243,Input!L214,"")</f>
        <v>22.388321534001825</v>
      </c>
      <c r="Q36" s="95">
        <f>Input!G92/10</f>
        <v>53.527419309161168</v>
      </c>
      <c r="R36" s="95">
        <f>Input!H92/10</f>
        <v>48.17467737824505</v>
      </c>
      <c r="S36" s="69"/>
      <c r="T36" s="205">
        <v>2041</v>
      </c>
      <c r="U36" s="94">
        <f>IF(N36-$N$12&lt;Input!$E$237,IF(N36-$N$12&lt;Input!$E$126,Input!$E$113,0),"")</f>
        <v>0</v>
      </c>
      <c r="W36" s="163">
        <v>2041</v>
      </c>
      <c r="X36" s="71">
        <f>IF($W36-$A$12&lt;Input!$E$238,0,"")</f>
        <v>0</v>
      </c>
      <c r="Y36" s="71">
        <f>IF($W36-$A$12&lt;Input!$E$238,0,"")</f>
        <v>0</v>
      </c>
      <c r="Z36" s="71">
        <f>IF($W36-$A$12&lt;Input!$E$238,0,"")</f>
        <v>0</v>
      </c>
      <c r="AA36" s="71">
        <f>IF($W36-$A$12&lt;Input!$E$238,0,"")</f>
        <v>0</v>
      </c>
      <c r="AB36" s="71">
        <f>IF($W36-$A$12&lt;Input!$E$238,0,"")</f>
        <v>0</v>
      </c>
      <c r="AC36" s="71">
        <f>IF($W36-$A$12&lt;Input!$E$238,0,"")</f>
        <v>0</v>
      </c>
      <c r="AE36" s="205">
        <v>2041</v>
      </c>
      <c r="AF36" s="132">
        <f>IF($W36-$A$12&lt;Input!$E$237,Input!$E$268,"")</f>
        <v>0.7</v>
      </c>
      <c r="AH36" s="205">
        <v>2041</v>
      </c>
      <c r="AI36" s="71">
        <f>IF($W36-$A$12&lt;Input!$E$237,0,"")</f>
        <v>0</v>
      </c>
      <c r="AJ36" s="71">
        <f>IF($W36-$A$12&lt;Input!$E$237,0,"")</f>
        <v>0</v>
      </c>
      <c r="AL36" s="163">
        <v>2041</v>
      </c>
      <c r="AM36" s="38">
        <f>IF(AL36-$AL$12&lt;Input!$E$243,Input!N167,"")</f>
        <v>40.681401351166961</v>
      </c>
      <c r="AO36" s="165">
        <v>2041</v>
      </c>
      <c r="AP36" s="38" t="str">
        <f>IF(AO36-$AL$12&lt;Input!$E$241,Input!O167,"")</f>
        <v/>
      </c>
      <c r="AR36" s="167">
        <v>2041</v>
      </c>
      <c r="AS36" s="38">
        <f>IF(AL36-$AL$12&lt;Input!$E$243,Input!$E$290,"")</f>
        <v>1</v>
      </c>
    </row>
    <row r="37" spans="1:45" x14ac:dyDescent="0.25">
      <c r="A37" s="163">
        <v>2042</v>
      </c>
      <c r="B37" s="71" t="str">
        <f>IF(A37-$A$12&lt;Input!$E$237,0,"")</f>
        <v/>
      </c>
      <c r="C37" s="71" t="str">
        <f>IF(A37-$A$12&lt;Input!$E$238,0,"")</f>
        <v/>
      </c>
      <c r="D37" s="71" t="str">
        <f>IF(A37-$A$12&lt;Input!$E$239,0,"")</f>
        <v/>
      </c>
      <c r="E37" s="71" t="str">
        <f>IF(A37-$A$12&lt;Input!$E$240,0,"")</f>
        <v/>
      </c>
      <c r="F37" s="15" t="str">
        <f>IF(A37-$A$12&lt;Input!$E$241,Input!$E$117,"")</f>
        <v/>
      </c>
      <c r="G37" s="94" t="str">
        <f>IF(A37-$A$12&lt;Input!$E$242,Input!I168,"")</f>
        <v/>
      </c>
      <c r="H37" s="71">
        <f>IF(A37-$A$12&lt;Input!$E$243,0,"")</f>
        <v>0</v>
      </c>
      <c r="I37" s="169">
        <f>IF(A37-$A$12&lt;Input!$E$243,0,"")</f>
        <v>0</v>
      </c>
      <c r="J37" s="69"/>
      <c r="K37" s="163">
        <v>2042</v>
      </c>
      <c r="L37" s="95">
        <f>IF(A37-$A$12&lt;Input!$E$243,Input!B215,"")</f>
        <v>146.83677578815056</v>
      </c>
      <c r="N37" s="163">
        <v>2042</v>
      </c>
      <c r="O37" s="239">
        <f>IF(A37-$A$12&lt;Input!$E$243,Input!L215,"")</f>
        <v>22.828456475553168</v>
      </c>
      <c r="Q37" s="95">
        <f>Input!G93/10</f>
        <v>54.579721847037966</v>
      </c>
      <c r="R37" s="95">
        <f>Input!H93/10</f>
        <v>49.121749662334175</v>
      </c>
      <c r="S37" s="69"/>
      <c r="T37" s="205">
        <v>2042</v>
      </c>
      <c r="U37" s="94" t="str">
        <f>IF(N37-$N$12&lt;Input!$E$237,IF(N37-$N$12&lt;Input!$E$126,Input!$E$113,0),"")</f>
        <v/>
      </c>
      <c r="W37" s="163">
        <v>2042</v>
      </c>
      <c r="X37" s="71" t="str">
        <f>IF($W37-$A$12&lt;Input!$E$238,0,"")</f>
        <v/>
      </c>
      <c r="Y37" s="71" t="str">
        <f>IF($W37-$A$12&lt;Input!$E$238,0,"")</f>
        <v/>
      </c>
      <c r="Z37" s="71" t="str">
        <f>IF($W37-$A$12&lt;Input!$E$238,0,"")</f>
        <v/>
      </c>
      <c r="AA37" s="71" t="str">
        <f>IF($W37-$A$12&lt;Input!$E$238,0,"")</f>
        <v/>
      </c>
      <c r="AB37" s="71" t="str">
        <f>IF($W37-$A$12&lt;Input!$E$238,0,"")</f>
        <v/>
      </c>
      <c r="AC37" s="71" t="str">
        <f>IF($W37-$A$12&lt;Input!$E$238,0,"")</f>
        <v/>
      </c>
      <c r="AE37" s="205">
        <v>2042</v>
      </c>
      <c r="AF37" s="132" t="str">
        <f>IF($W37-$A$12&lt;Input!$E$237,Input!$E$268,"")</f>
        <v/>
      </c>
      <c r="AH37" s="205">
        <v>2042</v>
      </c>
      <c r="AI37" s="71" t="str">
        <f>IF($W37-$A$12&lt;Input!$E$237,0,"")</f>
        <v/>
      </c>
      <c r="AJ37" s="71" t="str">
        <f>IF($W37-$A$12&lt;Input!$E$237,0,"")</f>
        <v/>
      </c>
      <c r="AL37" s="163">
        <v>2042</v>
      </c>
      <c r="AM37" s="38">
        <f>IF(AL37-$AL$12&lt;Input!$E$243,Input!N168,"")</f>
        <v>41.481470207556434</v>
      </c>
      <c r="AO37" s="165">
        <v>2042</v>
      </c>
      <c r="AP37" s="38" t="str">
        <f>IF(AO37-$AL$12&lt;Input!$E$241,Input!O168,"")</f>
        <v/>
      </c>
      <c r="AR37" s="167">
        <v>2042</v>
      </c>
      <c r="AS37" s="38">
        <f>IF(AL37-$AL$12&lt;Input!$E$243,Input!$E$290,"")</f>
        <v>1</v>
      </c>
    </row>
    <row r="38" spans="1:45" x14ac:dyDescent="0.25">
      <c r="A38" s="163">
        <v>2043</v>
      </c>
      <c r="B38" s="71" t="str">
        <f>IF(A38-$A$12&lt;Input!$E$237,0,"")</f>
        <v/>
      </c>
      <c r="C38" s="71" t="str">
        <f>IF(A38-$A$12&lt;Input!$E$238,0,"")</f>
        <v/>
      </c>
      <c r="D38" s="71" t="str">
        <f>IF(A38-$A$12&lt;Input!$E$239,0,"")</f>
        <v/>
      </c>
      <c r="E38" s="71" t="str">
        <f>IF(A38-$A$12&lt;Input!$E$240,0,"")</f>
        <v/>
      </c>
      <c r="F38" s="15" t="str">
        <f>IF(A38-$A$12&lt;Input!$E$241,Input!$E$117,"")</f>
        <v/>
      </c>
      <c r="G38" s="94" t="str">
        <f>IF(A38-$A$12&lt;Input!$E$242,Input!I169,"")</f>
        <v/>
      </c>
      <c r="H38" s="71">
        <f>IF(A38-$A$12&lt;Input!$E$243,0,"")</f>
        <v>0</v>
      </c>
      <c r="I38" s="169">
        <f>IF(A38-$A$12&lt;Input!$E$243,0,"")</f>
        <v>0</v>
      </c>
      <c r="J38" s="69"/>
      <c r="K38" s="163">
        <v>2043</v>
      </c>
      <c r="L38" s="95">
        <f>IF(A38-$A$12&lt;Input!$E$243,Input!B216,"")</f>
        <v>149.72345917041989</v>
      </c>
      <c r="N38" s="163">
        <v>2043</v>
      </c>
      <c r="O38" s="239">
        <f>IF(A38-$A$12&lt;Input!$E$243,Input!L216,"")</f>
        <v>23.277244087492516</v>
      </c>
      <c r="Q38" s="95">
        <f>Input!G94/10</f>
        <v>55.652711738153791</v>
      </c>
      <c r="R38" s="95">
        <f>Input!H94/10</f>
        <v>50.087440564338415</v>
      </c>
      <c r="S38" s="69"/>
      <c r="T38" s="205">
        <v>2043</v>
      </c>
      <c r="U38" s="94" t="str">
        <f>IF(N38-$N$12&lt;Input!$E$237,IF(N38-$N$12&lt;Input!$E$126,Input!$E$113,0),"")</f>
        <v/>
      </c>
      <c r="W38" s="163">
        <v>2043</v>
      </c>
      <c r="X38" s="71" t="str">
        <f>IF($W38-$A$12&lt;Input!$E$238,0,"")</f>
        <v/>
      </c>
      <c r="Y38" s="71" t="str">
        <f>IF($W38-$A$12&lt;Input!$E$238,0,"")</f>
        <v/>
      </c>
      <c r="Z38" s="71" t="str">
        <f>IF($W38-$A$12&lt;Input!$E$238,0,"")</f>
        <v/>
      </c>
      <c r="AA38" s="71" t="str">
        <f>IF($W38-$A$12&lt;Input!$E$238,0,"")</f>
        <v/>
      </c>
      <c r="AB38" s="71" t="str">
        <f>IF($W38-$A$12&lt;Input!$E$238,0,"")</f>
        <v/>
      </c>
      <c r="AC38" s="71" t="str">
        <f>IF($W38-$A$12&lt;Input!$E$238,0,"")</f>
        <v/>
      </c>
      <c r="AE38" s="205">
        <v>2043</v>
      </c>
      <c r="AF38" s="132" t="str">
        <f>IF($W38-$A$12&lt;Input!$E$237,Input!$E$268,"")</f>
        <v/>
      </c>
      <c r="AH38" s="205">
        <v>2043</v>
      </c>
      <c r="AI38" s="71" t="str">
        <f>IF($W38-$A$12&lt;Input!$E$237,0,"")</f>
        <v/>
      </c>
      <c r="AJ38" s="71" t="str">
        <f>IF($W38-$A$12&lt;Input!$E$237,0,"")</f>
        <v/>
      </c>
      <c r="AL38" s="163">
        <v>2043</v>
      </c>
      <c r="AM38" s="38">
        <f>IF(AL38-$AL$12&lt;Input!$E$243,Input!N169,"")</f>
        <v>42.297273776952444</v>
      </c>
      <c r="AO38" s="165">
        <v>2043</v>
      </c>
      <c r="AP38" s="38" t="str">
        <f>IF(AO38-$AL$12&lt;Input!$E$241,Input!O169,"")</f>
        <v/>
      </c>
      <c r="AR38" s="167">
        <v>2043</v>
      </c>
      <c r="AS38" s="38">
        <f>IF(AL38-$AL$12&lt;Input!$E$243,Input!$E$290,"")</f>
        <v>1</v>
      </c>
    </row>
    <row r="39" spans="1:45" x14ac:dyDescent="0.25">
      <c r="A39" s="163">
        <v>2044</v>
      </c>
      <c r="B39" s="71" t="str">
        <f>IF(A39-$A$12&lt;Input!$E$237,0,"")</f>
        <v/>
      </c>
      <c r="C39" s="71" t="str">
        <f>IF(A39-$A$12&lt;Input!$E$238,0,"")</f>
        <v/>
      </c>
      <c r="D39" s="71" t="str">
        <f>IF(A39-$A$12&lt;Input!$E$239,0,"")</f>
        <v/>
      </c>
      <c r="E39" s="71" t="str">
        <f>IF(A39-$A$12&lt;Input!$E$240,0,"")</f>
        <v/>
      </c>
      <c r="F39" s="15" t="str">
        <f>IF(A39-$A$12&lt;Input!$E$241,Input!$E$117,"")</f>
        <v/>
      </c>
      <c r="G39" s="94" t="str">
        <f>IF(A39-$A$12&lt;Input!$E$242,Input!I170,"")</f>
        <v/>
      </c>
      <c r="H39" s="71">
        <f>IF(A39-$A$12&lt;Input!$E$243,0,"")</f>
        <v>0</v>
      </c>
      <c r="I39" s="169">
        <f>IF(A39-$A$12&lt;Input!$E$243,0,"")</f>
        <v>0</v>
      </c>
      <c r="J39" s="69"/>
      <c r="K39" s="163">
        <v>2044</v>
      </c>
      <c r="L39" s="95">
        <f>IF(A39-$A$12&lt;Input!$E$243,Input!B217,"")</f>
        <v>152.66689223889514</v>
      </c>
      <c r="N39" s="163">
        <v>2044</v>
      </c>
      <c r="O39" s="239">
        <f>IF(A39-$A$12&lt;Input!$E$243,Input!L217,"")</f>
        <v>23.734854473798844</v>
      </c>
      <c r="Q39" s="95">
        <f>Input!G95/10</f>
        <v>56.746795677891974</v>
      </c>
      <c r="R39" s="95">
        <f>Input!H95/10</f>
        <v>51.072116110102783</v>
      </c>
      <c r="S39" s="69"/>
      <c r="T39" s="205">
        <v>2044</v>
      </c>
      <c r="U39" s="94" t="str">
        <f>IF(N39-$N$12&lt;Input!$E$237,IF(N39-$N$12&lt;Input!$E$126,Input!$E$113,0),"")</f>
        <v/>
      </c>
      <c r="W39" s="163">
        <v>2044</v>
      </c>
      <c r="X39" s="71" t="str">
        <f>IF($W39-$A$12&lt;Input!$E$238,0,"")</f>
        <v/>
      </c>
      <c r="Y39" s="71" t="str">
        <f>IF($W39-$A$12&lt;Input!$E$238,0,"")</f>
        <v/>
      </c>
      <c r="Z39" s="71" t="str">
        <f>IF($W39-$A$12&lt;Input!$E$238,0,"")</f>
        <v/>
      </c>
      <c r="AA39" s="71" t="str">
        <f>IF($W39-$A$12&lt;Input!$E$238,0,"")</f>
        <v/>
      </c>
      <c r="AB39" s="71" t="str">
        <f>IF($W39-$A$12&lt;Input!$E$238,0,"")</f>
        <v/>
      </c>
      <c r="AC39" s="71" t="str">
        <f>IF($W39-$A$12&lt;Input!$E$238,0,"")</f>
        <v/>
      </c>
      <c r="AE39" s="205">
        <v>2044</v>
      </c>
      <c r="AF39" s="132" t="str">
        <f>IF($W39-$A$12&lt;Input!$E$237,Input!$E$268,"")</f>
        <v/>
      </c>
      <c r="AH39" s="205">
        <v>2044</v>
      </c>
      <c r="AI39" s="71" t="str">
        <f>IF($W39-$A$12&lt;Input!$E$237,0,"")</f>
        <v/>
      </c>
      <c r="AJ39" s="71" t="str">
        <f>IF($W39-$A$12&lt;Input!$E$237,0,"")</f>
        <v/>
      </c>
      <c r="AL39" s="163">
        <v>2044</v>
      </c>
      <c r="AM39" s="38">
        <f>IF(AL39-$AL$12&lt;Input!$E$243,Input!N170,"")</f>
        <v>43.12912150921224</v>
      </c>
      <c r="AO39" s="165">
        <v>2044</v>
      </c>
      <c r="AP39" s="38" t="str">
        <f>IF(AO39-$AL$12&lt;Input!$E$241,Input!O170,"")</f>
        <v/>
      </c>
      <c r="AR39" s="167">
        <v>2044</v>
      </c>
      <c r="AS39" s="38">
        <f>IF(AL39-$AL$12&lt;Input!$E$243,Input!$E$290,"")</f>
        <v>1</v>
      </c>
    </row>
    <row r="40" spans="1:45" x14ac:dyDescent="0.25">
      <c r="A40" s="163">
        <v>2045</v>
      </c>
      <c r="B40" s="71" t="str">
        <f>IF(A40-$A$12&lt;Input!$E$237,0,"")</f>
        <v/>
      </c>
      <c r="C40" s="71" t="str">
        <f>IF(A40-$A$12&lt;Input!$E$238,0,"")</f>
        <v/>
      </c>
      <c r="D40" s="71" t="str">
        <f>IF(A40-$A$12&lt;Input!$E$239,0,"")</f>
        <v/>
      </c>
      <c r="E40" s="71" t="str">
        <f>IF(A40-$A$12&lt;Input!$E$240,0,"")</f>
        <v/>
      </c>
      <c r="F40" s="15" t="str">
        <f>IF(A40-$A$12&lt;Input!$E$241,Input!$E$117,"")</f>
        <v/>
      </c>
      <c r="G40" s="94" t="str">
        <f>IF(A40-$A$12&lt;Input!$E$242,Input!I171,"")</f>
        <v/>
      </c>
      <c r="H40" s="71">
        <f>IF(A40-$A$12&lt;Input!$E$243,0,"")</f>
        <v>0</v>
      </c>
      <c r="I40" s="169">
        <f>IF(A40-$A$12&lt;Input!$E$243,0,"")</f>
        <v>0</v>
      </c>
      <c r="J40" s="69"/>
      <c r="K40" s="163">
        <v>2045</v>
      </c>
      <c r="L40" s="95">
        <f>IF(A40-$A$12&lt;Input!$E$243,Input!B218,"")</f>
        <v>155.66819064308064</v>
      </c>
      <c r="N40" s="163">
        <v>2045</v>
      </c>
      <c r="O40" s="239">
        <f>IF(A40-$A$12&lt;Input!$E$243,Input!L218,"")</f>
        <v>24.2014610825475</v>
      </c>
      <c r="Q40" s="95">
        <f>Input!G96/10</f>
        <v>57.86238835691362</v>
      </c>
      <c r="R40" s="95">
        <f>Input!H96/10</f>
        <v>52.076149521222263</v>
      </c>
      <c r="S40" s="69"/>
      <c r="T40" s="205">
        <v>2045</v>
      </c>
      <c r="U40" s="94" t="str">
        <f>IF(N40-$N$12&lt;Input!$E$237,IF(N40-$N$12&lt;Input!$E$126,Input!$E$113,0),"")</f>
        <v/>
      </c>
      <c r="W40" s="163">
        <v>2045</v>
      </c>
      <c r="X40" s="71" t="str">
        <f>IF($W40-$A$12&lt;Input!$E$238,0,"")</f>
        <v/>
      </c>
      <c r="Y40" s="71" t="str">
        <f>IF($W40-$A$12&lt;Input!$E$238,0,"")</f>
        <v/>
      </c>
      <c r="Z40" s="71" t="str">
        <f>IF($W40-$A$12&lt;Input!$E$238,0,"")</f>
        <v/>
      </c>
      <c r="AA40" s="71" t="str">
        <f>IF($W40-$A$12&lt;Input!$E$238,0,"")</f>
        <v/>
      </c>
      <c r="AB40" s="71" t="str">
        <f>IF($W40-$A$12&lt;Input!$E$238,0,"")</f>
        <v/>
      </c>
      <c r="AC40" s="71" t="str">
        <f>IF($W40-$A$12&lt;Input!$E$238,0,"")</f>
        <v/>
      </c>
      <c r="AE40" s="205">
        <v>2045</v>
      </c>
      <c r="AF40" s="132" t="str">
        <f>IF($W40-$A$12&lt;Input!$E$237,Input!$E$268,"")</f>
        <v/>
      </c>
      <c r="AH40" s="205">
        <v>2045</v>
      </c>
      <c r="AI40" s="71" t="str">
        <f>IF($W40-$A$12&lt;Input!$E$237,0,"")</f>
        <v/>
      </c>
      <c r="AJ40" s="71" t="str">
        <f>IF($W40-$A$12&lt;Input!$E$237,0,"")</f>
        <v/>
      </c>
      <c r="AL40" s="163">
        <v>2045</v>
      </c>
      <c r="AM40" s="38">
        <f>IF(AL40-$AL$12&lt;Input!$E$243,Input!N171,"")</f>
        <v>43.977328940050121</v>
      </c>
      <c r="AO40" s="165">
        <v>2045</v>
      </c>
      <c r="AP40" s="38" t="str">
        <f>IF(AO40-$AL$12&lt;Input!$E$241,Input!O171,"")</f>
        <v/>
      </c>
      <c r="AR40" s="167">
        <v>2045</v>
      </c>
      <c r="AS40" s="38">
        <f>IF(AL40-$AL$12&lt;Input!$E$243,Input!$E$290,"")</f>
        <v>1</v>
      </c>
    </row>
    <row r="41" spans="1:45" x14ac:dyDescent="0.25">
      <c r="A41" s="163">
        <v>2046</v>
      </c>
      <c r="B41" s="71" t="str">
        <f>IF(A41-$A$12&lt;Input!$E$237,0,"")</f>
        <v/>
      </c>
      <c r="C41" s="71" t="str">
        <f>IF(A41-$A$12&lt;Input!$E$238,0,"")</f>
        <v/>
      </c>
      <c r="D41" s="71" t="str">
        <f>IF(A41-$A$12&lt;Input!$E$239,0,"")</f>
        <v/>
      </c>
      <c r="E41" s="71" t="str">
        <f>IF(A41-$A$12&lt;Input!$E$240,0,"")</f>
        <v/>
      </c>
      <c r="F41" s="15" t="str">
        <f>IF(A41-$A$12&lt;Input!$E$241,Input!$E$117,"")</f>
        <v/>
      </c>
      <c r="G41" s="94" t="str">
        <f>IF(A41-$A$12&lt;Input!$E$242,Input!I172,"")</f>
        <v/>
      </c>
      <c r="H41" s="71">
        <f>IF(A41-$A$12&lt;Input!$E$243,0,"")</f>
        <v>0</v>
      </c>
      <c r="I41" s="169">
        <f>IF(A41-$A$12&lt;Input!$E$243,0,"")</f>
        <v>0</v>
      </c>
      <c r="J41" s="69"/>
      <c r="K41" s="163">
        <v>2046</v>
      </c>
      <c r="L41" s="95">
        <f>IF(A41-$A$12&lt;Input!$E$243,Input!B219,"")</f>
        <v>158.72849196518018</v>
      </c>
      <c r="N41" s="163">
        <v>2046</v>
      </c>
      <c r="O41" s="239">
        <f>IF(A41-$A$12&lt;Input!$E$243,Input!L219,"")</f>
        <v>24.67724077165223</v>
      </c>
      <c r="Q41" s="95">
        <f>Input!G97/10</f>
        <v>58.999912618337746</v>
      </c>
      <c r="R41" s="95">
        <f>Input!H97/10</f>
        <v>53.099921356503977</v>
      </c>
      <c r="S41" s="69"/>
      <c r="T41" s="205">
        <v>2046</v>
      </c>
      <c r="U41" s="94" t="str">
        <f>IF(N41-$N$12&lt;Input!$E$237,IF(N41-$N$12&lt;Input!$E$126,Input!$E$113,0),"")</f>
        <v/>
      </c>
      <c r="W41" s="163">
        <v>2046</v>
      </c>
      <c r="X41" s="71" t="str">
        <f>IF($W41-$A$12&lt;Input!$E$238,0,"")</f>
        <v/>
      </c>
      <c r="Y41" s="71" t="str">
        <f>IF($W41-$A$12&lt;Input!$E$238,0,"")</f>
        <v/>
      </c>
      <c r="Z41" s="71" t="str">
        <f>IF($W41-$A$12&lt;Input!$E$238,0,"")</f>
        <v/>
      </c>
      <c r="AA41" s="71" t="str">
        <f>IF($W41-$A$12&lt;Input!$E$238,0,"")</f>
        <v/>
      </c>
      <c r="AB41" s="71" t="str">
        <f>IF($W41-$A$12&lt;Input!$E$238,0,"")</f>
        <v/>
      </c>
      <c r="AC41" s="71" t="str">
        <f>IF($W41-$A$12&lt;Input!$E$238,0,"")</f>
        <v/>
      </c>
      <c r="AE41" s="205">
        <v>2046</v>
      </c>
      <c r="AF41" s="132" t="str">
        <f>IF($W41-$A$12&lt;Input!$E$237,Input!$E$268,"")</f>
        <v/>
      </c>
      <c r="AH41" s="205">
        <v>2046</v>
      </c>
      <c r="AI41" s="71" t="str">
        <f>IF($W41-$A$12&lt;Input!$E$237,0,"")</f>
        <v/>
      </c>
      <c r="AJ41" s="71" t="str">
        <f>IF($W41-$A$12&lt;Input!$E$237,0,"")</f>
        <v/>
      </c>
      <c r="AL41" s="163">
        <v>2046</v>
      </c>
      <c r="AM41" s="38">
        <f>IF(AL41-$AL$12&lt;Input!$E$243,Input!N172,"")</f>
        <v>44.842217810726169</v>
      </c>
      <c r="AO41" s="165">
        <v>2046</v>
      </c>
      <c r="AP41" s="38" t="str">
        <f>IF(AO41-$AL$12&lt;Input!$E$241,Input!O172,"")</f>
        <v/>
      </c>
      <c r="AR41" s="167">
        <v>2046</v>
      </c>
      <c r="AS41" s="38">
        <f>IF(AL41-$AL$12&lt;Input!$E$243,Input!$E$290,"")</f>
        <v>1</v>
      </c>
    </row>
    <row r="42" spans="1:45" x14ac:dyDescent="0.25">
      <c r="A42" s="163">
        <v>2047</v>
      </c>
      <c r="B42" s="71" t="str">
        <f>IF(A42-$A$12&lt;Input!$E$237,0,"")</f>
        <v/>
      </c>
      <c r="C42" s="71" t="str">
        <f>IF(A42-$A$12&lt;Input!$E$238,0,"")</f>
        <v/>
      </c>
      <c r="D42" s="71" t="str">
        <f>IF(A42-$A$12&lt;Input!$E$239,0,"")</f>
        <v/>
      </c>
      <c r="E42" s="71" t="str">
        <f>IF(A42-$A$12&lt;Input!$E$240,0,"")</f>
        <v/>
      </c>
      <c r="F42" s="15" t="str">
        <f>IF(A42-$A$12&lt;Input!$E$241,Input!$E$117,"")</f>
        <v/>
      </c>
      <c r="G42" s="94" t="str">
        <f>IF(A42-$A$12&lt;Input!$E$242,Input!I173,"")</f>
        <v/>
      </c>
      <c r="H42" s="71" t="str">
        <f>IF(A42-$A$12&lt;Input!$E$243,0,"")</f>
        <v/>
      </c>
      <c r="I42" s="38" t="str">
        <f>IF(A42-$A$12&lt;Input!$E$243,0,"")</f>
        <v/>
      </c>
      <c r="J42" s="69"/>
      <c r="K42" s="163">
        <v>2047</v>
      </c>
      <c r="L42" s="38" t="str">
        <f>IF(A42-$A$12&lt;Input!$E$243,Input!B220,"")</f>
        <v/>
      </c>
      <c r="N42" s="163">
        <v>2047</v>
      </c>
      <c r="O42" s="94" t="str">
        <f>IF(A42-$A$12&lt;Input!$E$243,Input!L220,"")</f>
        <v/>
      </c>
      <c r="Q42" s="95">
        <f>Input!G98/10</f>
        <v>60.159799618011583</v>
      </c>
      <c r="R42" s="95">
        <f>Input!H98/10</f>
        <v>54.143819656210425</v>
      </c>
      <c r="S42" s="69"/>
      <c r="T42" s="205">
        <v>2047</v>
      </c>
      <c r="U42" s="94" t="str">
        <f>IF(N42-$N$12&lt;Input!$E$237,IF(N42-$N$12&lt;Input!$E$126,Input!$E$113,0),"")</f>
        <v/>
      </c>
      <c r="W42" s="163">
        <v>2047</v>
      </c>
      <c r="X42" s="71" t="str">
        <f>IF($W42-$A$12&lt;Input!$E$238,0,"")</f>
        <v/>
      </c>
      <c r="Y42" s="71" t="str">
        <f>IF($W42-$A$12&lt;Input!$E$238,0,"")</f>
        <v/>
      </c>
      <c r="Z42" s="71" t="str">
        <f>IF($W42-$A$12&lt;Input!$E$238,0,"")</f>
        <v/>
      </c>
      <c r="AA42" s="71" t="str">
        <f>IF($W42-$A$12&lt;Input!$E$238,0,"")</f>
        <v/>
      </c>
      <c r="AB42" s="71" t="str">
        <f>IF($W42-$A$12&lt;Input!$E$238,0,"")</f>
        <v/>
      </c>
      <c r="AC42" s="71" t="str">
        <f>IF($W42-$A$12&lt;Input!$E$238,0,"")</f>
        <v/>
      </c>
      <c r="AE42" s="205">
        <v>2047</v>
      </c>
      <c r="AF42" s="132" t="str">
        <f>IF($W42-$A$12&lt;Input!$E$237,Input!$E$268,"")</f>
        <v/>
      </c>
      <c r="AH42" s="205">
        <v>2047</v>
      </c>
      <c r="AI42" s="71" t="str">
        <f>IF($W42-$A$12&lt;Input!$E$237,0,"")</f>
        <v/>
      </c>
      <c r="AJ42" s="71" t="str">
        <f>IF($W42-$A$12&lt;Input!$E$237,0,"")</f>
        <v/>
      </c>
      <c r="AL42" s="163">
        <v>2047</v>
      </c>
      <c r="AM42" s="38" t="str">
        <f>IF(AL42-$AL$12&lt;Input!$E$243,Input!N173,"")</f>
        <v/>
      </c>
      <c r="AO42" s="165">
        <v>2047</v>
      </c>
      <c r="AP42" s="38" t="str">
        <f>IF(AO42-$AL$12&lt;Input!$E$241,Input!O173,"")</f>
        <v/>
      </c>
      <c r="AR42" s="167">
        <v>2047</v>
      </c>
      <c r="AS42" s="38" t="str">
        <f>IF(AL42-$AL$12&lt;Input!$E$243,Input!$E$290,"")</f>
        <v/>
      </c>
    </row>
    <row r="43" spans="1:45" x14ac:dyDescent="0.25">
      <c r="A43" s="163">
        <v>2048</v>
      </c>
      <c r="B43" s="71" t="str">
        <f>IF(A43-$A$12&lt;Input!$E$237,0,"")</f>
        <v/>
      </c>
      <c r="C43" s="71" t="str">
        <f>IF(A43-$A$12&lt;Input!$E$238,0,"")</f>
        <v/>
      </c>
      <c r="D43" s="71" t="str">
        <f>IF(A43-$A$12&lt;Input!$E$239,0,"")</f>
        <v/>
      </c>
      <c r="E43" s="71" t="str">
        <f>IF(A43-$A$12&lt;Input!$E$240,0,"")</f>
        <v/>
      </c>
      <c r="F43" s="15" t="str">
        <f>IF(A43-$A$12&lt;Input!$E$241,Input!$E$117,"")</f>
        <v/>
      </c>
      <c r="G43" s="94" t="str">
        <f>IF(A43-$A$12&lt;Input!$E$242,Input!I174,"")</f>
        <v/>
      </c>
      <c r="H43" s="71" t="str">
        <f>IF(A43-$A$12&lt;Input!$E$243,0,"")</f>
        <v/>
      </c>
      <c r="I43" s="38" t="str">
        <f>IF(A43-$A$12&lt;Input!$E$243,0,"")</f>
        <v/>
      </c>
      <c r="J43" s="69"/>
      <c r="K43" s="163">
        <v>2048</v>
      </c>
      <c r="L43" s="38" t="str">
        <f>IF(A43-$A$12&lt;Input!$E$243,Input!B221,"")</f>
        <v/>
      </c>
      <c r="N43" s="163">
        <v>2048</v>
      </c>
      <c r="O43" s="94" t="str">
        <f>IF(A43-$A$12&lt;Input!$E$243,Input!L221,"")</f>
        <v/>
      </c>
      <c r="Q43" s="95">
        <f>Input!G99/10</f>
        <v>61.342488987931539</v>
      </c>
      <c r="R43" s="95">
        <f>Input!H99/10</f>
        <v>55.208240089138386</v>
      </c>
      <c r="S43" s="69"/>
      <c r="T43" s="205">
        <v>2048</v>
      </c>
      <c r="U43" s="94" t="str">
        <f>IF(N43-$N$12&lt;Input!$E$237,IF(N43-$N$12&lt;Input!$E$126,Input!$E$113,0),"")</f>
        <v/>
      </c>
      <c r="W43" s="163">
        <v>2048</v>
      </c>
      <c r="X43" s="71" t="str">
        <f>IF($W43-$A$12&lt;Input!$E$238,0,"")</f>
        <v/>
      </c>
      <c r="Y43" s="71" t="str">
        <f>IF($W43-$A$12&lt;Input!$E$238,0,"")</f>
        <v/>
      </c>
      <c r="Z43" s="71" t="str">
        <f>IF($W43-$A$12&lt;Input!$E$238,0,"")</f>
        <v/>
      </c>
      <c r="AA43" s="71" t="str">
        <f>IF($W43-$A$12&lt;Input!$E$238,0,"")</f>
        <v/>
      </c>
      <c r="AB43" s="71" t="str">
        <f>IF($W43-$A$12&lt;Input!$E$238,0,"")</f>
        <v/>
      </c>
      <c r="AC43" s="71" t="str">
        <f>IF($W43-$A$12&lt;Input!$E$238,0,"")</f>
        <v/>
      </c>
      <c r="AE43" s="205">
        <v>2048</v>
      </c>
      <c r="AF43" s="132" t="str">
        <f>IF($W43-$A$12&lt;Input!$E$237,Input!$E$268,"")</f>
        <v/>
      </c>
      <c r="AH43" s="205">
        <v>2048</v>
      </c>
      <c r="AI43" s="71" t="str">
        <f>IF($W43-$A$12&lt;Input!$E$237,0,"")</f>
        <v/>
      </c>
      <c r="AJ43" s="71" t="str">
        <f>IF($W43-$A$12&lt;Input!$E$237,0,"")</f>
        <v/>
      </c>
      <c r="AL43" s="163">
        <v>2048</v>
      </c>
      <c r="AM43" s="38" t="str">
        <f>IF(AL43-$AL$12&lt;Input!$E$243,Input!N174,"")</f>
        <v/>
      </c>
      <c r="AO43" s="165">
        <v>2048</v>
      </c>
      <c r="AP43" s="38" t="str">
        <f>IF(AO43-$AL$12&lt;Input!$E$241,Input!O174,"")</f>
        <v/>
      </c>
      <c r="AR43" s="167">
        <v>2048</v>
      </c>
      <c r="AS43" s="38" t="str">
        <f>IF(AL43-$AL$12&lt;Input!$E$243,Input!$E$290,"")</f>
        <v/>
      </c>
    </row>
    <row r="44" spans="1:45" x14ac:dyDescent="0.25">
      <c r="A44" s="163">
        <v>2049</v>
      </c>
      <c r="B44" s="71" t="str">
        <f>IF(A44-$A$12&lt;Input!$E$237,0,"")</f>
        <v/>
      </c>
      <c r="C44" s="71" t="str">
        <f>IF(A44-$A$12&lt;Input!$E$238,0,"")</f>
        <v/>
      </c>
      <c r="D44" s="71" t="str">
        <f>IF(A44-$A$12&lt;Input!$E$239,0,"")</f>
        <v/>
      </c>
      <c r="E44" s="71" t="str">
        <f>IF(A44-$A$12&lt;Input!$E$240,0,"")</f>
        <v/>
      </c>
      <c r="F44" s="15" t="str">
        <f>IF(A44-$A$12&lt;Input!$E$241,Input!$E$117,"")</f>
        <v/>
      </c>
      <c r="G44" s="94" t="str">
        <f>IF(A44-$A$12&lt;Input!$E$242,Input!I175,"")</f>
        <v/>
      </c>
      <c r="H44" s="71" t="str">
        <f>IF(A44-$A$12&lt;Input!$E$243,0,"")</f>
        <v/>
      </c>
      <c r="I44" s="38" t="str">
        <f>IF(A44-$A$12&lt;Input!$E$243,0,"")</f>
        <v/>
      </c>
      <c r="J44" s="69"/>
      <c r="K44" s="163">
        <v>2049</v>
      </c>
      <c r="L44" s="38" t="str">
        <f>IF(A44-$A$12&lt;Input!$E$243,Input!B222,"")</f>
        <v/>
      </c>
      <c r="N44" s="163">
        <v>2049</v>
      </c>
      <c r="O44" s="94" t="str">
        <f>IF(A44-$A$12&lt;Input!$E$243,Input!L222,"")</f>
        <v/>
      </c>
      <c r="Q44" s="95">
        <f>Input!G100/10</f>
        <v>62.548429002876972</v>
      </c>
      <c r="R44" s="95">
        <f>Input!H100/10</f>
        <v>56.293586102589281</v>
      </c>
      <c r="S44" s="69"/>
      <c r="T44" s="205">
        <v>2049</v>
      </c>
      <c r="U44" s="94" t="str">
        <f>IF(N44-$N$12&lt;Input!$E$237,IF(N44-$N$12&lt;Input!$E$126,Input!$E$113,0),"")</f>
        <v/>
      </c>
      <c r="W44" s="163">
        <v>2049</v>
      </c>
      <c r="X44" s="71" t="str">
        <f>IF($W44-$A$12&lt;Input!$E$238,0,"")</f>
        <v/>
      </c>
      <c r="Y44" s="71" t="str">
        <f>IF($W44-$A$12&lt;Input!$E$238,0,"")</f>
        <v/>
      </c>
      <c r="Z44" s="71" t="str">
        <f>IF($W44-$A$12&lt;Input!$E$238,0,"")</f>
        <v/>
      </c>
      <c r="AA44" s="71" t="str">
        <f>IF($W44-$A$12&lt;Input!$E$238,0,"")</f>
        <v/>
      </c>
      <c r="AB44" s="71" t="str">
        <f>IF($W44-$A$12&lt;Input!$E$238,0,"")</f>
        <v/>
      </c>
      <c r="AC44" s="71" t="str">
        <f>IF($W44-$A$12&lt;Input!$E$238,0,"")</f>
        <v/>
      </c>
      <c r="AE44" s="205">
        <v>2049</v>
      </c>
      <c r="AF44" s="132" t="str">
        <f>IF($W44-$A$12&lt;Input!$E$237,Input!$E$268,"")</f>
        <v/>
      </c>
      <c r="AH44" s="205">
        <v>2049</v>
      </c>
      <c r="AI44" s="71" t="str">
        <f>IF($W44-$A$12&lt;Input!$E$237,0,"")</f>
        <v/>
      </c>
      <c r="AJ44" s="71" t="str">
        <f>IF($W44-$A$12&lt;Input!$E$237,0,"")</f>
        <v/>
      </c>
      <c r="AL44" s="163">
        <v>2049</v>
      </c>
      <c r="AM44" s="38" t="str">
        <f>IF(AL44-$AL$12&lt;Input!$E$243,Input!N175,"")</f>
        <v/>
      </c>
      <c r="AO44" s="165">
        <v>2049</v>
      </c>
      <c r="AP44" s="38" t="str">
        <f>IF(AO44-$AL$12&lt;Input!$E$241,Input!O175,"")</f>
        <v/>
      </c>
      <c r="AR44" s="167">
        <v>2049</v>
      </c>
      <c r="AS44" s="38" t="str">
        <f>IF(AL44-$AL$12&lt;Input!$E$243,Input!$E$290,"")</f>
        <v/>
      </c>
    </row>
    <row r="45" spans="1:45" x14ac:dyDescent="0.25">
      <c r="A45" s="163">
        <v>2050</v>
      </c>
      <c r="B45" s="71" t="str">
        <f>IF(A45-$A$12&lt;Input!$E$237,0,"")</f>
        <v/>
      </c>
      <c r="C45" s="71" t="str">
        <f>IF(A45-$A$12&lt;Input!$E$238,0,"")</f>
        <v/>
      </c>
      <c r="D45" s="71" t="str">
        <f>IF(A45-$A$12&lt;Input!$E$239,0,"")</f>
        <v/>
      </c>
      <c r="E45" s="71" t="str">
        <f>IF(A45-$A$12&lt;Input!$E$240,0,"")</f>
        <v/>
      </c>
      <c r="F45" s="15" t="str">
        <f>IF(A45-$A$12&lt;Input!$E$241,Input!$E$117,"")</f>
        <v/>
      </c>
      <c r="G45" s="94" t="str">
        <f>IF(A45-$A$12&lt;Input!$E$242,Input!I176,"")</f>
        <v/>
      </c>
      <c r="H45" s="71" t="str">
        <f>IF(A45-$A$12&lt;Input!$E$243,0,"")</f>
        <v/>
      </c>
      <c r="I45" s="38" t="str">
        <f>IF(A45-$A$12&lt;Input!$E$243,0,"")</f>
        <v/>
      </c>
      <c r="J45" s="69"/>
      <c r="K45" s="163">
        <v>2050</v>
      </c>
      <c r="L45" s="38" t="str">
        <f>IF(A45-$A$12&lt;Input!$E$243,Input!B223,"")</f>
        <v/>
      </c>
      <c r="N45" s="163">
        <v>2050</v>
      </c>
      <c r="O45" s="94" t="str">
        <f>IF(A45-$A$12&lt;Input!$E$243,Input!L223,"")</f>
        <v/>
      </c>
      <c r="Q45" s="95">
        <f>Input!G101/10</f>
        <v>63.778076750319727</v>
      </c>
      <c r="R45" s="95">
        <f>Input!H101/10</f>
        <v>57.40026907528776</v>
      </c>
      <c r="S45" s="69"/>
      <c r="T45" s="205">
        <v>2050</v>
      </c>
      <c r="U45" s="94" t="str">
        <f>IF(N45-$N$12&lt;Input!$E$237,IF(N45-$N$12&lt;Input!$E$126,Input!$E$113,0),"")</f>
        <v/>
      </c>
      <c r="W45" s="163">
        <v>2050</v>
      </c>
      <c r="X45" s="71" t="str">
        <f>IF($W45-$A$12&lt;Input!$E$238,0,"")</f>
        <v/>
      </c>
      <c r="Y45" s="71" t="str">
        <f>IF($W45-$A$12&lt;Input!$E$238,0,"")</f>
        <v/>
      </c>
      <c r="Z45" s="71" t="str">
        <f>IF($W45-$A$12&lt;Input!$E$238,0,"")</f>
        <v/>
      </c>
      <c r="AA45" s="71" t="str">
        <f>IF($W45-$A$12&lt;Input!$E$238,0,"")</f>
        <v/>
      </c>
      <c r="AB45" s="71" t="str">
        <f>IF($W45-$A$12&lt;Input!$E$238,0,"")</f>
        <v/>
      </c>
      <c r="AC45" s="71" t="str">
        <f>IF($W45-$A$12&lt;Input!$E$238,0,"")</f>
        <v/>
      </c>
      <c r="AE45" s="205">
        <v>2050</v>
      </c>
      <c r="AF45" s="132" t="str">
        <f>IF($W45-$A$12&lt;Input!$E$237,Input!$E$268,"")</f>
        <v/>
      </c>
      <c r="AH45" s="205">
        <v>2050</v>
      </c>
      <c r="AI45" s="71" t="str">
        <f>IF($W45-$A$12&lt;Input!$E$237,0,"")</f>
        <v/>
      </c>
      <c r="AJ45" s="71" t="str">
        <f>IF($W45-$A$12&lt;Input!$E$237,0,"")</f>
        <v/>
      </c>
      <c r="AL45" s="163">
        <v>2050</v>
      </c>
      <c r="AM45" s="38" t="str">
        <f>IF(AL45-$AL$12&lt;Input!$E$243,Input!N176,"")</f>
        <v/>
      </c>
      <c r="AO45" s="165">
        <v>2050</v>
      </c>
      <c r="AP45" s="38" t="str">
        <f>IF(AO45-$AL$12&lt;Input!$E$241,Input!O176,"")</f>
        <v/>
      </c>
      <c r="AR45" s="167">
        <v>2050</v>
      </c>
      <c r="AS45" s="38" t="str">
        <f>IF(AL45-$AL$12&lt;Input!$E$243,Input!$E$290,"")</f>
        <v/>
      </c>
    </row>
    <row r="46" spans="1:45" x14ac:dyDescent="0.25">
      <c r="A46" s="163">
        <v>2051</v>
      </c>
      <c r="B46" s="71" t="str">
        <f>IF(A46-$A$12&lt;Input!$E$237,0,"")</f>
        <v/>
      </c>
      <c r="C46" s="71" t="str">
        <f>IF(A46-$A$12&lt;Input!$E$238,0,"")</f>
        <v/>
      </c>
      <c r="D46" s="71" t="str">
        <f>IF(A46-$A$12&lt;Input!$E$239,0,"")</f>
        <v/>
      </c>
      <c r="E46" s="71" t="str">
        <f>IF(A46-$A$12&lt;Input!$E$240,0,"")</f>
        <v/>
      </c>
      <c r="F46" s="15" t="str">
        <f>IF(A46-$A$12&lt;Input!$E$241,Input!$E$117,"")</f>
        <v/>
      </c>
      <c r="G46" s="94" t="str">
        <f>IF(A46-$A$12&lt;Input!$E$242,Input!I177,"")</f>
        <v/>
      </c>
      <c r="H46" s="71" t="str">
        <f>IF(A46-$A$12&lt;Input!$E$243,0,"")</f>
        <v/>
      </c>
      <c r="I46" s="38" t="str">
        <f>IF(A46-$A$12&lt;Input!$E$243,0,"")</f>
        <v/>
      </c>
      <c r="J46" s="69"/>
      <c r="K46" s="163">
        <v>2051</v>
      </c>
      <c r="L46" s="38" t="str">
        <f>IF(A46-$A$12&lt;Input!$E$243,Input!B224,"")</f>
        <v/>
      </c>
      <c r="N46" s="163">
        <v>2051</v>
      </c>
      <c r="O46" s="94" t="str">
        <f>IF(A46-$A$12&lt;Input!$E$243,Input!L224,"")</f>
        <v/>
      </c>
      <c r="Q46" s="95">
        <f>Input!G102/10</f>
        <v>65.031898303674083</v>
      </c>
      <c r="R46" s="95">
        <f>Input!H102/10</f>
        <v>58.528708473306679</v>
      </c>
      <c r="S46" s="69"/>
      <c r="T46" s="205">
        <v>2051</v>
      </c>
      <c r="U46" s="94" t="str">
        <f>IF(N46-$N$12&lt;Input!$E$237,IF(N46-$N$12&lt;Input!$E$126,Input!$E$113,0),"")</f>
        <v/>
      </c>
      <c r="W46" s="163">
        <v>2051</v>
      </c>
      <c r="X46" s="71" t="str">
        <f>IF($W46-$A$12&lt;Input!$E$238,0,"")</f>
        <v/>
      </c>
      <c r="Y46" s="71" t="str">
        <f>IF($W46-$A$12&lt;Input!$E$238,0,"")</f>
        <v/>
      </c>
      <c r="Z46" s="71" t="str">
        <f>IF($W46-$A$12&lt;Input!$E$238,0,"")</f>
        <v/>
      </c>
      <c r="AA46" s="71" t="str">
        <f>IF($W46-$A$12&lt;Input!$E$238,0,"")</f>
        <v/>
      </c>
      <c r="AB46" s="71" t="str">
        <f>IF($W46-$A$12&lt;Input!$E$238,0,"")</f>
        <v/>
      </c>
      <c r="AC46" s="71" t="str">
        <f>IF($W46-$A$12&lt;Input!$E$238,0,"")</f>
        <v/>
      </c>
      <c r="AE46" s="205">
        <v>2051</v>
      </c>
      <c r="AF46" s="132" t="str">
        <f>IF($W46-$A$12&lt;Input!$E$237,Input!$E$268,"")</f>
        <v/>
      </c>
      <c r="AH46" s="205">
        <v>2051</v>
      </c>
      <c r="AI46" s="71" t="str">
        <f>IF($W46-$A$12&lt;Input!$E$237,0,"")</f>
        <v/>
      </c>
      <c r="AJ46" s="71" t="str">
        <f>IF($W46-$A$12&lt;Input!$E$237,0,"")</f>
        <v/>
      </c>
      <c r="AL46" s="163">
        <v>2051</v>
      </c>
      <c r="AM46" s="38" t="str">
        <f>IF(AL46-$AL$12&lt;Input!$E$243,Input!N177,"")</f>
        <v/>
      </c>
      <c r="AO46" s="165">
        <v>2051</v>
      </c>
      <c r="AP46" s="38" t="str">
        <f>IF(AO46-$AL$12&lt;Input!$E$241,Input!O177,"")</f>
        <v/>
      </c>
      <c r="AR46" s="167">
        <v>2051</v>
      </c>
      <c r="AS46" s="38" t="str">
        <f>IF(AL46-$AL$12&lt;Input!$E$243,Input!$E$290,"")</f>
        <v/>
      </c>
    </row>
    <row r="47" spans="1:45" x14ac:dyDescent="0.25">
      <c r="A47" s="163">
        <v>2052</v>
      </c>
      <c r="B47" s="71" t="str">
        <f>IF(A47-$A$12&lt;Input!$E$237,0,"")</f>
        <v/>
      </c>
      <c r="C47" s="71" t="str">
        <f>IF(A47-$A$12&lt;Input!$E$238,0,"")</f>
        <v/>
      </c>
      <c r="D47" s="71" t="str">
        <f>IF(A47-$A$12&lt;Input!$E$239,0,"")</f>
        <v/>
      </c>
      <c r="E47" s="71" t="str">
        <f>IF(A47-$A$12&lt;Input!$E$240,0,"")</f>
        <v/>
      </c>
      <c r="F47" s="15" t="str">
        <f>IF(A47-$A$12&lt;Input!$E$241,Input!$E$117,"")</f>
        <v/>
      </c>
      <c r="G47" s="94" t="str">
        <f>IF(A47-$A$12&lt;Input!$E$242,Input!I178,"")</f>
        <v/>
      </c>
      <c r="H47" s="71" t="str">
        <f>IF(A47-$A$12&lt;Input!$E$243,0,"")</f>
        <v/>
      </c>
      <c r="I47" s="38" t="str">
        <f>IF(A47-$A$12&lt;Input!$E$243,0,"")</f>
        <v/>
      </c>
      <c r="J47" s="69"/>
      <c r="K47" s="163">
        <v>2052</v>
      </c>
      <c r="L47" s="38" t="str">
        <f>IF(A47-$A$12&lt;Input!$E$243,Input!B225,"")</f>
        <v/>
      </c>
      <c r="N47" s="163">
        <v>2052</v>
      </c>
      <c r="O47" s="94" t="str">
        <f>IF(A47-$A$12&lt;Input!$E$243,Input!L225,"")</f>
        <v/>
      </c>
      <c r="Q47" s="95">
        <f>Input!G103/10</f>
        <v>66.310368898952532</v>
      </c>
      <c r="R47" s="95">
        <f>Input!H103/10</f>
        <v>59.679332009057269</v>
      </c>
      <c r="S47" s="69"/>
      <c r="T47" s="205">
        <v>2052</v>
      </c>
      <c r="U47" s="94" t="str">
        <f>IF(N47-$N$12&lt;Input!$E$237,IF(N47-$N$12&lt;Input!$E$126,Input!$E$113,0),"")</f>
        <v/>
      </c>
      <c r="W47" s="163">
        <v>2052</v>
      </c>
      <c r="X47" s="71" t="str">
        <f>IF($W47-$A$12&lt;Input!$E$238,0,"")</f>
        <v/>
      </c>
      <c r="Y47" s="71" t="str">
        <f>IF($W47-$A$12&lt;Input!$E$238,0,"")</f>
        <v/>
      </c>
      <c r="Z47" s="71" t="str">
        <f>IF($W47-$A$12&lt;Input!$E$238,0,"")</f>
        <v/>
      </c>
      <c r="AA47" s="71" t="str">
        <f>IF($W47-$A$12&lt;Input!$E$238,0,"")</f>
        <v/>
      </c>
      <c r="AB47" s="71" t="str">
        <f>IF($W47-$A$12&lt;Input!$E$238,0,"")</f>
        <v/>
      </c>
      <c r="AC47" s="71" t="str">
        <f>IF($W47-$A$12&lt;Input!$E$238,0,"")</f>
        <v/>
      </c>
      <c r="AE47" s="205">
        <v>2052</v>
      </c>
      <c r="AF47" s="132" t="str">
        <f>IF($W47-$A$12&lt;Input!$E$237,Input!$E$268,"")</f>
        <v/>
      </c>
      <c r="AH47" s="205">
        <v>2052</v>
      </c>
      <c r="AI47" s="71" t="str">
        <f>IF($W47-$A$12&lt;Input!$E$237,0,"")</f>
        <v/>
      </c>
      <c r="AJ47" s="71" t="str">
        <f>IF($W47-$A$12&lt;Input!$E$237,0,"")</f>
        <v/>
      </c>
      <c r="AL47" s="163">
        <v>2052</v>
      </c>
      <c r="AM47" s="38" t="str">
        <f>IF(AL47-$AL$12&lt;Input!$E$243,Input!N178,"")</f>
        <v/>
      </c>
      <c r="AO47" s="165">
        <v>2052</v>
      </c>
      <c r="AP47" s="38" t="str">
        <f>IF(AO47-$AL$12&lt;Input!$E$241,Input!O178,"")</f>
        <v/>
      </c>
      <c r="AR47" s="167">
        <v>2052</v>
      </c>
      <c r="AS47" s="38" t="str">
        <f>IF(AL47-$AL$12&lt;Input!$E$243,Input!$E$290,"")</f>
        <v/>
      </c>
    </row>
    <row r="48" spans="1:45" x14ac:dyDescent="0.25">
      <c r="A48" s="163">
        <v>2053</v>
      </c>
      <c r="B48" s="71" t="str">
        <f>IF(A48-$A$12&lt;Input!$E$237,0,"")</f>
        <v/>
      </c>
      <c r="C48" s="71" t="str">
        <f>IF(A48-$A$12&lt;Input!$E$238,0,"")</f>
        <v/>
      </c>
      <c r="D48" s="71" t="str">
        <f>IF(A48-$A$12&lt;Input!$E$239,0,"")</f>
        <v/>
      </c>
      <c r="E48" s="71" t="str">
        <f>IF(A48-$A$12&lt;Input!$E$240,0,"")</f>
        <v/>
      </c>
      <c r="F48" s="15" t="str">
        <f>IF(A48-$A$12&lt;Input!$E$241,Input!$E$117,"")</f>
        <v/>
      </c>
      <c r="G48" s="94" t="str">
        <f>IF(A48-$A$12&lt;Input!$E$242,Input!I179,"")</f>
        <v/>
      </c>
      <c r="H48" s="71" t="str">
        <f>IF(A48-$A$12&lt;Input!$E$243,0,"")</f>
        <v/>
      </c>
      <c r="I48" s="38" t="str">
        <f>IF(A48-$A$12&lt;Input!$E$243,0,"")</f>
        <v/>
      </c>
      <c r="J48" s="69"/>
      <c r="K48" s="163">
        <v>2053</v>
      </c>
      <c r="L48" s="38" t="str">
        <f>IF(A48-$A$12&lt;Input!$E$243,Input!B226,"")</f>
        <v/>
      </c>
      <c r="N48" s="163">
        <v>2053</v>
      </c>
      <c r="O48" s="94" t="str">
        <f>IF(A48-$A$12&lt;Input!$E$243,Input!L226,"")</f>
        <v/>
      </c>
      <c r="Q48" s="95">
        <f>Input!G104/10</f>
        <v>67.613973114894463</v>
      </c>
      <c r="R48" s="95">
        <f>Input!H104/10</f>
        <v>60.852575803405024</v>
      </c>
      <c r="S48" s="69"/>
      <c r="T48" s="205">
        <v>2053</v>
      </c>
      <c r="U48" s="94" t="str">
        <f>IF(N48-$N$12&lt;Input!$E$237,IF(N48-$N$12&lt;Input!$E$126,Input!$E$113,0),"")</f>
        <v/>
      </c>
      <c r="W48" s="163">
        <v>2053</v>
      </c>
      <c r="X48" s="71" t="str">
        <f>IF($W48-$A$12&lt;Input!$E$238,0,"")</f>
        <v/>
      </c>
      <c r="Y48" s="71" t="str">
        <f>IF($W48-$A$12&lt;Input!$E$238,0,"")</f>
        <v/>
      </c>
      <c r="Z48" s="71" t="str">
        <f>IF($W48-$A$12&lt;Input!$E$238,0,"")</f>
        <v/>
      </c>
      <c r="AA48" s="71" t="str">
        <f>IF($W48-$A$12&lt;Input!$E$238,0,"")</f>
        <v/>
      </c>
      <c r="AB48" s="71" t="str">
        <f>IF($W48-$A$12&lt;Input!$E$238,0,"")</f>
        <v/>
      </c>
      <c r="AC48" s="71" t="str">
        <f>IF($W48-$A$12&lt;Input!$E$238,0,"")</f>
        <v/>
      </c>
      <c r="AE48" s="205">
        <v>2053</v>
      </c>
      <c r="AF48" s="132" t="str">
        <f>IF($W48-$A$12&lt;Input!$E$237,Input!$E$268,"")</f>
        <v/>
      </c>
      <c r="AH48" s="205">
        <v>2053</v>
      </c>
      <c r="AI48" s="71" t="str">
        <f>IF($W48-$A$12&lt;Input!$E$237,0,"")</f>
        <v/>
      </c>
      <c r="AJ48" s="71" t="str">
        <f>IF($W48-$A$12&lt;Input!$E$237,0,"")</f>
        <v/>
      </c>
      <c r="AL48" s="163">
        <v>2053</v>
      </c>
      <c r="AM48" s="38" t="str">
        <f>IF(AL48-$AL$12&lt;Input!$E$243,Input!N179,"")</f>
        <v/>
      </c>
      <c r="AO48" s="165">
        <v>2053</v>
      </c>
      <c r="AP48" s="38" t="str">
        <f>IF(AO48-$AL$12&lt;Input!$E$241,Input!O179,"")</f>
        <v/>
      </c>
      <c r="AR48" s="167">
        <v>2053</v>
      </c>
      <c r="AS48" s="38" t="str">
        <f>IF(AL48-$AL$12&lt;Input!$E$243,Input!$E$290,"")</f>
        <v/>
      </c>
    </row>
    <row r="49" spans="1:45" x14ac:dyDescent="0.25">
      <c r="A49" s="163">
        <v>2054</v>
      </c>
      <c r="B49" s="71" t="str">
        <f>IF(A49-$A$12&lt;Input!$E$237,0,"")</f>
        <v/>
      </c>
      <c r="C49" s="71" t="str">
        <f>IF(A49-$A$12&lt;Input!$E$238,0,"")</f>
        <v/>
      </c>
      <c r="D49" s="71" t="str">
        <f>IF(A49-$A$12&lt;Input!$E$239,0,"")</f>
        <v/>
      </c>
      <c r="E49" s="71" t="str">
        <f>IF(A49-$A$12&lt;Input!$E$240,0,"")</f>
        <v/>
      </c>
      <c r="F49" s="15" t="str">
        <f>IF(A49-$A$12&lt;Input!$E$241,Input!$E$117,"")</f>
        <v/>
      </c>
      <c r="G49" s="94" t="str">
        <f>IF(A49-$A$12&lt;Input!$E$242,Input!I180,"")</f>
        <v/>
      </c>
      <c r="H49" s="71" t="str">
        <f>IF(A49-$A$12&lt;Input!$E$243,0,"")</f>
        <v/>
      </c>
      <c r="I49" s="38" t="str">
        <f>IF(A49-$A$12&lt;Input!$E$243,0,"")</f>
        <v/>
      </c>
      <c r="K49" s="163">
        <v>2054</v>
      </c>
      <c r="L49" s="38" t="str">
        <f>IF(A49-$A$12&lt;Input!$E$243,Input!B227,"")</f>
        <v/>
      </c>
      <c r="N49" s="163">
        <v>2054</v>
      </c>
      <c r="O49" s="94" t="str">
        <f>IF(A49-$A$12&lt;Input!$E$243,Input!L227,"")</f>
        <v/>
      </c>
      <c r="Q49" s="95">
        <f>Input!G105/10</f>
        <v>68.943205056636131</v>
      </c>
      <c r="R49" s="95">
        <f>Input!H105/10</f>
        <v>62.048884550972524</v>
      </c>
      <c r="S49" s="69"/>
      <c r="T49" s="205">
        <v>2054</v>
      </c>
      <c r="U49" s="94" t="str">
        <f>IF(N49-$N$12&lt;Input!$E$237,IF(N49-$N$12&lt;Input!$E$126,Input!$E$113,0),"")</f>
        <v/>
      </c>
      <c r="W49" s="163">
        <v>2054</v>
      </c>
      <c r="X49" s="71" t="str">
        <f>IF($W49-$A$12&lt;Input!$E$238,0,"")</f>
        <v/>
      </c>
      <c r="Y49" s="71" t="str">
        <f>IF($W49-$A$12&lt;Input!$E$238,0,"")</f>
        <v/>
      </c>
      <c r="Z49" s="71" t="str">
        <f>IF($W49-$A$12&lt;Input!$E$238,0,"")</f>
        <v/>
      </c>
      <c r="AA49" s="71" t="str">
        <f>IF($W49-$A$12&lt;Input!$E$238,0,"")</f>
        <v/>
      </c>
      <c r="AB49" s="71" t="str">
        <f>IF($W49-$A$12&lt;Input!$E$238,0,"")</f>
        <v/>
      </c>
      <c r="AC49" s="71" t="str">
        <f>IF($W49-$A$12&lt;Input!$E$238,0,"")</f>
        <v/>
      </c>
      <c r="AE49" s="205">
        <v>2054</v>
      </c>
      <c r="AF49" s="132" t="str">
        <f>IF($W49-$A$12&lt;Input!$E$237,Input!$E$268,"")</f>
        <v/>
      </c>
      <c r="AH49" s="205">
        <v>2054</v>
      </c>
      <c r="AI49" s="71" t="str">
        <f>IF($W49-$A$12&lt;Input!$E$237,0,"")</f>
        <v/>
      </c>
      <c r="AJ49" s="71" t="str">
        <f>IF($W49-$A$12&lt;Input!$E$237,0,"")</f>
        <v/>
      </c>
      <c r="AL49" s="163">
        <v>2054</v>
      </c>
      <c r="AM49" s="38" t="str">
        <f>IF(AL49-$AL$12&lt;Input!$E$243,Input!N180,"")</f>
        <v/>
      </c>
      <c r="AO49" s="165">
        <v>2054</v>
      </c>
      <c r="AP49" s="38" t="str">
        <f>IF(AO49-$AL$12&lt;Input!$E$241,Input!O180,"")</f>
        <v/>
      </c>
      <c r="AR49" s="167">
        <v>2054</v>
      </c>
      <c r="AS49" s="38" t="str">
        <f>IF(AL49-$AL$12&lt;Input!$E$243,Input!$E$290,"")</f>
        <v/>
      </c>
    </row>
    <row r="50" spans="1:45" x14ac:dyDescent="0.25">
      <c r="A50" s="89">
        <v>2055</v>
      </c>
      <c r="B50" s="71" t="str">
        <f>IF(A50-$A$12&lt;Input!$E$237,0,"")</f>
        <v/>
      </c>
      <c r="C50" s="71" t="str">
        <f>IF(A50-$A$12&lt;Input!$E$238,0,"")</f>
        <v/>
      </c>
      <c r="D50" s="71" t="str">
        <f>IF(A50-$A$12&lt;Input!$E$239,0,"")</f>
        <v/>
      </c>
      <c r="E50" s="71" t="str">
        <f>IF(A50-$A$12&lt;Input!$E$240,0,"")</f>
        <v/>
      </c>
      <c r="F50" s="15" t="str">
        <f>IF(A50-$A$12&lt;Input!$E$241,Input!$E$117,"")</f>
        <v/>
      </c>
      <c r="G50" s="94" t="str">
        <f>IF(A50-$A$12&lt;Input!$E$242,Input!I181,"")</f>
        <v/>
      </c>
      <c r="H50" s="71" t="str">
        <f>IF(A50-$A$12&lt;Input!$E$243,0,"")</f>
        <v/>
      </c>
      <c r="I50" s="38" t="str">
        <f>IF(A50-$A$12&lt;Input!$E$243,0,"")</f>
        <v/>
      </c>
      <c r="K50" s="59">
        <v>2055</v>
      </c>
      <c r="L50" s="38" t="str">
        <f>IF(A50-$A$12&lt;Input!$E$243,Input!B228,"")</f>
        <v/>
      </c>
      <c r="N50" s="164">
        <v>2055</v>
      </c>
      <c r="O50" s="94" t="str">
        <f>IF(A50-$A$12&lt;Input!$E$243,Input!H228,"")</f>
        <v/>
      </c>
      <c r="Q50" s="95"/>
      <c r="R50" s="95"/>
      <c r="S50" s="69"/>
      <c r="T50" s="205">
        <v>2055</v>
      </c>
      <c r="U50" s="94" t="str">
        <f>IF(N50-$N$12&lt;Input!$E$237,IF(N50-$N$12&lt;Input!$E$126,Input!$E$113,0),"")</f>
        <v/>
      </c>
      <c r="W50" s="164">
        <v>2055</v>
      </c>
      <c r="X50" s="71" t="str">
        <f>IF($W50-$A$12&lt;Input!$E$238,0,"")</f>
        <v/>
      </c>
      <c r="Y50" s="71" t="str">
        <f>IF($W50-$A$12&lt;Input!$E$238,0,"")</f>
        <v/>
      </c>
      <c r="Z50" s="71" t="str">
        <f>IF($W50-$A$12&lt;Input!$E$238,0,"")</f>
        <v/>
      </c>
      <c r="AA50" s="71" t="str">
        <f>IF($W50-$A$12&lt;Input!$E$238,0,"")</f>
        <v/>
      </c>
      <c r="AB50" s="71" t="str">
        <f>IF($W50-$A$12&lt;Input!$E$238,0,"")</f>
        <v/>
      </c>
      <c r="AC50" s="71" t="str">
        <f>IF($W50-$A$12&lt;Input!$E$238,0,"")</f>
        <v/>
      </c>
      <c r="AE50" s="205">
        <v>2055</v>
      </c>
      <c r="AF50" s="132" t="str">
        <f>IF($W50-$A$12&lt;Input!$E$237,Input!$E$268,"")</f>
        <v/>
      </c>
      <c r="AH50" s="205">
        <v>2055</v>
      </c>
      <c r="AI50" s="71" t="str">
        <f>IF($W50-$A$12&lt;Input!$E$237,0,"")</f>
        <v/>
      </c>
      <c r="AJ50" s="71" t="str">
        <f>IF($W50-$A$12&lt;Input!$E$237,0,"")</f>
        <v/>
      </c>
      <c r="AL50" s="164">
        <v>2055</v>
      </c>
      <c r="AM50" s="38" t="str">
        <f>IF(AL50-$AL$12&lt;Input!$E$243,Input!#REF!,"")</f>
        <v/>
      </c>
      <c r="AO50" s="165">
        <v>2055</v>
      </c>
      <c r="AP50" s="38" t="str">
        <f>IF(AO50-$AL$12&lt;Input!$E$241,Input!M181,"")</f>
        <v/>
      </c>
      <c r="AR50" s="167">
        <v>2055</v>
      </c>
      <c r="AS50" s="38" t="str">
        <f>IF(AL50-$AL$12&lt;Input!$E$243,Input!$E$290,"")</f>
        <v/>
      </c>
    </row>
    <row r="51" spans="1:45" x14ac:dyDescent="0.25">
      <c r="A51" s="56"/>
      <c r="B51" s="58"/>
      <c r="C51" s="72"/>
      <c r="D51" s="72"/>
      <c r="E51" s="72"/>
      <c r="F51" s="58"/>
      <c r="G51" s="70"/>
      <c r="H51" s="72"/>
      <c r="I51" s="72"/>
      <c r="K51" s="56"/>
      <c r="L51" s="58"/>
      <c r="N51" s="56"/>
      <c r="O51" s="70"/>
      <c r="Q51" s="57"/>
      <c r="R51" s="57"/>
      <c r="AE51" s="56"/>
      <c r="AH51" s="56"/>
      <c r="AL51" s="56"/>
      <c r="AM51" s="58"/>
      <c r="AO51" s="56"/>
      <c r="AP51" s="58"/>
      <c r="AR51" s="56"/>
      <c r="AS51" s="58"/>
    </row>
    <row r="52" spans="1:45" s="113" customFormat="1" x14ac:dyDescent="0.25">
      <c r="A52" s="110" t="s">
        <v>3</v>
      </c>
      <c r="B52" s="111">
        <f t="shared" ref="B52:C52" si="3">AVERAGE(B12:B50)</f>
        <v>8.8924008131963461</v>
      </c>
      <c r="C52" s="111">
        <f t="shared" si="3"/>
        <v>19.778615516981432</v>
      </c>
      <c r="D52" s="111">
        <f t="shared" ref="D52:I52" si="4">AVERAGE(D12:D50)</f>
        <v>21.729614343057666</v>
      </c>
      <c r="E52" s="111">
        <f t="shared" si="4"/>
        <v>29.378615516981437</v>
      </c>
      <c r="F52" s="111">
        <f t="shared" si="4"/>
        <v>15</v>
      </c>
      <c r="G52" s="111">
        <f t="shared" si="4"/>
        <v>57.502149891041405</v>
      </c>
      <c r="H52" s="111">
        <f t="shared" si="4"/>
        <v>9.9478602436093482</v>
      </c>
      <c r="I52" s="111">
        <f t="shared" si="4"/>
        <v>14.614526910276018</v>
      </c>
      <c r="J52" s="112"/>
      <c r="K52" s="110" t="s">
        <v>3</v>
      </c>
      <c r="L52" s="111">
        <f>AVERAGE(L12:L50)</f>
        <v>121.41574288270036</v>
      </c>
      <c r="N52" s="110" t="s">
        <v>3</v>
      </c>
      <c r="O52" s="111">
        <f>AVERAGE(O12:O50)</f>
        <v>20.311216179952773</v>
      </c>
      <c r="Q52" s="111">
        <f>AVERAGE(Q12:Q50)</f>
        <v>47.479762043178255</v>
      </c>
      <c r="R52" s="111">
        <f>AVERAGE(R12:R50)</f>
        <v>42.731785838860439</v>
      </c>
      <c r="T52" s="110" t="s">
        <v>3</v>
      </c>
      <c r="U52" s="111">
        <f>AVERAGE(U12:U50)</f>
        <v>1.44</v>
      </c>
      <c r="W52" s="110" t="s">
        <v>3</v>
      </c>
      <c r="X52" s="111">
        <f t="shared" ref="X52:AC52" si="5">AVERAGE(X12:X50)</f>
        <v>63</v>
      </c>
      <c r="Y52" s="111">
        <f t="shared" si="5"/>
        <v>3.5</v>
      </c>
      <c r="Z52" s="111">
        <f t="shared" si="5"/>
        <v>107.80680010319617</v>
      </c>
      <c r="AA52" s="111">
        <f t="shared" si="5"/>
        <v>4.2277176511057322</v>
      </c>
      <c r="AB52" s="111">
        <f t="shared" si="5"/>
        <v>1.4214211539659474E-2</v>
      </c>
      <c r="AC52" s="111">
        <f t="shared" si="5"/>
        <v>0.47380705132198242</v>
      </c>
      <c r="AE52" s="110" t="s">
        <v>3</v>
      </c>
      <c r="AF52" s="111">
        <f>AVERAGE(AF12:AF50)</f>
        <v>0.69999999999999973</v>
      </c>
      <c r="AH52" s="110" t="s">
        <v>3</v>
      </c>
      <c r="AI52" s="111">
        <f>AVERAGE(AI12:AI50)</f>
        <v>4.0612032970455639E-2</v>
      </c>
      <c r="AJ52" s="111">
        <f>AVERAGE(AJ12:AJ50)</f>
        <v>1.3537344323485214</v>
      </c>
      <c r="AL52" s="110" t="s">
        <v>3</v>
      </c>
      <c r="AM52" s="111">
        <f>AVERAGE(AM12:AM50)</f>
        <v>34.29223040801228</v>
      </c>
      <c r="AO52" s="110" t="s">
        <v>3</v>
      </c>
      <c r="AP52" s="111">
        <f>AVERAGE(AP12:AP50)</f>
        <v>27.162475439424064</v>
      </c>
      <c r="AR52" s="110" t="s">
        <v>3</v>
      </c>
      <c r="AS52" s="111">
        <f>AVERAGE(AS12:AS50)</f>
        <v>1</v>
      </c>
    </row>
    <row r="53" spans="1:45" x14ac:dyDescent="0.25">
      <c r="C53" s="69"/>
    </row>
    <row r="54" spans="1:45" x14ac:dyDescent="0.25">
      <c r="B54" s="48"/>
      <c r="C54" s="48"/>
      <c r="D54" s="48"/>
      <c r="E54" s="48"/>
      <c r="F54" s="48"/>
      <c r="G54" s="48"/>
      <c r="H54" s="48"/>
      <c r="I54" s="48"/>
    </row>
    <row r="55" spans="1:45" s="34" customFormat="1" ht="17.25" x14ac:dyDescent="0.3">
      <c r="A55" s="34" t="s">
        <v>60</v>
      </c>
    </row>
    <row r="56" spans="1:45" x14ac:dyDescent="0.25">
      <c r="W56" s="1" t="s">
        <v>49</v>
      </c>
      <c r="AE56" s="1" t="s">
        <v>80</v>
      </c>
      <c r="AI56" s="1" t="s">
        <v>86</v>
      </c>
      <c r="AL56" s="1" t="s">
        <v>91</v>
      </c>
      <c r="AO56" s="1" t="s">
        <v>124</v>
      </c>
      <c r="AR56" s="1" t="s">
        <v>134</v>
      </c>
    </row>
    <row r="57" spans="1:45" ht="45.75" thickBot="1" x14ac:dyDescent="0.3">
      <c r="A57" s="25" t="s">
        <v>178</v>
      </c>
      <c r="B57" s="91" t="s">
        <v>20</v>
      </c>
      <c r="C57" s="91" t="s">
        <v>21</v>
      </c>
      <c r="D57" s="232" t="s">
        <v>22</v>
      </c>
      <c r="E57" s="91" t="s">
        <v>23</v>
      </c>
      <c r="F57" s="91" t="s">
        <v>24</v>
      </c>
      <c r="G57" s="91" t="s">
        <v>25</v>
      </c>
      <c r="H57" s="140" t="s">
        <v>10</v>
      </c>
      <c r="I57" s="168" t="s">
        <v>133</v>
      </c>
      <c r="J57" s="51"/>
      <c r="L57" s="91" t="s">
        <v>10</v>
      </c>
      <c r="O57" s="91" t="s">
        <v>10</v>
      </c>
      <c r="Q57" s="99" t="s">
        <v>2</v>
      </c>
      <c r="R57" s="100" t="s">
        <v>17</v>
      </c>
      <c r="T57" s="97"/>
      <c r="U57" s="157" t="s">
        <v>114</v>
      </c>
      <c r="W57" s="97"/>
      <c r="X57" s="97"/>
      <c r="Y57" s="98" t="s">
        <v>66</v>
      </c>
      <c r="Z57" s="97"/>
      <c r="AA57" s="98" t="s">
        <v>67</v>
      </c>
      <c r="AB57" s="97"/>
      <c r="AC57" s="98" t="s">
        <v>79</v>
      </c>
      <c r="AE57" s="97"/>
      <c r="AF57" s="98" t="s">
        <v>79</v>
      </c>
      <c r="AI57" s="97"/>
      <c r="AJ57" s="98" t="s">
        <v>79</v>
      </c>
      <c r="AL57" s="97"/>
      <c r="AM57" s="98" t="s">
        <v>93</v>
      </c>
      <c r="AO57" s="97"/>
      <c r="AP57" s="98" t="s">
        <v>135</v>
      </c>
      <c r="AR57" s="97"/>
      <c r="AS57" s="98" t="s">
        <v>93</v>
      </c>
    </row>
    <row r="58" spans="1:45" x14ac:dyDescent="0.25">
      <c r="A58" s="2" t="s">
        <v>65</v>
      </c>
      <c r="B58" s="118">
        <f>-PMT($C$5,Input!E237,B11)*(1+Input!$C$15)</f>
        <v>10.274258459812602</v>
      </c>
      <c r="C58" s="118">
        <f>-PMT($C$5,Input!$E238,C11)*(1+Input!$C$15)</f>
        <v>21.948997772949994</v>
      </c>
      <c r="D58" s="118">
        <f>-PMT($C$5,Input!$E240,D11)*(1+Input!$C$15)</f>
        <v>24.426510931257958</v>
      </c>
      <c r="E58" s="118">
        <f>-PMT($C$5,Input!$E240,E11)*(1+Input!$C$15)</f>
        <v>32.300061431149949</v>
      </c>
      <c r="F58" s="118">
        <f>-PMT($C$5,Input!$E241,F11)*(1+Input!$C$15)</f>
        <v>12.782151537128012</v>
      </c>
      <c r="G58" s="118">
        <f>-PMT($C$5,Input!$E242,G11)*(1+Input!$C$15)</f>
        <v>50.445453361999093</v>
      </c>
      <c r="H58" s="118">
        <f>-PMT($C$5,Input!$E243,H11)*(1+Input!$C$15)</f>
        <v>12.371535154875433</v>
      </c>
      <c r="I58" s="170">
        <f>-PMT($C$5,Input!$E243,I11)*(1+Input!$C$15)</f>
        <v>17.977120035966433</v>
      </c>
      <c r="J58" s="119"/>
      <c r="L58" s="118">
        <f>-PMT($C$5,Input!$E243,L11)*(1+Input!$C$15)</f>
        <v>90.261539446424877</v>
      </c>
      <c r="M58" s="69"/>
      <c r="N58" s="69"/>
      <c r="O58" s="118">
        <f>-PMT($C$5,Input!$E243,O11)*(1+Input!$C$15)</f>
        <v>15.858873599644543</v>
      </c>
      <c r="P58" s="69"/>
      <c r="Q58" s="118">
        <f>-PMT($C$5,Input!$E243,Q11)*(1+Input!$C$15)</f>
        <v>33.258728415661992</v>
      </c>
      <c r="R58" s="118">
        <f>-PMT($C$5,Input!$E243,R11)*(1+Input!$C$15)</f>
        <v>29.932855574095793</v>
      </c>
      <c r="S58" s="69"/>
      <c r="T58" s="2" t="s">
        <v>173</v>
      </c>
      <c r="U58" s="118">
        <f>-PMT($C$5,Input!E237,U11)*(1+Input!$C$15)</f>
        <v>1.3098738937110261</v>
      </c>
      <c r="W58" s="220" t="s">
        <v>173</v>
      </c>
      <c r="X58" s="221" t="s">
        <v>174</v>
      </c>
      <c r="Y58" s="222">
        <f>-PMT($C$5,Input!$E239,Y11)*(1+Input!$C$15)</f>
        <v>4.8660958391165456</v>
      </c>
      <c r="Z58" s="221" t="s">
        <v>174</v>
      </c>
      <c r="AA58" s="222">
        <f>-PMT($C$5,Input!$E240,AA11)*(1+Input!$C$15)</f>
        <v>5.8778512202871944</v>
      </c>
      <c r="AB58" s="221" t="s">
        <v>174</v>
      </c>
      <c r="AC58" s="222">
        <f>-PMT($C$5,Input!$E237,AC11)*(1+Input!$C$15)</f>
        <v>0.65874014885199395</v>
      </c>
      <c r="AE58" s="2" t="s">
        <v>173</v>
      </c>
      <c r="AF58" s="118">
        <f>-PMT($C$5,Input!$E237,AF11)*(1+Input!$C$15)</f>
        <v>0.5760928740803849</v>
      </c>
      <c r="AI58" s="2" t="s">
        <v>173</v>
      </c>
      <c r="AJ58" s="118">
        <f>-PMT($C$5,Input!$E237,AJ11)*(1+Input!$C$15)</f>
        <v>1.8821147110056975</v>
      </c>
      <c r="AL58" s="2" t="s">
        <v>173</v>
      </c>
      <c r="AM58" s="118">
        <f>-PMT($C$5,Input!$E243,AM11)*(1+Input!$C$15)</f>
        <v>25.491667463396329</v>
      </c>
      <c r="AO58" s="2" t="s">
        <v>173</v>
      </c>
      <c r="AP58" s="118">
        <f>-PMT($C$5,Input!$E241,AP11)*(1+Input!$C$15)</f>
        <v>22.432667367788781</v>
      </c>
      <c r="AR58" s="2" t="s">
        <v>173</v>
      </c>
      <c r="AS58" s="118">
        <f>-PMT($C$5,Input!$E243,AS11)*(1+Input!$C$15)</f>
        <v>0.79711526574825442</v>
      </c>
    </row>
    <row r="59" spans="1:45" x14ac:dyDescent="0.25">
      <c r="A59" s="51"/>
      <c r="B59" s="119"/>
      <c r="C59" s="119"/>
      <c r="E59" s="119"/>
      <c r="F59" s="119"/>
      <c r="G59" s="119"/>
      <c r="H59" s="119"/>
      <c r="I59" s="119"/>
      <c r="J59" s="119"/>
      <c r="L59" s="119"/>
      <c r="M59" s="119"/>
      <c r="N59" s="69"/>
      <c r="O59" s="119"/>
      <c r="P59" s="119"/>
      <c r="Q59" s="69"/>
      <c r="R59" s="119"/>
      <c r="S59" s="119"/>
      <c r="T59" s="119"/>
      <c r="U59" s="69"/>
      <c r="V59" s="69"/>
      <c r="W59" s="223"/>
      <c r="X59" s="223"/>
      <c r="Y59" s="224"/>
      <c r="Z59" s="223"/>
      <c r="AA59" s="224"/>
      <c r="AB59" s="224"/>
      <c r="AC59" s="224"/>
    </row>
    <row r="61" spans="1:45" s="34" customFormat="1" ht="17.25" x14ac:dyDescent="0.3">
      <c r="A61" s="34" t="s">
        <v>72</v>
      </c>
    </row>
    <row r="63" spans="1:45" x14ac:dyDescent="0.25">
      <c r="A63" s="1" t="s">
        <v>71</v>
      </c>
      <c r="J63" s="51"/>
      <c r="K63" s="51"/>
      <c r="L63" s="51"/>
      <c r="M63" s="51"/>
      <c r="N63" s="51"/>
      <c r="O63" s="51"/>
      <c r="P63" s="106"/>
      <c r="Q63" s="51"/>
      <c r="R63" s="51"/>
      <c r="S63" s="51"/>
    </row>
    <row r="64" spans="1:45" ht="45" customHeight="1" x14ac:dyDescent="0.25">
      <c r="A64" s="243"/>
      <c r="B64" s="243"/>
      <c r="C64" s="243"/>
      <c r="D64" s="243"/>
      <c r="E64" s="7" t="s">
        <v>7</v>
      </c>
      <c r="F64" s="73" t="s">
        <v>113</v>
      </c>
      <c r="G64" s="7" t="s">
        <v>55</v>
      </c>
      <c r="H64" s="7" t="s">
        <v>8</v>
      </c>
      <c r="I64" s="73" t="s">
        <v>49</v>
      </c>
      <c r="J64" s="73" t="s">
        <v>80</v>
      </c>
      <c r="K64" s="73" t="s">
        <v>89</v>
      </c>
      <c r="L64" s="73" t="s">
        <v>94</v>
      </c>
      <c r="M64" s="73" t="s">
        <v>131</v>
      </c>
      <c r="N64" s="171" t="s">
        <v>134</v>
      </c>
      <c r="O64" s="126" t="s">
        <v>44</v>
      </c>
      <c r="P64" s="107"/>
      <c r="Q64" s="107"/>
    </row>
    <row r="65" spans="1:17" x14ac:dyDescent="0.25">
      <c r="A65" s="244" t="s">
        <v>20</v>
      </c>
      <c r="B65" s="245"/>
      <c r="C65" s="245"/>
      <c r="D65" s="246"/>
      <c r="E65" s="15">
        <f t="array" ref="E65:E72">TRANSPOSE(B58:I58)</f>
        <v>10.274258459812602</v>
      </c>
      <c r="F65" s="15">
        <f>U58</f>
        <v>1.3098738937110261</v>
      </c>
      <c r="G65" s="15"/>
      <c r="H65" s="15"/>
      <c r="I65" s="15">
        <f>AC58</f>
        <v>0.65874014885199395</v>
      </c>
      <c r="J65" s="15">
        <f>AF58</f>
        <v>0.5760928740803849</v>
      </c>
      <c r="K65" s="15">
        <f>AJ58</f>
        <v>1.8821147110056975</v>
      </c>
      <c r="M65" s="2"/>
      <c r="N65" s="2"/>
      <c r="O65" s="15">
        <f t="shared" ref="O65:O72" si="6">SUM(E65:N65)</f>
        <v>14.701080087461705</v>
      </c>
      <c r="P65" s="58"/>
      <c r="Q65" s="58"/>
    </row>
    <row r="66" spans="1:17" x14ac:dyDescent="0.25">
      <c r="A66" s="244" t="s">
        <v>21</v>
      </c>
      <c r="B66" s="245"/>
      <c r="C66" s="245"/>
      <c r="D66" s="246"/>
      <c r="E66" s="15">
        <v>21.948997772949994</v>
      </c>
      <c r="F66" s="15"/>
      <c r="G66" s="15"/>
      <c r="H66" s="15"/>
      <c r="I66" s="15"/>
      <c r="J66" s="15"/>
      <c r="K66" s="15"/>
      <c r="L66" s="15"/>
      <c r="M66" s="15"/>
      <c r="N66" s="2"/>
      <c r="O66" s="15">
        <f t="shared" si="6"/>
        <v>21.948997772949994</v>
      </c>
      <c r="P66" s="58"/>
      <c r="Q66" s="58"/>
    </row>
    <row r="67" spans="1:17" x14ac:dyDescent="0.25">
      <c r="A67" s="244" t="s">
        <v>22</v>
      </c>
      <c r="B67" s="245"/>
      <c r="C67" s="245"/>
      <c r="D67" s="246"/>
      <c r="E67" s="15">
        <v>24.426510931257958</v>
      </c>
      <c r="F67" s="15"/>
      <c r="G67" s="15"/>
      <c r="H67" s="15"/>
      <c r="I67" s="15">
        <f>Y58</f>
        <v>4.8660958391165456</v>
      </c>
      <c r="J67" s="15"/>
      <c r="K67" s="15"/>
      <c r="L67" s="15"/>
      <c r="M67" s="15"/>
      <c r="N67" s="2"/>
      <c r="O67" s="15">
        <f t="shared" si="6"/>
        <v>29.292606770374505</v>
      </c>
      <c r="P67" s="58"/>
      <c r="Q67" s="58"/>
    </row>
    <row r="68" spans="1:17" x14ac:dyDescent="0.25">
      <c r="A68" s="244" t="s">
        <v>23</v>
      </c>
      <c r="B68" s="245"/>
      <c r="C68" s="245"/>
      <c r="D68" s="246"/>
      <c r="E68" s="15">
        <v>32.300061431149949</v>
      </c>
      <c r="F68" s="15"/>
      <c r="G68" s="15"/>
      <c r="H68" s="15"/>
      <c r="I68" s="15">
        <f>AA58</f>
        <v>5.8778512202871944</v>
      </c>
      <c r="J68" s="15"/>
      <c r="K68" s="15"/>
      <c r="L68" s="15"/>
      <c r="M68" s="15"/>
      <c r="N68" s="2"/>
      <c r="O68" s="15">
        <f t="shared" si="6"/>
        <v>38.17791265143714</v>
      </c>
      <c r="P68" s="58"/>
      <c r="Q68" s="58"/>
    </row>
    <row r="69" spans="1:17" x14ac:dyDescent="0.25">
      <c r="A69" s="244" t="s">
        <v>24</v>
      </c>
      <c r="B69" s="245"/>
      <c r="C69" s="245"/>
      <c r="D69" s="246"/>
      <c r="E69" s="15">
        <v>12.782151537128012</v>
      </c>
      <c r="F69" s="15"/>
      <c r="G69" s="15"/>
      <c r="H69" s="15"/>
      <c r="I69" s="15"/>
      <c r="J69" s="15"/>
      <c r="K69" s="15"/>
      <c r="L69" s="15"/>
      <c r="M69" s="15">
        <f>AP58</f>
        <v>22.432667367788781</v>
      </c>
      <c r="N69" s="2"/>
      <c r="O69" s="15">
        <f t="shared" si="6"/>
        <v>35.214818904916797</v>
      </c>
      <c r="P69" s="58"/>
      <c r="Q69" s="58"/>
    </row>
    <row r="70" spans="1:17" x14ac:dyDescent="0.25">
      <c r="A70" s="244" t="s">
        <v>25</v>
      </c>
      <c r="B70" s="245"/>
      <c r="C70" s="245"/>
      <c r="D70" s="246"/>
      <c r="E70" s="15">
        <v>50.445453361999093</v>
      </c>
      <c r="F70" s="15"/>
      <c r="G70" s="15"/>
      <c r="H70" s="15"/>
      <c r="I70" s="15"/>
      <c r="J70" s="15"/>
      <c r="K70" s="15"/>
      <c r="L70" s="15"/>
      <c r="M70" s="15"/>
      <c r="N70" s="2"/>
      <c r="O70" s="15">
        <f t="shared" si="6"/>
        <v>50.445453361999093</v>
      </c>
      <c r="P70" s="58"/>
      <c r="Q70" s="58"/>
    </row>
    <row r="71" spans="1:17" x14ac:dyDescent="0.25">
      <c r="A71" s="244" t="s">
        <v>165</v>
      </c>
      <c r="B71" s="245"/>
      <c r="C71" s="245"/>
      <c r="D71" s="246"/>
      <c r="E71" s="15">
        <v>12.371535154875433</v>
      </c>
      <c r="F71" s="15"/>
      <c r="G71" s="15">
        <f>$L$58</f>
        <v>90.261539446424877</v>
      </c>
      <c r="H71" s="15">
        <f>$O$58</f>
        <v>15.858873599644543</v>
      </c>
      <c r="I71" s="15"/>
      <c r="J71" s="15"/>
      <c r="K71" s="15"/>
      <c r="L71" s="15">
        <f>$AM$58</f>
        <v>25.491667463396329</v>
      </c>
      <c r="M71" s="15"/>
      <c r="N71" s="118">
        <f>$AS$58</f>
        <v>0.79711526574825442</v>
      </c>
      <c r="O71" s="15">
        <f t="shared" si="6"/>
        <v>144.78073093008945</v>
      </c>
      <c r="P71" s="58"/>
      <c r="Q71" s="58"/>
    </row>
    <row r="72" spans="1:17" x14ac:dyDescent="0.25">
      <c r="A72" s="247" t="s">
        <v>133</v>
      </c>
      <c r="B72" s="247"/>
      <c r="C72" s="247"/>
      <c r="D72" s="247"/>
      <c r="E72" s="15">
        <v>17.977120035966433</v>
      </c>
      <c r="F72" s="15"/>
      <c r="G72" s="15"/>
      <c r="H72" s="15"/>
      <c r="I72" s="15"/>
      <c r="J72" s="15"/>
      <c r="K72" s="15"/>
      <c r="L72" s="15"/>
      <c r="M72" s="15"/>
      <c r="N72" s="118">
        <f>$AS$58</f>
        <v>0.79711526574825442</v>
      </c>
      <c r="O72" s="15">
        <f t="shared" si="6"/>
        <v>18.774235301714686</v>
      </c>
      <c r="P72" s="58"/>
      <c r="Q72" s="58"/>
    </row>
    <row r="74" spans="1:17" x14ac:dyDescent="0.25">
      <c r="A74" s="1" t="s">
        <v>9</v>
      </c>
    </row>
    <row r="75" spans="1:17" x14ac:dyDescent="0.25">
      <c r="A75" s="243"/>
      <c r="B75" s="243"/>
      <c r="C75" s="243"/>
      <c r="D75" s="243"/>
      <c r="E75" s="7" t="s">
        <v>30</v>
      </c>
    </row>
    <row r="76" spans="1:17" x14ac:dyDescent="0.25">
      <c r="A76" s="247" t="s">
        <v>20</v>
      </c>
      <c r="B76" s="247"/>
      <c r="C76" s="247"/>
      <c r="D76" s="247"/>
      <c r="E76" s="117">
        <f>Input!E255</f>
        <v>0</v>
      </c>
    </row>
    <row r="77" spans="1:17" x14ac:dyDescent="0.25">
      <c r="A77" s="247" t="s">
        <v>128</v>
      </c>
      <c r="B77" s="247"/>
      <c r="C77" s="247"/>
      <c r="D77" s="247"/>
      <c r="E77" s="117">
        <f>Input!E256</f>
        <v>0</v>
      </c>
    </row>
    <row r="78" spans="1:17" x14ac:dyDescent="0.25">
      <c r="A78" s="247" t="s">
        <v>22</v>
      </c>
      <c r="B78" s="247"/>
      <c r="C78" s="247"/>
      <c r="D78" s="247"/>
      <c r="E78" s="117">
        <f>Input!E257</f>
        <v>0</v>
      </c>
    </row>
    <row r="79" spans="1:17" x14ac:dyDescent="0.25">
      <c r="A79" s="247" t="s">
        <v>129</v>
      </c>
      <c r="B79" s="247"/>
      <c r="C79" s="247"/>
      <c r="D79" s="247"/>
      <c r="E79" s="117">
        <f>Input!E258</f>
        <v>0</v>
      </c>
    </row>
    <row r="80" spans="1:17" x14ac:dyDescent="0.25">
      <c r="A80" s="247" t="s">
        <v>24</v>
      </c>
      <c r="B80" s="247"/>
      <c r="C80" s="247"/>
      <c r="D80" s="247"/>
      <c r="E80" s="117">
        <f>Input!E259</f>
        <v>0</v>
      </c>
    </row>
    <row r="81" spans="1:23" x14ac:dyDescent="0.25">
      <c r="A81" s="247" t="s">
        <v>25</v>
      </c>
      <c r="B81" s="247"/>
      <c r="C81" s="247"/>
      <c r="D81" s="247"/>
      <c r="E81" s="117">
        <f>Input!E260</f>
        <v>0</v>
      </c>
    </row>
    <row r="82" spans="1:23" x14ac:dyDescent="0.25">
      <c r="A82" s="247" t="s">
        <v>164</v>
      </c>
      <c r="B82" s="247"/>
      <c r="C82" s="247"/>
      <c r="D82" s="247"/>
      <c r="E82" s="117">
        <f>Input!E261</f>
        <v>0</v>
      </c>
    </row>
    <row r="83" spans="1:23" x14ac:dyDescent="0.25">
      <c r="A83" s="247" t="s">
        <v>130</v>
      </c>
      <c r="B83" s="247"/>
      <c r="C83" s="247"/>
      <c r="D83" s="247"/>
      <c r="E83" s="117">
        <f>Input!E262</f>
        <v>0.5</v>
      </c>
      <c r="Q83" s="51"/>
      <c r="R83" s="51"/>
    </row>
    <row r="84" spans="1:23" x14ac:dyDescent="0.25">
      <c r="A84" s="247" t="s">
        <v>133</v>
      </c>
      <c r="B84" s="247"/>
      <c r="C84" s="247"/>
      <c r="D84" s="247"/>
      <c r="E84" s="117">
        <f>Input!E263</f>
        <v>0</v>
      </c>
      <c r="Q84" s="51"/>
      <c r="R84" s="51"/>
    </row>
    <row r="85" spans="1:23" ht="15.75" customHeight="1" x14ac:dyDescent="0.25">
      <c r="Q85" s="51"/>
      <c r="R85" s="51"/>
      <c r="S85" s="51"/>
      <c r="T85" s="51"/>
      <c r="U85" s="51"/>
      <c r="V85" s="51"/>
      <c r="W85" s="51"/>
    </row>
    <row r="86" spans="1:23" ht="18" customHeight="1" x14ac:dyDescent="0.25">
      <c r="A86" s="1" t="s">
        <v>176</v>
      </c>
      <c r="Q86" s="1" t="s">
        <v>201</v>
      </c>
    </row>
    <row r="87" spans="1:23" ht="75" x14ac:dyDescent="0.25">
      <c r="A87" s="248"/>
      <c r="B87" s="249"/>
      <c r="C87" s="249"/>
      <c r="D87" s="250"/>
      <c r="E87" s="168" t="s">
        <v>7</v>
      </c>
      <c r="F87" s="73" t="s">
        <v>113</v>
      </c>
      <c r="G87" s="173" t="s">
        <v>144</v>
      </c>
      <c r="H87" s="168" t="s">
        <v>143</v>
      </c>
      <c r="I87" s="73" t="s">
        <v>49</v>
      </c>
      <c r="J87" s="73" t="s">
        <v>80</v>
      </c>
      <c r="K87" s="139" t="s">
        <v>90</v>
      </c>
      <c r="L87" s="73" t="s">
        <v>94</v>
      </c>
      <c r="M87" s="171" t="s">
        <v>134</v>
      </c>
      <c r="N87" s="171" t="s">
        <v>182</v>
      </c>
      <c r="O87" s="168" t="s">
        <v>44</v>
      </c>
    </row>
    <row r="88" spans="1:23" x14ac:dyDescent="0.25">
      <c r="A88" s="244" t="str">
        <f>IF(E76=0,A76,A76&amp;", "&amp;E76*100&amp;"% egetforbrug")</f>
        <v>Landmølle</v>
      </c>
      <c r="B88" s="245"/>
      <c r="C88" s="245"/>
      <c r="D88" s="246"/>
      <c r="E88" s="15">
        <f>E65*(1-E76)</f>
        <v>10.274258459812602</v>
      </c>
      <c r="F88" s="15">
        <f>F65</f>
        <v>1.3098738937110261</v>
      </c>
      <c r="G88" s="15"/>
      <c r="H88" s="15"/>
      <c r="I88" s="68">
        <f>I65</f>
        <v>0.65874014885199395</v>
      </c>
      <c r="J88" s="68">
        <f>J65</f>
        <v>0.5760928740803849</v>
      </c>
      <c r="K88" s="68">
        <f>K65</f>
        <v>1.8821147110056975</v>
      </c>
      <c r="L88" s="2"/>
      <c r="M88" s="2"/>
      <c r="N88" s="2"/>
      <c r="O88" s="15">
        <f t="shared" ref="O88:O95" si="7">SUM(E88:M88)</f>
        <v>14.701080087461705</v>
      </c>
    </row>
    <row r="89" spans="1:23" x14ac:dyDescent="0.25">
      <c r="A89" s="244" t="str">
        <f>IF(E80=0,A80,A80&amp;", "&amp;E80*100&amp;"% egetforbrug")</f>
        <v>Biomasse</v>
      </c>
      <c r="B89" s="245"/>
      <c r="C89" s="245"/>
      <c r="D89" s="246"/>
      <c r="E89" s="15">
        <f>E69*(1-E80)</f>
        <v>12.782151537128012</v>
      </c>
      <c r="F89" s="15"/>
      <c r="G89" s="15"/>
      <c r="H89" s="15"/>
      <c r="I89" s="68"/>
      <c r="J89" s="68"/>
      <c r="K89" s="68"/>
      <c r="L89" s="15"/>
      <c r="M89" s="2"/>
      <c r="N89" s="154">
        <f>ROUND(AP58,0)</f>
        <v>22</v>
      </c>
      <c r="O89" s="15">
        <f t="shared" si="7"/>
        <v>12.782151537128012</v>
      </c>
    </row>
    <row r="90" spans="1:23" x14ac:dyDescent="0.25">
      <c r="A90" s="244" t="str">
        <f>IF(E82=0,A82,A82&amp;", "&amp;E82*100&amp;"% egetforbrug")</f>
        <v>Solceller, kommercielle (nu afskaffet "60/40"-ordn.)</v>
      </c>
      <c r="B90" s="245"/>
      <c r="C90" s="245"/>
      <c r="D90" s="246"/>
      <c r="E90" s="15">
        <f>E71*(1-E82)</f>
        <v>12.371535154875433</v>
      </c>
      <c r="F90" s="134"/>
      <c r="G90" s="15"/>
      <c r="H90" s="15"/>
      <c r="I90" s="68"/>
      <c r="J90" s="68"/>
      <c r="K90" s="68"/>
      <c r="L90" s="15"/>
      <c r="M90" s="118">
        <f>N71*(1-E82)</f>
        <v>0.79711526574825442</v>
      </c>
      <c r="N90" s="118"/>
      <c r="O90" s="15">
        <f t="shared" si="7"/>
        <v>13.168650420623688</v>
      </c>
    </row>
    <row r="91" spans="1:23" x14ac:dyDescent="0.25">
      <c r="A91" s="244" t="s">
        <v>133</v>
      </c>
      <c r="B91" s="245"/>
      <c r="C91" s="245"/>
      <c r="D91" s="246"/>
      <c r="E91" s="15">
        <f>E72</f>
        <v>17.977120035966433</v>
      </c>
      <c r="F91" s="15"/>
      <c r="G91" s="15"/>
      <c r="H91" s="15"/>
      <c r="I91" s="68"/>
      <c r="J91" s="68"/>
      <c r="K91" s="68"/>
      <c r="L91" s="2"/>
      <c r="M91" s="118">
        <f>N72*(1-E84)</f>
        <v>0.79711526574825442</v>
      </c>
      <c r="N91" s="118"/>
      <c r="O91" s="15">
        <f t="shared" si="7"/>
        <v>18.774235301714686</v>
      </c>
    </row>
    <row r="92" spans="1:23" x14ac:dyDescent="0.25">
      <c r="A92" s="244" t="str">
        <f>IF(E77=0,A77,A77&amp;", "&amp;E77*100&amp;"% egetforbrug")</f>
        <v>Kystmølle (70 øre)</v>
      </c>
      <c r="B92" s="245"/>
      <c r="C92" s="245"/>
      <c r="D92" s="246"/>
      <c r="E92" s="15">
        <f>E66*(1-E77)</f>
        <v>21.948997772949994</v>
      </c>
      <c r="F92" s="15"/>
      <c r="G92" s="15"/>
      <c r="H92" s="15"/>
      <c r="I92" s="68"/>
      <c r="J92" s="134">
        <f>J88</f>
        <v>0.5760928740803849</v>
      </c>
      <c r="K92" s="134">
        <f>K88</f>
        <v>1.8821147110056975</v>
      </c>
      <c r="L92" s="15"/>
      <c r="M92" s="2"/>
      <c r="N92" s="2"/>
      <c r="O92" s="15">
        <f t="shared" si="7"/>
        <v>24.407205358036077</v>
      </c>
    </row>
    <row r="93" spans="1:23" x14ac:dyDescent="0.25">
      <c r="A93" s="244" t="s">
        <v>22</v>
      </c>
      <c r="B93" s="245"/>
      <c r="C93" s="245"/>
      <c r="D93" s="246"/>
      <c r="E93" s="15">
        <f>E67*(1-E78)</f>
        <v>24.426510931257958</v>
      </c>
      <c r="F93" s="15"/>
      <c r="G93" s="15"/>
      <c r="H93" s="15"/>
      <c r="I93" s="68">
        <f>I67</f>
        <v>4.8660958391165456</v>
      </c>
      <c r="J93" s="134">
        <f>J88</f>
        <v>0.5760928740803849</v>
      </c>
      <c r="K93" s="134">
        <f>K88</f>
        <v>1.8821147110056975</v>
      </c>
      <c r="L93" s="15"/>
      <c r="M93" s="2"/>
      <c r="N93" s="2"/>
      <c r="O93" s="15">
        <f t="shared" si="7"/>
        <v>31.750814355460587</v>
      </c>
    </row>
    <row r="94" spans="1:23" x14ac:dyDescent="0.25">
      <c r="A94" s="244" t="str">
        <f>IF(E79=0,A79,A79&amp;", "&amp;E79*100&amp;"% egetforbrug")</f>
        <v>Havmølle (90 øre/Kriegers Flak)</v>
      </c>
      <c r="B94" s="245"/>
      <c r="C94" s="245"/>
      <c r="D94" s="246"/>
      <c r="E94" s="15">
        <f>E68*(1-E79)</f>
        <v>32.300061431149949</v>
      </c>
      <c r="F94" s="15"/>
      <c r="G94" s="15"/>
      <c r="H94" s="15"/>
      <c r="I94" s="68">
        <f>I68</f>
        <v>5.8778512202871944</v>
      </c>
      <c r="J94" s="134">
        <f>J88</f>
        <v>0.5760928740803849</v>
      </c>
      <c r="K94" s="134">
        <f>K88</f>
        <v>1.8821147110056975</v>
      </c>
      <c r="L94" s="15"/>
      <c r="M94" s="118"/>
      <c r="N94" s="118"/>
      <c r="O94" s="15">
        <f t="shared" si="7"/>
        <v>40.636120236523226</v>
      </c>
    </row>
    <row r="95" spans="1:23" x14ac:dyDescent="0.25">
      <c r="A95" s="244" t="str">
        <f>IF(E81=0,A81,A81&amp;", "&amp;E81*100&amp;"% egetforbrug")</f>
        <v>Biogas</v>
      </c>
      <c r="B95" s="245"/>
      <c r="C95" s="245"/>
      <c r="D95" s="246"/>
      <c r="E95" s="15">
        <f>E70*(1-E81)</f>
        <v>50.445453361999093</v>
      </c>
      <c r="F95" s="15"/>
      <c r="G95" s="15"/>
      <c r="H95" s="15"/>
      <c r="I95" s="68"/>
      <c r="J95" s="134"/>
      <c r="K95" s="134"/>
      <c r="L95" s="15"/>
      <c r="M95" s="118"/>
      <c r="N95" s="118"/>
      <c r="O95" s="15">
        <f t="shared" si="7"/>
        <v>50.445453361999093</v>
      </c>
    </row>
    <row r="96" spans="1:23" x14ac:dyDescent="0.25">
      <c r="A96" s="245" t="str">
        <f>IF(E83=0,A83,A83&amp;", "&amp;E83*100&amp;"% egetforbrug")</f>
        <v>Solceller, med egetforbrug, 50% egetforbrug</v>
      </c>
      <c r="B96" s="245"/>
      <c r="C96" s="245"/>
      <c r="D96" s="246"/>
      <c r="E96" s="15">
        <f>E71*(1-E83)</f>
        <v>6.1857675774377165</v>
      </c>
      <c r="F96" s="15"/>
      <c r="G96" s="15">
        <f>G71*E83</f>
        <v>45.130769723212438</v>
      </c>
      <c r="H96" s="15">
        <f>H71*E83</f>
        <v>7.9294367998222715</v>
      </c>
      <c r="I96" s="15"/>
      <c r="J96" s="15"/>
      <c r="K96" s="15"/>
      <c r="L96" s="15">
        <f>L71*E83</f>
        <v>12.745833731698164</v>
      </c>
      <c r="M96" s="118">
        <f>N71*(1-E83)</f>
        <v>0.39855763287412721</v>
      </c>
      <c r="N96" s="118"/>
      <c r="O96" s="15">
        <f>SUM(E96:M96)</f>
        <v>72.390365465044724</v>
      </c>
      <c r="P96" s="58"/>
      <c r="Q96" s="108"/>
      <c r="R96" s="58"/>
      <c r="S96" s="51"/>
    </row>
    <row r="97" spans="1:23" x14ac:dyDescent="0.25">
      <c r="A97" t="s">
        <v>177</v>
      </c>
      <c r="P97" s="58"/>
      <c r="Q97" s="108"/>
      <c r="R97" s="58"/>
      <c r="S97" s="51"/>
    </row>
    <row r="98" spans="1:23" x14ac:dyDescent="0.25">
      <c r="A98" t="s">
        <v>175</v>
      </c>
      <c r="R98" s="51"/>
      <c r="S98" s="109"/>
      <c r="T98" s="51"/>
      <c r="U98" s="51"/>
      <c r="V98" s="51"/>
      <c r="W98" s="51"/>
    </row>
    <row r="100" spans="1:23" x14ac:dyDescent="0.25">
      <c r="A100" s="1" t="s">
        <v>126</v>
      </c>
      <c r="M100" s="69"/>
    </row>
    <row r="101" spans="1:23" x14ac:dyDescent="0.25">
      <c r="C101" t="s">
        <v>132</v>
      </c>
      <c r="D101" s="27" t="s">
        <v>127</v>
      </c>
    </row>
    <row r="102" spans="1:23" x14ac:dyDescent="0.25">
      <c r="A102" t="s">
        <v>20</v>
      </c>
      <c r="C102">
        <v>0</v>
      </c>
    </row>
    <row r="103" spans="1:23" x14ac:dyDescent="0.25">
      <c r="A103" t="s">
        <v>24</v>
      </c>
      <c r="C103">
        <v>22</v>
      </c>
    </row>
    <row r="104" spans="1:23" x14ac:dyDescent="0.25">
      <c r="A104" t="s">
        <v>164</v>
      </c>
    </row>
    <row r="105" spans="1:23" x14ac:dyDescent="0.25">
      <c r="A105" t="s">
        <v>137</v>
      </c>
      <c r="C105">
        <v>0</v>
      </c>
    </row>
    <row r="106" spans="1:23" x14ac:dyDescent="0.25">
      <c r="A106" t="s">
        <v>128</v>
      </c>
      <c r="C106">
        <v>0</v>
      </c>
    </row>
    <row r="107" spans="1:23" x14ac:dyDescent="0.25">
      <c r="A107" t="s">
        <v>183</v>
      </c>
    </row>
    <row r="108" spans="1:23" x14ac:dyDescent="0.25">
      <c r="A108" t="s">
        <v>129</v>
      </c>
      <c r="C108">
        <v>0</v>
      </c>
    </row>
    <row r="109" spans="1:23" x14ac:dyDescent="0.25">
      <c r="A109" t="s">
        <v>25</v>
      </c>
      <c r="C109">
        <v>0</v>
      </c>
    </row>
    <row r="110" spans="1:23" x14ac:dyDescent="0.25">
      <c r="A110" t="s">
        <v>136</v>
      </c>
      <c r="C110">
        <v>0</v>
      </c>
    </row>
  </sheetData>
  <dataConsolidate/>
  <mergeCells count="30">
    <mergeCell ref="A67:D67"/>
    <mergeCell ref="A93:D93"/>
    <mergeCell ref="A94:D94"/>
    <mergeCell ref="A96:D96"/>
    <mergeCell ref="A95:D95"/>
    <mergeCell ref="A72:D72"/>
    <mergeCell ref="A81:D81"/>
    <mergeCell ref="A82:D82"/>
    <mergeCell ref="A77:D77"/>
    <mergeCell ref="A78:D78"/>
    <mergeCell ref="A79:D79"/>
    <mergeCell ref="A75:D75"/>
    <mergeCell ref="A92:D92"/>
    <mergeCell ref="A91:D91"/>
    <mergeCell ref="C3:G3"/>
    <mergeCell ref="A64:D64"/>
    <mergeCell ref="A65:D65"/>
    <mergeCell ref="A83:D83"/>
    <mergeCell ref="A90:D90"/>
    <mergeCell ref="A88:D88"/>
    <mergeCell ref="A80:D80"/>
    <mergeCell ref="A76:D76"/>
    <mergeCell ref="A87:D87"/>
    <mergeCell ref="A84:D84"/>
    <mergeCell ref="A89:D89"/>
    <mergeCell ref="A68:D68"/>
    <mergeCell ref="A66:D66"/>
    <mergeCell ref="A70:D70"/>
    <mergeCell ref="A69:D69"/>
    <mergeCell ref="A71:D71"/>
  </mergeCells>
  <pageMargins left="0.7" right="0.7" top="0.75" bottom="0.75" header="0.3" footer="0.3"/>
  <pageSetup paperSize="9" orientation="portrait"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Input!$B$65:$D$65</xm:f>
          </x14:formula1>
          <xm:sqref>C3:G3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theme="4"/>
  </sheetPr>
  <dimension ref="A1:P292"/>
  <sheetViews>
    <sheetView showGridLines="0" zoomScale="80" zoomScaleNormal="80" workbookViewId="0">
      <selection activeCell="E38" sqref="E38"/>
    </sheetView>
  </sheetViews>
  <sheetFormatPr defaultColWidth="10.7109375" defaultRowHeight="15" x14ac:dyDescent="0.25"/>
  <cols>
    <col min="3" max="3" width="16.42578125" customWidth="1"/>
    <col min="5" max="7" width="11.5703125" customWidth="1"/>
  </cols>
  <sheetData>
    <row r="1" spans="1:14" s="20" customFormat="1" ht="19.5" x14ac:dyDescent="0.3">
      <c r="A1" s="19" t="s">
        <v>11</v>
      </c>
    </row>
    <row r="3" spans="1:14" x14ac:dyDescent="0.25">
      <c r="A3" t="s">
        <v>70</v>
      </c>
    </row>
    <row r="4" spans="1:14" x14ac:dyDescent="0.25">
      <c r="A4" s="114" t="s">
        <v>11</v>
      </c>
    </row>
    <row r="5" spans="1:14" x14ac:dyDescent="0.25">
      <c r="A5" s="115" t="s">
        <v>68</v>
      </c>
    </row>
    <row r="6" spans="1:14" x14ac:dyDescent="0.25">
      <c r="A6" t="s">
        <v>69</v>
      </c>
    </row>
    <row r="8" spans="1:14" s="21" customFormat="1" ht="17.25" x14ac:dyDescent="0.3">
      <c r="A8" s="21" t="s">
        <v>61</v>
      </c>
    </row>
    <row r="9" spans="1:14" s="93" customFormat="1" ht="15" customHeight="1" x14ac:dyDescent="0.3">
      <c r="A9" s="28"/>
      <c r="B9" s="28"/>
      <c r="C9" s="28"/>
      <c r="D9" s="28"/>
      <c r="E9" s="28"/>
      <c r="F9" s="28"/>
      <c r="G9" s="28"/>
      <c r="H9" s="28"/>
      <c r="I9" s="28"/>
      <c r="J9" s="28"/>
      <c r="K9" s="28"/>
      <c r="L9" s="28"/>
      <c r="M9" s="28"/>
      <c r="N9" s="28"/>
    </row>
    <row r="10" spans="1:14" s="93" customFormat="1" ht="15" customHeight="1" x14ac:dyDescent="0.3">
      <c r="A10" s="251" t="s">
        <v>62</v>
      </c>
      <c r="B10" s="251"/>
      <c r="C10" s="104">
        <v>0.05</v>
      </c>
      <c r="D10" s="28"/>
      <c r="E10" s="28"/>
      <c r="F10" s="28"/>
      <c r="G10" s="28"/>
      <c r="H10" s="28"/>
      <c r="I10" s="28"/>
      <c r="J10" s="28"/>
      <c r="K10" s="28"/>
      <c r="L10" s="28"/>
      <c r="M10" s="28"/>
      <c r="N10" s="28"/>
    </row>
    <row r="11" spans="1:14" s="93" customFormat="1" ht="15" customHeight="1" x14ac:dyDescent="0.3">
      <c r="A11" s="251" t="s">
        <v>63</v>
      </c>
      <c r="B11" s="251"/>
      <c r="C11" s="105">
        <f>(C10-C15)/(1+C15)</f>
        <v>2.9748251568578247E-2</v>
      </c>
      <c r="D11" s="28"/>
      <c r="E11" s="28"/>
      <c r="F11" s="28"/>
      <c r="G11" s="28"/>
      <c r="H11" s="28"/>
      <c r="I11" s="28"/>
      <c r="J11" s="28"/>
      <c r="K11" s="28"/>
      <c r="L11" s="28"/>
      <c r="M11" s="28"/>
      <c r="N11" s="28"/>
    </row>
    <row r="12" spans="1:14" s="93" customFormat="1" ht="15" customHeight="1" x14ac:dyDescent="0.3">
      <c r="A12" s="28"/>
      <c r="B12" s="28"/>
      <c r="C12" s="28"/>
      <c r="D12" s="28"/>
      <c r="E12" s="28"/>
      <c r="F12" s="28"/>
      <c r="G12" s="28"/>
      <c r="H12" s="28"/>
      <c r="I12" s="28"/>
      <c r="J12" s="28"/>
      <c r="K12" s="28"/>
      <c r="L12" s="28"/>
      <c r="M12" s="28"/>
      <c r="N12" s="28"/>
    </row>
    <row r="13" spans="1:14" s="21" customFormat="1" ht="17.25" x14ac:dyDescent="0.3">
      <c r="A13" s="21" t="s">
        <v>0</v>
      </c>
    </row>
    <row r="14" spans="1:14" x14ac:dyDescent="0.25">
      <c r="C14" s="186"/>
    </row>
    <row r="15" spans="1:14" x14ac:dyDescent="0.25">
      <c r="A15" t="s">
        <v>116</v>
      </c>
      <c r="C15" s="74">
        <f>((B38/B19)^(1/(A38-A19))-1)</f>
        <v>1.9666698535853788E-2</v>
      </c>
    </row>
    <row r="16" spans="1:14" x14ac:dyDescent="0.25">
      <c r="A16" s="2"/>
      <c r="B16" s="3" t="s">
        <v>0</v>
      </c>
      <c r="C16" s="3" t="s">
        <v>1</v>
      </c>
      <c r="F16" s="51"/>
    </row>
    <row r="17" spans="1:9" x14ac:dyDescent="0.25">
      <c r="A17" s="30">
        <v>2014</v>
      </c>
      <c r="B17" s="22">
        <v>0.97470902564794104</v>
      </c>
      <c r="C17" s="3"/>
      <c r="F17" s="76"/>
    </row>
    <row r="18" spans="1:9" x14ac:dyDescent="0.25">
      <c r="A18" s="11">
        <v>2015</v>
      </c>
      <c r="B18" s="22">
        <v>0.98492976278974054</v>
      </c>
      <c r="C18" s="162">
        <f t="shared" ref="C18:C38" si="0">B18/B17-1</f>
        <v>1.0485936697882892E-2</v>
      </c>
      <c r="E18" s="183"/>
      <c r="F18" s="184"/>
      <c r="G18" s="185"/>
    </row>
    <row r="19" spans="1:9" x14ac:dyDescent="0.25">
      <c r="A19" s="11">
        <v>2016</v>
      </c>
      <c r="B19" s="22">
        <v>1</v>
      </c>
      <c r="C19" s="162">
        <f t="shared" si="0"/>
        <v>1.5300824261391011E-2</v>
      </c>
      <c r="E19" s="75"/>
      <c r="F19" s="76"/>
      <c r="G19" s="130"/>
    </row>
    <row r="20" spans="1:9" x14ac:dyDescent="0.25">
      <c r="A20" s="11">
        <v>2017</v>
      </c>
      <c r="B20" s="22">
        <v>1.015378242898056</v>
      </c>
      <c r="C20" s="162">
        <f>B20/B19-1</f>
        <v>1.5378242898056005E-2</v>
      </c>
      <c r="E20" s="75"/>
      <c r="F20" s="76"/>
      <c r="G20" s="130"/>
    </row>
    <row r="21" spans="1:9" x14ac:dyDescent="0.25">
      <c r="A21" s="11">
        <v>2018</v>
      </c>
      <c r="B21" s="22">
        <v>1.0388955046693713</v>
      </c>
      <c r="C21" s="162">
        <f t="shared" si="0"/>
        <v>2.3161084980699576E-2</v>
      </c>
      <c r="E21" s="75"/>
      <c r="F21" s="76"/>
      <c r="G21" s="130"/>
    </row>
    <row r="22" spans="1:9" x14ac:dyDescent="0.25">
      <c r="A22" s="11">
        <v>2019</v>
      </c>
      <c r="B22" s="22">
        <v>1.0599480178736018</v>
      </c>
      <c r="C22" s="162">
        <f t="shared" si="0"/>
        <v>2.026432216677132E-2</v>
      </c>
      <c r="E22" s="75"/>
      <c r="F22" s="76"/>
      <c r="G22" s="130"/>
      <c r="I22" s="103"/>
    </row>
    <row r="23" spans="1:9" x14ac:dyDescent="0.25">
      <c r="A23" s="11">
        <v>2020</v>
      </c>
      <c r="B23" s="22">
        <v>1.0834901842768774</v>
      </c>
      <c r="C23" s="162">
        <f t="shared" si="0"/>
        <v>2.2210680152508155E-2</v>
      </c>
      <c r="E23" s="75"/>
      <c r="F23" s="76"/>
      <c r="G23" s="130"/>
    </row>
    <row r="24" spans="1:9" x14ac:dyDescent="0.25">
      <c r="A24" s="11">
        <v>2021</v>
      </c>
      <c r="B24" s="22">
        <v>1.1044305864216388</v>
      </c>
      <c r="C24" s="162">
        <f t="shared" si="0"/>
        <v>1.9326803739100784E-2</v>
      </c>
      <c r="E24" s="75"/>
      <c r="F24" s="76"/>
      <c r="G24" s="130"/>
    </row>
    <row r="25" spans="1:9" x14ac:dyDescent="0.25">
      <c r="A25" s="11">
        <v>2022</v>
      </c>
      <c r="B25" s="22">
        <v>1.125959967178477</v>
      </c>
      <c r="C25" s="162">
        <f t="shared" si="0"/>
        <v>1.9493647696405603E-2</v>
      </c>
      <c r="E25" s="75"/>
      <c r="F25" s="76"/>
      <c r="G25" s="130"/>
    </row>
    <row r="26" spans="1:9" x14ac:dyDescent="0.25">
      <c r="A26" s="11">
        <v>2023</v>
      </c>
      <c r="B26" s="22">
        <v>1.148064800566037</v>
      </c>
      <c r="C26" s="162">
        <f t="shared" si="0"/>
        <v>1.963198873131522E-2</v>
      </c>
      <c r="E26" s="75"/>
      <c r="F26" s="76"/>
      <c r="G26" s="130"/>
    </row>
    <row r="27" spans="1:9" x14ac:dyDescent="0.25">
      <c r="A27" s="11">
        <v>2024</v>
      </c>
      <c r="B27" s="22">
        <v>1.1703839160668221</v>
      </c>
      <c r="C27" s="162">
        <f t="shared" si="0"/>
        <v>1.944064088523656E-2</v>
      </c>
      <c r="E27" s="75"/>
      <c r="F27" s="76"/>
      <c r="G27" s="130"/>
    </row>
    <row r="28" spans="1:9" x14ac:dyDescent="0.25">
      <c r="A28" s="11">
        <v>2025</v>
      </c>
      <c r="B28" s="22">
        <v>1.1930872777551023</v>
      </c>
      <c r="C28" s="162">
        <f t="shared" si="0"/>
        <v>1.9398217436699561E-2</v>
      </c>
      <c r="E28" s="75"/>
      <c r="F28" s="76"/>
      <c r="G28" s="130"/>
    </row>
    <row r="29" spans="1:9" x14ac:dyDescent="0.25">
      <c r="A29" s="11">
        <v>2026</v>
      </c>
      <c r="B29" s="22">
        <v>1.2162303366683265</v>
      </c>
      <c r="C29" s="162">
        <f t="shared" si="0"/>
        <v>1.9397624419204229E-2</v>
      </c>
      <c r="E29" s="75"/>
      <c r="F29" s="76"/>
      <c r="G29" s="130"/>
    </row>
    <row r="30" spans="1:9" x14ac:dyDescent="0.25">
      <c r="A30" s="11">
        <v>2027</v>
      </c>
      <c r="B30" s="22">
        <v>1.2397929482315631</v>
      </c>
      <c r="C30" s="162">
        <f t="shared" si="0"/>
        <v>1.9373477911908354E-2</v>
      </c>
      <c r="E30" s="75"/>
      <c r="F30" s="76"/>
      <c r="G30" s="130"/>
    </row>
    <row r="31" spans="1:9" x14ac:dyDescent="0.25">
      <c r="A31" s="11">
        <v>2028</v>
      </c>
      <c r="B31" s="22">
        <v>1.2639700699704413</v>
      </c>
      <c r="C31" s="162">
        <f t="shared" si="0"/>
        <v>1.9500935033841316E-2</v>
      </c>
      <c r="E31" s="75"/>
      <c r="F31" s="76"/>
      <c r="G31" s="130"/>
    </row>
    <row r="32" spans="1:9" x14ac:dyDescent="0.25">
      <c r="A32" s="11">
        <v>2029</v>
      </c>
      <c r="B32" s="22">
        <v>1.2885069844392878</v>
      </c>
      <c r="C32" s="162">
        <f t="shared" si="0"/>
        <v>1.9412575544150545E-2</v>
      </c>
      <c r="E32" s="75"/>
      <c r="F32" s="76"/>
      <c r="G32" s="130"/>
    </row>
    <row r="33" spans="1:9" x14ac:dyDescent="0.25">
      <c r="A33" s="11">
        <v>2030</v>
      </c>
      <c r="B33" s="22">
        <v>1.3127997713173822</v>
      </c>
      <c r="C33" s="162">
        <f t="shared" si="0"/>
        <v>1.8853438259526234E-2</v>
      </c>
      <c r="E33" s="75"/>
      <c r="F33" s="76"/>
      <c r="G33" s="130"/>
    </row>
    <row r="34" spans="1:9" x14ac:dyDescent="0.25">
      <c r="A34" s="11">
        <v>2031</v>
      </c>
      <c r="B34" s="22">
        <v>1.3387003932070118</v>
      </c>
      <c r="C34" s="162">
        <f t="shared" si="0"/>
        <v>1.9729301037003211E-2</v>
      </c>
      <c r="E34" s="75"/>
      <c r="F34" s="76"/>
      <c r="G34" s="130"/>
    </row>
    <row r="35" spans="1:9" x14ac:dyDescent="0.25">
      <c r="A35" s="11">
        <v>2032</v>
      </c>
      <c r="B35" s="22">
        <v>1.3652571078546634</v>
      </c>
      <c r="C35" s="162">
        <f t="shared" si="0"/>
        <v>1.9837683459576594E-2</v>
      </c>
      <c r="E35" s="75"/>
      <c r="F35" s="76"/>
      <c r="G35" s="130"/>
    </row>
    <row r="36" spans="1:9" x14ac:dyDescent="0.25">
      <c r="A36" s="11">
        <v>2033</v>
      </c>
      <c r="B36" s="22">
        <v>1.3923515207863164</v>
      </c>
      <c r="C36" s="162">
        <f t="shared" si="0"/>
        <v>1.984564868827432E-2</v>
      </c>
      <c r="E36" s="75"/>
      <c r="F36" s="76"/>
      <c r="G36" s="130"/>
    </row>
    <row r="37" spans="1:9" x14ac:dyDescent="0.25">
      <c r="A37" s="11">
        <v>2034</v>
      </c>
      <c r="B37" s="22">
        <v>1.4198794326009381</v>
      </c>
      <c r="C37" s="162">
        <f t="shared" si="0"/>
        <v>1.9770806009588471E-2</v>
      </c>
      <c r="E37" s="75"/>
      <c r="F37" s="76"/>
      <c r="G37" s="130"/>
    </row>
    <row r="38" spans="1:9" x14ac:dyDescent="0.25">
      <c r="A38" s="49">
        <v>2035</v>
      </c>
      <c r="B38" s="22">
        <v>1.4477930280944036</v>
      </c>
      <c r="C38" s="162">
        <f t="shared" si="0"/>
        <v>1.9659130805446789E-2</v>
      </c>
      <c r="E38" s="75"/>
      <c r="F38" s="122"/>
      <c r="G38" s="130"/>
    </row>
    <row r="39" spans="1:9" x14ac:dyDescent="0.25">
      <c r="A39" s="49">
        <v>2036</v>
      </c>
      <c r="B39" s="50">
        <f t="shared" ref="B39:B57" si="1">(C39+1)*B38</f>
        <v>1.4762553806129253</v>
      </c>
      <c r="C39" s="161">
        <f>C38</f>
        <v>1.9659130805446789E-2</v>
      </c>
      <c r="E39" s="75"/>
      <c r="F39" s="74"/>
      <c r="G39" s="130"/>
    </row>
    <row r="40" spans="1:9" x14ac:dyDescent="0.25">
      <c r="A40" s="49">
        <v>2037</v>
      </c>
      <c r="B40" s="50">
        <f t="shared" si="1"/>
        <v>1.5052772782426393</v>
      </c>
      <c r="C40" s="161">
        <f t="shared" ref="C40:C57" si="2">C39</f>
        <v>1.9659130805446789E-2</v>
      </c>
      <c r="E40" s="75"/>
      <c r="F40" s="74"/>
      <c r="G40" s="130"/>
    </row>
    <row r="41" spans="1:9" x14ac:dyDescent="0.25">
      <c r="A41" s="49">
        <v>2038</v>
      </c>
      <c r="B41" s="50">
        <f t="shared" si="1"/>
        <v>1.5348697211540783</v>
      </c>
      <c r="C41" s="161">
        <f t="shared" si="2"/>
        <v>1.9659130805446789E-2</v>
      </c>
      <c r="E41" s="75"/>
      <c r="F41" s="74"/>
      <c r="G41" s="130"/>
    </row>
    <row r="42" spans="1:9" x14ac:dyDescent="0.25">
      <c r="A42" s="89">
        <v>2039</v>
      </c>
      <c r="B42" s="50">
        <f t="shared" si="1"/>
        <v>1.565043925771566</v>
      </c>
      <c r="C42" s="161">
        <f t="shared" si="2"/>
        <v>1.9659130805446789E-2</v>
      </c>
      <c r="E42" s="75"/>
      <c r="F42" s="74"/>
      <c r="G42" s="130"/>
      <c r="I42" s="103"/>
    </row>
    <row r="43" spans="1:9" x14ac:dyDescent="0.25">
      <c r="A43" s="89">
        <v>2040</v>
      </c>
      <c r="B43" s="50">
        <f>(C43+1)*B42</f>
        <v>1.5958113290245792</v>
      </c>
      <c r="C43" s="161">
        <f t="shared" si="2"/>
        <v>1.9659130805446789E-2</v>
      </c>
      <c r="E43" s="75"/>
      <c r="F43" s="74"/>
      <c r="G43" s="130"/>
    </row>
    <row r="44" spans="1:9" x14ac:dyDescent="0.25">
      <c r="A44" s="89">
        <v>2041</v>
      </c>
      <c r="B44" s="50">
        <f t="shared" si="1"/>
        <v>1.6271835926826874</v>
      </c>
      <c r="C44" s="161">
        <f t="shared" si="2"/>
        <v>1.9659130805446789E-2</v>
      </c>
      <c r="E44" s="75"/>
      <c r="F44" s="74"/>
      <c r="G44" s="130"/>
    </row>
    <row r="45" spans="1:9" x14ac:dyDescent="0.25">
      <c r="A45" s="89">
        <v>2042</v>
      </c>
      <c r="B45" s="50">
        <f t="shared" si="1"/>
        <v>1.6591726077757132</v>
      </c>
      <c r="C45" s="161">
        <f t="shared" si="2"/>
        <v>1.9659130805446789E-2</v>
      </c>
      <c r="E45" s="75"/>
      <c r="F45" s="74"/>
      <c r="G45" s="130"/>
    </row>
    <row r="46" spans="1:9" x14ac:dyDescent="0.25">
      <c r="A46" s="89">
        <v>2043</v>
      </c>
      <c r="B46" s="50">
        <f t="shared" si="1"/>
        <v>1.6917904991007902</v>
      </c>
      <c r="C46" s="161">
        <f t="shared" si="2"/>
        <v>1.9659130805446789E-2</v>
      </c>
      <c r="E46" s="75"/>
      <c r="F46" s="74"/>
      <c r="G46" s="130"/>
    </row>
    <row r="47" spans="1:9" x14ac:dyDescent="0.25">
      <c r="A47" s="89">
        <v>2044</v>
      </c>
      <c r="B47" s="50">
        <f t="shared" si="1"/>
        <v>1.7250496298180247</v>
      </c>
      <c r="C47" s="161">
        <f t="shared" si="2"/>
        <v>1.9659130805446789E-2</v>
      </c>
      <c r="E47" s="75"/>
      <c r="F47" s="74"/>
    </row>
    <row r="48" spans="1:9" x14ac:dyDescent="0.25">
      <c r="A48" s="89">
        <v>2045</v>
      </c>
      <c r="B48" s="50">
        <f t="shared" si="1"/>
        <v>1.7589626061365047</v>
      </c>
      <c r="C48" s="161">
        <f t="shared" si="2"/>
        <v>1.9659130805446789E-2</v>
      </c>
      <c r="E48" s="75"/>
      <c r="F48" s="74"/>
    </row>
    <row r="49" spans="1:6" x14ac:dyDescent="0.25">
      <c r="A49" s="89">
        <v>2046</v>
      </c>
      <c r="B49" s="50">
        <f t="shared" si="1"/>
        <v>1.7935422820924318</v>
      </c>
      <c r="C49" s="161">
        <f t="shared" si="2"/>
        <v>1.9659130805446789E-2</v>
      </c>
      <c r="E49" s="75"/>
      <c r="F49" s="74"/>
    </row>
    <row r="50" spans="1:6" x14ac:dyDescent="0.25">
      <c r="A50" s="89">
        <v>2047</v>
      </c>
      <c r="B50" s="50">
        <f t="shared" si="1"/>
        <v>1.8288017644211865</v>
      </c>
      <c r="C50" s="161">
        <f t="shared" si="2"/>
        <v>1.9659130805446789E-2</v>
      </c>
      <c r="E50" s="75"/>
      <c r="F50" s="74"/>
    </row>
    <row r="51" spans="1:6" x14ac:dyDescent="0.25">
      <c r="A51" s="89">
        <v>2048</v>
      </c>
      <c r="B51" s="50">
        <f t="shared" si="1"/>
        <v>1.8647544175251745</v>
      </c>
      <c r="C51" s="161">
        <f t="shared" si="2"/>
        <v>1.9659130805446789E-2</v>
      </c>
      <c r="E51" s="75"/>
      <c r="F51" s="74"/>
    </row>
    <row r="52" spans="1:6" x14ac:dyDescent="0.25">
      <c r="A52" s="89">
        <v>2049</v>
      </c>
      <c r="B52" s="50">
        <f t="shared" si="1"/>
        <v>1.9014138685393367</v>
      </c>
      <c r="C52" s="161">
        <f t="shared" si="2"/>
        <v>1.9659130805446789E-2</v>
      </c>
      <c r="E52" s="75"/>
      <c r="F52" s="74"/>
    </row>
    <row r="53" spans="1:6" x14ac:dyDescent="0.25">
      <c r="A53" s="89">
        <v>2050</v>
      </c>
      <c r="B53" s="50">
        <f t="shared" si="1"/>
        <v>1.9387940124962422</v>
      </c>
      <c r="C53" s="161">
        <f t="shared" si="2"/>
        <v>1.9659130805446789E-2</v>
      </c>
      <c r="E53" s="75"/>
      <c r="F53" s="74"/>
    </row>
    <row r="54" spans="1:6" x14ac:dyDescent="0.25">
      <c r="A54" s="89">
        <v>2051</v>
      </c>
      <c r="B54" s="50">
        <f t="shared" si="1"/>
        <v>1.9769090175927229</v>
      </c>
      <c r="C54" s="161">
        <f t="shared" si="2"/>
        <v>1.9659130805446789E-2</v>
      </c>
      <c r="E54" s="75"/>
      <c r="F54" s="74"/>
    </row>
    <row r="55" spans="1:6" x14ac:dyDescent="0.25">
      <c r="A55" s="89">
        <v>2052</v>
      </c>
      <c r="B55" s="50">
        <f t="shared" si="1"/>
        <v>2.0157733305600454</v>
      </c>
      <c r="C55" s="161">
        <f t="shared" si="2"/>
        <v>1.9659130805446789E-2</v>
      </c>
      <c r="E55" s="75"/>
      <c r="F55" s="74"/>
    </row>
    <row r="56" spans="1:6" x14ac:dyDescent="0.25">
      <c r="A56" s="89">
        <v>2053</v>
      </c>
      <c r="B56" s="50">
        <f t="shared" si="1"/>
        <v>2.0554016821396566</v>
      </c>
      <c r="C56" s="161">
        <f t="shared" si="2"/>
        <v>1.9659130805446789E-2</v>
      </c>
      <c r="E56" s="75"/>
      <c r="F56" s="74"/>
    </row>
    <row r="57" spans="1:6" x14ac:dyDescent="0.25">
      <c r="A57" s="89">
        <v>2054</v>
      </c>
      <c r="B57" s="50">
        <f t="shared" si="1"/>
        <v>2.0958090926665753</v>
      </c>
      <c r="C57" s="161">
        <f t="shared" si="2"/>
        <v>1.9659130805446789E-2</v>
      </c>
      <c r="E57" s="75"/>
      <c r="F57" s="74"/>
    </row>
    <row r="58" spans="1:6" x14ac:dyDescent="0.25">
      <c r="A58" s="121" t="s">
        <v>74</v>
      </c>
      <c r="B58" s="60"/>
      <c r="C58" s="61"/>
      <c r="E58" s="75"/>
      <c r="F58" s="74"/>
    </row>
    <row r="59" spans="1:6" ht="15" customHeight="1" x14ac:dyDescent="0.25"/>
    <row r="60" spans="1:6" s="21" customFormat="1" ht="17.25" x14ac:dyDescent="0.3">
      <c r="A60" s="21" t="s">
        <v>12</v>
      </c>
    </row>
    <row r="62" spans="1:6" x14ac:dyDescent="0.25">
      <c r="A62" s="28" t="s">
        <v>18</v>
      </c>
      <c r="E62" t="str">
        <f>ValgtElpris</f>
        <v>BF15 forløb A, (løbende priser)</v>
      </c>
    </row>
    <row r="63" spans="1:6" x14ac:dyDescent="0.25">
      <c r="A63" s="28" t="s">
        <v>19</v>
      </c>
      <c r="E63" s="29">
        <v>0.9</v>
      </c>
    </row>
    <row r="65" spans="1:16" ht="60" x14ac:dyDescent="0.25">
      <c r="A65" s="156" t="s">
        <v>111</v>
      </c>
      <c r="B65" s="24" t="s">
        <v>101</v>
      </c>
      <c r="C65" s="24" t="s">
        <v>102</v>
      </c>
      <c r="D65" s="24" t="s">
        <v>112</v>
      </c>
      <c r="E65" s="155"/>
      <c r="F65" s="155"/>
      <c r="G65" s="24" t="s">
        <v>2</v>
      </c>
      <c r="H65" s="8" t="s">
        <v>17</v>
      </c>
    </row>
    <row r="66" spans="1:16" x14ac:dyDescent="0.25">
      <c r="A66" s="11">
        <v>2015</v>
      </c>
      <c r="B66" s="147">
        <f>Elpris!G6</f>
        <v>178</v>
      </c>
      <c r="C66" s="147">
        <f>Elpris!H6</f>
        <v>178</v>
      </c>
      <c r="D66" s="147">
        <f>Elpris!I6</f>
        <v>178</v>
      </c>
      <c r="E66" s="231"/>
      <c r="F66" s="225"/>
      <c r="G66" s="16">
        <f>HLOOKUP(ValgtElpris,$B$65:$D$105,J66,FALSE)</f>
        <v>178</v>
      </c>
      <c r="H66" s="16">
        <f>G66*$E$63</f>
        <v>160.20000000000002</v>
      </c>
      <c r="J66" s="5">
        <v>2</v>
      </c>
      <c r="P66" s="69"/>
    </row>
    <row r="67" spans="1:16" x14ac:dyDescent="0.25">
      <c r="A67" s="11">
        <v>2016</v>
      </c>
      <c r="B67" s="147">
        <f>Elpris!G7</f>
        <v>189.86125413688015</v>
      </c>
      <c r="C67" s="147">
        <f>Elpris!H7</f>
        <v>193.92245743392573</v>
      </c>
      <c r="D67" s="147">
        <f>Elpris!I7</f>
        <v>189.86125413688015</v>
      </c>
      <c r="E67" s="231"/>
      <c r="F67" s="225"/>
      <c r="G67" s="16">
        <f t="shared" ref="G67:G105" si="3">HLOOKUP(ValgtElpris,$B$65:$D$105,J67,FALSE)</f>
        <v>189.86125413688015</v>
      </c>
      <c r="H67" s="16">
        <f t="shared" ref="H67:H105" si="4">G67*$E$63</f>
        <v>170.87512872319215</v>
      </c>
      <c r="J67" s="5">
        <v>3</v>
      </c>
      <c r="P67" s="69"/>
    </row>
    <row r="68" spans="1:16" x14ac:dyDescent="0.25">
      <c r="A68" s="11">
        <v>2017</v>
      </c>
      <c r="B68" s="147">
        <f>Elpris!G8</f>
        <v>190.71915788602368</v>
      </c>
      <c r="C68" s="147">
        <f>Elpris!H8</f>
        <v>192.78098661992664</v>
      </c>
      <c r="D68" s="147">
        <f>Elpris!I8</f>
        <v>192.78098661992664</v>
      </c>
      <c r="E68" s="231"/>
      <c r="F68" s="225"/>
      <c r="G68" s="16">
        <f t="shared" si="3"/>
        <v>190.71915788602368</v>
      </c>
      <c r="H68" s="16">
        <f t="shared" si="4"/>
        <v>171.64724209742133</v>
      </c>
      <c r="J68" s="5">
        <v>4</v>
      </c>
      <c r="P68" s="69"/>
    </row>
    <row r="69" spans="1:16" x14ac:dyDescent="0.25">
      <c r="A69" s="11">
        <v>2018</v>
      </c>
      <c r="B69" s="147">
        <f>Elpris!G9</f>
        <v>200.41037782033064</v>
      </c>
      <c r="C69" s="147">
        <f>Elpris!H9</f>
        <v>204.6295436691797</v>
      </c>
      <c r="D69" s="147">
        <f>Elpris!I9</f>
        <v>203.57475220696745</v>
      </c>
      <c r="E69" s="231"/>
      <c r="F69" s="225"/>
      <c r="G69" s="16">
        <f t="shared" si="3"/>
        <v>200.41037782033064</v>
      </c>
      <c r="H69" s="16">
        <f t="shared" si="4"/>
        <v>180.36934003829757</v>
      </c>
      <c r="J69" s="5">
        <v>5</v>
      </c>
      <c r="P69" s="69"/>
    </row>
    <row r="70" spans="1:16" x14ac:dyDescent="0.25">
      <c r="A70" s="11">
        <v>2019</v>
      </c>
      <c r="B70" s="147">
        <f>Elpris!G10</f>
        <v>224.91871411025076</v>
      </c>
      <c r="C70" s="147">
        <f>Elpris!H10</f>
        <v>236.75654116868503</v>
      </c>
      <c r="D70" s="147">
        <f>Elpris!I10</f>
        <v>229.22337849513596</v>
      </c>
      <c r="E70" s="231"/>
      <c r="F70" s="225"/>
      <c r="G70" s="16">
        <f t="shared" si="3"/>
        <v>224.91871411025076</v>
      </c>
      <c r="H70" s="16">
        <f t="shared" si="4"/>
        <v>202.42684269922569</v>
      </c>
      <c r="J70" s="5">
        <v>6</v>
      </c>
      <c r="P70" s="69"/>
    </row>
    <row r="71" spans="1:16" x14ac:dyDescent="0.25">
      <c r="A71" s="11">
        <v>2020</v>
      </c>
      <c r="B71" s="147">
        <f>Elpris!G11</f>
        <v>247.51540736447402</v>
      </c>
      <c r="C71" s="147">
        <f>Elpris!H11</f>
        <v>273.91705081668459</v>
      </c>
      <c r="D71" s="147">
        <f>Elpris!I11</f>
        <v>255.21588670470211</v>
      </c>
      <c r="E71" s="231"/>
      <c r="F71" s="225"/>
      <c r="G71" s="16">
        <f t="shared" si="3"/>
        <v>247.51540736447402</v>
      </c>
      <c r="H71" s="16">
        <f t="shared" si="4"/>
        <v>222.76386662802662</v>
      </c>
      <c r="J71" s="5">
        <v>7</v>
      </c>
      <c r="P71" s="69"/>
    </row>
    <row r="72" spans="1:16" x14ac:dyDescent="0.25">
      <c r="A72" s="11">
        <v>2021</v>
      </c>
      <c r="B72" s="147">
        <f>Elpris!G12</f>
        <v>299.39491902381286</v>
      </c>
      <c r="C72" s="147">
        <f>Elpris!H12</f>
        <v>338.64144398948122</v>
      </c>
      <c r="D72" s="147">
        <f>Elpris!I12</f>
        <v>310.60821187114669</v>
      </c>
      <c r="E72" s="231"/>
      <c r="F72" s="225"/>
      <c r="G72" s="16">
        <f t="shared" si="3"/>
        <v>299.39491902381286</v>
      </c>
      <c r="H72" s="16">
        <f t="shared" si="4"/>
        <v>269.45542712143157</v>
      </c>
      <c r="J72" s="5">
        <v>8</v>
      </c>
      <c r="P72" s="69"/>
    </row>
    <row r="73" spans="1:16" x14ac:dyDescent="0.25">
      <c r="A73" s="11">
        <v>2022</v>
      </c>
      <c r="B73" s="147">
        <f>Elpris!G13</f>
        <v>331.52454400087464</v>
      </c>
      <c r="C73" s="147">
        <f>Elpris!H13</f>
        <v>376.10887922857847</v>
      </c>
      <c r="D73" s="147">
        <f>Elpris!I13</f>
        <v>344.09961291125268</v>
      </c>
      <c r="E73" s="231"/>
      <c r="F73" s="225"/>
      <c r="G73" s="16">
        <f t="shared" si="3"/>
        <v>331.52454400087464</v>
      </c>
      <c r="H73" s="16">
        <f t="shared" si="4"/>
        <v>298.37208960078721</v>
      </c>
      <c r="J73" s="5">
        <v>9</v>
      </c>
      <c r="P73" s="69"/>
    </row>
    <row r="74" spans="1:16" x14ac:dyDescent="0.25">
      <c r="A74" s="11">
        <v>2023</v>
      </c>
      <c r="B74" s="147">
        <f>Elpris!G14</f>
        <v>357.84875946429742</v>
      </c>
      <c r="C74" s="147">
        <f>Elpris!H14</f>
        <v>397.48021816718375</v>
      </c>
      <c r="D74" s="147">
        <f>Elpris!I14</f>
        <v>370.67070198581945</v>
      </c>
      <c r="E74" s="231"/>
      <c r="F74" s="225"/>
      <c r="G74" s="16">
        <f t="shared" si="3"/>
        <v>357.84875946429742</v>
      </c>
      <c r="H74" s="16">
        <f t="shared" si="4"/>
        <v>322.06388351786768</v>
      </c>
      <c r="J74" s="5">
        <v>10</v>
      </c>
      <c r="P74" s="69"/>
    </row>
    <row r="75" spans="1:16" x14ac:dyDescent="0.25">
      <c r="A75" s="11">
        <v>2024</v>
      </c>
      <c r="B75" s="147">
        <f>Elpris!G15</f>
        <v>370.74702746169481</v>
      </c>
      <c r="C75" s="147">
        <f>Elpris!H15</f>
        <v>418.27869764909155</v>
      </c>
      <c r="D75" s="147">
        <f>Elpris!I15</f>
        <v>387.38311202728369</v>
      </c>
      <c r="E75" s="231"/>
      <c r="F75" s="225"/>
      <c r="G75" s="16">
        <f t="shared" si="3"/>
        <v>370.74702746169481</v>
      </c>
      <c r="H75" s="16">
        <f t="shared" si="4"/>
        <v>333.67232471552535</v>
      </c>
      <c r="J75" s="5">
        <v>11</v>
      </c>
      <c r="P75" s="69"/>
    </row>
    <row r="76" spans="1:16" x14ac:dyDescent="0.25">
      <c r="A76" s="11">
        <v>2025</v>
      </c>
      <c r="B76" s="147">
        <f>Elpris!G16</f>
        <v>392.47496887265322</v>
      </c>
      <c r="C76" s="147">
        <f>Elpris!H16</f>
        <v>422.75853128566655</v>
      </c>
      <c r="D76" s="147">
        <f>Elpris!I16</f>
        <v>410.64510632046125</v>
      </c>
      <c r="E76" s="231"/>
      <c r="F76" s="225"/>
      <c r="G76" s="16">
        <f t="shared" si="3"/>
        <v>392.47496887265322</v>
      </c>
      <c r="H76" s="16">
        <f t="shared" si="4"/>
        <v>353.22747198538792</v>
      </c>
      <c r="J76" s="5">
        <v>12</v>
      </c>
      <c r="P76" s="69"/>
    </row>
    <row r="77" spans="1:16" x14ac:dyDescent="0.25">
      <c r="A77" s="11">
        <v>2026</v>
      </c>
      <c r="B77" s="9">
        <f>B76*(1+C29)</f>
        <v>400.08805091278384</v>
      </c>
      <c r="C77" s="10">
        <f>C76*(1+$C29)</f>
        <v>430.95904249556031</v>
      </c>
      <c r="D77" s="10">
        <f>D76*(1+$C29)</f>
        <v>418.61064586244976</v>
      </c>
      <c r="E77" s="226"/>
      <c r="F77" s="226"/>
      <c r="G77" s="16">
        <f t="shared" si="3"/>
        <v>400.08805091278384</v>
      </c>
      <c r="H77" s="16">
        <f t="shared" si="4"/>
        <v>360.07924582150548</v>
      </c>
      <c r="J77" s="5">
        <v>13</v>
      </c>
      <c r="P77" s="69"/>
    </row>
    <row r="78" spans="1:16" x14ac:dyDescent="0.25">
      <c r="A78" s="11">
        <v>2027</v>
      </c>
      <c r="B78" s="9">
        <f>B77*(1+C30)</f>
        <v>407.83914792996114</v>
      </c>
      <c r="C78" s="10">
        <f t="shared" ref="C78:D105" si="5">C77*(1+$C30)</f>
        <v>439.30821798628523</v>
      </c>
      <c r="D78" s="10">
        <f t="shared" si="5"/>
        <v>426.72058996375563</v>
      </c>
      <c r="E78" s="226"/>
      <c r="F78" s="226"/>
      <c r="G78" s="16">
        <f t="shared" si="3"/>
        <v>407.83914792996114</v>
      </c>
      <c r="H78" s="16">
        <f t="shared" si="4"/>
        <v>367.05523313696506</v>
      </c>
      <c r="J78" s="5">
        <v>14</v>
      </c>
      <c r="P78" s="69"/>
    </row>
    <row r="79" spans="1:16" x14ac:dyDescent="0.25">
      <c r="A79" s="11">
        <v>2028</v>
      </c>
      <c r="B79" s="9">
        <f t="shared" ref="B79:B105" si="6">B78*(1+C31)</f>
        <v>415.79239265800049</v>
      </c>
      <c r="C79" s="10">
        <f t="shared" si="5"/>
        <v>447.87513900506838</v>
      </c>
      <c r="D79" s="10">
        <f t="shared" si="5"/>
        <v>435.04204046624125</v>
      </c>
      <c r="E79" s="226"/>
      <c r="F79" s="226"/>
      <c r="G79" s="16">
        <f t="shared" si="3"/>
        <v>415.79239265800049</v>
      </c>
      <c r="H79" s="16">
        <f t="shared" si="4"/>
        <v>374.21315339220047</v>
      </c>
      <c r="J79" s="5">
        <v>15</v>
      </c>
      <c r="P79" s="69"/>
    </row>
    <row r="80" spans="1:16" x14ac:dyDescent="0.25">
      <c r="A80" s="11">
        <v>2029</v>
      </c>
      <c r="B80" s="9">
        <f t="shared" si="6"/>
        <v>423.86399389115701</v>
      </c>
      <c r="C80" s="10">
        <f t="shared" si="5"/>
        <v>456.56954897535121</v>
      </c>
      <c r="D80" s="10">
        <f t="shared" si="5"/>
        <v>443.48732694167353</v>
      </c>
      <c r="E80" s="226"/>
      <c r="F80" s="226"/>
      <c r="G80" s="16">
        <f t="shared" si="3"/>
        <v>423.86399389115701</v>
      </c>
      <c r="H80" s="16">
        <f t="shared" si="4"/>
        <v>381.47759450204131</v>
      </c>
      <c r="J80" s="5">
        <v>16</v>
      </c>
      <c r="P80" s="69"/>
    </row>
    <row r="81" spans="1:16" x14ac:dyDescent="0.25">
      <c r="A81" s="11">
        <v>2030</v>
      </c>
      <c r="B81" s="9">
        <f t="shared" si="6"/>
        <v>431.85528753042013</v>
      </c>
      <c r="C81" s="10">
        <f t="shared" si="5"/>
        <v>465.17745477813776</v>
      </c>
      <c r="D81" s="10">
        <f t="shared" si="5"/>
        <v>451.84858787905068</v>
      </c>
      <c r="E81" s="226"/>
      <c r="F81" s="226"/>
      <c r="G81" s="16">
        <f t="shared" si="3"/>
        <v>431.85528753042013</v>
      </c>
      <c r="H81" s="16">
        <f t="shared" si="4"/>
        <v>388.66975877737815</v>
      </c>
      <c r="J81" s="5">
        <v>17</v>
      </c>
      <c r="P81" s="69"/>
    </row>
    <row r="82" spans="1:16" x14ac:dyDescent="0.25">
      <c r="A82" s="11">
        <v>2031</v>
      </c>
      <c r="B82" s="9">
        <f t="shared" si="6"/>
        <v>440.37549050252937</v>
      </c>
      <c r="C82" s="10">
        <f t="shared" si="5"/>
        <v>474.35508081908256</v>
      </c>
      <c r="D82" s="10">
        <f t="shared" si="5"/>
        <v>460.76324469246129</v>
      </c>
      <c r="E82" s="226"/>
      <c r="F82" s="226"/>
      <c r="G82" s="16">
        <f t="shared" si="3"/>
        <v>440.37549050252937</v>
      </c>
      <c r="H82" s="16">
        <f t="shared" si="4"/>
        <v>396.33794145227643</v>
      </c>
      <c r="J82" s="5">
        <v>18</v>
      </c>
      <c r="P82" s="69"/>
    </row>
    <row r="83" spans="1:16" x14ac:dyDescent="0.25">
      <c r="A83" s="11">
        <v>2032</v>
      </c>
      <c r="B83" s="9">
        <f t="shared" si="6"/>
        <v>449.11152008647434</v>
      </c>
      <c r="C83" s="10">
        <f t="shared" si="5"/>
        <v>483.76518675981339</v>
      </c>
      <c r="D83" s="10">
        <f t="shared" si="5"/>
        <v>469.90372009047775</v>
      </c>
      <c r="E83" s="226"/>
      <c r="F83" s="226"/>
      <c r="G83" s="16">
        <f t="shared" si="3"/>
        <v>449.11152008647434</v>
      </c>
      <c r="H83" s="16">
        <f t="shared" si="4"/>
        <v>404.20036807782691</v>
      </c>
      <c r="J83" s="5">
        <v>19</v>
      </c>
      <c r="P83" s="69"/>
    </row>
    <row r="84" spans="1:16" x14ac:dyDescent="0.25">
      <c r="A84" s="11">
        <v>2033</v>
      </c>
      <c r="B84" s="9">
        <f t="shared" si="6"/>
        <v>458.02442953596739</v>
      </c>
      <c r="C84" s="10">
        <f t="shared" si="5"/>
        <v>493.36582070386606</v>
      </c>
      <c r="D84" s="10">
        <f t="shared" si="5"/>
        <v>479.22926423670657</v>
      </c>
      <c r="E84" s="226"/>
      <c r="F84" s="226"/>
      <c r="G84" s="16">
        <f t="shared" si="3"/>
        <v>458.02442953596739</v>
      </c>
      <c r="H84" s="16">
        <f t="shared" si="4"/>
        <v>412.22198658237068</v>
      </c>
      <c r="J84" s="5">
        <v>20</v>
      </c>
      <c r="P84" s="69"/>
    </row>
    <row r="85" spans="1:16" x14ac:dyDescent="0.25">
      <c r="A85" s="11">
        <v>2034</v>
      </c>
      <c r="B85" s="9">
        <f t="shared" si="6"/>
        <v>467.07994167997543</v>
      </c>
      <c r="C85" s="10">
        <f t="shared" si="5"/>
        <v>503.12006063676358</v>
      </c>
      <c r="D85" s="10">
        <f t="shared" si="5"/>
        <v>488.70401305404829</v>
      </c>
      <c r="E85" s="226"/>
      <c r="F85" s="226"/>
      <c r="G85" s="16">
        <f t="shared" si="3"/>
        <v>467.07994167997543</v>
      </c>
      <c r="H85" s="16">
        <f t="shared" si="4"/>
        <v>420.37194751197791</v>
      </c>
      <c r="J85" s="5">
        <v>21</v>
      </c>
      <c r="P85" s="69"/>
    </row>
    <row r="86" spans="1:16" x14ac:dyDescent="0.25">
      <c r="A86" s="49">
        <v>2035</v>
      </c>
      <c r="B86" s="9">
        <f t="shared" si="6"/>
        <v>476.26232735006255</v>
      </c>
      <c r="C86" s="10">
        <f t="shared" si="5"/>
        <v>513.01096371966605</v>
      </c>
      <c r="D86" s="10">
        <f t="shared" si="5"/>
        <v>498.31150917182458</v>
      </c>
      <c r="E86" s="226"/>
      <c r="F86" s="226"/>
      <c r="G86" s="16">
        <f t="shared" si="3"/>
        <v>476.26232735006255</v>
      </c>
      <c r="H86" s="16">
        <f t="shared" si="4"/>
        <v>428.63609461505632</v>
      </c>
      <c r="J86" s="5">
        <v>22</v>
      </c>
      <c r="P86" s="69"/>
    </row>
    <row r="87" spans="1:16" x14ac:dyDescent="0.25">
      <c r="A87" s="49">
        <v>2036</v>
      </c>
      <c r="B87" s="9">
        <f t="shared" si="6"/>
        <v>485.62523074114392</v>
      </c>
      <c r="C87" s="10">
        <f t="shared" si="5"/>
        <v>523.0963133600593</v>
      </c>
      <c r="D87" s="10">
        <f t="shared" si="5"/>
        <v>508.10788031249308</v>
      </c>
      <c r="E87" s="226"/>
      <c r="F87" s="226"/>
      <c r="G87" s="16">
        <f t="shared" si="3"/>
        <v>485.62523074114392</v>
      </c>
      <c r="H87" s="16">
        <f t="shared" si="4"/>
        <v>437.06270766702954</v>
      </c>
      <c r="J87" s="5">
        <v>23</v>
      </c>
      <c r="P87" s="69"/>
    </row>
    <row r="88" spans="1:16" x14ac:dyDescent="0.25">
      <c r="A88" s="49">
        <v>2037</v>
      </c>
      <c r="B88" s="9">
        <f t="shared" si="6"/>
        <v>495.17220067470936</v>
      </c>
      <c r="C88" s="10">
        <f t="shared" si="5"/>
        <v>533.37993220825172</v>
      </c>
      <c r="D88" s="10">
        <f t="shared" si="5"/>
        <v>518.09683959483471</v>
      </c>
      <c r="E88" s="226"/>
      <c r="F88" s="226"/>
      <c r="G88" s="16">
        <f t="shared" si="3"/>
        <v>495.17220067470936</v>
      </c>
      <c r="H88" s="16">
        <f t="shared" si="4"/>
        <v>445.65498060723843</v>
      </c>
      <c r="J88" s="5">
        <v>24</v>
      </c>
      <c r="P88" s="69"/>
    </row>
    <row r="89" spans="1:16" x14ac:dyDescent="0.25">
      <c r="A89" s="49">
        <v>2038</v>
      </c>
      <c r="B89" s="9">
        <f t="shared" si="6"/>
        <v>504.90685573899441</v>
      </c>
      <c r="C89" s="10">
        <f t="shared" si="5"/>
        <v>543.86571806453412</v>
      </c>
      <c r="D89" s="10">
        <f t="shared" si="5"/>
        <v>528.2821731343181</v>
      </c>
      <c r="E89" s="226"/>
      <c r="F89" s="226"/>
      <c r="G89" s="16">
        <f t="shared" si="3"/>
        <v>504.90685573899441</v>
      </c>
      <c r="H89" s="16">
        <f t="shared" si="4"/>
        <v>454.41617016509497</v>
      </c>
      <c r="J89" s="5">
        <v>25</v>
      </c>
      <c r="P89" s="69"/>
    </row>
    <row r="90" spans="1:16" x14ac:dyDescent="0.25">
      <c r="A90" s="49">
        <v>2039</v>
      </c>
      <c r="B90" s="9">
        <f t="shared" si="6"/>
        <v>514.8328856605342</v>
      </c>
      <c r="C90" s="10">
        <f t="shared" si="5"/>
        <v>554.55764535656306</v>
      </c>
      <c r="D90" s="10">
        <f t="shared" si="5"/>
        <v>538.66774147815136</v>
      </c>
      <c r="E90" s="226"/>
      <c r="F90" s="226"/>
      <c r="G90" s="16">
        <f t="shared" si="3"/>
        <v>514.8328856605342</v>
      </c>
      <c r="H90" s="16">
        <f t="shared" si="4"/>
        <v>463.34959709448077</v>
      </c>
      <c r="J90" s="5">
        <v>26</v>
      </c>
      <c r="P90" s="69"/>
    </row>
    <row r="91" spans="1:16" x14ac:dyDescent="0.25">
      <c r="A91" s="205">
        <v>2040</v>
      </c>
      <c r="B91" s="9">
        <f t="shared" si="6"/>
        <v>524.95405270268031</v>
      </c>
      <c r="C91" s="10">
        <f t="shared" si="5"/>
        <v>565.45976664578825</v>
      </c>
      <c r="D91" s="10">
        <f t="shared" si="5"/>
        <v>549.25748106854496</v>
      </c>
      <c r="E91" s="226"/>
      <c r="F91" s="226"/>
      <c r="G91" s="16">
        <f t="shared" si="3"/>
        <v>524.95405270268031</v>
      </c>
      <c r="H91" s="16">
        <f t="shared" si="4"/>
        <v>472.45864743241231</v>
      </c>
      <c r="J91" s="5">
        <v>27</v>
      </c>
      <c r="P91" s="69"/>
    </row>
    <row r="92" spans="1:16" x14ac:dyDescent="0.25">
      <c r="A92" s="205">
        <v>2041</v>
      </c>
      <c r="B92" s="9">
        <f t="shared" si="6"/>
        <v>535.27419309161166</v>
      </c>
      <c r="C92" s="10">
        <f t="shared" si="5"/>
        <v>576.57621416349525</v>
      </c>
      <c r="D92" s="10">
        <f t="shared" si="5"/>
        <v>560.05540573474173</v>
      </c>
      <c r="E92" s="226"/>
      <c r="F92" s="226"/>
      <c r="G92" s="16">
        <f t="shared" si="3"/>
        <v>535.27419309161166</v>
      </c>
      <c r="H92" s="16">
        <f t="shared" si="4"/>
        <v>481.74677378245053</v>
      </c>
      <c r="J92" s="5">
        <v>28</v>
      </c>
      <c r="P92" s="69"/>
    </row>
    <row r="93" spans="1:16" x14ac:dyDescent="0.25">
      <c r="A93" s="205">
        <v>2042</v>
      </c>
      <c r="B93" s="9">
        <f t="shared" si="6"/>
        <v>545.79721847037968</v>
      </c>
      <c r="C93" s="10">
        <f t="shared" si="5"/>
        <v>587.91120137704468</v>
      </c>
      <c r="D93" s="10">
        <f t="shared" si="5"/>
        <v>571.06560821437859</v>
      </c>
      <c r="E93" s="226"/>
      <c r="F93" s="226"/>
      <c r="G93" s="16">
        <f t="shared" si="3"/>
        <v>545.79721847037968</v>
      </c>
      <c r="H93" s="16">
        <f t="shared" si="4"/>
        <v>491.21749662334173</v>
      </c>
      <c r="J93" s="5">
        <v>29</v>
      </c>
      <c r="P93" s="69"/>
    </row>
    <row r="94" spans="1:16" x14ac:dyDescent="0.25">
      <c r="A94" s="205">
        <v>2043</v>
      </c>
      <c r="B94" s="9">
        <f t="shared" si="6"/>
        <v>556.52711738153789</v>
      </c>
      <c r="C94" s="10">
        <f t="shared" si="5"/>
        <v>599.4690245869034</v>
      </c>
      <c r="D94" s="10">
        <f t="shared" si="5"/>
        <v>582.29226170475704</v>
      </c>
      <c r="E94" s="226"/>
      <c r="F94" s="226"/>
      <c r="G94" s="16">
        <f t="shared" si="3"/>
        <v>556.52711738153789</v>
      </c>
      <c r="H94" s="16">
        <f t="shared" si="4"/>
        <v>500.87440564338414</v>
      </c>
      <c r="J94" s="5">
        <v>30</v>
      </c>
      <c r="P94" s="69"/>
    </row>
    <row r="95" spans="1:16" x14ac:dyDescent="0.25">
      <c r="A95" s="205">
        <v>2044</v>
      </c>
      <c r="B95" s="9">
        <f t="shared" si="6"/>
        <v>567.46795677891976</v>
      </c>
      <c r="C95" s="10">
        <f t="shared" si="5"/>
        <v>611.25406455507095</v>
      </c>
      <c r="D95" s="10">
        <f t="shared" si="5"/>
        <v>593.73962144461029</v>
      </c>
      <c r="E95" s="226"/>
      <c r="F95" s="226"/>
      <c r="G95" s="16">
        <f t="shared" si="3"/>
        <v>567.46795677891976</v>
      </c>
      <c r="H95" s="16">
        <f t="shared" si="4"/>
        <v>510.7211611010278</v>
      </c>
      <c r="J95" s="5">
        <v>31</v>
      </c>
      <c r="P95" s="69"/>
    </row>
    <row r="96" spans="1:16" x14ac:dyDescent="0.25">
      <c r="A96" s="205">
        <v>2045</v>
      </c>
      <c r="B96" s="9">
        <f t="shared" si="6"/>
        <v>578.62388356913618</v>
      </c>
      <c r="C96" s="10">
        <f t="shared" si="5"/>
        <v>623.27078816552012</v>
      </c>
      <c r="D96" s="10">
        <f t="shared" si="5"/>
        <v>605.41202632696638</v>
      </c>
      <c r="E96" s="226"/>
      <c r="F96" s="226"/>
      <c r="G96" s="16">
        <f t="shared" si="3"/>
        <v>578.62388356913618</v>
      </c>
      <c r="H96" s="16">
        <f t="shared" si="4"/>
        <v>520.7614952122226</v>
      </c>
      <c r="J96" s="5">
        <v>32</v>
      </c>
      <c r="P96" s="69"/>
    </row>
    <row r="97" spans="1:16" x14ac:dyDescent="0.25">
      <c r="A97" s="205">
        <v>2046</v>
      </c>
      <c r="B97" s="9">
        <f t="shared" si="6"/>
        <v>589.99912618337748</v>
      </c>
      <c r="C97" s="10">
        <f t="shared" si="5"/>
        <v>635.52375011727997</v>
      </c>
      <c r="D97" s="10">
        <f t="shared" si="5"/>
        <v>617.31390054371877</v>
      </c>
      <c r="E97" s="226"/>
      <c r="F97" s="226"/>
      <c r="G97" s="16">
        <f t="shared" si="3"/>
        <v>589.99912618337748</v>
      </c>
      <c r="H97" s="16">
        <f t="shared" si="4"/>
        <v>530.99921356503978</v>
      </c>
      <c r="J97" s="5">
        <v>33</v>
      </c>
      <c r="P97" s="69"/>
    </row>
    <row r="98" spans="1:16" x14ac:dyDescent="0.25">
      <c r="A98" s="205">
        <v>2047</v>
      </c>
      <c r="B98" s="9">
        <f t="shared" si="6"/>
        <v>601.59799618011584</v>
      </c>
      <c r="C98" s="10">
        <f t="shared" si="5"/>
        <v>648.01759465080363</v>
      </c>
      <c r="D98" s="10">
        <f t="shared" si="5"/>
        <v>629.44975526252836</v>
      </c>
      <c r="E98" s="226"/>
      <c r="F98" s="226"/>
      <c r="G98" s="16">
        <f t="shared" si="3"/>
        <v>601.59799618011584</v>
      </c>
      <c r="H98" s="16">
        <f t="shared" si="4"/>
        <v>541.43819656210428</v>
      </c>
      <c r="J98" s="5">
        <v>34</v>
      </c>
      <c r="P98" s="69"/>
    </row>
    <row r="99" spans="1:16" x14ac:dyDescent="0.25">
      <c r="A99" s="205">
        <v>2048</v>
      </c>
      <c r="B99" s="9">
        <f t="shared" si="6"/>
        <v>613.4248898793154</v>
      </c>
      <c r="C99" s="10">
        <f t="shared" si="5"/>
        <v>660.75705730827474</v>
      </c>
      <c r="D99" s="10">
        <f t="shared" si="5"/>
        <v>641.82419033669089</v>
      </c>
      <c r="E99" s="226"/>
      <c r="F99" s="226"/>
      <c r="G99" s="16">
        <f t="shared" si="3"/>
        <v>613.4248898793154</v>
      </c>
      <c r="H99" s="16">
        <f t="shared" si="4"/>
        <v>552.08240089138383</v>
      </c>
      <c r="J99" s="5">
        <v>35</v>
      </c>
      <c r="P99" s="69"/>
    </row>
    <row r="100" spans="1:16" x14ac:dyDescent="0.25">
      <c r="A100" s="205">
        <v>2049</v>
      </c>
      <c r="B100" s="9">
        <f t="shared" si="6"/>
        <v>625.48429002876969</v>
      </c>
      <c r="C100" s="10">
        <f t="shared" si="5"/>
        <v>673.74696672852019</v>
      </c>
      <c r="D100" s="10">
        <f t="shared" si="5"/>
        <v>654.44189604861992</v>
      </c>
      <c r="E100" s="226"/>
      <c r="F100" s="226"/>
      <c r="G100" s="16">
        <f t="shared" si="3"/>
        <v>625.48429002876969</v>
      </c>
      <c r="H100" s="16">
        <f t="shared" si="4"/>
        <v>562.93586102589279</v>
      </c>
      <c r="J100" s="5">
        <v>36</v>
      </c>
      <c r="P100" s="69"/>
    </row>
    <row r="101" spans="1:16" x14ac:dyDescent="0.25">
      <c r="A101" s="205">
        <v>2050</v>
      </c>
      <c r="B101" s="9">
        <f t="shared" si="6"/>
        <v>637.78076750319724</v>
      </c>
      <c r="C101" s="10">
        <f t="shared" si="5"/>
        <v>686.99224647720916</v>
      </c>
      <c r="D101" s="10">
        <f t="shared" si="5"/>
        <v>667.30765488760437</v>
      </c>
      <c r="E101" s="226"/>
      <c r="F101" s="226"/>
      <c r="G101" s="16">
        <f t="shared" si="3"/>
        <v>637.78076750319724</v>
      </c>
      <c r="H101" s="16">
        <f t="shared" si="4"/>
        <v>574.00269075287758</v>
      </c>
      <c r="J101" s="5">
        <v>37</v>
      </c>
      <c r="P101" s="69"/>
    </row>
    <row r="102" spans="1:16" x14ac:dyDescent="0.25">
      <c r="A102" s="205">
        <v>2051</v>
      </c>
      <c r="B102" s="9">
        <f t="shared" si="6"/>
        <v>650.31898303674086</v>
      </c>
      <c r="C102" s="10">
        <f t="shared" si="5"/>
        <v>700.49791691303233</v>
      </c>
      <c r="D102" s="10">
        <f t="shared" si="5"/>
        <v>680.42634336251569</v>
      </c>
      <c r="E102" s="226"/>
      <c r="F102" s="226"/>
      <c r="G102" s="16">
        <f t="shared" si="3"/>
        <v>650.31898303674086</v>
      </c>
      <c r="H102" s="16">
        <f t="shared" si="4"/>
        <v>585.28708473306676</v>
      </c>
      <c r="J102" s="5">
        <v>38</v>
      </c>
      <c r="P102" s="69"/>
    </row>
    <row r="103" spans="1:16" x14ac:dyDescent="0.25">
      <c r="A103" s="205">
        <v>2052</v>
      </c>
      <c r="B103" s="9">
        <f t="shared" si="6"/>
        <v>663.10368898952527</v>
      </c>
      <c r="C103" s="10">
        <f t="shared" si="5"/>
        <v>714.26909709056861</v>
      </c>
      <c r="D103" s="10">
        <f t="shared" si="5"/>
        <v>693.80293385015125</v>
      </c>
      <c r="E103" s="226"/>
      <c r="F103" s="226"/>
      <c r="G103" s="16">
        <f t="shared" si="3"/>
        <v>663.10368898952527</v>
      </c>
      <c r="H103" s="16">
        <f t="shared" si="4"/>
        <v>596.79332009057271</v>
      </c>
      <c r="J103" s="5">
        <v>39</v>
      </c>
      <c r="P103" s="69"/>
    </row>
    <row r="104" spans="1:16" x14ac:dyDescent="0.25">
      <c r="A104" s="205">
        <v>2053</v>
      </c>
      <c r="B104" s="9">
        <f t="shared" si="6"/>
        <v>676.13973114894463</v>
      </c>
      <c r="C104" s="10">
        <f t="shared" si="5"/>
        <v>728.31100670056048</v>
      </c>
      <c r="D104" s="10">
        <f t="shared" si="5"/>
        <v>707.4424964799141</v>
      </c>
      <c r="E104" s="226"/>
      <c r="F104" s="226"/>
      <c r="G104" s="16">
        <f t="shared" si="3"/>
        <v>676.13973114894463</v>
      </c>
      <c r="H104" s="16">
        <f t="shared" si="4"/>
        <v>608.52575803405023</v>
      </c>
      <c r="J104" s="5">
        <v>40</v>
      </c>
      <c r="P104" s="69"/>
    </row>
    <row r="105" spans="1:16" x14ac:dyDescent="0.25">
      <c r="A105" s="205">
        <v>2054</v>
      </c>
      <c r="B105" s="9">
        <f t="shared" si="6"/>
        <v>689.43205056636134</v>
      </c>
      <c r="C105" s="10">
        <f t="shared" si="5"/>
        <v>742.62896804833349</v>
      </c>
      <c r="D105" s="10">
        <f t="shared" si="5"/>
        <v>721.35020105554452</v>
      </c>
      <c r="E105" s="226"/>
      <c r="F105" s="226"/>
      <c r="G105" s="16">
        <f t="shared" si="3"/>
        <v>689.43205056636134</v>
      </c>
      <c r="H105" s="16">
        <f t="shared" si="4"/>
        <v>620.48884550972525</v>
      </c>
      <c r="J105" s="5">
        <v>41</v>
      </c>
      <c r="P105" s="69"/>
    </row>
    <row r="106" spans="1:16" x14ac:dyDescent="0.25">
      <c r="A106" s="41" t="s">
        <v>179</v>
      </c>
    </row>
    <row r="108" spans="1:16" s="21" customFormat="1" ht="17.25" x14ac:dyDescent="0.3">
      <c r="A108" s="21" t="s">
        <v>73</v>
      </c>
    </row>
    <row r="109" spans="1:16" x14ac:dyDescent="0.25">
      <c r="A109" t="s">
        <v>13</v>
      </c>
      <c r="B109" s="41" t="s">
        <v>35</v>
      </c>
    </row>
    <row r="111" spans="1:16" x14ac:dyDescent="0.25">
      <c r="A111" s="254" t="s">
        <v>27</v>
      </c>
      <c r="B111" s="255"/>
      <c r="C111" s="255"/>
      <c r="D111" s="256"/>
      <c r="E111" s="26" t="s">
        <v>7</v>
      </c>
      <c r="F111" s="257" t="s">
        <v>26</v>
      </c>
      <c r="G111" s="258"/>
      <c r="H111" s="259" t="s">
        <v>4</v>
      </c>
      <c r="I111" s="259"/>
    </row>
    <row r="112" spans="1:16" x14ac:dyDescent="0.25">
      <c r="A112" s="260"/>
      <c r="B112" s="261"/>
      <c r="C112" s="261"/>
      <c r="D112" s="262"/>
      <c r="E112" s="26"/>
      <c r="F112" s="7" t="s">
        <v>28</v>
      </c>
      <c r="G112" s="31" t="s">
        <v>29</v>
      </c>
      <c r="H112" s="7"/>
      <c r="I112" s="7"/>
    </row>
    <row r="113" spans="1:10" x14ac:dyDescent="0.25">
      <c r="A113" s="247" t="s">
        <v>20</v>
      </c>
      <c r="B113" s="247"/>
      <c r="C113" s="247"/>
      <c r="D113" s="247"/>
      <c r="E113" s="4">
        <v>1.8</v>
      </c>
      <c r="F113" s="4">
        <v>25</v>
      </c>
      <c r="G113" s="4">
        <v>58</v>
      </c>
      <c r="H113" s="4"/>
      <c r="I113" s="4"/>
    </row>
    <row r="114" spans="1:10" x14ac:dyDescent="0.25">
      <c r="A114" s="247" t="s">
        <v>128</v>
      </c>
      <c r="B114" s="247"/>
      <c r="C114" s="247"/>
      <c r="D114" s="247"/>
      <c r="E114" s="4"/>
      <c r="F114" s="4"/>
      <c r="G114" s="4"/>
      <c r="H114" s="204">
        <v>70</v>
      </c>
      <c r="I114" s="4"/>
    </row>
    <row r="115" spans="1:10" x14ac:dyDescent="0.25">
      <c r="A115" s="247" t="s">
        <v>22</v>
      </c>
      <c r="B115" s="247"/>
      <c r="C115" s="247"/>
      <c r="D115" s="247"/>
      <c r="E115" s="4"/>
      <c r="F115" s="4"/>
      <c r="G115" s="4"/>
      <c r="H115" s="4">
        <v>77</v>
      </c>
      <c r="I115" s="4"/>
    </row>
    <row r="116" spans="1:10" x14ac:dyDescent="0.25">
      <c r="A116" s="247" t="s">
        <v>129</v>
      </c>
      <c r="B116" s="247"/>
      <c r="C116" s="247"/>
      <c r="D116" s="247"/>
      <c r="E116" s="4"/>
      <c r="F116" s="4"/>
      <c r="G116" s="4"/>
      <c r="H116" s="181">
        <v>90</v>
      </c>
      <c r="I116" s="4"/>
    </row>
    <row r="117" spans="1:10" x14ac:dyDescent="0.25">
      <c r="A117" s="247" t="s">
        <v>24</v>
      </c>
      <c r="B117" s="247"/>
      <c r="C117" s="247"/>
      <c r="D117" s="247"/>
      <c r="E117" s="4">
        <v>15</v>
      </c>
      <c r="F117" s="4"/>
      <c r="G117" s="4"/>
      <c r="H117" s="4"/>
      <c r="I117" s="4"/>
    </row>
    <row r="118" spans="1:10" s="41" customFormat="1" x14ac:dyDescent="0.25">
      <c r="A118" s="266" t="s">
        <v>25</v>
      </c>
      <c r="B118" s="267"/>
      <c r="C118" s="267"/>
      <c r="D118" s="268"/>
      <c r="E118" s="43"/>
      <c r="F118" s="43"/>
      <c r="G118" s="43"/>
      <c r="H118" s="43"/>
      <c r="I118" s="43"/>
      <c r="J118" s="47" t="s">
        <v>43</v>
      </c>
    </row>
    <row r="119" spans="1:10" x14ac:dyDescent="0.25">
      <c r="A119" s="247" t="s">
        <v>10</v>
      </c>
      <c r="B119" s="247"/>
      <c r="C119" s="247"/>
      <c r="D119" s="247"/>
      <c r="E119" s="4"/>
      <c r="F119" s="4"/>
      <c r="G119" s="4"/>
      <c r="H119" s="4">
        <v>60</v>
      </c>
      <c r="I119" s="4">
        <v>40</v>
      </c>
    </row>
    <row r="120" spans="1:10" x14ac:dyDescent="0.25">
      <c r="A120" s="244" t="s">
        <v>133</v>
      </c>
      <c r="B120" s="245"/>
      <c r="C120" s="245"/>
      <c r="D120" s="246"/>
      <c r="E120" s="4"/>
      <c r="F120" s="4"/>
      <c r="G120" s="4"/>
      <c r="H120" s="4">
        <v>74</v>
      </c>
      <c r="I120" s="4"/>
    </row>
    <row r="121" spans="1:10" x14ac:dyDescent="0.25">
      <c r="A121" s="56" t="s">
        <v>146</v>
      </c>
      <c r="B121" s="56"/>
      <c r="C121" s="56"/>
      <c r="D121" s="56"/>
      <c r="E121" s="175"/>
      <c r="F121" s="175"/>
      <c r="G121" s="175"/>
      <c r="H121" s="175"/>
      <c r="I121" s="175"/>
    </row>
    <row r="122" spans="1:10" x14ac:dyDescent="0.25">
      <c r="A122" s="56" t="s">
        <v>147</v>
      </c>
      <c r="B122" s="56"/>
      <c r="C122" s="56"/>
      <c r="D122" s="56"/>
      <c r="E122" s="175"/>
      <c r="F122" s="175"/>
      <c r="G122" s="175"/>
      <c r="H122" s="175"/>
      <c r="I122" s="175"/>
    </row>
    <row r="124" spans="1:10" x14ac:dyDescent="0.25">
      <c r="A124" s="254" t="s">
        <v>31</v>
      </c>
      <c r="B124" s="255"/>
      <c r="C124" s="255"/>
      <c r="D124" s="256"/>
      <c r="E124" s="26" t="s">
        <v>7</v>
      </c>
      <c r="F124" s="257" t="s">
        <v>26</v>
      </c>
      <c r="G124" s="258"/>
      <c r="H124" s="259" t="s">
        <v>4</v>
      </c>
      <c r="I124" s="259"/>
    </row>
    <row r="125" spans="1:10" x14ac:dyDescent="0.25">
      <c r="A125" s="260"/>
      <c r="B125" s="261"/>
      <c r="C125" s="261"/>
      <c r="D125" s="262"/>
      <c r="E125" s="26"/>
      <c r="F125" s="7" t="s">
        <v>28</v>
      </c>
      <c r="G125" s="31" t="s">
        <v>29</v>
      </c>
      <c r="H125" s="7"/>
      <c r="I125" s="7"/>
    </row>
    <row r="126" spans="1:10" x14ac:dyDescent="0.25">
      <c r="A126" s="247" t="s">
        <v>20</v>
      </c>
      <c r="B126" s="247"/>
      <c r="C126" s="247"/>
      <c r="D126" s="247"/>
      <c r="E126" s="43">
        <v>20</v>
      </c>
      <c r="F126" s="263">
        <v>9</v>
      </c>
      <c r="G126" s="264"/>
      <c r="H126" s="43"/>
      <c r="I126" s="4"/>
    </row>
    <row r="127" spans="1:10" x14ac:dyDescent="0.25">
      <c r="A127" s="247" t="s">
        <v>21</v>
      </c>
      <c r="B127" s="247"/>
      <c r="C127" s="247"/>
      <c r="D127" s="247"/>
      <c r="E127" s="43"/>
      <c r="F127" s="263"/>
      <c r="G127" s="264"/>
      <c r="H127" s="42">
        <v>12</v>
      </c>
      <c r="I127" s="4"/>
    </row>
    <row r="128" spans="1:10" x14ac:dyDescent="0.25">
      <c r="A128" s="244" t="s">
        <v>22</v>
      </c>
      <c r="B128" s="245"/>
      <c r="C128" s="245"/>
      <c r="D128" s="246"/>
      <c r="E128" s="43"/>
      <c r="F128" s="263"/>
      <c r="G128" s="264"/>
      <c r="H128" s="43">
        <v>11.11</v>
      </c>
      <c r="I128" s="4"/>
    </row>
    <row r="129" spans="1:15" x14ac:dyDescent="0.25">
      <c r="A129" s="247" t="s">
        <v>23</v>
      </c>
      <c r="B129" s="247"/>
      <c r="C129" s="247"/>
      <c r="D129" s="247"/>
      <c r="E129" s="43"/>
      <c r="F129" s="263"/>
      <c r="G129" s="264"/>
      <c r="H129" s="43">
        <v>12</v>
      </c>
      <c r="I129" s="4"/>
    </row>
    <row r="130" spans="1:15" x14ac:dyDescent="0.25">
      <c r="A130" s="247" t="s">
        <v>24</v>
      </c>
      <c r="B130" s="247"/>
      <c r="C130" s="247"/>
      <c r="D130" s="247"/>
      <c r="E130" s="203">
        <f>E241</f>
        <v>20</v>
      </c>
      <c r="F130" s="263"/>
      <c r="G130" s="264"/>
      <c r="H130" s="43"/>
      <c r="I130" s="4"/>
    </row>
    <row r="131" spans="1:15" x14ac:dyDescent="0.25">
      <c r="A131" s="266" t="s">
        <v>25</v>
      </c>
      <c r="B131" s="267"/>
      <c r="C131" s="267"/>
      <c r="D131" s="268"/>
      <c r="E131" s="43"/>
      <c r="F131" s="263"/>
      <c r="G131" s="264"/>
      <c r="H131" s="43"/>
      <c r="I131" s="43"/>
      <c r="J131" s="47" t="s">
        <v>43</v>
      </c>
    </row>
    <row r="132" spans="1:15" x14ac:dyDescent="0.25">
      <c r="A132" s="247" t="s">
        <v>10</v>
      </c>
      <c r="B132" s="247"/>
      <c r="C132" s="247"/>
      <c r="D132" s="247"/>
      <c r="E132" s="4"/>
      <c r="F132" s="269"/>
      <c r="G132" s="270"/>
      <c r="H132" s="4">
        <v>10</v>
      </c>
      <c r="I132" s="4">
        <v>10</v>
      </c>
    </row>
    <row r="133" spans="1:15" x14ac:dyDescent="0.25">
      <c r="A133" s="244" t="s">
        <v>133</v>
      </c>
      <c r="B133" s="245"/>
      <c r="C133" s="245"/>
      <c r="D133" s="246"/>
      <c r="E133" s="4"/>
      <c r="F133" s="269"/>
      <c r="G133" s="270"/>
      <c r="H133" s="4">
        <v>10</v>
      </c>
      <c r="I133" s="4"/>
    </row>
    <row r="134" spans="1:15" ht="15" customHeight="1" x14ac:dyDescent="0.25">
      <c r="A134" s="241" t="s">
        <v>200</v>
      </c>
      <c r="B134" s="56"/>
      <c r="C134" s="56"/>
      <c r="D134" s="56"/>
      <c r="E134" s="175"/>
      <c r="F134" s="175"/>
      <c r="G134" s="175"/>
      <c r="H134" s="175"/>
      <c r="I134" s="175"/>
    </row>
    <row r="135" spans="1:15" ht="15" customHeight="1" x14ac:dyDescent="0.25">
      <c r="A135" s="56" t="s">
        <v>160</v>
      </c>
      <c r="B135" s="56"/>
      <c r="C135" s="56"/>
      <c r="D135" s="56"/>
      <c r="E135" s="175"/>
      <c r="F135" s="175"/>
      <c r="G135" s="175"/>
      <c r="H135" s="175"/>
      <c r="I135" s="175"/>
    </row>
    <row r="137" spans="1:15" x14ac:dyDescent="0.25">
      <c r="A137" s="1" t="s">
        <v>25</v>
      </c>
      <c r="M137" s="1" t="s">
        <v>159</v>
      </c>
    </row>
    <row r="138" spans="1:15" ht="60" x14ac:dyDescent="0.25">
      <c r="A138" s="23" t="s">
        <v>14</v>
      </c>
      <c r="B138" s="243" t="s">
        <v>36</v>
      </c>
      <c r="C138" s="243"/>
      <c r="D138" s="36" t="s">
        <v>37</v>
      </c>
      <c r="E138" s="36" t="s">
        <v>38</v>
      </c>
      <c r="F138" s="36" t="s">
        <v>39</v>
      </c>
      <c r="H138" s="46" t="s">
        <v>6</v>
      </c>
      <c r="I138" s="8" t="s">
        <v>41</v>
      </c>
      <c r="J138" s="8" t="s">
        <v>42</v>
      </c>
      <c r="M138" s="200" t="s">
        <v>157</v>
      </c>
      <c r="N138" s="202" t="s">
        <v>92</v>
      </c>
      <c r="O138" s="202" t="s">
        <v>156</v>
      </c>
    </row>
    <row r="139" spans="1:15" ht="30" x14ac:dyDescent="0.25">
      <c r="A139" s="23"/>
      <c r="B139" s="44" t="s">
        <v>4</v>
      </c>
      <c r="C139" s="45" t="s">
        <v>40</v>
      </c>
      <c r="D139" s="36" t="s">
        <v>28</v>
      </c>
      <c r="E139" s="36" t="s">
        <v>28</v>
      </c>
      <c r="F139" s="36" t="s">
        <v>28</v>
      </c>
      <c r="H139" s="23"/>
      <c r="I139" s="2"/>
      <c r="J139" s="2"/>
      <c r="M139" s="23"/>
      <c r="N139" s="2"/>
      <c r="O139" s="2"/>
    </row>
    <row r="140" spans="1:15" x14ac:dyDescent="0.25">
      <c r="A140" s="30">
        <v>2014</v>
      </c>
      <c r="B140" s="4">
        <v>806</v>
      </c>
      <c r="C140" s="3"/>
      <c r="D140" s="4">
        <v>438</v>
      </c>
      <c r="E140" s="4">
        <v>100</v>
      </c>
      <c r="F140" s="39"/>
      <c r="H140" s="30">
        <v>2014</v>
      </c>
      <c r="I140" s="2"/>
      <c r="J140" s="2"/>
      <c r="M140" s="174">
        <v>2014</v>
      </c>
      <c r="N140" s="2"/>
      <c r="O140" s="2"/>
    </row>
    <row r="141" spans="1:15" x14ac:dyDescent="0.25">
      <c r="A141" s="30">
        <v>2015</v>
      </c>
      <c r="B141" s="16">
        <f t="shared" ref="B141:B180" si="7">B140*(1+0.6*C18)</f>
        <v>811.07099898709623</v>
      </c>
      <c r="C141" s="16">
        <f t="shared" ref="C141:C180" si="8">IF(G66&gt;B141,0,B141-G66)</f>
        <v>633.07099898709623</v>
      </c>
      <c r="D141" s="16">
        <f t="shared" ref="D141:D180" si="9">D140*(1+0.6*C18)</f>
        <v>440.75570416420368</v>
      </c>
      <c r="E141" s="4">
        <v>100</v>
      </c>
      <c r="F141" s="42">
        <v>314.00000000000006</v>
      </c>
      <c r="H141" s="30">
        <v>2015</v>
      </c>
      <c r="I141" s="16">
        <f>(C141+E141+F141)/1000*100</f>
        <v>104.70709989870963</v>
      </c>
      <c r="J141" s="16">
        <f>(D141+E141+F141)/1000*100</f>
        <v>85.475570416420382</v>
      </c>
      <c r="M141" s="174">
        <v>2015</v>
      </c>
      <c r="N141" s="16"/>
      <c r="O141" s="2"/>
    </row>
    <row r="142" spans="1:15" x14ac:dyDescent="0.25">
      <c r="A142" s="30">
        <v>2016</v>
      </c>
      <c r="B142" s="16">
        <f t="shared" si="7"/>
        <v>818.51703187850364</v>
      </c>
      <c r="C142" s="16">
        <f t="shared" si="8"/>
        <v>628.65577774162352</v>
      </c>
      <c r="D142" s="16">
        <f t="shared" si="9"/>
        <v>444.80205950717692</v>
      </c>
      <c r="E142" s="4">
        <v>80</v>
      </c>
      <c r="F142" s="42">
        <v>99.299362031256067</v>
      </c>
      <c r="H142" s="30">
        <v>2016</v>
      </c>
      <c r="I142" s="16">
        <f>(C142+E142+F142)/1000*100</f>
        <v>80.795513977287968</v>
      </c>
      <c r="J142" s="16">
        <f t="shared" ref="J142:J160" si="10">(D142+E142+F142)/1000*100</f>
        <v>62.410142153843296</v>
      </c>
      <c r="M142" s="174">
        <v>2016</v>
      </c>
      <c r="N142" s="118">
        <v>25</v>
      </c>
      <c r="O142" s="2">
        <v>22</v>
      </c>
    </row>
    <row r="143" spans="1:15" x14ac:dyDescent="0.25">
      <c r="A143" s="30">
        <v>2017</v>
      </c>
      <c r="B143" s="16">
        <f t="shared" si="7"/>
        <v>826.0694441179578</v>
      </c>
      <c r="C143" s="16">
        <f t="shared" si="8"/>
        <v>635.35028623193409</v>
      </c>
      <c r="D143" s="16">
        <f t="shared" si="9"/>
        <v>448.90622397477108</v>
      </c>
      <c r="E143" s="4">
        <v>60</v>
      </c>
      <c r="F143" s="42">
        <v>91.61784467585008</v>
      </c>
      <c r="H143" s="30">
        <v>2017</v>
      </c>
      <c r="I143" s="16">
        <f t="shared" ref="I143:I160" si="11">(C143+E143+F143)/1000*100</f>
        <v>78.69681309077842</v>
      </c>
      <c r="J143" s="16">
        <f t="shared" si="10"/>
        <v>60.05240686506211</v>
      </c>
      <c r="M143" s="174">
        <v>2017</v>
      </c>
      <c r="N143" s="118">
        <f t="shared" ref="N143:N180" si="12">N142*(1+$C$15)</f>
        <v>25.491667463396343</v>
      </c>
      <c r="O143" s="118">
        <f t="shared" ref="O143:O180" si="13">O142*(1+$C$15)</f>
        <v>22.432667367788785</v>
      </c>
    </row>
    <row r="144" spans="1:15" x14ac:dyDescent="0.25">
      <c r="A144" s="30">
        <v>2018</v>
      </c>
      <c r="B144" s="16">
        <f t="shared" si="7"/>
        <v>837.54904287506292</v>
      </c>
      <c r="C144" s="16">
        <f t="shared" si="8"/>
        <v>637.13866505473231</v>
      </c>
      <c r="D144" s="16">
        <f t="shared" si="9"/>
        <v>455.14451709587786</v>
      </c>
      <c r="E144" s="4">
        <v>40</v>
      </c>
      <c r="F144" s="42">
        <v>82.505562040505112</v>
      </c>
      <c r="H144" s="30">
        <v>2018</v>
      </c>
      <c r="I144" s="16">
        <f t="shared" si="11"/>
        <v>75.964422709523731</v>
      </c>
      <c r="J144" s="16">
        <f t="shared" si="10"/>
        <v>57.765007913638286</v>
      </c>
      <c r="M144" s="174">
        <v>2018</v>
      </c>
      <c r="N144" s="118">
        <f t="shared" si="12"/>
        <v>25.993004402575192</v>
      </c>
      <c r="O144" s="118">
        <f t="shared" si="13"/>
        <v>22.873843874266171</v>
      </c>
    </row>
    <row r="145" spans="1:15" x14ac:dyDescent="0.25">
      <c r="A145" s="30">
        <v>2019</v>
      </c>
      <c r="B145" s="16">
        <f t="shared" si="7"/>
        <v>847.73246105623764</v>
      </c>
      <c r="C145" s="16">
        <f t="shared" si="8"/>
        <v>622.81374694598685</v>
      </c>
      <c r="D145" s="16">
        <f t="shared" si="9"/>
        <v>460.6784341720001</v>
      </c>
      <c r="E145" s="4">
        <v>20</v>
      </c>
      <c r="F145" s="42">
        <v>63.737284694619092</v>
      </c>
      <c r="H145" s="30">
        <v>2019</v>
      </c>
      <c r="I145" s="16">
        <f t="shared" si="11"/>
        <v>70.655103164060591</v>
      </c>
      <c r="J145" s="16">
        <f t="shared" si="10"/>
        <v>54.441571886661919</v>
      </c>
      <c r="M145" s="174">
        <v>2019</v>
      </c>
      <c r="N145" s="118">
        <f t="shared" si="12"/>
        <v>26.504200984201759</v>
      </c>
      <c r="O145" s="118">
        <f t="shared" si="13"/>
        <v>23.323696866097549</v>
      </c>
    </row>
    <row r="146" spans="1:15" x14ac:dyDescent="0.25">
      <c r="A146" s="30">
        <v>2020</v>
      </c>
      <c r="B146" s="16">
        <f t="shared" si="7"/>
        <v>859.02968978468891</v>
      </c>
      <c r="C146" s="16">
        <f t="shared" si="8"/>
        <v>611.51428242021484</v>
      </c>
      <c r="D146" s="16">
        <f t="shared" si="9"/>
        <v>466.81762298473166</v>
      </c>
      <c r="E146" s="4">
        <v>0</v>
      </c>
      <c r="F146" s="42">
        <v>37.920033684934111</v>
      </c>
      <c r="H146" s="30">
        <v>2020</v>
      </c>
      <c r="I146" s="16">
        <f t="shared" si="11"/>
        <v>64.943431610514892</v>
      </c>
      <c r="J146" s="16">
        <f t="shared" si="10"/>
        <v>50.473765666966571</v>
      </c>
      <c r="M146" s="174">
        <v>2020</v>
      </c>
      <c r="N146" s="118">
        <f t="shared" si="12"/>
        <v>27.025451114891734</v>
      </c>
      <c r="O146" s="118">
        <f t="shared" si="13"/>
        <v>23.782396981104728</v>
      </c>
    </row>
    <row r="147" spans="1:15" x14ac:dyDescent="0.25">
      <c r="A147" s="30">
        <v>2021</v>
      </c>
      <c r="B147" s="16">
        <f t="shared" si="7"/>
        <v>868.99106871700644</v>
      </c>
      <c r="C147" s="16">
        <f t="shared" si="8"/>
        <v>569.59614969319364</v>
      </c>
      <c r="D147" s="16">
        <f t="shared" si="9"/>
        <v>472.23087853355929</v>
      </c>
      <c r="E147" s="4">
        <v>0</v>
      </c>
      <c r="F147" s="42">
        <v>13.774767539176054</v>
      </c>
      <c r="H147" s="30">
        <v>2021</v>
      </c>
      <c r="I147" s="16">
        <f t="shared" si="11"/>
        <v>58.337091723236966</v>
      </c>
      <c r="J147" s="16">
        <f t="shared" si="10"/>
        <v>48.600564607273533</v>
      </c>
      <c r="M147" s="174">
        <v>2021</v>
      </c>
      <c r="N147" s="118">
        <f t="shared" si="12"/>
        <v>27.556952514763765</v>
      </c>
      <c r="O147" s="118">
        <f t="shared" si="13"/>
        <v>24.250118212992113</v>
      </c>
    </row>
    <row r="148" spans="1:15" x14ac:dyDescent="0.25">
      <c r="A148" s="30">
        <v>2022</v>
      </c>
      <c r="B148" s="16">
        <f t="shared" si="7"/>
        <v>879.15495216394174</v>
      </c>
      <c r="C148" s="16">
        <f t="shared" si="8"/>
        <v>547.63040816306716</v>
      </c>
      <c r="D148" s="16">
        <f t="shared" si="9"/>
        <v>477.75417996005763</v>
      </c>
      <c r="E148" s="4">
        <v>0</v>
      </c>
      <c r="F148" s="42">
        <v>0</v>
      </c>
      <c r="H148" s="30">
        <v>2022</v>
      </c>
      <c r="I148" s="16">
        <f t="shared" si="11"/>
        <v>54.76304081630672</v>
      </c>
      <c r="J148" s="16">
        <f t="shared" si="10"/>
        <v>47.775417996005764</v>
      </c>
      <c r="M148" s="174">
        <v>2022</v>
      </c>
      <c r="N148" s="118">
        <f t="shared" si="12"/>
        <v>28.098906792438463</v>
      </c>
      <c r="O148" s="118">
        <f t="shared" si="13"/>
        <v>24.727037977345848</v>
      </c>
    </row>
    <row r="149" spans="1:15" x14ac:dyDescent="0.25">
      <c r="A149" s="30">
        <v>2023</v>
      </c>
      <c r="B149" s="16">
        <f t="shared" si="7"/>
        <v>889.51068823231924</v>
      </c>
      <c r="C149" s="16">
        <f t="shared" si="8"/>
        <v>531.66192876802188</v>
      </c>
      <c r="D149" s="16">
        <f t="shared" si="9"/>
        <v>483.3817387664464</v>
      </c>
      <c r="E149" s="4">
        <v>0</v>
      </c>
      <c r="F149" s="42">
        <v>0</v>
      </c>
      <c r="H149" s="30">
        <v>2023</v>
      </c>
      <c r="I149" s="16">
        <f t="shared" si="11"/>
        <v>53.166192876802185</v>
      </c>
      <c r="J149" s="16">
        <f t="shared" si="10"/>
        <v>48.338173876644639</v>
      </c>
      <c r="M149" s="174">
        <v>2023</v>
      </c>
      <c r="N149" s="118">
        <f t="shared" si="12"/>
        <v>28.651519521512405</v>
      </c>
      <c r="O149" s="118">
        <f t="shared" si="13"/>
        <v>25.213337178930917</v>
      </c>
    </row>
    <row r="150" spans="1:15" x14ac:dyDescent="0.25">
      <c r="A150" s="30">
        <v>2024</v>
      </c>
      <c r="B150" s="16">
        <f t="shared" si="7"/>
        <v>899.88628294442174</v>
      </c>
      <c r="C150" s="16">
        <f t="shared" si="8"/>
        <v>529.13925548272687</v>
      </c>
      <c r="D150" s="16">
        <f t="shared" si="9"/>
        <v>489.02008924275026</v>
      </c>
      <c r="E150" s="4">
        <v>0</v>
      </c>
      <c r="F150" s="42">
        <v>0</v>
      </c>
      <c r="H150" s="30">
        <v>2024</v>
      </c>
      <c r="I150" s="16">
        <f t="shared" si="11"/>
        <v>52.913925548272687</v>
      </c>
      <c r="J150" s="16">
        <f t="shared" si="10"/>
        <v>48.902008924275023</v>
      </c>
      <c r="M150" s="174">
        <v>2024</v>
      </c>
      <c r="N150" s="118">
        <f t="shared" si="12"/>
        <v>29.21500031853612</v>
      </c>
      <c r="O150" s="118">
        <f t="shared" si="13"/>
        <v>25.709200280311787</v>
      </c>
    </row>
    <row r="151" spans="1:15" x14ac:dyDescent="0.25">
      <c r="A151" s="30">
        <v>2025</v>
      </c>
      <c r="B151" s="16">
        <f t="shared" si="7"/>
        <v>910.35999681533724</v>
      </c>
      <c r="C151" s="16">
        <f t="shared" si="8"/>
        <v>517.88502794268402</v>
      </c>
      <c r="D151" s="16">
        <f t="shared" si="9"/>
        <v>494.71176005597727</v>
      </c>
      <c r="E151" s="4">
        <v>0</v>
      </c>
      <c r="F151" s="42">
        <v>0</v>
      </c>
      <c r="H151" s="30">
        <v>2025</v>
      </c>
      <c r="I151" s="16">
        <f t="shared" si="11"/>
        <v>51.788502794268396</v>
      </c>
      <c r="J151" s="16">
        <f t="shared" si="10"/>
        <v>49.471176005597727</v>
      </c>
      <c r="M151" s="174">
        <v>2025</v>
      </c>
      <c r="N151" s="118">
        <f t="shared" si="12"/>
        <v>29.789562922525644</v>
      </c>
      <c r="O151" s="118">
        <f t="shared" si="13"/>
        <v>26.214815371822567</v>
      </c>
    </row>
    <row r="152" spans="1:15" x14ac:dyDescent="0.25">
      <c r="A152" s="30">
        <v>2026</v>
      </c>
      <c r="B152" s="16">
        <f t="shared" si="7"/>
        <v>920.95528959803244</v>
      </c>
      <c r="C152" s="16">
        <f t="shared" si="8"/>
        <v>520.86723868524859</v>
      </c>
      <c r="D152" s="16">
        <f t="shared" si="9"/>
        <v>500.46949980637493</v>
      </c>
      <c r="E152" s="4">
        <v>0</v>
      </c>
      <c r="F152" s="42">
        <v>0</v>
      </c>
      <c r="H152" s="30">
        <v>2026</v>
      </c>
      <c r="I152" s="16">
        <f t="shared" si="11"/>
        <v>52.086723868524864</v>
      </c>
      <c r="J152" s="16">
        <f t="shared" si="10"/>
        <v>50.046949980637493</v>
      </c>
      <c r="M152" s="174">
        <v>2026</v>
      </c>
      <c r="N152" s="118">
        <f t="shared" si="12"/>
        <v>30.375425276037802</v>
      </c>
      <c r="O152" s="118">
        <f t="shared" si="13"/>
        <v>26.730374242913268</v>
      </c>
    </row>
    <row r="153" spans="1:15" x14ac:dyDescent="0.25">
      <c r="A153" s="30">
        <v>2027</v>
      </c>
      <c r="B153" s="16">
        <f t="shared" si="7"/>
        <v>931.66055377456212</v>
      </c>
      <c r="C153" s="16">
        <f t="shared" si="8"/>
        <v>523.82140584460103</v>
      </c>
      <c r="D153" s="16">
        <f t="shared" si="9"/>
        <v>506.28700068642456</v>
      </c>
      <c r="E153" s="4">
        <v>0</v>
      </c>
      <c r="F153" s="42">
        <v>0</v>
      </c>
      <c r="H153" s="30">
        <v>2027</v>
      </c>
      <c r="I153" s="16">
        <f t="shared" si="11"/>
        <v>52.382140584460103</v>
      </c>
      <c r="J153" s="16">
        <f t="shared" si="10"/>
        <v>50.628700068642452</v>
      </c>
      <c r="M153" s="174">
        <v>2027</v>
      </c>
      <c r="N153" s="118">
        <f t="shared" si="12"/>
        <v>30.972809607839991</v>
      </c>
      <c r="O153" s="118">
        <f t="shared" si="13"/>
        <v>27.256072454899194</v>
      </c>
    </row>
    <row r="154" spans="1:15" x14ac:dyDescent="0.25">
      <c r="A154" s="30">
        <v>2028</v>
      </c>
      <c r="B154" s="16">
        <f t="shared" si="7"/>
        <v>942.56150493421228</v>
      </c>
      <c r="C154" s="16">
        <f t="shared" si="8"/>
        <v>526.76911227621179</v>
      </c>
      <c r="D154" s="16">
        <f t="shared" si="9"/>
        <v>512.21084263174316</v>
      </c>
      <c r="E154" s="4">
        <v>0</v>
      </c>
      <c r="F154" s="42">
        <v>0</v>
      </c>
      <c r="H154" s="30">
        <v>2028</v>
      </c>
      <c r="I154" s="16">
        <f t="shared" si="11"/>
        <v>52.676911227621183</v>
      </c>
      <c r="J154" s="16">
        <f t="shared" si="10"/>
        <v>51.221084263174319</v>
      </c>
      <c r="M154" s="174">
        <v>2028</v>
      </c>
      <c r="N154" s="118">
        <f t="shared" si="12"/>
        <v>31.581942517205775</v>
      </c>
      <c r="O154" s="118">
        <f t="shared" si="13"/>
        <v>27.792109415141084</v>
      </c>
    </row>
    <row r="155" spans="1:15" x14ac:dyDescent="0.25">
      <c r="A155" s="30">
        <v>2029</v>
      </c>
      <c r="B155" s="16">
        <f t="shared" si="7"/>
        <v>953.54003278593848</v>
      </c>
      <c r="C155" s="16">
        <f t="shared" si="8"/>
        <v>529.67603889478141</v>
      </c>
      <c r="D155" s="16">
        <f t="shared" si="9"/>
        <v>518.17684163801619</v>
      </c>
      <c r="E155" s="4">
        <v>0</v>
      </c>
      <c r="F155" s="42">
        <v>0</v>
      </c>
      <c r="H155" s="30">
        <v>2029</v>
      </c>
      <c r="I155" s="16">
        <f t="shared" si="11"/>
        <v>52.967603889478141</v>
      </c>
      <c r="J155" s="16">
        <f t="shared" si="10"/>
        <v>51.817684163801616</v>
      </c>
      <c r="M155" s="174">
        <v>2029</v>
      </c>
      <c r="N155" s="118">
        <f t="shared" si="12"/>
        <v>32.203055059868326</v>
      </c>
      <c r="O155" s="118">
        <f t="shared" si="13"/>
        <v>28.338688452684128</v>
      </c>
    </row>
    <row r="156" spans="1:15" x14ac:dyDescent="0.25">
      <c r="A156" s="30">
        <v>2030</v>
      </c>
      <c r="B156" s="16">
        <f t="shared" si="7"/>
        <v>964.32653766760825</v>
      </c>
      <c r="C156" s="16">
        <f t="shared" si="8"/>
        <v>532.47125013718812</v>
      </c>
      <c r="D156" s="16">
        <f t="shared" si="9"/>
        <v>524.03849069281932</v>
      </c>
      <c r="E156" s="4">
        <v>0</v>
      </c>
      <c r="F156" s="42">
        <v>0</v>
      </c>
      <c r="H156" s="30">
        <v>2030</v>
      </c>
      <c r="I156" s="16">
        <f t="shared" si="11"/>
        <v>53.247125013718808</v>
      </c>
      <c r="J156" s="16">
        <f t="shared" si="10"/>
        <v>52.403849069281925</v>
      </c>
      <c r="M156" s="174">
        <v>2030</v>
      </c>
      <c r="N156" s="118">
        <f t="shared" si="12"/>
        <v>32.83638283566426</v>
      </c>
      <c r="O156" s="118">
        <f t="shared" si="13"/>
        <v>28.896016895384548</v>
      </c>
    </row>
    <row r="157" spans="1:15" x14ac:dyDescent="0.25">
      <c r="A157" s="30">
        <v>2031</v>
      </c>
      <c r="B157" s="16">
        <f t="shared" si="7"/>
        <v>975.74183080337741</v>
      </c>
      <c r="C157" s="16">
        <f t="shared" si="8"/>
        <v>535.36634030084804</v>
      </c>
      <c r="D157" s="16">
        <f t="shared" si="9"/>
        <v>530.2418385755326</v>
      </c>
      <c r="E157" s="4">
        <v>0</v>
      </c>
      <c r="F157" s="42">
        <v>0</v>
      </c>
      <c r="H157" s="30">
        <v>2031</v>
      </c>
      <c r="I157" s="16">
        <f t="shared" si="11"/>
        <v>53.536634030084805</v>
      </c>
      <c r="J157" s="16">
        <f t="shared" si="10"/>
        <v>53.024183857553261</v>
      </c>
      <c r="M157" s="174">
        <v>2031</v>
      </c>
      <c r="N157" s="118">
        <f t="shared" si="12"/>
        <v>33.482166077901155</v>
      </c>
      <c r="O157" s="118">
        <f t="shared" si="13"/>
        <v>29.464306148553014</v>
      </c>
    </row>
    <row r="158" spans="1:15" x14ac:dyDescent="0.25">
      <c r="A158" s="30">
        <v>2032</v>
      </c>
      <c r="B158" s="16">
        <f t="shared" si="7"/>
        <v>987.35570535002455</v>
      </c>
      <c r="C158" s="16">
        <f t="shared" si="8"/>
        <v>538.24418526355021</v>
      </c>
      <c r="D158" s="16">
        <f t="shared" si="9"/>
        <v>536.55310042594385</v>
      </c>
      <c r="E158" s="4">
        <v>0</v>
      </c>
      <c r="F158" s="42">
        <v>0</v>
      </c>
      <c r="H158" s="30">
        <v>2032</v>
      </c>
      <c r="I158" s="16">
        <f t="shared" si="11"/>
        <v>53.824418526355025</v>
      </c>
      <c r="J158" s="16">
        <f t="shared" si="10"/>
        <v>53.655310042594387</v>
      </c>
      <c r="M158" s="174">
        <v>2032</v>
      </c>
      <c r="N158" s="118">
        <f t="shared" si="12"/>
        <v>34.14064974448263</v>
      </c>
      <c r="O158" s="118">
        <f t="shared" si="13"/>
        <v>30.043771775144709</v>
      </c>
    </row>
    <row r="159" spans="1:15" x14ac:dyDescent="0.25">
      <c r="A159" s="30">
        <v>2033</v>
      </c>
      <c r="B159" s="16">
        <f t="shared" si="7"/>
        <v>999.11253402526847</v>
      </c>
      <c r="C159" s="16">
        <f t="shared" si="8"/>
        <v>541.08810448930103</v>
      </c>
      <c r="D159" s="16">
        <f t="shared" si="9"/>
        <v>542.94204702613843</v>
      </c>
      <c r="E159" s="4">
        <v>0</v>
      </c>
      <c r="F159" s="42">
        <v>0</v>
      </c>
      <c r="H159" s="30">
        <v>2033</v>
      </c>
      <c r="I159" s="16">
        <f t="shared" si="11"/>
        <v>54.1088104489301</v>
      </c>
      <c r="J159" s="16">
        <f t="shared" si="10"/>
        <v>54.294204702613847</v>
      </c>
      <c r="M159" s="174">
        <v>2033</v>
      </c>
      <c r="N159" s="118">
        <f t="shared" si="12"/>
        <v>34.812083610825546</v>
      </c>
      <c r="O159" s="118">
        <f t="shared" si="13"/>
        <v>30.634633577526472</v>
      </c>
    </row>
    <row r="160" spans="1:15" x14ac:dyDescent="0.25">
      <c r="A160" s="30">
        <v>2034</v>
      </c>
      <c r="B160" s="16">
        <f t="shared" si="7"/>
        <v>1010.9644900804456</v>
      </c>
      <c r="C160" s="16">
        <f t="shared" si="8"/>
        <v>543.88454840047007</v>
      </c>
      <c r="D160" s="16">
        <f t="shared" si="9"/>
        <v>549.38268815786</v>
      </c>
      <c r="E160" s="4">
        <v>0</v>
      </c>
      <c r="F160" s="42">
        <v>0</v>
      </c>
      <c r="H160" s="30">
        <v>2034</v>
      </c>
      <c r="I160" s="16">
        <f t="shared" si="11"/>
        <v>54.388454840047004</v>
      </c>
      <c r="J160" s="16">
        <f t="shared" si="10"/>
        <v>54.938268815785996</v>
      </c>
      <c r="M160" s="174">
        <v>2034</v>
      </c>
      <c r="N160" s="118">
        <f t="shared" si="12"/>
        <v>35.496722364604587</v>
      </c>
      <c r="O160" s="118">
        <f t="shared" si="13"/>
        <v>31.237115680852028</v>
      </c>
    </row>
    <row r="161" spans="1:15" x14ac:dyDescent="0.25">
      <c r="A161" s="49">
        <v>2035</v>
      </c>
      <c r="B161" s="16">
        <f t="shared" si="7"/>
        <v>1022.8892999705375</v>
      </c>
      <c r="C161" s="16">
        <f t="shared" si="8"/>
        <v>546.62697262047504</v>
      </c>
      <c r="D161" s="16">
        <f t="shared" si="9"/>
        <v>555.86291983510603</v>
      </c>
      <c r="E161" s="4">
        <v>0</v>
      </c>
      <c r="F161" s="42">
        <v>0</v>
      </c>
      <c r="H161" s="49">
        <v>2035</v>
      </c>
      <c r="I161" s="16">
        <f t="shared" ref="I161:I165" si="14">(C161+E161+F161)/1000*100</f>
        <v>54.662697262047502</v>
      </c>
      <c r="J161" s="16">
        <f t="shared" ref="J161:J165" si="15">(D161+E161+F161)/1000*100</f>
        <v>55.586291983510606</v>
      </c>
      <c r="M161" s="174">
        <v>2035</v>
      </c>
      <c r="N161" s="118">
        <f t="shared" si="12"/>
        <v>36.194825702360163</v>
      </c>
      <c r="O161" s="118">
        <f t="shared" si="13"/>
        <v>31.851446618076935</v>
      </c>
    </row>
    <row r="162" spans="1:15" x14ac:dyDescent="0.25">
      <c r="A162" s="49">
        <v>2036</v>
      </c>
      <c r="B162" s="16">
        <f t="shared" si="7"/>
        <v>1034.9547686991052</v>
      </c>
      <c r="C162" s="16">
        <f t="shared" si="8"/>
        <v>549.32953795796129</v>
      </c>
      <c r="D162" s="16">
        <f t="shared" si="9"/>
        <v>562.41958894566756</v>
      </c>
      <c r="E162" s="4">
        <v>0</v>
      </c>
      <c r="F162" s="42">
        <v>0</v>
      </c>
      <c r="H162" s="49">
        <v>2036</v>
      </c>
      <c r="I162" s="16">
        <f t="shared" si="14"/>
        <v>54.932953795796124</v>
      </c>
      <c r="J162" s="16">
        <f t="shared" si="15"/>
        <v>56.241958894566757</v>
      </c>
      <c r="M162" s="174">
        <v>2036</v>
      </c>
      <c r="N162" s="118">
        <f t="shared" si="12"/>
        <v>36.906658428006253</v>
      </c>
      <c r="O162" s="118">
        <f t="shared" si="13"/>
        <v>32.477859416645494</v>
      </c>
    </row>
    <row r="163" spans="1:15" x14ac:dyDescent="0.25">
      <c r="A163" s="49">
        <v>2037</v>
      </c>
      <c r="B163" s="16">
        <f t="shared" si="7"/>
        <v>1047.1625554044513</v>
      </c>
      <c r="C163" s="16">
        <f t="shared" si="8"/>
        <v>551.99035472974197</v>
      </c>
      <c r="D163" s="16">
        <f t="shared" si="9"/>
        <v>569.05359710564471</v>
      </c>
      <c r="E163" s="4">
        <v>0</v>
      </c>
      <c r="F163" s="42">
        <v>0</v>
      </c>
      <c r="H163" s="49">
        <v>2037</v>
      </c>
      <c r="I163" s="16">
        <f t="shared" si="14"/>
        <v>55.199035472974202</v>
      </c>
      <c r="J163" s="16">
        <f t="shared" si="15"/>
        <v>56.905359710564476</v>
      </c>
      <c r="M163" s="174">
        <v>2037</v>
      </c>
      <c r="N163" s="118">
        <f t="shared" si="12"/>
        <v>37.632490553275581</v>
      </c>
      <c r="O163" s="118">
        <f t="shared" si="13"/>
        <v>33.116591686882501</v>
      </c>
    </row>
    <row r="164" spans="1:15" x14ac:dyDescent="0.25">
      <c r="A164" s="49">
        <v>2038</v>
      </c>
      <c r="B164" s="16">
        <f t="shared" si="7"/>
        <v>1059.5143387952085</v>
      </c>
      <c r="C164" s="16">
        <f t="shared" si="8"/>
        <v>554.60748305621405</v>
      </c>
      <c r="D164" s="16">
        <f t="shared" si="9"/>
        <v>575.76585656613065</v>
      </c>
      <c r="E164" s="4">
        <v>0</v>
      </c>
      <c r="F164" s="42">
        <v>0</v>
      </c>
      <c r="H164" s="49">
        <v>2038</v>
      </c>
      <c r="I164" s="16">
        <f t="shared" si="14"/>
        <v>55.460748305621408</v>
      </c>
      <c r="J164" s="16">
        <f t="shared" si="15"/>
        <v>57.576585656613069</v>
      </c>
      <c r="M164" s="174">
        <v>2038</v>
      </c>
      <c r="N164" s="118">
        <f t="shared" si="12"/>
        <v>38.372597400140215</v>
      </c>
      <c r="O164" s="118">
        <f t="shared" si="13"/>
        <v>33.76788571212338</v>
      </c>
    </row>
    <row r="165" spans="1:15" x14ac:dyDescent="0.25">
      <c r="A165" s="49">
        <v>2039</v>
      </c>
      <c r="B165" s="16">
        <f t="shared" si="7"/>
        <v>1072.0118173811813</v>
      </c>
      <c r="C165" s="16">
        <f t="shared" si="8"/>
        <v>557.17893172064714</v>
      </c>
      <c r="D165" s="16">
        <f t="shared" si="9"/>
        <v>582.55729033865691</v>
      </c>
      <c r="E165" s="4">
        <v>0</v>
      </c>
      <c r="F165" s="42">
        <v>0</v>
      </c>
      <c r="H165" s="49">
        <v>2039</v>
      </c>
      <c r="I165" s="16">
        <f t="shared" si="14"/>
        <v>55.717893172064713</v>
      </c>
      <c r="J165" s="16">
        <f t="shared" si="15"/>
        <v>58.255729033865691</v>
      </c>
      <c r="M165" s="180">
        <v>2039</v>
      </c>
      <c r="N165" s="118">
        <f t="shared" si="12"/>
        <v>39.127259705246459</v>
      </c>
      <c r="O165" s="118">
        <f t="shared" si="13"/>
        <v>34.431988540616878</v>
      </c>
    </row>
    <row r="166" spans="1:15" s="41" customFormat="1" x14ac:dyDescent="0.25">
      <c r="A166" s="201">
        <v>2040</v>
      </c>
      <c r="B166" s="212">
        <f t="shared" si="7"/>
        <v>1084.6567097069103</v>
      </c>
      <c r="C166" s="212">
        <f t="shared" si="8"/>
        <v>559.70265700422999</v>
      </c>
      <c r="D166" s="212">
        <f t="shared" si="9"/>
        <v>589.4288323221175</v>
      </c>
      <c r="E166" s="213">
        <v>0</v>
      </c>
      <c r="F166" s="212">
        <v>0</v>
      </c>
      <c r="G166" s="211"/>
      <c r="H166" s="201">
        <v>2040</v>
      </c>
      <c r="I166" s="212">
        <f t="shared" ref="I166:I180" si="16">(C166+E166+F166)/1000*100</f>
        <v>55.970265700422992</v>
      </c>
      <c r="J166" s="212">
        <f t="shared" ref="J166:J180" si="17">(D166+E166+F166)/1000*100</f>
        <v>58.942883232211749</v>
      </c>
      <c r="M166" s="201">
        <v>2040</v>
      </c>
      <c r="N166" s="209">
        <f t="shared" si="12"/>
        <v>39.896763726403599</v>
      </c>
      <c r="O166" s="209">
        <f t="shared" si="13"/>
        <v>35.109152079235159</v>
      </c>
    </row>
    <row r="167" spans="1:15" s="41" customFormat="1" x14ac:dyDescent="0.25">
      <c r="A167" s="201">
        <v>2041</v>
      </c>
      <c r="B167" s="212">
        <f t="shared" si="7"/>
        <v>1097.4507545879906</v>
      </c>
      <c r="C167" s="212">
        <f t="shared" si="8"/>
        <v>562.17656149637889</v>
      </c>
      <c r="D167" s="212">
        <f t="shared" si="9"/>
        <v>596.3814274311909</v>
      </c>
      <c r="E167" s="213">
        <v>0</v>
      </c>
      <c r="F167" s="212">
        <v>0</v>
      </c>
      <c r="G167" s="211"/>
      <c r="H167" s="201">
        <v>2041</v>
      </c>
      <c r="I167" s="212">
        <f t="shared" si="16"/>
        <v>56.217656149637882</v>
      </c>
      <c r="J167" s="212">
        <f t="shared" si="17"/>
        <v>59.63814274311909</v>
      </c>
      <c r="M167" s="201">
        <v>2041</v>
      </c>
      <c r="N167" s="209">
        <f t="shared" si="12"/>
        <v>40.681401351166961</v>
      </c>
      <c r="O167" s="209">
        <f t="shared" si="13"/>
        <v>35.79963318902692</v>
      </c>
    </row>
    <row r="168" spans="1:15" s="41" customFormat="1" x14ac:dyDescent="0.25">
      <c r="A168" s="182">
        <v>2042</v>
      </c>
      <c r="B168" s="206">
        <f t="shared" si="7"/>
        <v>1110.3957113501795</v>
      </c>
      <c r="C168" s="206">
        <f t="shared" si="8"/>
        <v>564.59849287979978</v>
      </c>
      <c r="D168" s="206">
        <f t="shared" si="9"/>
        <v>603.41603172627629</v>
      </c>
      <c r="E168" s="207">
        <v>0</v>
      </c>
      <c r="F168" s="206">
        <v>0</v>
      </c>
      <c r="H168" s="208">
        <v>2042</v>
      </c>
      <c r="I168" s="206">
        <f t="shared" si="16"/>
        <v>56.459849287979978</v>
      </c>
      <c r="J168" s="206">
        <f t="shared" si="17"/>
        <v>60.341603172627636</v>
      </c>
      <c r="M168" s="201">
        <v>2042</v>
      </c>
      <c r="N168" s="209">
        <f t="shared" si="12"/>
        <v>41.481470207556434</v>
      </c>
      <c r="O168" s="209">
        <f t="shared" si="13"/>
        <v>36.503693782649655</v>
      </c>
    </row>
    <row r="169" spans="1:15" s="41" customFormat="1" x14ac:dyDescent="0.25">
      <c r="A169" s="182">
        <v>2043</v>
      </c>
      <c r="B169" s="206">
        <f t="shared" si="7"/>
        <v>1123.4933600713237</v>
      </c>
      <c r="C169" s="206">
        <f t="shared" si="8"/>
        <v>566.96624268978576</v>
      </c>
      <c r="D169" s="206">
        <f t="shared" si="9"/>
        <v>610.53361254496258</v>
      </c>
      <c r="E169" s="207">
        <v>0</v>
      </c>
      <c r="F169" s="206">
        <v>0</v>
      </c>
      <c r="H169" s="208">
        <v>2043</v>
      </c>
      <c r="I169" s="206">
        <f t="shared" si="16"/>
        <v>56.696624268978582</v>
      </c>
      <c r="J169" s="206">
        <f t="shared" si="17"/>
        <v>61.053361254496266</v>
      </c>
      <c r="M169" s="201">
        <v>2043</v>
      </c>
      <c r="N169" s="209">
        <f t="shared" si="12"/>
        <v>42.297273776952444</v>
      </c>
      <c r="O169" s="209">
        <f t="shared" si="13"/>
        <v>37.22160092371815</v>
      </c>
    </row>
    <row r="170" spans="1:15" s="41" customFormat="1" x14ac:dyDescent="0.25">
      <c r="A170" s="182">
        <v>2044</v>
      </c>
      <c r="B170" s="206">
        <f t="shared" si="7"/>
        <v>1136.7455018261396</v>
      </c>
      <c r="C170" s="206">
        <f t="shared" si="8"/>
        <v>569.27754504721986</v>
      </c>
      <c r="D170" s="206">
        <f t="shared" si="9"/>
        <v>617.73514863504863</v>
      </c>
      <c r="E170" s="207">
        <v>0</v>
      </c>
      <c r="F170" s="206">
        <v>0</v>
      </c>
      <c r="H170" s="208">
        <v>2044</v>
      </c>
      <c r="I170" s="206">
        <f t="shared" si="16"/>
        <v>56.927754504721982</v>
      </c>
      <c r="J170" s="206">
        <f t="shared" si="17"/>
        <v>61.773514863504865</v>
      </c>
      <c r="M170" s="201">
        <v>2044</v>
      </c>
      <c r="N170" s="209">
        <f t="shared" si="12"/>
        <v>43.12912150921224</v>
      </c>
      <c r="O170" s="209">
        <f t="shared" si="13"/>
        <v>37.953626928106772</v>
      </c>
    </row>
    <row r="171" spans="1:15" s="41" customFormat="1" x14ac:dyDescent="0.25">
      <c r="A171" s="182">
        <v>2045</v>
      </c>
      <c r="B171" s="206">
        <f t="shared" si="7"/>
        <v>1150.1539589338818</v>
      </c>
      <c r="C171" s="206">
        <f t="shared" si="8"/>
        <v>571.53007536474558</v>
      </c>
      <c r="D171" s="206">
        <f t="shared" si="9"/>
        <v>625.02163028913174</v>
      </c>
      <c r="E171" s="207">
        <v>0</v>
      </c>
      <c r="F171" s="206">
        <v>0</v>
      </c>
      <c r="H171" s="208">
        <v>2045</v>
      </c>
      <c r="I171" s="206">
        <f t="shared" si="16"/>
        <v>57.153007536474554</v>
      </c>
      <c r="J171" s="206">
        <f t="shared" si="17"/>
        <v>62.502163028913174</v>
      </c>
      <c r="M171" s="201">
        <v>2045</v>
      </c>
      <c r="N171" s="209">
        <f t="shared" si="12"/>
        <v>43.977328940050121</v>
      </c>
      <c r="O171" s="209">
        <f t="shared" si="13"/>
        <v>38.700049467244114</v>
      </c>
    </row>
    <row r="172" spans="1:15" s="41" customFormat="1" x14ac:dyDescent="0.25">
      <c r="A172" s="182">
        <v>2046</v>
      </c>
      <c r="B172" s="206">
        <f t="shared" si="7"/>
        <v>1163.7205752089319</v>
      </c>
      <c r="C172" s="206">
        <f t="shared" si="8"/>
        <v>573.72144902555442</v>
      </c>
      <c r="D172" s="206">
        <f t="shared" si="9"/>
        <v>632.39405948078434</v>
      </c>
      <c r="E172" s="207">
        <v>0</v>
      </c>
      <c r="F172" s="206">
        <v>0</v>
      </c>
      <c r="H172" s="208">
        <v>2046</v>
      </c>
      <c r="I172" s="206">
        <f t="shared" si="16"/>
        <v>57.372144902555448</v>
      </c>
      <c r="J172" s="206">
        <f t="shared" si="17"/>
        <v>63.239405948078428</v>
      </c>
      <c r="M172" s="201">
        <v>2046</v>
      </c>
      <c r="N172" s="209">
        <f t="shared" si="12"/>
        <v>44.842217810726169</v>
      </c>
      <c r="O172" s="209">
        <f t="shared" si="13"/>
        <v>39.461151673439034</v>
      </c>
    </row>
    <row r="173" spans="1:15" s="41" customFormat="1" x14ac:dyDescent="0.25">
      <c r="A173" s="182">
        <v>2047</v>
      </c>
      <c r="B173" s="206">
        <f t="shared" si="7"/>
        <v>1177.4472162143452</v>
      </c>
      <c r="C173" s="206">
        <f t="shared" si="8"/>
        <v>575.84922003422935</v>
      </c>
      <c r="D173" s="206">
        <f t="shared" si="9"/>
        <v>639.85345000233656</v>
      </c>
      <c r="E173" s="207">
        <v>0</v>
      </c>
      <c r="F173" s="206">
        <v>0</v>
      </c>
      <c r="H173" s="208">
        <v>2047</v>
      </c>
      <c r="I173" s="206">
        <f t="shared" si="16"/>
        <v>57.584922003422932</v>
      </c>
      <c r="J173" s="206">
        <f t="shared" si="17"/>
        <v>63.98534500023365</v>
      </c>
      <c r="M173" s="201">
        <v>2047</v>
      </c>
      <c r="N173" s="209">
        <f t="shared" si="12"/>
        <v>45.724116190088814</v>
      </c>
      <c r="O173" s="209">
        <f t="shared" si="13"/>
        <v>40.237222247278162</v>
      </c>
    </row>
    <row r="174" spans="1:15" s="41" customFormat="1" x14ac:dyDescent="0.25">
      <c r="A174" s="182">
        <v>2048</v>
      </c>
      <c r="B174" s="206">
        <f t="shared" si="7"/>
        <v>1191.3357695183854</v>
      </c>
      <c r="C174" s="206">
        <f t="shared" si="8"/>
        <v>577.91087963907</v>
      </c>
      <c r="D174" s="206">
        <f t="shared" si="9"/>
        <v>647.40082760428402</v>
      </c>
      <c r="E174" s="207">
        <v>0</v>
      </c>
      <c r="F174" s="206">
        <v>0</v>
      </c>
      <c r="H174" s="208">
        <v>2048</v>
      </c>
      <c r="I174" s="206">
        <f t="shared" si="16"/>
        <v>57.791087963906996</v>
      </c>
      <c r="J174" s="206">
        <f t="shared" si="17"/>
        <v>64.740082760428393</v>
      </c>
      <c r="M174" s="201">
        <v>2048</v>
      </c>
      <c r="N174" s="209">
        <f t="shared" si="12"/>
        <v>46.623358599017642</v>
      </c>
      <c r="O174" s="209">
        <f t="shared" si="13"/>
        <v>41.028555567135534</v>
      </c>
    </row>
    <row r="175" spans="1:15" s="41" customFormat="1" x14ac:dyDescent="0.25">
      <c r="A175" s="182">
        <v>2049</v>
      </c>
      <c r="B175" s="206">
        <f t="shared" si="7"/>
        <v>1205.3881449540872</v>
      </c>
      <c r="C175" s="206">
        <f t="shared" si="8"/>
        <v>579.90385492531755</v>
      </c>
      <c r="D175" s="206">
        <f t="shared" si="9"/>
        <v>655.03723013634033</v>
      </c>
      <c r="E175" s="207">
        <v>0</v>
      </c>
      <c r="F175" s="206">
        <v>0</v>
      </c>
      <c r="H175" s="208">
        <v>2049</v>
      </c>
      <c r="I175" s="206">
        <f t="shared" si="16"/>
        <v>57.990385492531757</v>
      </c>
      <c r="J175" s="206">
        <f t="shared" si="17"/>
        <v>65.50372301363403</v>
      </c>
      <c r="M175" s="201">
        <v>2049</v>
      </c>
      <c r="N175" s="209">
        <f t="shared" si="12"/>
        <v>47.540286137313529</v>
      </c>
      <c r="O175" s="209">
        <f t="shared" si="13"/>
        <v>41.835451800835912</v>
      </c>
    </row>
    <row r="176" spans="1:15" s="41" customFormat="1" x14ac:dyDescent="0.25">
      <c r="A176" s="182">
        <v>2050</v>
      </c>
      <c r="B176" s="206">
        <f t="shared" si="7"/>
        <v>1219.6062748818797</v>
      </c>
      <c r="C176" s="206">
        <f t="shared" si="8"/>
        <v>581.82550737868246</v>
      </c>
      <c r="D176" s="206">
        <f t="shared" si="9"/>
        <v>662.76370769015307</v>
      </c>
      <c r="E176" s="207">
        <v>0</v>
      </c>
      <c r="F176" s="206">
        <v>0</v>
      </c>
      <c r="H176" s="208">
        <v>2050</v>
      </c>
      <c r="I176" s="206">
        <f t="shared" si="16"/>
        <v>58.18255073786824</v>
      </c>
      <c r="J176" s="206">
        <f t="shared" si="17"/>
        <v>66.276370769015301</v>
      </c>
      <c r="M176" s="201">
        <v>2050</v>
      </c>
      <c r="N176" s="209">
        <f t="shared" si="12"/>
        <v>48.475246613084302</v>
      </c>
      <c r="O176" s="209">
        <f t="shared" si="13"/>
        <v>42.658217019514197</v>
      </c>
    </row>
    <row r="177" spans="1:15" s="41" customFormat="1" x14ac:dyDescent="0.25">
      <c r="A177" s="182">
        <v>2051</v>
      </c>
      <c r="B177" s="206">
        <f t="shared" si="7"/>
        <v>1233.9921144553077</v>
      </c>
      <c r="C177" s="206">
        <f t="shared" si="8"/>
        <v>583.67313141856687</v>
      </c>
      <c r="D177" s="206">
        <f t="shared" si="9"/>
        <v>670.58132274370325</v>
      </c>
      <c r="E177" s="207">
        <v>0</v>
      </c>
      <c r="F177" s="206">
        <v>0</v>
      </c>
      <c r="H177" s="208">
        <v>2051</v>
      </c>
      <c r="I177" s="206">
        <f t="shared" si="16"/>
        <v>58.367313141856691</v>
      </c>
      <c r="J177" s="206">
        <f t="shared" si="17"/>
        <v>67.058132274370337</v>
      </c>
      <c r="M177" s="201">
        <v>2051</v>
      </c>
      <c r="N177" s="209">
        <f t="shared" si="12"/>
        <v>49.428594674674997</v>
      </c>
      <c r="O177" s="209">
        <f t="shared" si="13"/>
        <v>43.497163313714012</v>
      </c>
    </row>
    <row r="178" spans="1:15" s="41" customFormat="1" x14ac:dyDescent="0.25">
      <c r="A178" s="182">
        <v>2052</v>
      </c>
      <c r="B178" s="206">
        <f t="shared" si="7"/>
        <v>1248.5476418898879</v>
      </c>
      <c r="C178" s="206">
        <f t="shared" si="8"/>
        <v>585.44395290036266</v>
      </c>
      <c r="D178" s="206">
        <f t="shared" si="9"/>
        <v>678.49115030740813</v>
      </c>
      <c r="E178" s="207">
        <v>0</v>
      </c>
      <c r="F178" s="206">
        <v>0</v>
      </c>
      <c r="H178" s="208">
        <v>2052</v>
      </c>
      <c r="I178" s="206">
        <f t="shared" si="16"/>
        <v>58.544395290036263</v>
      </c>
      <c r="J178" s="206">
        <f t="shared" si="17"/>
        <v>67.849115030740819</v>
      </c>
      <c r="M178" s="201">
        <v>2052</v>
      </c>
      <c r="N178" s="209">
        <f t="shared" si="12"/>
        <v>50.40069194519274</v>
      </c>
      <c r="O178" s="209">
        <f t="shared" si="13"/>
        <v>44.352608911769622</v>
      </c>
    </row>
    <row r="179" spans="1:15" s="41" customFormat="1" x14ac:dyDescent="0.25">
      <c r="A179" s="182">
        <v>2053</v>
      </c>
      <c r="B179" s="206">
        <f t="shared" si="7"/>
        <v>1263.2748587351352</v>
      </c>
      <c r="C179" s="206">
        <f t="shared" si="8"/>
        <v>587.13512758619061</v>
      </c>
      <c r="D179" s="206">
        <f t="shared" si="9"/>
        <v>686.49427807194695</v>
      </c>
      <c r="E179" s="207">
        <v>0</v>
      </c>
      <c r="F179" s="206">
        <v>0</v>
      </c>
      <c r="H179" s="208">
        <v>2053</v>
      </c>
      <c r="I179" s="206">
        <f t="shared" si="16"/>
        <v>58.713512758619061</v>
      </c>
      <c r="J179" s="206">
        <f t="shared" si="17"/>
        <v>68.649427807194698</v>
      </c>
      <c r="M179" s="201">
        <v>2053</v>
      </c>
      <c r="N179" s="209">
        <f t="shared" si="12"/>
        <v>51.391907159677281</v>
      </c>
      <c r="O179" s="209">
        <f t="shared" si="13"/>
        <v>45.224878300516018</v>
      </c>
    </row>
    <row r="180" spans="1:15" s="41" customFormat="1" x14ac:dyDescent="0.25">
      <c r="A180" s="182">
        <v>2054</v>
      </c>
      <c r="B180" s="206">
        <f t="shared" si="7"/>
        <v>1278.175790149799</v>
      </c>
      <c r="C180" s="206">
        <f t="shared" si="8"/>
        <v>588.74373958343767</v>
      </c>
      <c r="D180" s="206">
        <f t="shared" si="9"/>
        <v>694.59180655783132</v>
      </c>
      <c r="E180" s="207">
        <v>0</v>
      </c>
      <c r="F180" s="206">
        <v>0</v>
      </c>
      <c r="H180" s="208">
        <v>2054</v>
      </c>
      <c r="I180" s="206">
        <f t="shared" si="16"/>
        <v>58.87437395834376</v>
      </c>
      <c r="J180" s="206">
        <f t="shared" si="17"/>
        <v>69.459180655783143</v>
      </c>
      <c r="M180" s="201">
        <v>2054</v>
      </c>
      <c r="N180" s="209">
        <f t="shared" si="12"/>
        <v>52.402616304969243</v>
      </c>
      <c r="O180" s="209">
        <f t="shared" si="13"/>
        <v>46.114302348372945</v>
      </c>
    </row>
    <row r="181" spans="1:15" s="41" customFormat="1" x14ac:dyDescent="0.25">
      <c r="A181" s="41" t="s">
        <v>161</v>
      </c>
      <c r="B181" s="82"/>
      <c r="C181" s="82"/>
      <c r="D181" s="82"/>
      <c r="E181" s="210"/>
      <c r="F181" s="82"/>
      <c r="H181" s="187"/>
      <c r="I181" s="82"/>
      <c r="J181" s="82"/>
      <c r="M181" s="211" t="s">
        <v>158</v>
      </c>
    </row>
    <row r="182" spans="1:15" s="41" customFormat="1" x14ac:dyDescent="0.25">
      <c r="A182" s="41" t="s">
        <v>180</v>
      </c>
      <c r="B182" s="82"/>
      <c r="C182" s="82"/>
      <c r="D182" s="82"/>
      <c r="E182" s="210"/>
      <c r="F182" s="82"/>
      <c r="H182" s="187"/>
      <c r="I182" s="82"/>
      <c r="J182" s="82"/>
      <c r="M182" s="211" t="s">
        <v>181</v>
      </c>
    </row>
    <row r="184" spans="1:15" s="21" customFormat="1" ht="17.25" x14ac:dyDescent="0.3">
      <c r="A184" s="21" t="s">
        <v>33</v>
      </c>
    </row>
    <row r="185" spans="1:15" x14ac:dyDescent="0.25">
      <c r="E185" t="s">
        <v>196</v>
      </c>
      <c r="G185" s="12" t="str">
        <f>ValgtElpris</f>
        <v>BF15 forløb A, (løbende priser)</v>
      </c>
    </row>
    <row r="186" spans="1:15" x14ac:dyDescent="0.25">
      <c r="A186" s="1" t="s">
        <v>5</v>
      </c>
      <c r="E186" s="1" t="s">
        <v>197</v>
      </c>
      <c r="H186" s="12"/>
      <c r="K186" s="13"/>
      <c r="L186" s="12"/>
    </row>
    <row r="187" spans="1:15" ht="60" x14ac:dyDescent="0.25">
      <c r="A187" s="35" t="s">
        <v>6</v>
      </c>
      <c r="B187" s="8" t="s">
        <v>5</v>
      </c>
      <c r="E187" s="240" t="s">
        <v>178</v>
      </c>
      <c r="F187" s="24" t="s">
        <v>101</v>
      </c>
      <c r="G187" s="24" t="s">
        <v>102</v>
      </c>
      <c r="H187" s="24" t="s">
        <v>112</v>
      </c>
      <c r="K187" s="11"/>
      <c r="L187" s="8" t="s">
        <v>198</v>
      </c>
    </row>
    <row r="188" spans="1:15" x14ac:dyDescent="0.25">
      <c r="A188" s="11">
        <v>2015</v>
      </c>
      <c r="B188" s="14">
        <v>87.8</v>
      </c>
      <c r="E188" s="233">
        <v>2015</v>
      </c>
      <c r="F188" s="14"/>
      <c r="G188" s="14"/>
      <c r="H188" s="14"/>
      <c r="K188" s="11">
        <v>2015</v>
      </c>
      <c r="L188" s="83"/>
      <c r="N188">
        <v>2</v>
      </c>
    </row>
    <row r="189" spans="1:15" x14ac:dyDescent="0.25">
      <c r="A189" s="11">
        <v>2016</v>
      </c>
      <c r="B189" s="14">
        <v>88.5</v>
      </c>
      <c r="E189" s="233">
        <v>2016</v>
      </c>
      <c r="F189" s="83">
        <v>23.726726961558775</v>
      </c>
      <c r="G189" s="83">
        <v>23.73672817943719</v>
      </c>
      <c r="H189" s="83">
        <v>23.726726961558775</v>
      </c>
      <c r="K189" s="11">
        <v>2016</v>
      </c>
      <c r="L189" s="83">
        <f t="shared" ref="L189:L227" si="18">HLOOKUP(ValgtElpris,$F$187:$H$227,N189,FALSE)</f>
        <v>23.726726961558775</v>
      </c>
      <c r="N189">
        <f>N188+1</f>
        <v>3</v>
      </c>
    </row>
    <row r="190" spans="1:15" x14ac:dyDescent="0.25">
      <c r="A190" s="11">
        <v>2017</v>
      </c>
      <c r="B190" s="15">
        <f t="shared" ref="B190:B227" si="19">B189*(1+C20)</f>
        <v>89.860974496477951</v>
      </c>
      <c r="C190" s="69"/>
      <c r="E190" s="233">
        <v>2017</v>
      </c>
      <c r="F190" s="83">
        <v>21.26312369732414</v>
      </c>
      <c r="G190" s="83">
        <v>22.159972940811592</v>
      </c>
      <c r="H190" s="83">
        <v>21.400291829549104</v>
      </c>
      <c r="K190" s="11">
        <v>2017</v>
      </c>
      <c r="L190" s="83">
        <f t="shared" si="18"/>
        <v>21.26312369732414</v>
      </c>
      <c r="N190">
        <f t="shared" ref="N190:N227" si="20">N189+1</f>
        <v>4</v>
      </c>
    </row>
    <row r="191" spans="1:15" x14ac:dyDescent="0.25">
      <c r="A191" s="11">
        <v>2018</v>
      </c>
      <c r="B191" s="15">
        <f t="shared" si="19"/>
        <v>91.94225216323936</v>
      </c>
      <c r="C191" s="69"/>
      <c r="E191" s="233">
        <v>2018</v>
      </c>
      <c r="F191" s="83">
        <v>20.631835709002207</v>
      </c>
      <c r="G191" s="83">
        <v>21.618084384782794</v>
      </c>
      <c r="H191" s="83">
        <v>20.547296065828306</v>
      </c>
      <c r="K191" s="11">
        <v>2018</v>
      </c>
      <c r="L191" s="83">
        <f t="shared" si="18"/>
        <v>20.631835709002207</v>
      </c>
      <c r="N191">
        <f t="shared" si="20"/>
        <v>5</v>
      </c>
    </row>
    <row r="192" spans="1:15" x14ac:dyDescent="0.25">
      <c r="A192" s="11">
        <v>2019</v>
      </c>
      <c r="B192" s="15">
        <f t="shared" si="19"/>
        <v>93.805399581813774</v>
      </c>
      <c r="C192" s="69"/>
      <c r="E192" s="233">
        <v>2019</v>
      </c>
      <c r="F192" s="83">
        <v>17.386932337127654</v>
      </c>
      <c r="G192" s="83">
        <v>18.641460893896426</v>
      </c>
      <c r="H192" s="83">
        <v>17.443256608548406</v>
      </c>
      <c r="K192" s="11">
        <v>2019</v>
      </c>
      <c r="L192" s="83">
        <f t="shared" si="18"/>
        <v>17.386932337127654</v>
      </c>
      <c r="N192">
        <f t="shared" si="20"/>
        <v>6</v>
      </c>
    </row>
    <row r="193" spans="1:14" x14ac:dyDescent="0.25">
      <c r="A193" s="11">
        <v>2020</v>
      </c>
      <c r="B193" s="15">
        <f t="shared" si="19"/>
        <v>95.888881308503656</v>
      </c>
      <c r="C193" s="69"/>
      <c r="E193" s="233">
        <v>2020</v>
      </c>
      <c r="F193" s="83">
        <v>18.630989735344716</v>
      </c>
      <c r="G193" s="83">
        <v>20.045769346681737</v>
      </c>
      <c r="H193" s="83">
        <v>18.752232802919426</v>
      </c>
      <c r="K193" s="11">
        <v>2020</v>
      </c>
      <c r="L193" s="83">
        <f t="shared" si="18"/>
        <v>18.630989735344716</v>
      </c>
      <c r="N193">
        <f t="shared" si="20"/>
        <v>7</v>
      </c>
    </row>
    <row r="194" spans="1:14" x14ac:dyDescent="0.25">
      <c r="A194" s="11">
        <v>2021</v>
      </c>
      <c r="B194" s="15">
        <f t="shared" si="19"/>
        <v>97.742106898315029</v>
      </c>
      <c r="C194" s="69"/>
      <c r="E194" s="233">
        <v>2021</v>
      </c>
      <c r="F194" s="83">
        <v>23.224495345202406</v>
      </c>
      <c r="G194" s="83">
        <v>24.4905181406032</v>
      </c>
      <c r="H194" s="83">
        <v>23.238158279300666</v>
      </c>
      <c r="K194" s="11">
        <v>2021</v>
      </c>
      <c r="L194" s="83">
        <f t="shared" si="18"/>
        <v>23.224495345202406</v>
      </c>
      <c r="N194">
        <f t="shared" si="20"/>
        <v>8</v>
      </c>
    </row>
    <row r="195" spans="1:14" x14ac:dyDescent="0.25">
      <c r="A195" s="11">
        <v>2022</v>
      </c>
      <c r="B195" s="15">
        <f t="shared" si="19"/>
        <v>99.647457095295195</v>
      </c>
      <c r="E195" s="233">
        <v>2022</v>
      </c>
      <c r="F195" s="83">
        <v>22.893101583754806</v>
      </c>
      <c r="G195" s="83">
        <v>24.612229678452021</v>
      </c>
      <c r="H195" s="83">
        <v>23.114847899159088</v>
      </c>
      <c r="K195" s="11">
        <v>2022</v>
      </c>
      <c r="L195" s="83">
        <f t="shared" si="18"/>
        <v>22.893101583754806</v>
      </c>
      <c r="N195">
        <f t="shared" si="20"/>
        <v>9</v>
      </c>
    </row>
    <row r="196" spans="1:14" x14ac:dyDescent="0.25">
      <c r="A196" s="11">
        <v>2023</v>
      </c>
      <c r="B196" s="15">
        <f t="shared" si="19"/>
        <v>101.60373485009424</v>
      </c>
      <c r="E196" s="233">
        <v>2023</v>
      </c>
      <c r="F196" s="83">
        <v>20.937204606395873</v>
      </c>
      <c r="G196" s="83">
        <v>22.909585140148522</v>
      </c>
      <c r="H196" s="83">
        <v>21.279814341988203</v>
      </c>
      <c r="K196" s="11">
        <v>2023</v>
      </c>
      <c r="L196" s="83">
        <f t="shared" si="18"/>
        <v>20.937204606395873</v>
      </c>
      <c r="N196">
        <f t="shared" si="20"/>
        <v>10</v>
      </c>
    </row>
    <row r="197" spans="1:14" x14ac:dyDescent="0.25">
      <c r="A197" s="11">
        <v>2024</v>
      </c>
      <c r="B197" s="15">
        <f t="shared" si="19"/>
        <v>103.57897657191371</v>
      </c>
      <c r="E197" s="233">
        <v>2024</v>
      </c>
      <c r="F197" s="83">
        <v>18.423286661984779</v>
      </c>
      <c r="G197" s="83">
        <v>20.234603014620763</v>
      </c>
      <c r="H197" s="83">
        <v>18.789621262273748</v>
      </c>
      <c r="K197" s="11">
        <v>2024</v>
      </c>
      <c r="L197" s="83">
        <f t="shared" si="18"/>
        <v>18.423286661984779</v>
      </c>
      <c r="N197">
        <f t="shared" si="20"/>
        <v>11</v>
      </c>
    </row>
    <row r="198" spans="1:14" x14ac:dyDescent="0.25">
      <c r="A198" s="11">
        <v>2025</v>
      </c>
      <c r="B198" s="15">
        <f t="shared" si="19"/>
        <v>105.5882240813265</v>
      </c>
      <c r="E198" s="233">
        <v>2025</v>
      </c>
      <c r="F198" s="83">
        <v>16.415616352467151</v>
      </c>
      <c r="G198" s="83">
        <v>19.096191997222935</v>
      </c>
      <c r="H198" s="83">
        <v>17.013842532195625</v>
      </c>
      <c r="K198" s="11">
        <v>2025</v>
      </c>
      <c r="L198" s="83">
        <f t="shared" si="18"/>
        <v>16.415616352467151</v>
      </c>
      <c r="N198">
        <f t="shared" si="20"/>
        <v>12</v>
      </c>
    </row>
    <row r="199" spans="1:14" x14ac:dyDescent="0.25">
      <c r="A199" s="11">
        <v>2026</v>
      </c>
      <c r="B199" s="15">
        <f t="shared" si="19"/>
        <v>107.63638479514685</v>
      </c>
      <c r="E199" s="233">
        <v>2026</v>
      </c>
      <c r="F199" s="9">
        <f>F198*(1+C29)</f>
        <v>16.734040313082055</v>
      </c>
      <c r="G199" s="9">
        <f>G198*(1+C29)</f>
        <v>19.46661275742208</v>
      </c>
      <c r="H199" s="9">
        <f>H198*(1+C29)</f>
        <v>17.343870659562636</v>
      </c>
      <c r="K199" s="11">
        <v>2026</v>
      </c>
      <c r="L199" s="83">
        <f t="shared" si="18"/>
        <v>16.734040313082055</v>
      </c>
      <c r="N199">
        <f t="shared" si="20"/>
        <v>13</v>
      </c>
    </row>
    <row r="200" spans="1:14" x14ac:dyDescent="0.25">
      <c r="A200" s="11">
        <v>2027</v>
      </c>
      <c r="B200" s="15">
        <f t="shared" si="19"/>
        <v>109.7216759184933</v>
      </c>
      <c r="E200" s="233">
        <v>2027</v>
      </c>
      <c r="F200" s="9">
        <f t="shared" ref="F200:F227" si="21">F199*(1+C30)</f>
        <v>17.058236873464534</v>
      </c>
      <c r="G200" s="9">
        <f t="shared" ref="G200:G226" si="22">G199*(1+C30)</f>
        <v>19.843748749697671</v>
      </c>
      <c r="H200" s="9">
        <f t="shared" ref="H200:H226" si="23">H199*(1+C30)</f>
        <v>17.679881754692669</v>
      </c>
      <c r="K200" s="11">
        <v>2027</v>
      </c>
      <c r="L200" s="83">
        <f t="shared" si="18"/>
        <v>17.058236873464534</v>
      </c>
      <c r="N200">
        <f t="shared" si="20"/>
        <v>14</v>
      </c>
    </row>
    <row r="201" spans="1:14" x14ac:dyDescent="0.25">
      <c r="A201" s="11">
        <v>2028</v>
      </c>
      <c r="B201" s="15">
        <f t="shared" si="19"/>
        <v>111.86135119238403</v>
      </c>
      <c r="E201" s="233">
        <v>2028</v>
      </c>
      <c r="F201" s="9">
        <f t="shared" si="21"/>
        <v>17.390888442525842</v>
      </c>
      <c r="G201" s="9">
        <f t="shared" si="22"/>
        <v>20.230720404893393</v>
      </c>
      <c r="H201" s="9">
        <f t="shared" si="23"/>
        <v>18.024655980196929</v>
      </c>
      <c r="K201" s="11">
        <v>2028</v>
      </c>
      <c r="L201" s="83">
        <f t="shared" si="18"/>
        <v>17.390888442525842</v>
      </c>
      <c r="N201">
        <f t="shared" si="20"/>
        <v>15</v>
      </c>
    </row>
    <row r="202" spans="1:14" x14ac:dyDescent="0.25">
      <c r="A202" s="11">
        <v>2029</v>
      </c>
      <c r="B202" s="15">
        <f t="shared" si="19"/>
        <v>114.03286812287695</v>
      </c>
      <c r="E202" s="233">
        <v>2029</v>
      </c>
      <c r="F202" s="9">
        <f t="shared" si="21"/>
        <v>17.72849037819627</v>
      </c>
      <c r="G202" s="9">
        <f t="shared" si="22"/>
        <v>20.623450793065974</v>
      </c>
      <c r="H202" s="9">
        <f t="shared" si="23"/>
        <v>18.374560976069827</v>
      </c>
      <c r="K202" s="11">
        <v>2029</v>
      </c>
      <c r="L202" s="83">
        <f t="shared" si="18"/>
        <v>17.72849037819627</v>
      </c>
      <c r="N202">
        <f t="shared" si="20"/>
        <v>16</v>
      </c>
    </row>
    <row r="203" spans="1:14" x14ac:dyDescent="0.25">
      <c r="A203" s="11">
        <v>2030</v>
      </c>
      <c r="B203" s="15">
        <f t="shared" si="19"/>
        <v>116.18277976158831</v>
      </c>
      <c r="E203" s="233">
        <v>2030</v>
      </c>
      <c r="F203" s="9">
        <f t="shared" si="21"/>
        <v>18.062733376976198</v>
      </c>
      <c r="G203" s="9">
        <f t="shared" si="22"/>
        <v>21.01227374929142</v>
      </c>
      <c r="H203" s="9">
        <f t="shared" si="23"/>
        <v>18.720984626978058</v>
      </c>
      <c r="K203" s="11">
        <v>2030</v>
      </c>
      <c r="L203" s="83">
        <f t="shared" si="18"/>
        <v>18.062733376976198</v>
      </c>
      <c r="N203">
        <f t="shared" si="20"/>
        <v>17</v>
      </c>
    </row>
    <row r="204" spans="1:14" x14ac:dyDescent="0.25">
      <c r="A204" s="11">
        <v>2031</v>
      </c>
      <c r="B204" s="15">
        <f t="shared" si="19"/>
        <v>118.47498479882053</v>
      </c>
      <c r="E204" s="233">
        <v>2031</v>
      </c>
      <c r="F204" s="9">
        <f t="shared" si="21"/>
        <v>18.419098481321686</v>
      </c>
      <c r="G204" s="9">
        <f t="shared" si="22"/>
        <v>21.426831223563109</v>
      </c>
      <c r="H204" s="9">
        <f t="shared" si="23"/>
        <v>19.090336568392818</v>
      </c>
      <c r="K204" s="11">
        <v>2031</v>
      </c>
      <c r="L204" s="83">
        <f t="shared" si="18"/>
        <v>18.419098481321686</v>
      </c>
      <c r="N204">
        <f t="shared" si="20"/>
        <v>18</v>
      </c>
    </row>
    <row r="205" spans="1:14" x14ac:dyDescent="0.25">
      <c r="A205" s="11">
        <v>2032</v>
      </c>
      <c r="B205" s="15">
        <f t="shared" si="19"/>
        <v>120.82525404513768</v>
      </c>
      <c r="E205" s="233">
        <v>2032</v>
      </c>
      <c r="F205" s="9">
        <f t="shared" si="21"/>
        <v>18.784490726604915</v>
      </c>
      <c r="G205" s="9">
        <f t="shared" si="22"/>
        <v>21.851889918917927</v>
      </c>
      <c r="H205" s="9">
        <f t="shared" si="23"/>
        <v>19.469044622373374</v>
      </c>
      <c r="K205" s="11">
        <v>2032</v>
      </c>
      <c r="L205" s="83">
        <f t="shared" si="18"/>
        <v>18.784490726604915</v>
      </c>
      <c r="N205">
        <f t="shared" si="20"/>
        <v>19</v>
      </c>
    </row>
    <row r="206" spans="1:14" x14ac:dyDescent="0.25">
      <c r="A206" s="11">
        <v>2033</v>
      </c>
      <c r="B206" s="15">
        <f t="shared" si="19"/>
        <v>123.22310958958899</v>
      </c>
      <c r="E206" s="233">
        <v>2033</v>
      </c>
      <c r="F206" s="9">
        <f t="shared" si="21"/>
        <v>19.157281130353262</v>
      </c>
      <c r="G206" s="9">
        <f t="shared" si="22"/>
        <v>22.285554849423615</v>
      </c>
      <c r="H206" s="9">
        <f t="shared" si="23"/>
        <v>19.855420442245332</v>
      </c>
      <c r="K206" s="11">
        <v>2033</v>
      </c>
      <c r="L206" s="83">
        <f t="shared" si="18"/>
        <v>19.157281130353262</v>
      </c>
      <c r="N206">
        <f t="shared" si="20"/>
        <v>20</v>
      </c>
    </row>
    <row r="207" spans="1:14" x14ac:dyDescent="0.25">
      <c r="A207" s="11">
        <v>2034</v>
      </c>
      <c r="B207" s="15">
        <f t="shared" si="19"/>
        <v>125.659329785183</v>
      </c>
      <c r="E207" s="233">
        <v>2034</v>
      </c>
      <c r="F207" s="9">
        <f t="shared" si="21"/>
        <v>19.536036019252627</v>
      </c>
      <c r="G207" s="9">
        <f t="shared" si="22"/>
        <v>22.726158231167613</v>
      </c>
      <c r="H207" s="9">
        <f t="shared" si="23"/>
        <v>20.247978108047782</v>
      </c>
      <c r="K207" s="11">
        <v>2034</v>
      </c>
      <c r="L207" s="83">
        <f t="shared" si="18"/>
        <v>19.536036019252627</v>
      </c>
      <c r="N207">
        <f t="shared" si="20"/>
        <v>21</v>
      </c>
    </row>
    <row r="208" spans="1:14" x14ac:dyDescent="0.25">
      <c r="A208" s="49">
        <v>2035</v>
      </c>
      <c r="B208" s="15">
        <f t="shared" si="19"/>
        <v>128.12968298635468</v>
      </c>
      <c r="E208" s="233">
        <v>2035</v>
      </c>
      <c r="F208" s="9">
        <f t="shared" si="21"/>
        <v>19.920097506775036</v>
      </c>
      <c r="G208" s="9">
        <f t="shared" si="22"/>
        <v>23.172934748539419</v>
      </c>
      <c r="H208" s="9">
        <f t="shared" si="23"/>
        <v>20.646035758219718</v>
      </c>
      <c r="K208" s="49">
        <v>2035</v>
      </c>
      <c r="L208" s="83">
        <f t="shared" si="18"/>
        <v>19.920097506775036</v>
      </c>
      <c r="N208">
        <f t="shared" si="20"/>
        <v>22</v>
      </c>
    </row>
    <row r="209" spans="1:14" x14ac:dyDescent="0.25">
      <c r="A209" s="49">
        <v>2036</v>
      </c>
      <c r="B209" s="15">
        <f t="shared" si="19"/>
        <v>130.64860118424386</v>
      </c>
      <c r="E209" s="233">
        <v>2036</v>
      </c>
      <c r="F209" s="9">
        <f t="shared" si="21"/>
        <v>20.31170930931798</v>
      </c>
      <c r="G209" s="9">
        <f t="shared" si="22"/>
        <v>23.628494503907039</v>
      </c>
      <c r="H209" s="9">
        <f t="shared" si="23"/>
        <v>21.051918875804489</v>
      </c>
      <c r="K209" s="49">
        <v>2036</v>
      </c>
      <c r="L209" s="83">
        <f t="shared" si="18"/>
        <v>20.31170930931798</v>
      </c>
      <c r="N209">
        <f t="shared" si="20"/>
        <v>23</v>
      </c>
    </row>
    <row r="210" spans="1:14" x14ac:dyDescent="0.25">
      <c r="A210" s="49">
        <v>2037</v>
      </c>
      <c r="B210" s="15">
        <f t="shared" si="19"/>
        <v>133.21703912447356</v>
      </c>
      <c r="E210" s="233">
        <v>2037</v>
      </c>
      <c r="F210" s="9">
        <f t="shared" si="21"/>
        <v>20.711019859512074</v>
      </c>
      <c r="G210" s="9">
        <f t="shared" si="22"/>
        <v>24.093010168095127</v>
      </c>
      <c r="H210" s="9">
        <f t="shared" si="23"/>
        <v>21.465781302689585</v>
      </c>
      <c r="K210" s="49">
        <v>2037</v>
      </c>
      <c r="L210" s="83">
        <f t="shared" si="18"/>
        <v>20.711019859512074</v>
      </c>
      <c r="N210">
        <f t="shared" si="20"/>
        <v>24</v>
      </c>
    </row>
    <row r="211" spans="1:14" x14ac:dyDescent="0.25">
      <c r="A211" s="49">
        <v>2038</v>
      </c>
      <c r="B211" s="15">
        <f t="shared" si="19"/>
        <v>135.83597032213589</v>
      </c>
      <c r="E211" s="233">
        <v>2038</v>
      </c>
      <c r="F211" s="9">
        <f t="shared" si="21"/>
        <v>21.118180508044428</v>
      </c>
      <c r="G211" s="9">
        <f t="shared" si="22"/>
        <v>24.566657806486667</v>
      </c>
      <c r="H211" s="9">
        <f t="shared" si="23"/>
        <v>21.887779905160272</v>
      </c>
      <c r="K211" s="49">
        <v>2038</v>
      </c>
      <c r="L211" s="83">
        <f t="shared" si="18"/>
        <v>21.118180508044428</v>
      </c>
      <c r="N211">
        <f t="shared" si="20"/>
        <v>25</v>
      </c>
    </row>
    <row r="212" spans="1:14" x14ac:dyDescent="0.25">
      <c r="A212" s="92">
        <v>2039</v>
      </c>
      <c r="B212" s="15">
        <f t="shared" si="19"/>
        <v>138.50638743078355</v>
      </c>
      <c r="E212" s="233">
        <v>2039</v>
      </c>
      <c r="F212" s="9">
        <f t="shared" si="21"/>
        <v>21.53334558102511</v>
      </c>
      <c r="G212" s="9">
        <f t="shared" si="22"/>
        <v>25.049616945757037</v>
      </c>
      <c r="H212" s="9">
        <f t="shared" si="23"/>
        <v>22.318074633356648</v>
      </c>
      <c r="K212" s="49">
        <v>2039</v>
      </c>
      <c r="L212" s="83">
        <f t="shared" si="18"/>
        <v>21.53334558102511</v>
      </c>
      <c r="N212">
        <f t="shared" si="20"/>
        <v>26</v>
      </c>
    </row>
    <row r="213" spans="1:14" x14ac:dyDescent="0.25">
      <c r="A213" s="92">
        <v>2040</v>
      </c>
      <c r="B213" s="15">
        <f t="shared" si="19"/>
        <v>141.22930261867521</v>
      </c>
      <c r="E213" s="233">
        <v>2040</v>
      </c>
      <c r="F213" s="9">
        <f t="shared" si="21"/>
        <v>21.956672438481373</v>
      </c>
      <c r="G213" s="9">
        <f t="shared" si="22"/>
        <v>25.542070641920013</v>
      </c>
      <c r="H213" s="9">
        <f t="shared" si="23"/>
        <v>22.75682858189953</v>
      </c>
      <c r="K213" s="67">
        <v>2040</v>
      </c>
      <c r="L213" s="83">
        <f t="shared" si="18"/>
        <v>21.956672438481373</v>
      </c>
      <c r="N213">
        <f t="shared" si="20"/>
        <v>27</v>
      </c>
    </row>
    <row r="214" spans="1:14" x14ac:dyDescent="0.25">
      <c r="A214" s="92">
        <v>2041</v>
      </c>
      <c r="B214" s="15">
        <f t="shared" si="19"/>
        <v>144.00574795241778</v>
      </c>
      <c r="E214" s="233">
        <v>2041</v>
      </c>
      <c r="F214" s="9">
        <f t="shared" si="21"/>
        <v>22.388321534001825</v>
      </c>
      <c r="G214" s="9">
        <f t="shared" si="22"/>
        <v>26.044205549711481</v>
      </c>
      <c r="H214" s="9">
        <f t="shared" si="23"/>
        <v>23.204208051708221</v>
      </c>
      <c r="K214" s="67">
        <v>2041</v>
      </c>
      <c r="L214" s="83">
        <f t="shared" si="18"/>
        <v>22.388321534001825</v>
      </c>
      <c r="N214">
        <f t="shared" si="20"/>
        <v>28</v>
      </c>
    </row>
    <row r="215" spans="1:14" x14ac:dyDescent="0.25">
      <c r="A215" s="92">
        <v>2042</v>
      </c>
      <c r="B215" s="15">
        <f t="shared" si="19"/>
        <v>146.83677578815056</v>
      </c>
      <c r="E215" s="233">
        <v>2042</v>
      </c>
      <c r="F215" s="9">
        <f t="shared" si="21"/>
        <v>22.828456475553168</v>
      </c>
      <c r="G215" s="9">
        <f t="shared" si="22"/>
        <v>26.556211993337204</v>
      </c>
      <c r="H215" s="9">
        <f t="shared" si="23"/>
        <v>23.660382613033555</v>
      </c>
      <c r="K215" s="67">
        <v>2042</v>
      </c>
      <c r="L215" s="83">
        <f t="shared" si="18"/>
        <v>22.828456475553168</v>
      </c>
      <c r="N215">
        <f t="shared" si="20"/>
        <v>29</v>
      </c>
    </row>
    <row r="216" spans="1:14" x14ac:dyDescent="0.25">
      <c r="A216" s="92">
        <v>2043</v>
      </c>
      <c r="B216" s="15">
        <f t="shared" si="19"/>
        <v>149.72345917041989</v>
      </c>
      <c r="E216" s="233">
        <v>2043</v>
      </c>
      <c r="F216" s="9">
        <f t="shared" si="21"/>
        <v>23.277244087492516</v>
      </c>
      <c r="G216" s="9">
        <f t="shared" si="22"/>
        <v>27.078284038611393</v>
      </c>
      <c r="H216" s="9">
        <f t="shared" si="23"/>
        <v>24.1255251697301</v>
      </c>
      <c r="K216" s="67">
        <v>2043</v>
      </c>
      <c r="L216" s="83">
        <f t="shared" si="18"/>
        <v>23.277244087492516</v>
      </c>
      <c r="N216">
        <f t="shared" si="20"/>
        <v>30</v>
      </c>
    </row>
    <row r="217" spans="1:14" x14ac:dyDescent="0.25">
      <c r="A217" s="92">
        <v>2044</v>
      </c>
      <c r="B217" s="15">
        <f t="shared" si="19"/>
        <v>152.66689223889514</v>
      </c>
      <c r="E217" s="233">
        <v>2044</v>
      </c>
      <c r="F217" s="9">
        <f t="shared" si="21"/>
        <v>23.734854473798844</v>
      </c>
      <c r="G217" s="9">
        <f t="shared" si="22"/>
        <v>27.610619566513495</v>
      </c>
      <c r="H217" s="9">
        <f t="shared" si="23"/>
        <v>24.599812024791923</v>
      </c>
      <c r="K217" s="67">
        <v>2044</v>
      </c>
      <c r="L217" s="83">
        <f t="shared" si="18"/>
        <v>23.734854473798844</v>
      </c>
      <c r="N217">
        <f t="shared" si="20"/>
        <v>31</v>
      </c>
    </row>
    <row r="218" spans="1:14" x14ac:dyDescent="0.25">
      <c r="A218" s="92">
        <v>2045</v>
      </c>
      <c r="B218" s="15">
        <f t="shared" si="19"/>
        <v>155.66819064308064</v>
      </c>
      <c r="E218" s="233">
        <v>2045</v>
      </c>
      <c r="F218" s="9">
        <f t="shared" si="21"/>
        <v>24.2014610825475</v>
      </c>
      <c r="G218" s="9">
        <f t="shared" si="22"/>
        <v>28.153420348191013</v>
      </c>
      <c r="H218" s="9">
        <f t="shared" si="23"/>
        <v>25.083422947176711</v>
      </c>
      <c r="K218" s="67">
        <v>2045</v>
      </c>
      <c r="L218" s="83">
        <f t="shared" si="18"/>
        <v>24.2014610825475</v>
      </c>
      <c r="N218">
        <f t="shared" si="20"/>
        <v>32</v>
      </c>
    </row>
    <row r="219" spans="1:14" x14ac:dyDescent="0.25">
      <c r="A219" s="92">
        <v>2046</v>
      </c>
      <c r="B219" s="15">
        <f t="shared" si="19"/>
        <v>158.72849196518018</v>
      </c>
      <c r="E219" s="233">
        <v>2046</v>
      </c>
      <c r="F219" s="9">
        <f t="shared" si="21"/>
        <v>24.67724077165223</v>
      </c>
      <c r="G219" s="9">
        <f t="shared" si="22"/>
        <v>28.706892121436827</v>
      </c>
      <c r="H219" s="9">
        <f t="shared" si="23"/>
        <v>25.576541239943605</v>
      </c>
      <c r="K219" s="67">
        <v>2046</v>
      </c>
      <c r="L219" s="83">
        <f t="shared" si="18"/>
        <v>24.67724077165223</v>
      </c>
      <c r="N219">
        <f t="shared" si="20"/>
        <v>33</v>
      </c>
    </row>
    <row r="220" spans="1:14" x14ac:dyDescent="0.25">
      <c r="A220" s="92">
        <v>2047</v>
      </c>
      <c r="B220" s="15">
        <f t="shared" si="19"/>
        <v>161.84895615127496</v>
      </c>
      <c r="E220" s="233">
        <v>2047</v>
      </c>
      <c r="F220" s="9">
        <f t="shared" si="21"/>
        <v>25.162373875899647</v>
      </c>
      <c r="G220" s="9">
        <f t="shared" si="22"/>
        <v>29.271244668670004</v>
      </c>
      <c r="H220" s="9">
        <f t="shared" si="23"/>
        <v>26.079353809730559</v>
      </c>
      <c r="K220" s="67">
        <v>2047</v>
      </c>
      <c r="L220" s="83">
        <f t="shared" si="18"/>
        <v>25.162373875899647</v>
      </c>
      <c r="N220">
        <f t="shared" si="20"/>
        <v>34</v>
      </c>
    </row>
    <row r="221" spans="1:14" x14ac:dyDescent="0.25">
      <c r="A221" s="92">
        <v>2048</v>
      </c>
      <c r="B221" s="15">
        <f t="shared" si="19"/>
        <v>165.03076595097789</v>
      </c>
      <c r="E221" s="233">
        <v>2048</v>
      </c>
      <c r="F221" s="9">
        <f t="shared" si="21"/>
        <v>25.657044275301516</v>
      </c>
      <c r="G221" s="9">
        <f t="shared" si="22"/>
        <v>29.846691896449624</v>
      </c>
      <c r="H221" s="9">
        <f t="shared" si="23"/>
        <v>26.59205123759758</v>
      </c>
      <c r="K221" s="67">
        <v>2048</v>
      </c>
      <c r="L221" s="83">
        <f t="shared" si="18"/>
        <v>25.657044275301516</v>
      </c>
      <c r="N221">
        <f t="shared" si="20"/>
        <v>35</v>
      </c>
    </row>
    <row r="222" spans="1:14" x14ac:dyDescent="0.25">
      <c r="A222" s="92">
        <v>2049</v>
      </c>
      <c r="B222" s="15">
        <f t="shared" si="19"/>
        <v>168.27512736573124</v>
      </c>
      <c r="E222" s="233">
        <v>2049</v>
      </c>
      <c r="F222" s="9">
        <f t="shared" si="21"/>
        <v>26.161439464790806</v>
      </c>
      <c r="G222" s="9">
        <f t="shared" si="22"/>
        <v>30.433451916551796</v>
      </c>
      <c r="H222" s="9">
        <f t="shared" si="23"/>
        <v>27.114827851262653</v>
      </c>
      <c r="K222" s="67">
        <v>2049</v>
      </c>
      <c r="L222" s="83">
        <f t="shared" si="18"/>
        <v>26.161439464790806</v>
      </c>
      <c r="N222">
        <f t="shared" si="20"/>
        <v>36</v>
      </c>
    </row>
    <row r="223" spans="1:14" x14ac:dyDescent="0.25">
      <c r="A223" s="92">
        <v>2050</v>
      </c>
      <c r="B223" s="15">
        <f t="shared" si="19"/>
        <v>171.58327010591736</v>
      </c>
      <c r="E223" s="233">
        <v>2050</v>
      </c>
      <c r="F223" s="9">
        <f t="shared" si="21"/>
        <v>26.675750625287908</v>
      </c>
      <c r="G223" s="9">
        <f t="shared" si="22"/>
        <v>31.031747128640564</v>
      </c>
      <c r="H223" s="9">
        <f t="shared" si="23"/>
        <v>27.647881798757798</v>
      </c>
      <c r="K223" s="67">
        <v>2050</v>
      </c>
      <c r="L223" s="83">
        <f t="shared" si="18"/>
        <v>26.675750625287908</v>
      </c>
      <c r="N223">
        <f t="shared" si="20"/>
        <v>37</v>
      </c>
    </row>
    <row r="224" spans="1:14" x14ac:dyDescent="0.25">
      <c r="A224" s="92">
        <v>2051</v>
      </c>
      <c r="B224" s="15">
        <f t="shared" si="19"/>
        <v>174.95644805695591</v>
      </c>
      <c r="E224" s="233">
        <v>2051</v>
      </c>
      <c r="F224" s="9">
        <f t="shared" si="21"/>
        <v>27.200172696163921</v>
      </c>
      <c r="G224" s="9">
        <f t="shared" si="22"/>
        <v>31.641804304564058</v>
      </c>
      <c r="H224" s="9">
        <f t="shared" si="23"/>
        <v>28.191415123533108</v>
      </c>
      <c r="K224" s="67">
        <v>2051</v>
      </c>
      <c r="L224" s="83">
        <f t="shared" si="18"/>
        <v>27.200172696163921</v>
      </c>
      <c r="N224">
        <f t="shared" si="20"/>
        <v>38</v>
      </c>
    </row>
    <row r="225" spans="1:14" x14ac:dyDescent="0.25">
      <c r="A225" s="92">
        <v>2052</v>
      </c>
      <c r="B225" s="15">
        <f t="shared" si="19"/>
        <v>178.39593975456395</v>
      </c>
      <c r="E225" s="233">
        <v>2052</v>
      </c>
      <c r="F225" s="9">
        <f t="shared" si="21"/>
        <v>27.73490444912855</v>
      </c>
      <c r="G225" s="9">
        <f t="shared" si="22"/>
        <v>32.263854674307829</v>
      </c>
      <c r="H225" s="9">
        <f t="shared" si="23"/>
        <v>28.745633841037296</v>
      </c>
      <c r="K225" s="67">
        <v>2052</v>
      </c>
      <c r="L225" s="83">
        <f t="shared" si="18"/>
        <v>27.73490444912855</v>
      </c>
      <c r="N225">
        <f t="shared" si="20"/>
        <v>39</v>
      </c>
    </row>
    <row r="226" spans="1:14" x14ac:dyDescent="0.25">
      <c r="A226" s="92">
        <v>2053</v>
      </c>
      <c r="B226" s="15">
        <f t="shared" si="19"/>
        <v>181.90304886935954</v>
      </c>
      <c r="E226" s="233">
        <v>2053</v>
      </c>
      <c r="F226" s="9">
        <f t="shared" si="21"/>
        <v>28.280148563570535</v>
      </c>
      <c r="G226" s="9">
        <f t="shared" si="22"/>
        <v>32.898134013637971</v>
      </c>
      <c r="H226" s="9">
        <f t="shared" si="23"/>
        <v>29.310748016803725</v>
      </c>
      <c r="K226" s="67">
        <v>2053</v>
      </c>
      <c r="L226" s="83">
        <f t="shared" si="18"/>
        <v>28.280148563570535</v>
      </c>
      <c r="N226">
        <f t="shared" si="20"/>
        <v>40</v>
      </c>
    </row>
    <row r="227" spans="1:14" x14ac:dyDescent="0.25">
      <c r="A227" s="92">
        <v>2054</v>
      </c>
      <c r="B227" s="15">
        <f t="shared" si="19"/>
        <v>185.47910470099185</v>
      </c>
      <c r="E227" s="233">
        <v>2054</v>
      </c>
      <c r="F227" s="9">
        <f t="shared" si="21"/>
        <v>28.836111703379235</v>
      </c>
      <c r="G227" s="9">
        <f t="shared" ref="G227" si="24">G226*(1+C57)</f>
        <v>33.544882733467198</v>
      </c>
      <c r="H227" s="9">
        <f t="shared" ref="H227" si="25">H226*(1+C57)</f>
        <v>29.88697184607156</v>
      </c>
      <c r="K227" s="67">
        <v>2054</v>
      </c>
      <c r="L227" s="83">
        <f t="shared" si="18"/>
        <v>28.836111703379235</v>
      </c>
      <c r="N227">
        <f t="shared" si="20"/>
        <v>41</v>
      </c>
    </row>
    <row r="228" spans="1:14" x14ac:dyDescent="0.25">
      <c r="A228" s="6" t="s">
        <v>95</v>
      </c>
      <c r="B228" s="12"/>
      <c r="C228" s="12"/>
      <c r="E228" s="41" t="s">
        <v>179</v>
      </c>
      <c r="K228" s="172" t="s">
        <v>138</v>
      </c>
    </row>
    <row r="229" spans="1:14" x14ac:dyDescent="0.25">
      <c r="A229" s="28" t="s">
        <v>96</v>
      </c>
      <c r="E229" s="113"/>
    </row>
    <row r="230" spans="1:14" x14ac:dyDescent="0.25">
      <c r="A230" s="27"/>
      <c r="E230" s="113"/>
    </row>
    <row r="231" spans="1:14" x14ac:dyDescent="0.25">
      <c r="E231" s="113"/>
    </row>
    <row r="233" spans="1:14" s="55" customFormat="1" ht="17.25" x14ac:dyDescent="0.3">
      <c r="A233" s="21" t="s">
        <v>56</v>
      </c>
      <c r="B233" s="21"/>
      <c r="C233" s="21"/>
      <c r="D233" s="21"/>
      <c r="E233" s="21"/>
      <c r="F233" s="21"/>
      <c r="G233" s="21"/>
      <c r="H233" s="21"/>
      <c r="I233" s="21"/>
      <c r="J233" s="21"/>
    </row>
    <row r="235" spans="1:14" x14ac:dyDescent="0.25">
      <c r="A235" s="1" t="s">
        <v>57</v>
      </c>
      <c r="F235" s="51"/>
      <c r="G235" s="51"/>
      <c r="H235" s="51"/>
      <c r="I235" s="51"/>
    </row>
    <row r="236" spans="1:14" x14ac:dyDescent="0.25">
      <c r="A236" s="84"/>
      <c r="B236" s="85"/>
      <c r="C236" s="85"/>
      <c r="D236" s="86"/>
      <c r="E236" s="87">
        <v>2020</v>
      </c>
      <c r="F236" s="265"/>
      <c r="G236" s="265"/>
      <c r="H236" s="265"/>
      <c r="I236" s="265"/>
    </row>
    <row r="237" spans="1:14" x14ac:dyDescent="0.25">
      <c r="A237" s="247" t="s">
        <v>20</v>
      </c>
      <c r="B237" s="247"/>
      <c r="C237" s="247"/>
      <c r="D237" s="247"/>
      <c r="E237" s="4">
        <v>25</v>
      </c>
      <c r="F237" s="272"/>
      <c r="G237" s="272"/>
      <c r="H237" s="52"/>
      <c r="I237" s="52"/>
    </row>
    <row r="238" spans="1:14" x14ac:dyDescent="0.25">
      <c r="A238" s="247" t="s">
        <v>21</v>
      </c>
      <c r="B238" s="247"/>
      <c r="C238" s="247"/>
      <c r="D238" s="247"/>
      <c r="E238" s="4">
        <v>25</v>
      </c>
      <c r="F238" s="271"/>
      <c r="G238" s="271"/>
      <c r="H238" s="53"/>
      <c r="I238" s="52"/>
    </row>
    <row r="239" spans="1:14" x14ac:dyDescent="0.25">
      <c r="A239" s="247" t="s">
        <v>22</v>
      </c>
      <c r="B239" s="247"/>
      <c r="C239" s="247"/>
      <c r="D239" s="247"/>
      <c r="E239" s="4">
        <v>25</v>
      </c>
      <c r="F239" s="271"/>
      <c r="G239" s="271"/>
      <c r="H239" s="54"/>
      <c r="I239" s="52"/>
    </row>
    <row r="240" spans="1:14" x14ac:dyDescent="0.25">
      <c r="A240" s="247" t="s">
        <v>23</v>
      </c>
      <c r="B240" s="247"/>
      <c r="C240" s="247"/>
      <c r="D240" s="247"/>
      <c r="E240" s="4">
        <v>25</v>
      </c>
      <c r="F240" s="271"/>
      <c r="G240" s="271"/>
      <c r="H240" s="54"/>
      <c r="I240" s="52"/>
    </row>
    <row r="241" spans="1:10" x14ac:dyDescent="0.25">
      <c r="A241" s="247" t="s">
        <v>24</v>
      </c>
      <c r="B241" s="247"/>
      <c r="C241" s="247"/>
      <c r="D241" s="247"/>
      <c r="E241" s="4">
        <v>20</v>
      </c>
      <c r="F241" s="63" t="s">
        <v>45</v>
      </c>
      <c r="G241" s="64"/>
      <c r="H241" s="52"/>
      <c r="I241" s="52"/>
    </row>
    <row r="242" spans="1:10" x14ac:dyDescent="0.25">
      <c r="A242" s="266" t="s">
        <v>25</v>
      </c>
      <c r="B242" s="267"/>
      <c r="C242" s="267"/>
      <c r="D242" s="268"/>
      <c r="E242" s="43">
        <v>20</v>
      </c>
      <c r="F242" s="66" t="s">
        <v>46</v>
      </c>
      <c r="G242" s="65"/>
      <c r="H242" s="54"/>
      <c r="I242" s="54"/>
      <c r="J242" s="47"/>
    </row>
    <row r="243" spans="1:10" x14ac:dyDescent="0.25">
      <c r="A243" s="247" t="s">
        <v>10</v>
      </c>
      <c r="B243" s="247"/>
      <c r="C243" s="247"/>
      <c r="D243" s="247"/>
      <c r="E243" s="4">
        <v>30</v>
      </c>
      <c r="F243" s="271"/>
      <c r="G243" s="271"/>
      <c r="H243" s="52"/>
      <c r="I243" s="52"/>
    </row>
    <row r="244" spans="1:10" x14ac:dyDescent="0.25">
      <c r="A244" t="s">
        <v>145</v>
      </c>
      <c r="B244" s="41"/>
      <c r="F244" s="51"/>
      <c r="G244" s="51"/>
      <c r="H244" s="51"/>
      <c r="I244" s="51"/>
    </row>
    <row r="246" spans="1:10" x14ac:dyDescent="0.25">
      <c r="A246" s="1" t="s">
        <v>58</v>
      </c>
    </row>
    <row r="247" spans="1:10" x14ac:dyDescent="0.25">
      <c r="A247" s="253"/>
      <c r="B247" s="253"/>
      <c r="C247" s="253"/>
      <c r="D247" s="253"/>
      <c r="E247" s="88" t="s">
        <v>54</v>
      </c>
      <c r="F247" s="2" t="s">
        <v>53</v>
      </c>
    </row>
    <row r="248" spans="1:10" x14ac:dyDescent="0.25">
      <c r="A248" s="247" t="s">
        <v>22</v>
      </c>
      <c r="B248" s="247"/>
      <c r="C248" s="247"/>
      <c r="D248" s="247"/>
      <c r="E248" s="83">
        <v>4500</v>
      </c>
      <c r="F248" s="166">
        <v>400</v>
      </c>
    </row>
    <row r="249" spans="1:10" x14ac:dyDescent="0.25">
      <c r="A249" s="247" t="s">
        <v>23</v>
      </c>
      <c r="B249" s="247"/>
      <c r="C249" s="247"/>
      <c r="D249" s="247"/>
      <c r="E249" s="83">
        <v>4250</v>
      </c>
      <c r="F249" s="166">
        <v>600</v>
      </c>
    </row>
    <row r="250" spans="1:10" x14ac:dyDescent="0.25">
      <c r="A250" s="252" t="s">
        <v>75</v>
      </c>
      <c r="B250" s="252"/>
      <c r="C250" s="252"/>
      <c r="D250" s="252"/>
      <c r="E250" s="83">
        <v>3000</v>
      </c>
      <c r="F250" s="2">
        <v>1</v>
      </c>
    </row>
    <row r="251" spans="1:10" x14ac:dyDescent="0.25">
      <c r="A251" t="s">
        <v>83</v>
      </c>
      <c r="H251" s="41"/>
    </row>
    <row r="253" spans="1:10" x14ac:dyDescent="0.25">
      <c r="A253" s="1" t="s">
        <v>9</v>
      </c>
    </row>
    <row r="254" spans="1:10" ht="30" x14ac:dyDescent="0.25">
      <c r="A254" s="254"/>
      <c r="B254" s="255"/>
      <c r="C254" s="255"/>
      <c r="D254" s="256"/>
      <c r="E254" s="7" t="s">
        <v>30</v>
      </c>
    </row>
    <row r="255" spans="1:10" x14ac:dyDescent="0.25">
      <c r="A255" s="247" t="s">
        <v>20</v>
      </c>
      <c r="B255" s="247"/>
      <c r="C255" s="247"/>
      <c r="D255" s="247"/>
      <c r="E255" s="33">
        <v>0</v>
      </c>
    </row>
    <row r="256" spans="1:10" x14ac:dyDescent="0.25">
      <c r="A256" s="247" t="s">
        <v>21</v>
      </c>
      <c r="B256" s="247"/>
      <c r="C256" s="247"/>
      <c r="D256" s="247"/>
      <c r="E256" s="33">
        <v>0</v>
      </c>
    </row>
    <row r="257" spans="1:15" x14ac:dyDescent="0.25">
      <c r="A257" s="247" t="s">
        <v>22</v>
      </c>
      <c r="B257" s="247"/>
      <c r="C257" s="247"/>
      <c r="D257" s="247"/>
      <c r="E257" s="33">
        <v>0</v>
      </c>
    </row>
    <row r="258" spans="1:15" x14ac:dyDescent="0.25">
      <c r="A258" s="247" t="s">
        <v>23</v>
      </c>
      <c r="B258" s="247"/>
      <c r="C258" s="247"/>
      <c r="D258" s="247"/>
      <c r="E258" s="33">
        <v>0</v>
      </c>
    </row>
    <row r="259" spans="1:15" x14ac:dyDescent="0.25">
      <c r="A259" s="247" t="s">
        <v>24</v>
      </c>
      <c r="B259" s="247"/>
      <c r="C259" s="247"/>
      <c r="D259" s="247"/>
      <c r="E259" s="33">
        <v>0</v>
      </c>
    </row>
    <row r="260" spans="1:15" x14ac:dyDescent="0.25">
      <c r="A260" s="252" t="s">
        <v>25</v>
      </c>
      <c r="B260" s="252"/>
      <c r="C260" s="252"/>
      <c r="D260" s="252"/>
      <c r="E260" s="33">
        <v>0</v>
      </c>
    </row>
    <row r="261" spans="1:15" x14ac:dyDescent="0.25">
      <c r="A261" s="247" t="s">
        <v>125</v>
      </c>
      <c r="B261" s="247"/>
      <c r="C261" s="247"/>
      <c r="D261" s="247"/>
      <c r="E261" s="32">
        <v>0</v>
      </c>
    </row>
    <row r="262" spans="1:15" x14ac:dyDescent="0.25">
      <c r="A262" s="247" t="s">
        <v>130</v>
      </c>
      <c r="B262" s="247"/>
      <c r="C262" s="247"/>
      <c r="D262" s="247"/>
      <c r="E262" s="32">
        <v>0.5</v>
      </c>
    </row>
    <row r="263" spans="1:15" x14ac:dyDescent="0.25">
      <c r="A263" s="247" t="s">
        <v>133</v>
      </c>
      <c r="B263" s="247"/>
      <c r="C263" s="247"/>
      <c r="D263" s="247"/>
      <c r="E263" s="32">
        <v>0</v>
      </c>
      <c r="H263" s="188"/>
      <c r="I263" s="188"/>
      <c r="J263" s="188"/>
      <c r="K263" s="188"/>
      <c r="L263" s="188"/>
      <c r="M263" s="188"/>
      <c r="N263" s="188"/>
      <c r="O263" s="188"/>
    </row>
    <row r="264" spans="1:15" x14ac:dyDescent="0.25">
      <c r="A264" s="41" t="s">
        <v>148</v>
      </c>
      <c r="H264" s="188"/>
      <c r="I264" s="188"/>
      <c r="J264" s="188"/>
      <c r="K264" s="189"/>
      <c r="L264" s="190"/>
      <c r="M264" s="190"/>
      <c r="N264" s="190"/>
      <c r="O264" s="188"/>
    </row>
    <row r="265" spans="1:15" x14ac:dyDescent="0.25">
      <c r="H265" s="188"/>
      <c r="I265" s="188"/>
      <c r="J265" s="188"/>
      <c r="K265" s="189"/>
      <c r="L265" s="191"/>
      <c r="M265" s="191"/>
      <c r="N265" s="192"/>
      <c r="O265" s="193"/>
    </row>
    <row r="266" spans="1:15" x14ac:dyDescent="0.25">
      <c r="A266" s="1" t="s">
        <v>80</v>
      </c>
      <c r="H266" s="188"/>
      <c r="I266" s="188"/>
      <c r="J266" s="188"/>
      <c r="K266" s="189"/>
      <c r="L266" s="191"/>
      <c r="M266" s="191"/>
      <c r="N266" s="192"/>
      <c r="O266" s="193"/>
    </row>
    <row r="267" spans="1:15" x14ac:dyDescent="0.25">
      <c r="A267" s="276"/>
      <c r="B267" s="277"/>
      <c r="C267" s="277"/>
      <c r="D267" s="278"/>
      <c r="E267" s="88" t="s">
        <v>85</v>
      </c>
      <c r="H267" s="188"/>
      <c r="I267" s="188"/>
      <c r="J267" s="188"/>
      <c r="K267" s="189"/>
      <c r="L267" s="191"/>
      <c r="M267" s="191"/>
      <c r="N267" s="192"/>
      <c r="O267" s="193"/>
    </row>
    <row r="268" spans="1:15" x14ac:dyDescent="0.25">
      <c r="A268" s="244" t="s">
        <v>75</v>
      </c>
      <c r="B268" s="245"/>
      <c r="C268" s="245"/>
      <c r="D268" s="246"/>
      <c r="E268" s="196">
        <v>0.7</v>
      </c>
      <c r="H268" s="188"/>
      <c r="I268" s="188"/>
      <c r="J268" s="188"/>
      <c r="K268" s="188"/>
      <c r="L268" s="194"/>
      <c r="M268" s="194"/>
      <c r="N268" s="195"/>
      <c r="O268" s="194"/>
    </row>
    <row r="269" spans="1:15" x14ac:dyDescent="0.25">
      <c r="A269" t="s">
        <v>84</v>
      </c>
      <c r="F269" s="82"/>
      <c r="H269" s="187"/>
      <c r="I269" s="82"/>
      <c r="J269" s="82"/>
      <c r="K269" s="188"/>
      <c r="L269" s="188"/>
      <c r="M269" s="188"/>
      <c r="N269" s="188"/>
      <c r="O269" s="188"/>
    </row>
    <row r="270" spans="1:15" x14ac:dyDescent="0.25">
      <c r="F270" s="82"/>
      <c r="H270" s="62"/>
      <c r="I270" s="81"/>
      <c r="J270" s="81"/>
    </row>
    <row r="271" spans="1:15" x14ac:dyDescent="0.25">
      <c r="A271" s="133" t="s">
        <v>49</v>
      </c>
      <c r="B271" s="81"/>
      <c r="C271" s="81"/>
      <c r="D271" s="81"/>
      <c r="E271" s="56"/>
      <c r="F271" s="82"/>
      <c r="H271" s="62"/>
      <c r="I271" s="81"/>
      <c r="J271" s="81"/>
    </row>
    <row r="272" spans="1:15" ht="45" x14ac:dyDescent="0.25">
      <c r="A272" s="77"/>
      <c r="B272" s="78"/>
      <c r="C272" s="78"/>
      <c r="D272" s="79"/>
      <c r="E272" s="80" t="s">
        <v>50</v>
      </c>
      <c r="F272" s="82"/>
      <c r="G272" s="120"/>
      <c r="H272" s="128"/>
      <c r="I272" s="137"/>
      <c r="J272" s="129"/>
    </row>
    <row r="273" spans="1:11" x14ac:dyDescent="0.25">
      <c r="A273" s="247" t="s">
        <v>150</v>
      </c>
      <c r="B273" s="247"/>
      <c r="C273" s="247"/>
      <c r="D273" s="247"/>
      <c r="E273" s="136">
        <v>1500</v>
      </c>
      <c r="F273" s="197"/>
      <c r="G273" s="120"/>
      <c r="H273" s="128"/>
      <c r="I273" s="137"/>
      <c r="J273" s="129"/>
    </row>
    <row r="274" spans="1:11" x14ac:dyDescent="0.25">
      <c r="A274" s="244" t="s">
        <v>149</v>
      </c>
      <c r="B274" s="245"/>
      <c r="C274" s="245"/>
      <c r="D274" s="246"/>
      <c r="E274" s="136">
        <v>3500</v>
      </c>
    </row>
    <row r="275" spans="1:11" x14ac:dyDescent="0.25">
      <c r="A275" s="244" t="s">
        <v>76</v>
      </c>
      <c r="B275" s="245"/>
      <c r="C275" s="245"/>
      <c r="D275" s="246"/>
      <c r="E275" s="198">
        <v>0.35</v>
      </c>
    </row>
    <row r="276" spans="1:11" x14ac:dyDescent="0.25">
      <c r="A276" t="s">
        <v>88</v>
      </c>
      <c r="B276" s="56"/>
      <c r="C276" s="56"/>
      <c r="D276" s="56"/>
      <c r="E276" s="199"/>
      <c r="K276" s="127"/>
    </row>
    <row r="277" spans="1:11" x14ac:dyDescent="0.25">
      <c r="B277" s="56"/>
      <c r="C277" s="56"/>
      <c r="D277" s="56"/>
      <c r="E277" s="199"/>
      <c r="K277" s="127"/>
    </row>
    <row r="278" spans="1:11" x14ac:dyDescent="0.25">
      <c r="A278" s="133" t="s">
        <v>49</v>
      </c>
      <c r="B278" s="81"/>
      <c r="C278" s="81"/>
      <c r="D278" s="81"/>
      <c r="E278" s="56"/>
      <c r="F278" s="82"/>
      <c r="H278" s="62"/>
      <c r="I278" s="81"/>
      <c r="J278" s="81"/>
    </row>
    <row r="279" spans="1:11" x14ac:dyDescent="0.25">
      <c r="A279" s="177"/>
      <c r="B279" s="178"/>
      <c r="C279" s="178"/>
      <c r="D279" s="179"/>
      <c r="E279" s="176" t="s">
        <v>152</v>
      </c>
      <c r="F279" s="82"/>
      <c r="G279" s="120"/>
      <c r="H279" s="128"/>
      <c r="I279" s="137"/>
      <c r="J279" s="129"/>
    </row>
    <row r="280" spans="1:11" x14ac:dyDescent="0.25">
      <c r="A280" s="247" t="s">
        <v>153</v>
      </c>
      <c r="B280" s="247"/>
      <c r="C280" s="247"/>
      <c r="D280" s="247"/>
      <c r="E280" s="135">
        <v>0.8</v>
      </c>
      <c r="F280" s="197"/>
      <c r="G280" s="120"/>
      <c r="H280" s="128"/>
      <c r="I280" s="137"/>
      <c r="J280" s="129"/>
    </row>
    <row r="281" spans="1:11" x14ac:dyDescent="0.25">
      <c r="A281" t="s">
        <v>151</v>
      </c>
      <c r="F281" s="82"/>
      <c r="H281" s="62"/>
      <c r="I281" s="81"/>
      <c r="J281" s="81"/>
    </row>
    <row r="283" spans="1:11" x14ac:dyDescent="0.25">
      <c r="A283" s="1" t="s">
        <v>87</v>
      </c>
    </row>
    <row r="284" spans="1:11" x14ac:dyDescent="0.25">
      <c r="A284" s="123"/>
      <c r="B284" s="124"/>
      <c r="C284" s="124"/>
      <c r="D284" s="125"/>
      <c r="E284" s="160" t="s">
        <v>118</v>
      </c>
    </row>
    <row r="285" spans="1:11" x14ac:dyDescent="0.25">
      <c r="A285" s="244" t="s">
        <v>117</v>
      </c>
      <c r="B285" s="245"/>
      <c r="C285" s="245"/>
      <c r="D285" s="246"/>
      <c r="E285" s="138">
        <v>1</v>
      </c>
    </row>
    <row r="286" spans="1:11" x14ac:dyDescent="0.25">
      <c r="A286" s="41" t="s">
        <v>154</v>
      </c>
    </row>
    <row r="288" spans="1:11" x14ac:dyDescent="0.25">
      <c r="A288" s="1" t="s">
        <v>139</v>
      </c>
    </row>
    <row r="289" spans="1:5" x14ac:dyDescent="0.25">
      <c r="A289" s="273"/>
      <c r="B289" s="274"/>
      <c r="C289" s="274"/>
      <c r="D289" s="275"/>
      <c r="E289" s="3" t="s">
        <v>85</v>
      </c>
    </row>
    <row r="290" spans="1:5" x14ac:dyDescent="0.25">
      <c r="A290" s="273" t="s">
        <v>10</v>
      </c>
      <c r="B290" s="274"/>
      <c r="C290" s="274"/>
      <c r="D290" s="275"/>
      <c r="E290" s="2">
        <v>1</v>
      </c>
    </row>
    <row r="291" spans="1:5" x14ac:dyDescent="0.25">
      <c r="A291" t="s">
        <v>155</v>
      </c>
    </row>
    <row r="292" spans="1:5" x14ac:dyDescent="0.25">
      <c r="A292" s="41"/>
    </row>
  </sheetData>
  <mergeCells count="70">
    <mergeCell ref="A262:D262"/>
    <mergeCell ref="A263:D263"/>
    <mergeCell ref="A289:D289"/>
    <mergeCell ref="A290:D290"/>
    <mergeCell ref="A285:D285"/>
    <mergeCell ref="A267:D267"/>
    <mergeCell ref="A268:D268"/>
    <mergeCell ref="A275:D275"/>
    <mergeCell ref="A273:D273"/>
    <mergeCell ref="A274:D274"/>
    <mergeCell ref="A280:D280"/>
    <mergeCell ref="F133:G133"/>
    <mergeCell ref="A120:D120"/>
    <mergeCell ref="F243:G243"/>
    <mergeCell ref="A239:D239"/>
    <mergeCell ref="F239:G239"/>
    <mergeCell ref="A240:D240"/>
    <mergeCell ref="F240:G240"/>
    <mergeCell ref="A241:D241"/>
    <mergeCell ref="A242:D242"/>
    <mergeCell ref="A243:D243"/>
    <mergeCell ref="A237:D237"/>
    <mergeCell ref="F237:G237"/>
    <mergeCell ref="A238:D238"/>
    <mergeCell ref="F238:G238"/>
    <mergeCell ref="F236:G236"/>
    <mergeCell ref="H236:I236"/>
    <mergeCell ref="B138:C138"/>
    <mergeCell ref="F131:G131"/>
    <mergeCell ref="A118:D118"/>
    <mergeCell ref="A119:D119"/>
    <mergeCell ref="F132:G132"/>
    <mergeCell ref="A127:D127"/>
    <mergeCell ref="A128:D128"/>
    <mergeCell ref="A129:D129"/>
    <mergeCell ref="A130:D130"/>
    <mergeCell ref="A131:D131"/>
    <mergeCell ref="A132:D132"/>
    <mergeCell ref="F127:G127"/>
    <mergeCell ref="F128:G128"/>
    <mergeCell ref="F129:G129"/>
    <mergeCell ref="F130:G130"/>
    <mergeCell ref="F111:G111"/>
    <mergeCell ref="H111:I111"/>
    <mergeCell ref="A111:D112"/>
    <mergeCell ref="H124:I124"/>
    <mergeCell ref="A126:D126"/>
    <mergeCell ref="A124:D125"/>
    <mergeCell ref="F126:G126"/>
    <mergeCell ref="F124:G124"/>
    <mergeCell ref="A261:D261"/>
    <mergeCell ref="A254:D254"/>
    <mergeCell ref="A255:D255"/>
    <mergeCell ref="A256:D256"/>
    <mergeCell ref="A257:D257"/>
    <mergeCell ref="A10:B10"/>
    <mergeCell ref="A11:B11"/>
    <mergeCell ref="A258:D258"/>
    <mergeCell ref="A259:D259"/>
    <mergeCell ref="A260:D260"/>
    <mergeCell ref="A113:D113"/>
    <mergeCell ref="A114:D114"/>
    <mergeCell ref="A115:D115"/>
    <mergeCell ref="A116:D116"/>
    <mergeCell ref="A250:D250"/>
    <mergeCell ref="A247:D247"/>
    <mergeCell ref="A248:D248"/>
    <mergeCell ref="A249:D249"/>
    <mergeCell ref="A133:D133"/>
    <mergeCell ref="A117:D117"/>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T534"/>
  <sheetViews>
    <sheetView workbookViewId="0">
      <selection activeCell="G25" sqref="G25"/>
    </sheetView>
  </sheetViews>
  <sheetFormatPr defaultRowHeight="15" x14ac:dyDescent="0.25"/>
  <cols>
    <col min="2" max="3" width="11" customWidth="1"/>
    <col min="4" max="6" width="10.140625" customWidth="1"/>
    <col min="7" max="9" width="10.85546875" customWidth="1"/>
    <col min="17" max="18" width="12.7109375" customWidth="1"/>
  </cols>
  <sheetData>
    <row r="1" spans="1:19" s="21" customFormat="1" ht="17.25" x14ac:dyDescent="0.3">
      <c r="A1" s="21" t="s">
        <v>34</v>
      </c>
    </row>
    <row r="2" spans="1:19" x14ac:dyDescent="0.25">
      <c r="P2" s="51"/>
      <c r="Q2" s="51"/>
      <c r="R2" s="51"/>
      <c r="S2" s="51"/>
    </row>
    <row r="3" spans="1:19" x14ac:dyDescent="0.25">
      <c r="A3" s="1" t="s">
        <v>98</v>
      </c>
      <c r="C3" s="146"/>
      <c r="D3" s="145"/>
      <c r="E3" s="145"/>
      <c r="P3" s="227"/>
      <c r="Q3" s="51"/>
      <c r="R3" s="51"/>
      <c r="S3" s="51"/>
    </row>
    <row r="4" spans="1:19" ht="47.25" customHeight="1" x14ac:dyDescent="0.25">
      <c r="A4" s="149" t="s">
        <v>97</v>
      </c>
      <c r="B4" s="152" t="s">
        <v>103</v>
      </c>
      <c r="C4" s="152" t="s">
        <v>104</v>
      </c>
      <c r="D4" s="152" t="s">
        <v>105</v>
      </c>
      <c r="F4" s="149" t="s">
        <v>100</v>
      </c>
      <c r="G4" s="152" t="s">
        <v>108</v>
      </c>
      <c r="H4" s="152" t="s">
        <v>106</v>
      </c>
      <c r="I4" s="152" t="s">
        <v>107</v>
      </c>
      <c r="K4" s="149" t="s">
        <v>120</v>
      </c>
      <c r="L4" s="152" t="s">
        <v>121</v>
      </c>
      <c r="M4" s="152" t="s">
        <v>122</v>
      </c>
      <c r="N4" s="152" t="s">
        <v>123</v>
      </c>
      <c r="P4" s="228"/>
      <c r="Q4" s="214"/>
      <c r="R4" s="214"/>
      <c r="S4" s="51"/>
    </row>
    <row r="5" spans="1:19" x14ac:dyDescent="0.25">
      <c r="A5" s="150">
        <v>2014</v>
      </c>
      <c r="B5" s="151">
        <v>233</v>
      </c>
      <c r="C5" s="151">
        <v>233</v>
      </c>
      <c r="D5" s="151">
        <v>233</v>
      </c>
      <c r="F5" s="153">
        <v>2014</v>
      </c>
      <c r="G5" s="154">
        <f t="shared" ref="G5:G16" si="0">B5*B21</f>
        <v>230.58213037720168</v>
      </c>
      <c r="H5" s="154">
        <f t="shared" ref="H5:H16" si="1">C5*B21</f>
        <v>230.58213037720168</v>
      </c>
      <c r="I5" s="154">
        <f t="shared" ref="I5:I16" si="2">D5*B21</f>
        <v>230.58213037720168</v>
      </c>
      <c r="K5" s="153">
        <v>2014</v>
      </c>
      <c r="L5" s="154">
        <f>G5/Input!$B17</f>
        <v>236.56509205290413</v>
      </c>
      <c r="M5" s="154">
        <f>H5/Input!$B17</f>
        <v>236.56509205290413</v>
      </c>
      <c r="N5" s="154">
        <f>I5/Input!$B17</f>
        <v>236.56509205290413</v>
      </c>
      <c r="P5" s="229"/>
      <c r="Q5" s="230"/>
      <c r="R5" s="230"/>
      <c r="S5" s="51"/>
    </row>
    <row r="6" spans="1:19" x14ac:dyDescent="0.25">
      <c r="A6" s="150">
        <v>2015</v>
      </c>
      <c r="B6" s="151">
        <v>178</v>
      </c>
      <c r="C6" s="151">
        <v>178</v>
      </c>
      <c r="D6" s="151">
        <v>178</v>
      </c>
      <c r="F6" s="153">
        <v>2015</v>
      </c>
      <c r="G6" s="154">
        <f t="shared" si="0"/>
        <v>178</v>
      </c>
      <c r="H6" s="154">
        <f t="shared" si="1"/>
        <v>178</v>
      </c>
      <c r="I6" s="154">
        <f t="shared" si="2"/>
        <v>178</v>
      </c>
      <c r="K6" s="153">
        <v>2015</v>
      </c>
      <c r="L6" s="154">
        <f>G6/Input!$B18</f>
        <v>180.72354671852761</v>
      </c>
      <c r="M6" s="154">
        <f>H6/Input!$B18</f>
        <v>180.72354671852761</v>
      </c>
      <c r="N6" s="154">
        <f>I6/Input!$B18</f>
        <v>180.72354671852761</v>
      </c>
      <c r="P6" s="229"/>
      <c r="Q6" s="230"/>
      <c r="R6" s="230"/>
      <c r="S6" s="51"/>
    </row>
    <row r="7" spans="1:19" x14ac:dyDescent="0.25">
      <c r="A7" s="150">
        <v>2016</v>
      </c>
      <c r="B7" s="151">
        <v>187</v>
      </c>
      <c r="C7" s="151">
        <v>191</v>
      </c>
      <c r="D7" s="151">
        <v>187</v>
      </c>
      <c r="F7" s="153">
        <v>2016</v>
      </c>
      <c r="G7" s="154">
        <f t="shared" si="0"/>
        <v>189.86125413688015</v>
      </c>
      <c r="H7" s="154">
        <f t="shared" si="1"/>
        <v>193.92245743392573</v>
      </c>
      <c r="I7" s="154">
        <f t="shared" si="2"/>
        <v>189.86125413688015</v>
      </c>
      <c r="K7" s="153">
        <v>2016</v>
      </c>
      <c r="L7" s="154">
        <f>G7/Input!$B19</f>
        <v>189.86125413688015</v>
      </c>
      <c r="M7" s="154">
        <f>H7/Input!$B19</f>
        <v>193.92245743392573</v>
      </c>
      <c r="N7" s="154">
        <f>I7/Input!$B19</f>
        <v>189.86125413688015</v>
      </c>
      <c r="P7" s="229"/>
      <c r="Q7" s="230"/>
      <c r="R7" s="230"/>
      <c r="S7" s="51"/>
    </row>
    <row r="8" spans="1:19" x14ac:dyDescent="0.25">
      <c r="A8" s="150">
        <v>2017</v>
      </c>
      <c r="B8" s="151">
        <v>185</v>
      </c>
      <c r="C8" s="151">
        <v>187</v>
      </c>
      <c r="D8" s="151">
        <v>187</v>
      </c>
      <c r="F8" s="153">
        <v>2017</v>
      </c>
      <c r="G8" s="154">
        <f t="shared" si="0"/>
        <v>190.71915788602368</v>
      </c>
      <c r="H8" s="154">
        <f t="shared" si="1"/>
        <v>192.78098661992664</v>
      </c>
      <c r="I8" s="154">
        <f t="shared" si="2"/>
        <v>192.78098661992664</v>
      </c>
      <c r="K8" s="153">
        <v>2017</v>
      </c>
      <c r="L8" s="154">
        <f>G8/Input!$B20</f>
        <v>187.83065248835737</v>
      </c>
      <c r="M8" s="154">
        <f>H8/Input!$B20</f>
        <v>189.86125413688015</v>
      </c>
      <c r="N8" s="154">
        <f>I8/Input!$B20</f>
        <v>189.86125413688015</v>
      </c>
      <c r="P8" s="229"/>
      <c r="Q8" s="230"/>
      <c r="R8" s="230"/>
      <c r="S8" s="51"/>
    </row>
    <row r="9" spans="1:19" x14ac:dyDescent="0.25">
      <c r="A9" s="150">
        <v>2018</v>
      </c>
      <c r="B9" s="151">
        <v>190</v>
      </c>
      <c r="C9" s="151">
        <v>194</v>
      </c>
      <c r="D9" s="151">
        <v>193</v>
      </c>
      <c r="F9" s="153">
        <v>2018</v>
      </c>
      <c r="G9" s="154">
        <f t="shared" si="0"/>
        <v>200.41037782033064</v>
      </c>
      <c r="H9" s="154">
        <f t="shared" si="1"/>
        <v>204.6295436691797</v>
      </c>
      <c r="I9" s="154">
        <f t="shared" si="2"/>
        <v>203.57475220696745</v>
      </c>
      <c r="K9" s="153">
        <v>2018</v>
      </c>
      <c r="L9" s="154">
        <f>G9/Input!$B21</f>
        <v>192.9071566096643</v>
      </c>
      <c r="M9" s="154">
        <f>H9/Input!$B21</f>
        <v>196.96835990670985</v>
      </c>
      <c r="N9" s="154">
        <f>I9/Input!$B21</f>
        <v>195.95305908244848</v>
      </c>
      <c r="P9" s="229"/>
      <c r="Q9" s="230"/>
      <c r="R9" s="230"/>
      <c r="S9" s="51"/>
    </row>
    <row r="10" spans="1:19" x14ac:dyDescent="0.25">
      <c r="A10" s="150">
        <v>2019</v>
      </c>
      <c r="B10" s="151">
        <v>209</v>
      </c>
      <c r="C10" s="151">
        <v>220</v>
      </c>
      <c r="D10" s="151">
        <v>213</v>
      </c>
      <c r="F10" s="153">
        <v>2019</v>
      </c>
      <c r="G10" s="154">
        <f t="shared" si="0"/>
        <v>224.91871411025076</v>
      </c>
      <c r="H10" s="154">
        <f t="shared" si="1"/>
        <v>236.75654116868503</v>
      </c>
      <c r="I10" s="154">
        <f t="shared" si="2"/>
        <v>229.22337849513596</v>
      </c>
      <c r="K10" s="153">
        <v>2019</v>
      </c>
      <c r="L10" s="154">
        <f>G10/Input!$B22</f>
        <v>212.19787227063071</v>
      </c>
      <c r="M10" s="154">
        <f>H10/Input!$B22</f>
        <v>223.36618133750605</v>
      </c>
      <c r="N10" s="154">
        <f>I10/Input!$B22</f>
        <v>216.25907556767629</v>
      </c>
      <c r="P10" s="229"/>
      <c r="Q10" s="230"/>
      <c r="R10" s="230"/>
      <c r="S10" s="51"/>
    </row>
    <row r="11" spans="1:19" x14ac:dyDescent="0.25">
      <c r="A11" s="150">
        <v>2020</v>
      </c>
      <c r="B11" s="151">
        <v>225</v>
      </c>
      <c r="C11" s="151">
        <v>249</v>
      </c>
      <c r="D11" s="151">
        <v>232</v>
      </c>
      <c r="F11" s="153">
        <v>2020</v>
      </c>
      <c r="G11" s="154">
        <f t="shared" si="0"/>
        <v>247.51540736447402</v>
      </c>
      <c r="H11" s="154">
        <f t="shared" si="1"/>
        <v>273.91705081668459</v>
      </c>
      <c r="I11" s="154">
        <f t="shared" si="2"/>
        <v>255.21588670470211</v>
      </c>
      <c r="K11" s="153">
        <v>2020</v>
      </c>
      <c r="L11" s="154">
        <f>G11/Input!$B23</f>
        <v>228.44268545881297</v>
      </c>
      <c r="M11" s="154">
        <f>H11/Input!$B23</f>
        <v>252.8099052410864</v>
      </c>
      <c r="N11" s="154">
        <f>I11/Input!$B23</f>
        <v>235.54979122864273</v>
      </c>
      <c r="P11" s="229"/>
      <c r="Q11" s="230"/>
      <c r="R11" s="230"/>
      <c r="S11" s="51"/>
    </row>
    <row r="12" spans="1:19" x14ac:dyDescent="0.25">
      <c r="A12" s="150">
        <v>2021</v>
      </c>
      <c r="B12" s="151">
        <v>267</v>
      </c>
      <c r="C12" s="151">
        <v>302</v>
      </c>
      <c r="D12" s="151">
        <v>277</v>
      </c>
      <c r="F12" s="153">
        <v>2021</v>
      </c>
      <c r="G12" s="154">
        <f t="shared" si="0"/>
        <v>299.39491902381286</v>
      </c>
      <c r="H12" s="154">
        <f t="shared" si="1"/>
        <v>338.64144398948122</v>
      </c>
      <c r="I12" s="154">
        <f t="shared" si="2"/>
        <v>310.60821187114669</v>
      </c>
      <c r="K12" s="153">
        <v>2021</v>
      </c>
      <c r="L12" s="154">
        <f>G12/Input!$B24</f>
        <v>271.08532007779144</v>
      </c>
      <c r="M12" s="154">
        <f>H12/Input!$B24</f>
        <v>306.62084892694014</v>
      </c>
      <c r="N12" s="154">
        <f>I12/Input!$B24</f>
        <v>281.23832832040534</v>
      </c>
      <c r="P12" s="229"/>
      <c r="Q12" s="230"/>
      <c r="R12" s="230"/>
      <c r="S12" s="51"/>
    </row>
    <row r="13" spans="1:19" x14ac:dyDescent="0.25">
      <c r="A13" s="150">
        <v>2022</v>
      </c>
      <c r="B13" s="151">
        <v>290</v>
      </c>
      <c r="C13" s="151">
        <v>329</v>
      </c>
      <c r="D13" s="151">
        <v>301</v>
      </c>
      <c r="F13" s="153">
        <v>2022</v>
      </c>
      <c r="G13" s="154">
        <f t="shared" si="0"/>
        <v>331.52454400087464</v>
      </c>
      <c r="H13" s="154">
        <f t="shared" si="1"/>
        <v>376.10887922857847</v>
      </c>
      <c r="I13" s="154">
        <f t="shared" si="2"/>
        <v>344.09961291125268</v>
      </c>
      <c r="K13" s="153">
        <v>2022</v>
      </c>
      <c r="L13" s="154">
        <f>G13/Input!$B25</f>
        <v>294.43723903580343</v>
      </c>
      <c r="M13" s="154">
        <f>H13/Input!$B25</f>
        <v>334.03397118199769</v>
      </c>
      <c r="N13" s="154">
        <f>I13/Input!$B25</f>
        <v>305.60554810267877</v>
      </c>
      <c r="P13" s="229"/>
      <c r="Q13" s="230"/>
      <c r="R13" s="230"/>
      <c r="S13" s="51"/>
    </row>
    <row r="14" spans="1:19" x14ac:dyDescent="0.25">
      <c r="A14" s="150">
        <v>2023</v>
      </c>
      <c r="B14" s="151">
        <v>307</v>
      </c>
      <c r="C14" s="151">
        <v>341</v>
      </c>
      <c r="D14" s="151">
        <v>318</v>
      </c>
      <c r="F14" s="153">
        <v>2023</v>
      </c>
      <c r="G14" s="154">
        <f t="shared" si="0"/>
        <v>357.84875946429742</v>
      </c>
      <c r="H14" s="154">
        <f t="shared" si="1"/>
        <v>397.48021816718375</v>
      </c>
      <c r="I14" s="154">
        <f t="shared" si="2"/>
        <v>370.67070198581945</v>
      </c>
      <c r="K14" s="153">
        <v>2023</v>
      </c>
      <c r="L14" s="154">
        <f>G14/Input!$B26</f>
        <v>311.69735304824707</v>
      </c>
      <c r="M14" s="154">
        <f>H14/Input!$B26</f>
        <v>346.21758107313434</v>
      </c>
      <c r="N14" s="154">
        <f>I14/Input!$B26</f>
        <v>322.86566211512235</v>
      </c>
      <c r="P14" s="229"/>
      <c r="Q14" s="230"/>
      <c r="R14" s="230"/>
      <c r="S14" s="51"/>
    </row>
    <row r="15" spans="1:19" x14ac:dyDescent="0.25">
      <c r="A15" s="150">
        <v>2024</v>
      </c>
      <c r="B15" s="151">
        <v>312</v>
      </c>
      <c r="C15" s="151">
        <v>352</v>
      </c>
      <c r="D15" s="151">
        <v>326</v>
      </c>
      <c r="F15" s="153">
        <v>2024</v>
      </c>
      <c r="G15" s="154">
        <f t="shared" si="0"/>
        <v>370.74702746169481</v>
      </c>
      <c r="H15" s="154">
        <f t="shared" si="1"/>
        <v>418.27869764909155</v>
      </c>
      <c r="I15" s="154">
        <f t="shared" si="2"/>
        <v>387.38311202728369</v>
      </c>
      <c r="K15" s="153">
        <v>2024</v>
      </c>
      <c r="L15" s="154">
        <f>G15/Input!$B27</f>
        <v>316.77385716955399</v>
      </c>
      <c r="M15" s="154">
        <f>H15/Input!$B27</f>
        <v>357.38589014000962</v>
      </c>
      <c r="N15" s="154">
        <f>I15/Input!$B27</f>
        <v>330.98806870921351</v>
      </c>
      <c r="P15" s="229"/>
      <c r="Q15" s="230"/>
      <c r="R15" s="230"/>
      <c r="S15" s="51"/>
    </row>
    <row r="16" spans="1:19" x14ac:dyDescent="0.25">
      <c r="A16" s="150">
        <v>2025</v>
      </c>
      <c r="B16" s="151">
        <v>324</v>
      </c>
      <c r="C16" s="151">
        <v>349</v>
      </c>
      <c r="D16" s="151">
        <v>339</v>
      </c>
      <c r="F16" s="153">
        <v>2025</v>
      </c>
      <c r="G16" s="154">
        <f t="shared" si="0"/>
        <v>392.47496887265322</v>
      </c>
      <c r="H16" s="154">
        <f t="shared" si="1"/>
        <v>422.75853128566655</v>
      </c>
      <c r="I16" s="154">
        <f t="shared" si="2"/>
        <v>410.64510632046125</v>
      </c>
      <c r="K16" s="153">
        <v>2025</v>
      </c>
      <c r="L16" s="154">
        <f>G16/Input!$B28</f>
        <v>328.9574670606907</v>
      </c>
      <c r="M16" s="154">
        <f>H16/Input!$B28</f>
        <v>354.3399876672255</v>
      </c>
      <c r="N16" s="154">
        <f>I16/Input!$B28</f>
        <v>344.18697942461159</v>
      </c>
      <c r="P16" s="229"/>
      <c r="Q16" s="230"/>
      <c r="R16" s="230"/>
      <c r="S16" s="51"/>
    </row>
    <row r="17" spans="1:20" x14ac:dyDescent="0.25">
      <c r="A17" t="s">
        <v>99</v>
      </c>
      <c r="F17" t="s">
        <v>140</v>
      </c>
      <c r="K17" t="s">
        <v>140</v>
      </c>
      <c r="P17" s="51"/>
      <c r="Q17" s="51"/>
      <c r="R17" s="51"/>
      <c r="S17" s="51"/>
    </row>
    <row r="18" spans="1:20" x14ac:dyDescent="0.25">
      <c r="P18" s="51"/>
      <c r="Q18" s="51"/>
      <c r="R18" s="51"/>
      <c r="S18" s="51"/>
    </row>
    <row r="19" spans="1:20" x14ac:dyDescent="0.25">
      <c r="A19" t="s">
        <v>0</v>
      </c>
    </row>
    <row r="20" spans="1:20" ht="30" x14ac:dyDescent="0.25">
      <c r="A20" s="2"/>
      <c r="B20" s="218" t="s">
        <v>119</v>
      </c>
      <c r="C20" s="218" t="s">
        <v>141</v>
      </c>
      <c r="D20" s="51"/>
      <c r="E20" s="51"/>
      <c r="F20" s="51"/>
      <c r="G20" s="51"/>
      <c r="H20" s="51"/>
      <c r="I20" s="155"/>
      <c r="J20" s="155"/>
    </row>
    <row r="21" spans="1:20" x14ac:dyDescent="0.25">
      <c r="A21" s="150">
        <v>2014</v>
      </c>
      <c r="B21" s="22">
        <v>0.989622877155372</v>
      </c>
      <c r="C21" s="2"/>
      <c r="D21" s="155"/>
      <c r="E21" s="155"/>
      <c r="F21" s="155"/>
      <c r="G21" s="155"/>
      <c r="H21" s="51"/>
      <c r="I21" s="51"/>
    </row>
    <row r="22" spans="1:20" x14ac:dyDescent="0.25">
      <c r="A22" s="150">
        <v>2015</v>
      </c>
      <c r="B22" s="22">
        <v>1</v>
      </c>
      <c r="C22" s="22">
        <v>0.98492976278974054</v>
      </c>
      <c r="D22" s="216"/>
      <c r="E22" s="217"/>
      <c r="F22" s="216"/>
      <c r="G22" s="217"/>
      <c r="H22" s="51"/>
      <c r="I22" s="159"/>
      <c r="J22" s="148"/>
      <c r="N22" s="75"/>
      <c r="P22" s="159"/>
    </row>
    <row r="23" spans="1:20" x14ac:dyDescent="0.25">
      <c r="A23" s="150">
        <v>2016</v>
      </c>
      <c r="B23" s="22">
        <v>1.0153008242613912</v>
      </c>
      <c r="C23" s="22">
        <v>1</v>
      </c>
      <c r="D23" s="216"/>
      <c r="E23" s="217"/>
      <c r="F23" s="216"/>
      <c r="G23" s="217"/>
      <c r="H23" s="51"/>
      <c r="I23" s="159"/>
      <c r="J23" s="148"/>
      <c r="N23" s="75"/>
      <c r="O23" s="51"/>
      <c r="P23" s="51"/>
    </row>
    <row r="24" spans="1:20" x14ac:dyDescent="0.25">
      <c r="A24" s="150">
        <v>2017</v>
      </c>
      <c r="B24" s="22">
        <v>1.0309143669514793</v>
      </c>
      <c r="C24" s="22">
        <v>1.015378242898056</v>
      </c>
      <c r="D24" s="216"/>
      <c r="E24" s="217"/>
      <c r="F24" s="216"/>
      <c r="G24" s="217"/>
      <c r="H24" s="51"/>
      <c r="I24" s="159"/>
      <c r="J24" s="148"/>
      <c r="N24" s="75"/>
      <c r="O24" s="158"/>
      <c r="P24" s="159"/>
      <c r="Q24" s="69"/>
      <c r="T24" s="69"/>
    </row>
    <row r="25" spans="1:20" x14ac:dyDescent="0.25">
      <c r="A25" s="150">
        <v>2018</v>
      </c>
      <c r="B25" s="22">
        <v>1.0547914622122665</v>
      </c>
      <c r="C25" s="22">
        <v>1.0388955046693713</v>
      </c>
      <c r="D25" s="216"/>
      <c r="E25" s="217"/>
      <c r="F25" s="216"/>
      <c r="G25" s="217"/>
      <c r="H25" s="51"/>
      <c r="I25" s="159"/>
      <c r="J25" s="148"/>
      <c r="N25" s="75"/>
      <c r="O25" s="158"/>
      <c r="P25" s="159"/>
      <c r="Q25" s="69"/>
      <c r="T25" s="69"/>
    </row>
    <row r="26" spans="1:20" x14ac:dyDescent="0.25">
      <c r="A26" s="150">
        <v>2019</v>
      </c>
      <c r="B26" s="22">
        <v>1.0761660962212956</v>
      </c>
      <c r="C26" s="22">
        <v>1.0599480178736018</v>
      </c>
      <c r="D26" s="216"/>
      <c r="E26" s="217"/>
      <c r="F26" s="216"/>
      <c r="G26" s="217"/>
      <c r="H26" s="51"/>
      <c r="I26" s="159"/>
      <c r="J26" s="148"/>
      <c r="N26" s="75"/>
      <c r="O26" s="158"/>
      <c r="P26" s="159"/>
      <c r="Q26" s="69"/>
      <c r="T26" s="69"/>
    </row>
    <row r="27" spans="1:20" x14ac:dyDescent="0.25">
      <c r="A27" s="150">
        <v>2020</v>
      </c>
      <c r="B27" s="22">
        <v>1.1000684771754401</v>
      </c>
      <c r="C27" s="22">
        <v>1.0834901842768774</v>
      </c>
      <c r="D27" s="216"/>
      <c r="E27" s="217"/>
      <c r="F27" s="216"/>
      <c r="G27" s="217"/>
      <c r="H27" s="51"/>
      <c r="I27" s="159"/>
      <c r="J27" s="148"/>
      <c r="N27" s="75"/>
      <c r="O27" s="158"/>
      <c r="P27" s="159"/>
      <c r="Q27" s="69"/>
      <c r="T27" s="69"/>
    </row>
    <row r="28" spans="1:20" x14ac:dyDescent="0.25">
      <c r="A28" s="150">
        <v>2021</v>
      </c>
      <c r="B28" s="22">
        <v>1.1213292847333816</v>
      </c>
      <c r="C28" s="22">
        <v>1.1044305864216388</v>
      </c>
      <c r="D28" s="216"/>
      <c r="E28" s="217"/>
      <c r="F28" s="216"/>
      <c r="G28" s="217"/>
      <c r="H28" s="51"/>
      <c r="I28" s="159"/>
      <c r="J28" s="148"/>
      <c r="N28" s="75"/>
      <c r="O28" s="158"/>
      <c r="P28" s="159"/>
      <c r="Q28" s="69"/>
      <c r="T28" s="69"/>
    </row>
    <row r="29" spans="1:20" x14ac:dyDescent="0.25">
      <c r="A29" s="150">
        <v>2022</v>
      </c>
      <c r="B29" s="22">
        <v>1.1431880827616367</v>
      </c>
      <c r="C29" s="22">
        <v>1.125959967178477</v>
      </c>
      <c r="D29" s="216"/>
      <c r="E29" s="217"/>
      <c r="F29" s="216"/>
      <c r="G29" s="217"/>
      <c r="H29" s="51"/>
      <c r="I29" s="159"/>
      <c r="J29" s="148"/>
      <c r="N29" s="75"/>
      <c r="O29" s="158"/>
      <c r="P29" s="159"/>
      <c r="Q29" s="69"/>
    </row>
    <row r="30" spans="1:20" x14ac:dyDescent="0.25">
      <c r="A30" s="150">
        <v>2023</v>
      </c>
      <c r="B30" s="22">
        <v>1.1656311383201869</v>
      </c>
      <c r="C30" s="22">
        <v>1.148064800566037</v>
      </c>
      <c r="D30" s="216"/>
      <c r="E30" s="217"/>
      <c r="F30" s="216"/>
      <c r="G30" s="217"/>
      <c r="H30" s="51"/>
      <c r="I30" s="159"/>
      <c r="J30" s="148"/>
      <c r="N30" s="75"/>
      <c r="O30" s="158"/>
      <c r="P30" s="159"/>
      <c r="Q30" s="69"/>
    </row>
    <row r="31" spans="1:20" x14ac:dyDescent="0.25">
      <c r="A31" s="150">
        <v>2024</v>
      </c>
      <c r="B31" s="22">
        <v>1.1882917546849192</v>
      </c>
      <c r="C31" s="22">
        <v>1.1703839160668221</v>
      </c>
      <c r="D31" s="216"/>
      <c r="E31" s="217"/>
      <c r="F31" s="216"/>
      <c r="G31" s="217"/>
      <c r="H31" s="51"/>
      <c r="I31" s="159"/>
      <c r="J31" s="148"/>
      <c r="N31" s="75"/>
      <c r="O31" s="158"/>
      <c r="P31" s="159"/>
      <c r="Q31" s="69"/>
    </row>
    <row r="32" spans="1:20" x14ac:dyDescent="0.25">
      <c r="A32" s="150">
        <v>2025</v>
      </c>
      <c r="B32" s="22">
        <v>1.2113424965205346</v>
      </c>
      <c r="C32" s="22">
        <v>1.1930872777551023</v>
      </c>
      <c r="D32" s="216"/>
      <c r="E32" s="217"/>
      <c r="F32" s="216"/>
      <c r="G32" s="217"/>
      <c r="H32" s="51"/>
      <c r="I32" s="159"/>
      <c r="J32" s="148"/>
      <c r="N32" s="75"/>
      <c r="O32" s="158"/>
      <c r="P32" s="159"/>
      <c r="Q32" s="69"/>
    </row>
    <row r="33" spans="1:12" x14ac:dyDescent="0.25">
      <c r="A33" t="s">
        <v>162</v>
      </c>
      <c r="C33" s="51"/>
      <c r="D33" s="51"/>
      <c r="E33" s="51"/>
      <c r="F33" s="51"/>
      <c r="G33" s="51"/>
      <c r="H33" s="51"/>
      <c r="I33" s="51"/>
    </row>
    <row r="34" spans="1:12" x14ac:dyDescent="0.25">
      <c r="A34" s="51"/>
      <c r="B34" s="51"/>
      <c r="C34" s="51"/>
      <c r="D34" s="51"/>
      <c r="E34" s="51"/>
      <c r="F34" s="51"/>
      <c r="G34" s="51"/>
      <c r="H34" s="51"/>
      <c r="I34" s="51"/>
    </row>
    <row r="35" spans="1:12" x14ac:dyDescent="0.25">
      <c r="A35" s="51"/>
      <c r="B35" s="51"/>
      <c r="C35" s="51"/>
      <c r="D35" s="51"/>
      <c r="E35" s="51"/>
      <c r="F35" s="51"/>
      <c r="G35" s="51"/>
      <c r="H35" s="51"/>
      <c r="I35" s="51"/>
    </row>
    <row r="36" spans="1:12" x14ac:dyDescent="0.25">
      <c r="A36" s="51"/>
      <c r="B36" s="51"/>
      <c r="C36" s="51"/>
      <c r="D36" s="51"/>
      <c r="E36" s="51"/>
      <c r="F36" s="51"/>
      <c r="G36" s="51"/>
      <c r="H36" s="51"/>
      <c r="I36" s="51"/>
    </row>
    <row r="37" spans="1:12" s="51" customFormat="1" x14ac:dyDescent="0.25"/>
    <row r="38" spans="1:12" s="51" customFormat="1" x14ac:dyDescent="0.25"/>
    <row r="39" spans="1:12" s="51" customFormat="1" x14ac:dyDescent="0.25">
      <c r="B39" s="214"/>
      <c r="C39" s="214"/>
      <c r="D39" s="214"/>
      <c r="E39" s="214"/>
      <c r="F39" s="214"/>
      <c r="G39" s="214"/>
      <c r="H39" s="155"/>
      <c r="I39" s="155"/>
      <c r="J39" s="214"/>
      <c r="K39" s="214"/>
      <c r="L39" s="215"/>
    </row>
    <row r="40" spans="1:12" s="51" customFormat="1" x14ac:dyDescent="0.25">
      <c r="A40" s="56"/>
      <c r="B40" s="159"/>
      <c r="C40" s="159"/>
      <c r="D40" s="159"/>
      <c r="E40" s="159"/>
      <c r="F40" s="159"/>
      <c r="G40" s="159"/>
      <c r="H40" s="159"/>
      <c r="I40" s="159"/>
      <c r="J40" s="159"/>
      <c r="K40" s="159"/>
      <c r="L40" s="159"/>
    </row>
    <row r="41" spans="1:12" s="51" customFormat="1" x14ac:dyDescent="0.25">
      <c r="A41" s="56"/>
      <c r="B41" s="159"/>
      <c r="C41" s="159"/>
      <c r="D41" s="159"/>
      <c r="E41" s="159"/>
      <c r="F41" s="159"/>
      <c r="G41" s="159"/>
      <c r="H41" s="159"/>
      <c r="I41" s="159"/>
      <c r="J41" s="159"/>
      <c r="K41" s="159"/>
      <c r="L41" s="159"/>
    </row>
    <row r="42" spans="1:12" s="51" customFormat="1" x14ac:dyDescent="0.25">
      <c r="A42" s="56"/>
      <c r="B42" s="159"/>
      <c r="C42" s="159"/>
      <c r="D42" s="159"/>
      <c r="E42" s="159"/>
      <c r="F42" s="159"/>
      <c r="G42" s="159"/>
      <c r="H42" s="159"/>
      <c r="I42" s="159"/>
      <c r="J42" s="159"/>
      <c r="K42" s="159"/>
      <c r="L42" s="159"/>
    </row>
    <row r="43" spans="1:12" s="51" customFormat="1" x14ac:dyDescent="0.25">
      <c r="A43" s="56"/>
      <c r="B43" s="159"/>
      <c r="C43" s="159"/>
      <c r="D43" s="159"/>
      <c r="E43" s="159"/>
      <c r="F43" s="159"/>
      <c r="G43" s="159"/>
      <c r="H43" s="159"/>
      <c r="I43" s="159"/>
      <c r="J43" s="159"/>
      <c r="K43" s="159"/>
      <c r="L43" s="159"/>
    </row>
    <row r="44" spans="1:12" s="51" customFormat="1" x14ac:dyDescent="0.25">
      <c r="A44" s="56"/>
      <c r="B44" s="159"/>
      <c r="C44" s="159"/>
      <c r="D44" s="159"/>
      <c r="E44" s="159"/>
      <c r="F44" s="159"/>
      <c r="G44" s="159"/>
      <c r="H44" s="159"/>
      <c r="I44" s="159"/>
      <c r="J44" s="159"/>
      <c r="K44" s="159"/>
      <c r="L44" s="159"/>
    </row>
    <row r="45" spans="1:12" s="51" customFormat="1" x14ac:dyDescent="0.25">
      <c r="A45" s="56"/>
      <c r="B45" s="159"/>
      <c r="C45" s="159"/>
      <c r="D45" s="159"/>
      <c r="E45" s="159"/>
      <c r="F45" s="159"/>
      <c r="G45" s="159"/>
      <c r="H45" s="159"/>
      <c r="I45" s="159"/>
      <c r="J45" s="159"/>
      <c r="K45" s="159"/>
      <c r="L45" s="159"/>
    </row>
    <row r="46" spans="1:12" s="51" customFormat="1" x14ac:dyDescent="0.25">
      <c r="A46" s="56"/>
      <c r="B46" s="159"/>
      <c r="C46" s="159"/>
      <c r="D46" s="159"/>
      <c r="E46" s="159"/>
      <c r="F46" s="159"/>
      <c r="G46" s="159"/>
      <c r="H46" s="159"/>
      <c r="I46" s="159"/>
      <c r="J46" s="159"/>
      <c r="K46" s="159"/>
      <c r="L46" s="159"/>
    </row>
    <row r="47" spans="1:12" s="51" customFormat="1" x14ac:dyDescent="0.25">
      <c r="A47" s="56"/>
      <c r="B47" s="159"/>
      <c r="C47" s="159"/>
      <c r="D47" s="159"/>
      <c r="E47" s="159"/>
      <c r="F47" s="159"/>
      <c r="G47" s="159"/>
      <c r="H47" s="159"/>
      <c r="I47" s="159"/>
      <c r="J47" s="159"/>
      <c r="K47" s="159"/>
      <c r="L47" s="159"/>
    </row>
    <row r="48" spans="1:12" s="51" customFormat="1" x14ac:dyDescent="0.25">
      <c r="A48" s="56"/>
      <c r="B48" s="159"/>
      <c r="C48" s="159"/>
      <c r="D48" s="159"/>
      <c r="E48" s="159"/>
      <c r="F48" s="159"/>
      <c r="G48" s="159"/>
      <c r="H48" s="159"/>
      <c r="I48" s="159"/>
      <c r="J48" s="159"/>
      <c r="K48" s="159"/>
      <c r="L48" s="159"/>
    </row>
    <row r="49" spans="1:12" s="51" customFormat="1" x14ac:dyDescent="0.25">
      <c r="A49" s="56"/>
      <c r="B49" s="159"/>
      <c r="C49" s="159"/>
      <c r="D49" s="159"/>
      <c r="E49" s="159"/>
      <c r="F49" s="159"/>
      <c r="G49" s="159"/>
      <c r="H49" s="159"/>
      <c r="I49" s="159"/>
      <c r="J49" s="159"/>
      <c r="K49" s="159"/>
      <c r="L49" s="159"/>
    </row>
    <row r="50" spans="1:12" s="51" customFormat="1" x14ac:dyDescent="0.25">
      <c r="A50" s="56"/>
      <c r="B50" s="159"/>
      <c r="C50" s="159"/>
      <c r="D50" s="159"/>
      <c r="E50" s="159"/>
      <c r="F50" s="159"/>
      <c r="G50" s="159"/>
      <c r="H50" s="159"/>
      <c r="I50" s="159"/>
      <c r="J50" s="159"/>
      <c r="K50" s="159"/>
      <c r="L50" s="159"/>
    </row>
    <row r="51" spans="1:12" s="51" customFormat="1" x14ac:dyDescent="0.25">
      <c r="B51" s="159"/>
      <c r="C51" s="159"/>
      <c r="D51" s="159"/>
    </row>
    <row r="52" spans="1:12" s="51" customFormat="1" x14ac:dyDescent="0.25"/>
    <row r="53" spans="1:12" s="51" customFormat="1" x14ac:dyDescent="0.25">
      <c r="B53" s="214"/>
      <c r="C53" s="214"/>
      <c r="D53" s="214"/>
      <c r="E53" s="214"/>
      <c r="F53" s="214"/>
      <c r="G53" s="214"/>
      <c r="H53" s="155"/>
      <c r="I53" s="155"/>
      <c r="J53" s="214"/>
      <c r="K53" s="214"/>
      <c r="L53" s="215"/>
    </row>
    <row r="54" spans="1:12" s="51" customFormat="1" x14ac:dyDescent="0.25"/>
    <row r="55" spans="1:12" s="51" customFormat="1" x14ac:dyDescent="0.25"/>
    <row r="56" spans="1:12" s="51" customFormat="1" x14ac:dyDescent="0.25">
      <c r="B56" s="214"/>
      <c r="C56" s="214"/>
      <c r="D56" s="214"/>
      <c r="E56" s="214"/>
      <c r="F56" s="214"/>
      <c r="G56" s="214"/>
      <c r="H56" s="155"/>
      <c r="I56" s="155"/>
      <c r="J56" s="214"/>
      <c r="K56" s="214"/>
      <c r="L56" s="215"/>
    </row>
    <row r="57" spans="1:12" s="51" customFormat="1" x14ac:dyDescent="0.25">
      <c r="A57" s="56"/>
      <c r="B57" s="159"/>
      <c r="C57" s="159"/>
      <c r="D57" s="159"/>
      <c r="E57" s="159"/>
      <c r="F57" s="159"/>
      <c r="G57" s="159"/>
      <c r="H57" s="159"/>
      <c r="I57" s="159"/>
      <c r="J57" s="159"/>
      <c r="K57" s="159"/>
      <c r="L57" s="159"/>
    </row>
    <row r="58" spans="1:12" s="51" customFormat="1" x14ac:dyDescent="0.25">
      <c r="A58" s="56"/>
      <c r="B58" s="159"/>
      <c r="C58" s="159"/>
      <c r="D58" s="159"/>
      <c r="E58" s="159"/>
      <c r="F58" s="159"/>
      <c r="G58" s="159"/>
      <c r="H58" s="159"/>
      <c r="I58" s="159"/>
      <c r="J58" s="159"/>
      <c r="K58" s="159"/>
      <c r="L58" s="159"/>
    </row>
    <row r="59" spans="1:12" s="51" customFormat="1" x14ac:dyDescent="0.25">
      <c r="A59" s="56"/>
      <c r="B59" s="159"/>
      <c r="C59" s="159"/>
      <c r="D59" s="159"/>
      <c r="E59" s="159"/>
      <c r="F59" s="159"/>
      <c r="G59" s="159"/>
      <c r="H59" s="159"/>
      <c r="I59" s="159"/>
      <c r="J59" s="159"/>
      <c r="K59" s="159"/>
      <c r="L59" s="159"/>
    </row>
    <row r="60" spans="1:12" s="51" customFormat="1" x14ac:dyDescent="0.25">
      <c r="A60" s="56"/>
      <c r="B60" s="159"/>
      <c r="C60" s="159"/>
      <c r="D60" s="159"/>
      <c r="E60" s="159"/>
      <c r="F60" s="159"/>
      <c r="G60" s="159"/>
      <c r="H60" s="159"/>
      <c r="I60" s="159"/>
      <c r="J60" s="159"/>
      <c r="K60" s="159"/>
      <c r="L60" s="159"/>
    </row>
    <row r="61" spans="1:12" s="51" customFormat="1" x14ac:dyDescent="0.25">
      <c r="A61" s="56"/>
      <c r="B61" s="159"/>
      <c r="C61" s="159"/>
      <c r="D61" s="159"/>
      <c r="E61" s="159"/>
      <c r="F61" s="159"/>
      <c r="G61" s="159"/>
      <c r="H61" s="159"/>
      <c r="I61" s="159"/>
      <c r="J61" s="159"/>
      <c r="K61" s="159"/>
      <c r="L61" s="159"/>
    </row>
    <row r="62" spans="1:12" s="51" customFormat="1" x14ac:dyDescent="0.25">
      <c r="A62" s="56"/>
      <c r="B62" s="159"/>
      <c r="C62" s="159"/>
      <c r="D62" s="159"/>
      <c r="E62" s="159"/>
      <c r="F62" s="159"/>
      <c r="G62" s="159"/>
      <c r="H62" s="159"/>
      <c r="I62" s="159"/>
      <c r="J62" s="159"/>
      <c r="K62" s="159"/>
      <c r="L62" s="159"/>
    </row>
    <row r="63" spans="1:12" s="51" customFormat="1" x14ac:dyDescent="0.25">
      <c r="A63" s="56"/>
      <c r="B63" s="159"/>
      <c r="C63" s="159"/>
      <c r="D63" s="159"/>
      <c r="E63" s="159"/>
      <c r="F63" s="159"/>
      <c r="G63" s="159"/>
      <c r="H63" s="159"/>
      <c r="I63" s="159"/>
      <c r="J63" s="159"/>
      <c r="K63" s="159"/>
      <c r="L63" s="159"/>
    </row>
    <row r="64" spans="1:12" s="51" customFormat="1" x14ac:dyDescent="0.25">
      <c r="A64" s="56"/>
      <c r="B64" s="159"/>
      <c r="C64" s="159"/>
      <c r="D64" s="159"/>
      <c r="E64" s="159"/>
      <c r="F64" s="159"/>
      <c r="G64" s="159"/>
      <c r="H64" s="159"/>
      <c r="I64" s="159"/>
      <c r="J64" s="159"/>
      <c r="K64" s="159"/>
      <c r="L64" s="159"/>
    </row>
    <row r="65" spans="1:12" s="51" customFormat="1" x14ac:dyDescent="0.25">
      <c r="A65" s="56"/>
      <c r="B65" s="159"/>
      <c r="C65" s="159"/>
      <c r="D65" s="159"/>
      <c r="E65" s="159"/>
      <c r="F65" s="159"/>
      <c r="G65" s="159"/>
      <c r="H65" s="159"/>
      <c r="I65" s="159"/>
      <c r="J65" s="159"/>
      <c r="K65" s="159"/>
      <c r="L65" s="159"/>
    </row>
    <row r="66" spans="1:12" s="51" customFormat="1" x14ac:dyDescent="0.25">
      <c r="A66" s="56"/>
      <c r="B66" s="159"/>
      <c r="C66" s="159"/>
      <c r="D66" s="159"/>
      <c r="E66" s="159"/>
      <c r="F66" s="159"/>
      <c r="G66" s="159"/>
      <c r="H66" s="159"/>
      <c r="I66" s="159"/>
      <c r="J66" s="159"/>
      <c r="K66" s="159"/>
      <c r="L66" s="159"/>
    </row>
    <row r="67" spans="1:12" s="51" customFormat="1" x14ac:dyDescent="0.25">
      <c r="A67" s="56"/>
      <c r="B67" s="159"/>
      <c r="C67" s="159"/>
      <c r="D67" s="159"/>
      <c r="E67" s="159"/>
      <c r="F67" s="159"/>
      <c r="G67" s="159"/>
      <c r="H67" s="159"/>
      <c r="I67" s="159"/>
      <c r="J67" s="159"/>
      <c r="K67" s="159"/>
      <c r="L67" s="159"/>
    </row>
    <row r="68" spans="1:12" s="51" customFormat="1" x14ac:dyDescent="0.25"/>
    <row r="534" spans="4:4" x14ac:dyDescent="0.25">
      <c r="D534" t="b">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Information</vt:lpstr>
      <vt:lpstr>Støtte til VE-el</vt:lpstr>
      <vt:lpstr>Input</vt:lpstr>
      <vt:lpstr>Elpris</vt:lpstr>
      <vt:lpstr>Elprisforløb</vt:lpstr>
      <vt:lpstr>ValgtElpris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Mikkel og Iben</dc:creator>
  <cp:lastModifiedBy>Stine Roland Knudsen</cp:lastModifiedBy>
  <cp:lastPrinted>2016-01-08T07:44:15Z</cp:lastPrinted>
  <dcterms:created xsi:type="dcterms:W3CDTF">2015-04-16T08:27:09Z</dcterms:created>
  <dcterms:modified xsi:type="dcterms:W3CDTF">2016-09-14T10:41:18Z</dcterms:modified>
</cp:coreProperties>
</file>