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workbookProtection workbookAlgorithmName="SHA-512" workbookHashValue="pLRYf9bFTMbmSjVsLkEEwH673Oa7F+vXnl27xSXWxoSd2SN0YDXcQ3OIvOU0m0EZ+Xwb+jVI1br8CKVFG3uTkg==" workbookSaltValue="PdsJws3bSmy7y1uN9apsWw==" workbookSpinCount="100000" lockStructure="1"/>
  <bookViews>
    <workbookView xWindow="0" yWindow="0" windowWidth="19200" windowHeight="5700" activeTab="2"/>
  </bookViews>
  <sheets>
    <sheet name="Forside" sheetId="7" r:id="rId1"/>
    <sheet name="Beskrivelse" sheetId="8" r:id="rId2"/>
    <sheet name="Beregner " sheetId="3" r:id="rId3"/>
    <sheet name="Forbrugsberegner" sheetId="2" state="hidden" r:id="rId4"/>
    <sheet name="Virkningsgradsberegner" sheetId="5" state="hidden" r:id="rId5"/>
    <sheet name="Graddageberegner" sheetId="6" state="hidden" r:id="rId6"/>
  </sheets>
  <definedNames>
    <definedName name="Branche">Graddageberegner!$M$105:$M$113</definedName>
    <definedName name="Kedelliste">Virkningsgradsberegner!$M$14:$M$18</definedName>
    <definedName name="Manuel">Graddageberegner!$R$105:$R$206</definedName>
    <definedName name="Procesenergi">Graddageberegner!$S$105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3" l="1"/>
  <c r="O9" i="3"/>
  <c r="O11" i="3"/>
  <c r="AA25" i="6" l="1"/>
  <c r="Z25" i="6"/>
  <c r="C26" i="3" l="1"/>
  <c r="C24" i="3"/>
  <c r="B3" i="3" l="1"/>
  <c r="C124" i="6" l="1"/>
  <c r="C32" i="3" l="1"/>
  <c r="C125" i="6"/>
  <c r="N114" i="6"/>
  <c r="M90" i="2" l="1"/>
  <c r="C23" i="3" s="1"/>
  <c r="H30" i="3" l="1"/>
  <c r="AE26" i="6" l="1"/>
  <c r="C153" i="6"/>
  <c r="B107" i="2" l="1"/>
  <c r="B109" i="2"/>
  <c r="D47" i="2"/>
  <c r="B81" i="2" s="1"/>
  <c r="D55" i="2"/>
  <c r="C47" i="2" l="1"/>
  <c r="O18" i="3"/>
  <c r="E78" i="2"/>
  <c r="K4" i="5" l="1"/>
  <c r="C92" i="5"/>
  <c r="I27" i="3"/>
  <c r="I34" i="3" s="1"/>
  <c r="B108" i="2"/>
  <c r="I29" i="3" l="1"/>
  <c r="O15" i="3"/>
  <c r="B17" i="2"/>
  <c r="C17" i="2" s="1"/>
  <c r="I82" i="2"/>
  <c r="I83" i="2" l="1"/>
  <c r="E75" i="2"/>
  <c r="O4" i="8"/>
  <c r="E27" i="6" l="1"/>
  <c r="J39" i="3"/>
  <c r="B2" i="8" l="1"/>
  <c r="C20" i="3" l="1"/>
  <c r="D153" i="6" l="1"/>
  <c r="C154" i="6" l="1"/>
  <c r="C155" i="6" s="1"/>
  <c r="F153" i="6"/>
  <c r="D154" i="6"/>
  <c r="D155" i="6" s="1"/>
  <c r="J97" i="6"/>
  <c r="N68" i="2" l="1"/>
  <c r="N67" i="2"/>
  <c r="N66" i="2"/>
  <c r="D3" i="2" l="1"/>
  <c r="C3" i="2" s="1"/>
  <c r="L2" i="2" l="1"/>
  <c r="C4" i="5"/>
  <c r="M11" i="5" s="1"/>
  <c r="C6" i="5"/>
  <c r="R4" i="6" l="1"/>
  <c r="R5" i="6" l="1"/>
  <c r="R6" i="6" s="1"/>
  <c r="R7" i="6" s="1"/>
  <c r="E153" i="6" l="1"/>
  <c r="C157" i="6" s="1"/>
  <c r="C27" i="3" s="1"/>
  <c r="AE20" i="6"/>
  <c r="AG20" i="6" s="1"/>
  <c r="AE21" i="6"/>
  <c r="AG21" i="6" s="1"/>
  <c r="AE22" i="6"/>
  <c r="AG22" i="6" s="1"/>
  <c r="AE23" i="6"/>
  <c r="AG23" i="6" s="1"/>
  <c r="AE24" i="6"/>
  <c r="AG24" i="6" s="1"/>
  <c r="E154" i="6" l="1"/>
  <c r="Q102" i="6"/>
  <c r="E155" i="6" l="1"/>
  <c r="F154" i="6"/>
  <c r="F155" i="6" s="1"/>
  <c r="B141" i="6" l="1"/>
  <c r="C158" i="6"/>
  <c r="C28" i="3" s="1"/>
  <c r="C159" i="6"/>
  <c r="C29" i="3" s="1"/>
  <c r="I28" i="3"/>
  <c r="B143" i="6" l="1"/>
  <c r="T27" i="3"/>
  <c r="B142" i="6"/>
  <c r="D129" i="6"/>
  <c r="C131" i="6"/>
  <c r="C132" i="6"/>
  <c r="C130" i="6"/>
  <c r="C92" i="6"/>
  <c r="C96" i="6"/>
  <c r="L36" i="6" s="1"/>
  <c r="B96" i="6"/>
  <c r="B107" i="6" s="1"/>
  <c r="P31" i="6"/>
  <c r="O30" i="6"/>
  <c r="O31" i="6" s="1"/>
  <c r="N29" i="6"/>
  <c r="N30" i="6" s="1"/>
  <c r="N31" i="6" s="1"/>
  <c r="M28" i="6"/>
  <c r="M29" i="6" s="1"/>
  <c r="M30" i="6" s="1"/>
  <c r="M31" i="6" s="1"/>
  <c r="L27" i="6"/>
  <c r="L28" i="6" s="1"/>
  <c r="L29" i="6" s="1"/>
  <c r="L30" i="6" s="1"/>
  <c r="L31" i="6" s="1"/>
  <c r="K26" i="6"/>
  <c r="K27" i="6" s="1"/>
  <c r="K28" i="6" s="1"/>
  <c r="K29" i="6" s="1"/>
  <c r="K30" i="6" s="1"/>
  <c r="K31" i="6" s="1"/>
  <c r="J25" i="6"/>
  <c r="J26" i="6" s="1"/>
  <c r="J27" i="6" s="1"/>
  <c r="J28" i="6" s="1"/>
  <c r="J29" i="6" s="1"/>
  <c r="J30" i="6" s="1"/>
  <c r="J31" i="6" s="1"/>
  <c r="I24" i="6"/>
  <c r="I25" i="6" s="1"/>
  <c r="I26" i="6" s="1"/>
  <c r="I27" i="6" s="1"/>
  <c r="I28" i="6" s="1"/>
  <c r="I29" i="6" s="1"/>
  <c r="I30" i="6" s="1"/>
  <c r="I31" i="6" s="1"/>
  <c r="H23" i="6"/>
  <c r="H24" i="6" s="1"/>
  <c r="H25" i="6" s="1"/>
  <c r="H26" i="6" s="1"/>
  <c r="H27" i="6" s="1"/>
  <c r="H28" i="6" s="1"/>
  <c r="H29" i="6" s="1"/>
  <c r="H30" i="6" s="1"/>
  <c r="H31" i="6" s="1"/>
  <c r="G22" i="6"/>
  <c r="F21" i="6"/>
  <c r="F22" i="6" s="1"/>
  <c r="F23" i="6" s="1"/>
  <c r="F24" i="6" s="1"/>
  <c r="F25" i="6" s="1"/>
  <c r="F26" i="6" s="1"/>
  <c r="F27" i="6" s="1"/>
  <c r="F28" i="6" s="1"/>
  <c r="F29" i="6" s="1"/>
  <c r="F30" i="6" s="1"/>
  <c r="F31" i="6" s="1"/>
  <c r="E20" i="6"/>
  <c r="E21" i="6" s="1"/>
  <c r="E22" i="6" s="1"/>
  <c r="E23" i="6" s="1"/>
  <c r="E24" i="6" s="1"/>
  <c r="E25" i="6" s="1"/>
  <c r="E26" i="6" s="1"/>
  <c r="E28" i="6" s="1"/>
  <c r="E29" i="6" s="1"/>
  <c r="E30" i="6" s="1"/>
  <c r="E31" i="6" s="1"/>
  <c r="G23" i="6" l="1"/>
  <c r="G24" i="6" s="1"/>
  <c r="G25" i="6" s="1"/>
  <c r="G26" i="6" s="1"/>
  <c r="G27" i="6" s="1"/>
  <c r="G28" i="6" s="1"/>
  <c r="G29" i="6" s="1"/>
  <c r="G30" i="6" s="1"/>
  <c r="G31" i="6" s="1"/>
  <c r="G149" i="6"/>
  <c r="B108" i="6"/>
  <c r="B130" i="6"/>
  <c r="G42" i="6"/>
  <c r="B97" i="6"/>
  <c r="B100" i="6" s="1"/>
  <c r="J39" i="6" s="1"/>
  <c r="L37" i="6"/>
  <c r="L39" i="6" s="1"/>
  <c r="K39" i="6" s="1"/>
  <c r="B128" i="6"/>
  <c r="C129" i="6"/>
  <c r="C97" i="6"/>
  <c r="O8" i="3"/>
  <c r="I12" i="3" s="1"/>
  <c r="B131" i="6" l="1"/>
  <c r="B109" i="6"/>
  <c r="B101" i="6"/>
  <c r="J51" i="6" s="1"/>
  <c r="P35" i="6" s="1"/>
  <c r="Q36" i="6"/>
  <c r="R36" i="6" s="1"/>
  <c r="P36" i="6"/>
  <c r="P37" i="6" s="1"/>
  <c r="L58" i="6" s="1"/>
  <c r="D34" i="6"/>
  <c r="L47" i="6"/>
  <c r="M47" i="6" s="1"/>
  <c r="L49" i="6"/>
  <c r="M49" i="6" s="1"/>
  <c r="L40" i="6"/>
  <c r="M40" i="6" s="1"/>
  <c r="L44" i="6"/>
  <c r="M44" i="6" s="1"/>
  <c r="L46" i="6"/>
  <c r="M46" i="6" s="1"/>
  <c r="L41" i="6"/>
  <c r="M41" i="6" s="1"/>
  <c r="L48" i="6"/>
  <c r="M48" i="6" s="1"/>
  <c r="L50" i="6"/>
  <c r="M50" i="6" s="1"/>
  <c r="L43" i="6"/>
  <c r="M43" i="6" s="1"/>
  <c r="L45" i="6"/>
  <c r="M45" i="6" s="1"/>
  <c r="L42" i="6"/>
  <c r="M42" i="6" s="1"/>
  <c r="C34" i="6"/>
  <c r="B102" i="6" l="1"/>
  <c r="B103" i="6" s="1"/>
  <c r="J75" i="6" s="1"/>
  <c r="Q37" i="6"/>
  <c r="L74" i="6" s="1"/>
  <c r="R37" i="6"/>
  <c r="L83" i="6" s="1"/>
  <c r="M58" i="6"/>
  <c r="L61" i="6"/>
  <c r="M61" i="6" s="1"/>
  <c r="L53" i="6"/>
  <c r="M53" i="6" s="1"/>
  <c r="L60" i="6"/>
  <c r="M60" i="6" s="1"/>
  <c r="L57" i="6"/>
  <c r="M57" i="6" s="1"/>
  <c r="L59" i="6"/>
  <c r="M59" i="6" s="1"/>
  <c r="L56" i="6"/>
  <c r="M56" i="6" s="1"/>
  <c r="L52" i="6"/>
  <c r="M52" i="6" s="1"/>
  <c r="L54" i="6"/>
  <c r="M54" i="6" s="1"/>
  <c r="L51" i="6"/>
  <c r="L55" i="6"/>
  <c r="M55" i="6" s="1"/>
  <c r="L62" i="6"/>
  <c r="M62" i="6" s="1"/>
  <c r="M39" i="6"/>
  <c r="I50" i="6" s="1"/>
  <c r="K40" i="6"/>
  <c r="K41" i="6" s="1"/>
  <c r="M51" i="6" l="1"/>
  <c r="N51" i="6" s="1"/>
  <c r="N52" i="6" s="1"/>
  <c r="N53" i="6" s="1"/>
  <c r="N54" i="6" s="1"/>
  <c r="N55" i="6" s="1"/>
  <c r="N56" i="6" s="1"/>
  <c r="N57" i="6" s="1"/>
  <c r="N58" i="6" s="1"/>
  <c r="N59" i="6" s="1"/>
  <c r="N60" i="6" s="1"/>
  <c r="N61" i="6" s="1"/>
  <c r="N62" i="6" s="1"/>
  <c r="J63" i="6"/>
  <c r="M74" i="6" s="1"/>
  <c r="L82" i="6"/>
  <c r="M82" i="6" s="1"/>
  <c r="L71" i="6"/>
  <c r="L68" i="6"/>
  <c r="L64" i="6"/>
  <c r="L79" i="6"/>
  <c r="M79" i="6" s="1"/>
  <c r="L67" i="6"/>
  <c r="L65" i="6"/>
  <c r="L72" i="6"/>
  <c r="L63" i="6"/>
  <c r="L81" i="6"/>
  <c r="M81" i="6" s="1"/>
  <c r="L70" i="6"/>
  <c r="L80" i="6"/>
  <c r="M80" i="6" s="1"/>
  <c r="L73" i="6"/>
  <c r="L84" i="6"/>
  <c r="M84" i="6" s="1"/>
  <c r="L77" i="6"/>
  <c r="M77" i="6" s="1"/>
  <c r="L85" i="6"/>
  <c r="M85" i="6" s="1"/>
  <c r="L76" i="6"/>
  <c r="M76" i="6" s="1"/>
  <c r="L69" i="6"/>
  <c r="L66" i="6"/>
  <c r="L86" i="6"/>
  <c r="M86" i="6" s="1"/>
  <c r="L75" i="6"/>
  <c r="M75" i="6" s="1"/>
  <c r="N75" i="6" s="1"/>
  <c r="L78" i="6"/>
  <c r="M78" i="6" s="1"/>
  <c r="O39" i="6"/>
  <c r="O40" i="6" s="1"/>
  <c r="O41" i="6" s="1"/>
  <c r="N39" i="6"/>
  <c r="N40" i="6" s="1"/>
  <c r="N41" i="6" s="1"/>
  <c r="N42" i="6" s="1"/>
  <c r="N43" i="6" s="1"/>
  <c r="N44" i="6" s="1"/>
  <c r="N45" i="6" s="1"/>
  <c r="N46" i="6" s="1"/>
  <c r="N47" i="6" s="1"/>
  <c r="N48" i="6" s="1"/>
  <c r="N49" i="6" s="1"/>
  <c r="N50" i="6" s="1"/>
  <c r="K42" i="6"/>
  <c r="R35" i="6"/>
  <c r="M83" i="6"/>
  <c r="J36" i="3"/>
  <c r="C38" i="3" s="1"/>
  <c r="J37" i="3" l="1"/>
  <c r="J38" i="3"/>
  <c r="I39" i="3"/>
  <c r="I38" i="3"/>
  <c r="I37" i="3"/>
  <c r="B38" i="3"/>
  <c r="C39" i="3"/>
  <c r="B39" i="3" s="1"/>
  <c r="C37" i="3"/>
  <c r="B37" i="3" s="1"/>
  <c r="I62" i="6"/>
  <c r="M64" i="6"/>
  <c r="Q35" i="6"/>
  <c r="M70" i="6"/>
  <c r="M69" i="6"/>
  <c r="M72" i="6"/>
  <c r="M65" i="6"/>
  <c r="M73" i="6"/>
  <c r="M66" i="6"/>
  <c r="M68" i="6"/>
  <c r="M63" i="6"/>
  <c r="N63" i="6" s="1"/>
  <c r="M67" i="6"/>
  <c r="M71" i="6"/>
  <c r="N76" i="6"/>
  <c r="N77" i="6" s="1"/>
  <c r="N78" i="6" s="1"/>
  <c r="N79" i="6" s="1"/>
  <c r="N80" i="6" s="1"/>
  <c r="N81" i="6" s="1"/>
  <c r="N82" i="6" s="1"/>
  <c r="N83" i="6" s="1"/>
  <c r="N84" i="6" s="1"/>
  <c r="N85" i="6" s="1"/>
  <c r="N86" i="6" s="1"/>
  <c r="O42" i="6"/>
  <c r="K43" i="6"/>
  <c r="B101" i="2"/>
  <c r="C3" i="5"/>
  <c r="C7" i="5" s="1"/>
  <c r="C5" i="5"/>
  <c r="M15" i="5" s="1"/>
  <c r="M14" i="5" l="1"/>
  <c r="N64" i="6"/>
  <c r="N65" i="6" s="1"/>
  <c r="N66" i="6" s="1"/>
  <c r="N67" i="6" s="1"/>
  <c r="N68" i="6" s="1"/>
  <c r="N69" i="6" s="1"/>
  <c r="N70" i="6" s="1"/>
  <c r="N71" i="6" s="1"/>
  <c r="N72" i="6" s="1"/>
  <c r="N73" i="6" s="1"/>
  <c r="N74" i="6" s="1"/>
  <c r="I74" i="6"/>
  <c r="D21" i="5"/>
  <c r="O43" i="6"/>
  <c r="K44" i="6"/>
  <c r="C21" i="5"/>
  <c r="L14" i="5" l="1"/>
  <c r="M18" i="5"/>
  <c r="M17" i="5"/>
  <c r="M16" i="5"/>
  <c r="C69" i="5"/>
  <c r="C90" i="5" s="1"/>
  <c r="C34" i="5"/>
  <c r="C87" i="5" s="1"/>
  <c r="O44" i="6"/>
  <c r="K45" i="6"/>
  <c r="C49" i="5"/>
  <c r="C88" i="5" s="1"/>
  <c r="C79" i="5"/>
  <c r="C59" i="5"/>
  <c r="C89" i="5" s="1"/>
  <c r="M9" i="5" l="1"/>
  <c r="C91" i="5"/>
  <c r="L15" i="5"/>
  <c r="L16" i="5" s="1"/>
  <c r="L17" i="5" s="1"/>
  <c r="L18" i="5" s="1"/>
  <c r="O45" i="6"/>
  <c r="K46" i="6"/>
  <c r="C86" i="5"/>
  <c r="C93" i="5" s="1"/>
  <c r="C6" i="2" s="1"/>
  <c r="O46" i="6" l="1"/>
  <c r="K47" i="6"/>
  <c r="N32" i="2"/>
  <c r="O47" i="6" l="1"/>
  <c r="K48" i="6"/>
  <c r="K49" i="6" s="1"/>
  <c r="K50" i="6" s="1"/>
  <c r="B102" i="2"/>
  <c r="B103" i="2" l="1"/>
  <c r="G39" i="3" s="1"/>
  <c r="O48" i="6"/>
  <c r="O49" i="6" s="1"/>
  <c r="O50" i="6" s="1"/>
  <c r="H50" i="6"/>
  <c r="K51" i="6" s="1"/>
  <c r="Y33" i="3"/>
  <c r="C50" i="2"/>
  <c r="R34" i="2"/>
  <c r="R33" i="2"/>
  <c r="R32" i="2"/>
  <c r="C48" i="2"/>
  <c r="C5" i="2"/>
  <c r="C4" i="2"/>
  <c r="E48" i="2" l="1"/>
  <c r="C57" i="2" s="1"/>
  <c r="B96" i="2"/>
  <c r="B97" i="2" s="1"/>
  <c r="E4" i="2"/>
  <c r="N64" i="2"/>
  <c r="N21" i="2"/>
  <c r="B70" i="2"/>
  <c r="B71" i="2" s="1"/>
  <c r="P2" i="2"/>
  <c r="Q2" i="2" s="1"/>
  <c r="B93" i="2"/>
  <c r="N12" i="2"/>
  <c r="N4" i="2" s="1"/>
  <c r="C49" i="2"/>
  <c r="R21" i="2" s="1"/>
  <c r="C58" i="2" l="1"/>
  <c r="C98" i="2"/>
  <c r="C94" i="2"/>
  <c r="C71" i="2"/>
  <c r="D121" i="6" s="1"/>
  <c r="B94" i="2"/>
  <c r="B98" i="2" s="1"/>
  <c r="C88" i="2"/>
  <c r="B82" i="2"/>
  <c r="C73" i="2"/>
  <c r="C121" i="6"/>
  <c r="C120" i="6"/>
  <c r="O51" i="6"/>
  <c r="K52" i="6"/>
  <c r="B90" i="2"/>
  <c r="C82" i="2"/>
  <c r="R5" i="2"/>
  <c r="R10" i="2"/>
  <c r="R57" i="2"/>
  <c r="R9" i="2" s="1"/>
  <c r="R48" i="2"/>
  <c r="R8" i="2" s="1"/>
  <c r="R39" i="2"/>
  <c r="R7" i="2" s="1"/>
  <c r="R30" i="2"/>
  <c r="R6" i="2" s="1"/>
  <c r="R12" i="2"/>
  <c r="R4" i="2" s="1"/>
  <c r="O52" i="6" l="1"/>
  <c r="K53" i="6"/>
  <c r="E74" i="2"/>
  <c r="E73" i="2"/>
  <c r="O53" i="6" l="1"/>
  <c r="K54" i="6"/>
  <c r="B12" i="3"/>
  <c r="O54" i="6" l="1"/>
  <c r="K55" i="6"/>
  <c r="O55" i="6" l="1"/>
  <c r="K56" i="6"/>
  <c r="J5" i="2"/>
  <c r="C12" i="2"/>
  <c r="O56" i="6" l="1"/>
  <c r="K57" i="6"/>
  <c r="M2" i="2"/>
  <c r="N10" i="2"/>
  <c r="C13" i="2"/>
  <c r="N48" i="2"/>
  <c r="N57" i="2"/>
  <c r="G13" i="2"/>
  <c r="G14" i="2"/>
  <c r="G15" i="2"/>
  <c r="H13" i="2"/>
  <c r="H14" i="2"/>
  <c r="H15" i="2"/>
  <c r="J13" i="2"/>
  <c r="J14" i="2"/>
  <c r="J15" i="2"/>
  <c r="O57" i="6" l="1"/>
  <c r="K58" i="6"/>
  <c r="N30" i="2"/>
  <c r="N39" i="2"/>
  <c r="O58" i="6" l="1"/>
  <c r="K59" i="6"/>
  <c r="R2" i="2"/>
  <c r="E47" i="2" s="1"/>
  <c r="C53" i="2" s="1"/>
  <c r="N7" i="2"/>
  <c r="N5" i="2"/>
  <c r="N6" i="2"/>
  <c r="N34" i="2"/>
  <c r="I15" i="2" s="1"/>
  <c r="N33" i="2"/>
  <c r="I14" i="2" s="1"/>
  <c r="I13" i="2"/>
  <c r="C54" i="2" l="1"/>
  <c r="C59" i="2" s="1"/>
  <c r="C60" i="2" s="1"/>
  <c r="O59" i="6"/>
  <c r="K60" i="6"/>
  <c r="AB5" i="2"/>
  <c r="AB6" i="2" s="1"/>
  <c r="C55" i="2" l="1"/>
  <c r="O60" i="6"/>
  <c r="K61" i="6"/>
  <c r="N8" i="2"/>
  <c r="N9" i="2"/>
  <c r="O61" i="6" l="1"/>
  <c r="K62" i="6"/>
  <c r="N2" i="2"/>
  <c r="E3" i="2" s="1"/>
  <c r="C8" i="2" s="1"/>
  <c r="O62" i="6" l="1"/>
  <c r="H62" i="6"/>
  <c r="C9" i="2"/>
  <c r="E14" i="2" s="1"/>
  <c r="C14" i="2" s="1"/>
  <c r="G21" i="3" s="1"/>
  <c r="K63" i="6" l="1"/>
  <c r="I53" i="6" s="1"/>
  <c r="C107" i="6" s="1"/>
  <c r="C10" i="2"/>
  <c r="E107" i="6" l="1"/>
  <c r="D130" i="6" s="1"/>
  <c r="C15" i="2"/>
  <c r="O63" i="6"/>
  <c r="K64" i="6"/>
  <c r="C141" i="6" l="1"/>
  <c r="O64" i="6"/>
  <c r="K65" i="6"/>
  <c r="O65" i="6" l="1"/>
  <c r="K66" i="6"/>
  <c r="O66" i="6" l="1"/>
  <c r="K67" i="6"/>
  <c r="O67" i="6" l="1"/>
  <c r="K68" i="6"/>
  <c r="O68" i="6" l="1"/>
  <c r="K69" i="6"/>
  <c r="O69" i="6" l="1"/>
  <c r="K70" i="6"/>
  <c r="O70" i="6" l="1"/>
  <c r="K71" i="6"/>
  <c r="O71" i="6" l="1"/>
  <c r="K72" i="6"/>
  <c r="O72" i="6" l="1"/>
  <c r="K73" i="6"/>
  <c r="O73" i="6" l="1"/>
  <c r="K74" i="6"/>
  <c r="O74" i="6" l="1"/>
  <c r="H74" i="6"/>
  <c r="K75" i="6" s="1"/>
  <c r="I65" i="6" l="1"/>
  <c r="C108" i="6" s="1"/>
  <c r="O75" i="6"/>
  <c r="K76" i="6"/>
  <c r="E108" i="6" l="1"/>
  <c r="D131" i="6" s="1"/>
  <c r="O76" i="6"/>
  <c r="K77" i="6"/>
  <c r="O77" i="6" l="1"/>
  <c r="K78" i="6"/>
  <c r="O78" i="6" l="1"/>
  <c r="K79" i="6"/>
  <c r="O79" i="6" l="1"/>
  <c r="K80" i="6"/>
  <c r="O80" i="6" l="1"/>
  <c r="K81" i="6"/>
  <c r="O81" i="6" l="1"/>
  <c r="K82" i="6"/>
  <c r="O82" i="6" l="1"/>
  <c r="K83" i="6"/>
  <c r="O83" i="6" l="1"/>
  <c r="K84" i="6"/>
  <c r="O84" i="6" l="1"/>
  <c r="K85" i="6"/>
  <c r="O85" i="6" l="1"/>
  <c r="K86" i="6"/>
  <c r="B132" i="6" l="1"/>
  <c r="O86" i="6"/>
  <c r="I77" i="6" s="1"/>
  <c r="C109" i="6" s="1"/>
  <c r="O88" i="6" l="1"/>
  <c r="E109" i="6"/>
  <c r="C144" i="6"/>
  <c r="D132" i="6" l="1"/>
  <c r="C142" i="6"/>
  <c r="D135" i="6" l="1"/>
  <c r="C143" i="6"/>
  <c r="C146" i="6" s="1"/>
  <c r="G34" i="3" l="1"/>
  <c r="O16" i="3" s="1"/>
  <c r="B73" i="2" l="1"/>
  <c r="B75" i="2" s="1"/>
  <c r="B77" i="2" s="1"/>
  <c r="B84" i="2" s="1"/>
  <c r="B86" i="2" s="1"/>
  <c r="O19" i="3" l="1"/>
  <c r="B88" i="2"/>
  <c r="O22" i="3" l="1"/>
  <c r="O21" i="3" s="1"/>
</calcChain>
</file>

<file path=xl/sharedStrings.xml><?xml version="1.0" encoding="utf-8"?>
<sst xmlns="http://schemas.openxmlformats.org/spreadsheetml/2006/main" count="469" uniqueCount="237">
  <si>
    <t>Brændsel</t>
  </si>
  <si>
    <t>Ydelse</t>
  </si>
  <si>
    <t>Alder</t>
  </si>
  <si>
    <t>Virk. ny</t>
  </si>
  <si>
    <t>Virk. nu</t>
  </si>
  <si>
    <t>Halm</t>
  </si>
  <si>
    <t>Træpiller</t>
  </si>
  <si>
    <t>Års virk. nu</t>
  </si>
  <si>
    <t>Korr. til årsvirk.</t>
  </si>
  <si>
    <t>Års virk. ny</t>
  </si>
  <si>
    <t>Fald</t>
  </si>
  <si>
    <t>Korr. virk.</t>
  </si>
  <si>
    <t>Brænde</t>
  </si>
  <si>
    <t>Flis</t>
  </si>
  <si>
    <t>Olie</t>
  </si>
  <si>
    <t>Gas</t>
  </si>
  <si>
    <t>Forside</t>
  </si>
  <si>
    <t>Afgrænsning af standardløsning</t>
  </si>
  <si>
    <t>•</t>
  </si>
  <si>
    <t>Ja</t>
  </si>
  <si>
    <t>Nej</t>
  </si>
  <si>
    <t>Input</t>
  </si>
  <si>
    <t>kW</t>
  </si>
  <si>
    <t>%</t>
  </si>
  <si>
    <t>Resultat</t>
  </si>
  <si>
    <t>MWh/år</t>
  </si>
  <si>
    <t>Procentvis besparelse</t>
  </si>
  <si>
    <t>Energibesparelse pr. år</t>
  </si>
  <si>
    <t>Retur</t>
  </si>
  <si>
    <t>Brændværdier</t>
  </si>
  <si>
    <t>Naturgas</t>
  </si>
  <si>
    <t>kWh/NM3</t>
  </si>
  <si>
    <t>https://ens.dk/sites/ens.dk/files/CO2/standardfaktorer_for_2019.pdf</t>
  </si>
  <si>
    <t>kWh/l</t>
  </si>
  <si>
    <t>kWh/kg</t>
  </si>
  <si>
    <t>Kul og koks</t>
  </si>
  <si>
    <t>Brændværdi</t>
  </si>
  <si>
    <t>Brændselsforbrug</t>
  </si>
  <si>
    <t>Gammel kedel</t>
  </si>
  <si>
    <t>Nye kedel</t>
  </si>
  <si>
    <t>Brændseslforbrug efter</t>
  </si>
  <si>
    <t>Energiforbrug - brændsel</t>
  </si>
  <si>
    <t>Varmebehov</t>
  </si>
  <si>
    <t>kWh</t>
  </si>
  <si>
    <t>Mængde brændsel</t>
  </si>
  <si>
    <t>Maksimal brændselsforbrug</t>
  </si>
  <si>
    <t>Virkningsgrad ved ny</t>
  </si>
  <si>
    <t>Kapacitet på ny kedel</t>
  </si>
  <si>
    <t>Brændselstype i før-situationen</t>
  </si>
  <si>
    <t>Virkningsgrad for ny kedel</t>
  </si>
  <si>
    <t>Energiforbrug Efter-situation</t>
  </si>
  <si>
    <t>Energiforbrug Før-situation</t>
  </si>
  <si>
    <t>Årsvirkningsgrad for ny kedel</t>
  </si>
  <si>
    <t>Varmepumpe</t>
  </si>
  <si>
    <t>Fjernvarme</t>
  </si>
  <si>
    <t>SCOP</t>
  </si>
  <si>
    <t>Kedel fra 1970 - 1990</t>
  </si>
  <si>
    <t>1-69 kW</t>
  </si>
  <si>
    <t>70 - 199 kW</t>
  </si>
  <si>
    <t>200-1000 kW</t>
  </si>
  <si>
    <t>Kapacitetsinterval</t>
  </si>
  <si>
    <t>Angivet effekt</t>
  </si>
  <si>
    <t>Angivet kedeltype</t>
  </si>
  <si>
    <t>Virkningsgrad - olie</t>
  </si>
  <si>
    <t>Kedeltype</t>
  </si>
  <si>
    <t>Ikke kondenserende kedel</t>
  </si>
  <si>
    <t>Halmkedler</t>
  </si>
  <si>
    <t>Portionsfyret halmkedel uden fyrboksisolering med blæser og røgkøling</t>
  </si>
  <si>
    <t>Portionsfyret halmkedel med fyrboksisolering, blæser, røgtemperaturstyring og røgkøling</t>
  </si>
  <si>
    <t>Portionsfyret halmkedel med fyrboksisolering, blæser, iltstyring og røgkøling</t>
  </si>
  <si>
    <t>1-1000 kW</t>
  </si>
  <si>
    <t>Virkningsgrad - Naturgas</t>
  </si>
  <si>
    <t>Virkningsgrad - Halm</t>
  </si>
  <si>
    <t>Flis/korn</t>
  </si>
  <si>
    <t>Automatisk flis/kornanlæg</t>
  </si>
  <si>
    <t>Årgang</t>
  </si>
  <si>
    <t>Portionsfyret halmkedel uden fyrboksisolering med simpel røgkøling (røgkanal, røgvender, røgkøler)</t>
  </si>
  <si>
    <t>Automatisk halmanlæg</t>
  </si>
  <si>
    <t>Virkningsgrader</t>
  </si>
  <si>
    <t>Virkningsgrad - Flis</t>
  </si>
  <si>
    <t>Virkningsgrad - Træpiller</t>
  </si>
  <si>
    <t>Virkningsgrad - Brænde</t>
  </si>
  <si>
    <t>Uisoleret kedel</t>
  </si>
  <si>
    <t>Delvist isoleret kedel</t>
  </si>
  <si>
    <t>Isoleret kedel</t>
  </si>
  <si>
    <t>Portionsfyret brændekedel m. modsat forbrænding</t>
  </si>
  <si>
    <t>Automatisk træpilleanlæg</t>
  </si>
  <si>
    <t>Tilskud til energibesparelser og energieffektiviseringer i erhvervsvirksomheder</t>
  </si>
  <si>
    <t>Februar</t>
  </si>
  <si>
    <t>Marts</t>
  </si>
  <si>
    <t>April</t>
  </si>
  <si>
    <t>Maj</t>
  </si>
  <si>
    <t>Juni</t>
  </si>
  <si>
    <t>Juli</t>
  </si>
  <si>
    <t>August</t>
  </si>
  <si>
    <t>September</t>
  </si>
  <si>
    <t>Oktober</t>
  </si>
  <si>
    <t>November</t>
  </si>
  <si>
    <t>December</t>
  </si>
  <si>
    <t>Måneder tilbage af året</t>
  </si>
  <si>
    <t>Graddage jf. DMI</t>
  </si>
  <si>
    <t xml:space="preserve">Normalår graddage i løbet af et år </t>
  </si>
  <si>
    <t>Januar</t>
  </si>
  <si>
    <t>Månednummer</t>
  </si>
  <si>
    <t>Summeret sum</t>
  </si>
  <si>
    <t>Samlet sum</t>
  </si>
  <si>
    <t>Antal måneder</t>
  </si>
  <si>
    <t>Årstal</t>
  </si>
  <si>
    <t>Måned</t>
  </si>
  <si>
    <t>Graddage i</t>
  </si>
  <si>
    <t xml:space="preserve">År </t>
  </si>
  <si>
    <t>Normalår</t>
  </si>
  <si>
    <t>Forbrug kWh</t>
  </si>
  <si>
    <t>Gennemsnit</t>
  </si>
  <si>
    <t>Gennemsnitligt årligt graddagekorrigeret forbrug af brændsel</t>
  </si>
  <si>
    <t>Anvendelsesområde</t>
  </si>
  <si>
    <t>Kontor og handel</t>
  </si>
  <si>
    <t>Bygninger til idrætsformål</t>
  </si>
  <si>
    <t>Industri og lagerhal</t>
  </si>
  <si>
    <t>Garageanlæg</t>
  </si>
  <si>
    <t>Undervisning og forskning</t>
  </si>
  <si>
    <t>Hotel, restaurant</t>
  </si>
  <si>
    <t>Kulturbygning</t>
  </si>
  <si>
    <t>Privat hospital</t>
  </si>
  <si>
    <t>Daginstution</t>
  </si>
  <si>
    <t>GUF/GAF</t>
  </si>
  <si>
    <t>GUF</t>
  </si>
  <si>
    <t>Manuel</t>
  </si>
  <si>
    <t>Virkningsgrad for ny kedel/varmepumpe</t>
  </si>
  <si>
    <t>Branche</t>
  </si>
  <si>
    <t>Årsvirk. Nu</t>
  </si>
  <si>
    <t>Procesenergi</t>
  </si>
  <si>
    <t>Brændselstype</t>
  </si>
  <si>
    <t>A</t>
  </si>
  <si>
    <t>B</t>
  </si>
  <si>
    <t>C</t>
  </si>
  <si>
    <t>E</t>
  </si>
  <si>
    <t>F</t>
  </si>
  <si>
    <t>D</t>
  </si>
  <si>
    <t>Start- og slutmåned</t>
  </si>
  <si>
    <t>Startmåned</t>
  </si>
  <si>
    <t>Månedsnummer</t>
  </si>
  <si>
    <t>Foregående månedsnummer</t>
  </si>
  <si>
    <t>Graddage kalenderår</t>
  </si>
  <si>
    <t>Kontrol</t>
  </si>
  <si>
    <t>Forskel</t>
  </si>
  <si>
    <t>Fra DMI's årsoversigt</t>
  </si>
  <si>
    <t>År</t>
  </si>
  <si>
    <t>Graddage i kalenderår</t>
  </si>
  <si>
    <t>Graddage over 12 måneder</t>
  </si>
  <si>
    <t>Graddage over 24 måneder</t>
  </si>
  <si>
    <t>Graddage over 36 måneder</t>
  </si>
  <si>
    <t>Kondenserende kedel, over 10 år</t>
  </si>
  <si>
    <t>Kondenserende kedel, under 10 år</t>
  </si>
  <si>
    <t>Kul/koks</t>
  </si>
  <si>
    <t>1. år</t>
  </si>
  <si>
    <t>3. år</t>
  </si>
  <si>
    <t>2. år</t>
  </si>
  <si>
    <t>Startår</t>
  </si>
  <si>
    <t>Gule felter skal udfyldes</t>
  </si>
  <si>
    <t>Grå felter skal IKKE udfyldes</t>
  </si>
  <si>
    <t>Gartneri</t>
  </si>
  <si>
    <t>Slutmåned</t>
  </si>
  <si>
    <t>Slutår</t>
  </si>
  <si>
    <t>1 år</t>
  </si>
  <si>
    <t>2 år</t>
  </si>
  <si>
    <t>3 år</t>
  </si>
  <si>
    <t>1.2</t>
  </si>
  <si>
    <t>1.1</t>
  </si>
  <si>
    <t>1.3</t>
  </si>
  <si>
    <t>1.4</t>
  </si>
  <si>
    <t>Årsvirkningsgraden [%]</t>
  </si>
  <si>
    <t>1.5</t>
  </si>
  <si>
    <t>2.1</t>
  </si>
  <si>
    <t xml:space="preserve">Er forbruget opgjort over 1 eller 3 år? </t>
  </si>
  <si>
    <t>2.2</t>
  </si>
  <si>
    <t>2.3</t>
  </si>
  <si>
    <t>3.1</t>
  </si>
  <si>
    <t>Energiforbrug i efter-situationen</t>
  </si>
  <si>
    <t>Energitype i efter-situationen</t>
  </si>
  <si>
    <t>Energiforbrug i før-situationen</t>
  </si>
  <si>
    <t>Energitype i før-situationen</t>
  </si>
  <si>
    <t>Sådan kommer du i gang</t>
  </si>
  <si>
    <t>Det kan du</t>
  </si>
  <si>
    <r>
      <rPr>
        <b/>
        <sz val="9"/>
        <color theme="1"/>
        <rFont val="Calibri"/>
        <family val="2"/>
        <scheme val="minor"/>
      </rPr>
      <t>1.</t>
    </r>
    <r>
      <rPr>
        <sz val="9"/>
        <color theme="1"/>
        <rFont val="Calibri"/>
        <family val="2"/>
        <scheme val="minor"/>
      </rPr>
      <t xml:space="preserve"> Se hvilke projekter der er indbefattet standardløsningen </t>
    </r>
  </si>
  <si>
    <r>
      <rPr>
        <b/>
        <sz val="9"/>
        <color theme="1"/>
        <rFont val="Calibri"/>
        <family val="2"/>
        <scheme val="minor"/>
      </rPr>
      <t>2.</t>
    </r>
    <r>
      <rPr>
        <sz val="9"/>
        <color theme="1"/>
        <rFont val="Calibri"/>
        <family val="2"/>
        <scheme val="minor"/>
      </rPr>
      <t xml:space="preserve"> Se dokumentationskrav der er gældende for standardløsningen </t>
    </r>
  </si>
  <si>
    <r>
      <rPr>
        <b/>
        <sz val="9"/>
        <color theme="1"/>
        <rFont val="Calibri"/>
        <family val="2"/>
        <scheme val="minor"/>
      </rPr>
      <t>1.</t>
    </r>
    <r>
      <rPr>
        <sz val="9"/>
        <color theme="1"/>
        <rFont val="Calibri"/>
        <family val="2"/>
        <scheme val="minor"/>
      </rPr>
      <t xml:space="preserve"> Læs om de aktuelle energisparetiltag på fanen "Beskrivelse"</t>
    </r>
  </si>
  <si>
    <r>
      <rPr>
        <b/>
        <sz val="9"/>
        <color theme="1"/>
        <rFont val="Calibri"/>
        <family val="2"/>
        <scheme val="minor"/>
      </rPr>
      <t>2.</t>
    </r>
    <r>
      <rPr>
        <sz val="9"/>
        <color theme="1"/>
        <rFont val="Calibri"/>
        <family val="2"/>
        <scheme val="minor"/>
      </rPr>
      <t xml:space="preserve"> Udfyld standardløsningen</t>
    </r>
  </si>
  <si>
    <r>
      <rPr>
        <b/>
        <sz val="9"/>
        <color theme="1"/>
        <rFont val="Calibri"/>
        <family val="2"/>
        <scheme val="minor"/>
      </rPr>
      <t xml:space="preserve">3. </t>
    </r>
    <r>
      <rPr>
        <sz val="9"/>
        <color theme="1"/>
        <rFont val="Calibri"/>
        <family val="2"/>
        <scheme val="minor"/>
      </rPr>
      <t xml:space="preserve">Vedlæg den udfyldte standardløsning i fase 2 ansøgningsskemaet </t>
    </r>
  </si>
  <si>
    <t>Elkedel</t>
  </si>
  <si>
    <t>Simplificering af perioder</t>
  </si>
  <si>
    <t>Er energiforbruget i før-situationen dokumenteret via faktura eller udtræk fra gasmåler?</t>
  </si>
  <si>
    <t>Brændværdi for kul/koks</t>
  </si>
  <si>
    <t>Stenkul</t>
  </si>
  <si>
    <t>Koks</t>
  </si>
  <si>
    <t>Stenkul_min</t>
  </si>
  <si>
    <t>Stenkul_max</t>
  </si>
  <si>
    <t>Stenkul_gns</t>
  </si>
  <si>
    <t>Fyringsolie</t>
  </si>
  <si>
    <t>Heavy Fuel Oil</t>
  </si>
  <si>
    <t>Indsættes i synligt ark</t>
  </si>
  <si>
    <t>Årgang af eksisterende kedel [årstal]</t>
  </si>
  <si>
    <t/>
  </si>
  <si>
    <t>Før-situation</t>
  </si>
  <si>
    <t>Efter-situation</t>
  </si>
  <si>
    <t>Opvarmningstype</t>
  </si>
  <si>
    <t>Energityper til indtastning på portal</t>
  </si>
  <si>
    <t>Foregående måned</t>
  </si>
  <si>
    <t>Varmebehov efter</t>
  </si>
  <si>
    <t>Korrektionsfaktor</t>
  </si>
  <si>
    <t>Kedlens effekt/varmeydelse [kW]</t>
  </si>
  <si>
    <t>I hvilken branche anvendes kedlen?</t>
  </si>
  <si>
    <t>naturgas</t>
  </si>
  <si>
    <t>fyringsolie</t>
  </si>
  <si>
    <t>flis</t>
  </si>
  <si>
    <t>træpiller</t>
  </si>
  <si>
    <t>stenkul</t>
  </si>
  <si>
    <t>koks</t>
  </si>
  <si>
    <t>halm</t>
  </si>
  <si>
    <t>Tjek</t>
  </si>
  <si>
    <t>Teoretisk energiforbrug</t>
  </si>
  <si>
    <t>Teoretisk brændselsforbrug</t>
  </si>
  <si>
    <t>Tjek om valgt kedel findes i nedenstående liste</t>
  </si>
  <si>
    <t xml:space="preserve"> Specifikke dokumentationskrav til standardløsningen</t>
  </si>
  <si>
    <t>Graddagekorrigeret varmeforbrug</t>
  </si>
  <si>
    <t xml:space="preserve">Er den eksisterende og evt. nye kedel varmtvands/-dampkedler? </t>
  </si>
  <si>
    <t>Angivelse af nuværende brændselskedel</t>
  </si>
  <si>
    <t>Standardløsningskatalog for udskiftning af brændselskedler til og med 1000 kW med beregner af energiforbruget</t>
  </si>
  <si>
    <t>Vers. 1  15.08.2022</t>
  </si>
  <si>
    <r>
      <t xml:space="preserve">4. </t>
    </r>
    <r>
      <rPr>
        <sz val="9"/>
        <color theme="1"/>
        <rFont val="Calibri"/>
        <family val="2"/>
        <scheme val="minor"/>
      </rPr>
      <t>Hvis du går i stå, Læs "Vejledning til standardløsning for udskiftning af brændselskedler til og med 1000 kW med beregner af energiforbruget</t>
    </r>
    <r>
      <rPr>
        <b/>
        <sz val="9"/>
        <color theme="1"/>
        <rFont val="Calibri"/>
        <family val="2"/>
        <scheme val="minor"/>
      </rPr>
      <t>"</t>
    </r>
  </si>
  <si>
    <t xml:space="preserve">Denne standardløsning benyttes til beregning af energibesparelse ved udskiftning af eksisterende brændselskedel til og med 1000 kW. Standardløsningen kan kun benyttes til projekter, som har et dokumenteret energiforbrug. Energiforbruget i før-situation skal dokumenteres ved fakturaer eller opgørelse over gasmåler. Standardløsningen omfatter ikke udskiftning af halmkedler. 
</t>
  </si>
  <si>
    <t xml:space="preserve">Standardløsningen er henvendt til de situationer, hvor projektet omhandler udskiftning af eksisterende brændselskedel. standardløsningen er frivillig at anvende, men hvis ikke den anvendes, er det obligatorisk at anvende ”Standardløsning for udskiftning eller ombygning/optimering af brændselskedler til og med 1.000 kW”.  </t>
  </si>
  <si>
    <t>Udskiftning af brændselskedel til og med 1000 kW med beregner af energiforbruget</t>
  </si>
  <si>
    <t>Standardløsningskatalog for brændselskedler til og med 1.000 kW med beregner af energiforbruget</t>
  </si>
  <si>
    <t>Er der tale om en fuld udskiftning af eksisterende brændselskedel?</t>
  </si>
  <si>
    <t>Har brændselskedlen en varmeydelse på 1000 kW eller mindre?</t>
  </si>
  <si>
    <t>Forventet nye varmeforsyning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</si>
</sst>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_-* #,##0.00\ _k_r_._-;\-* #,##0.00\ _k_r_._-;_-* &quot;-&quot;??\ _k_r_._-;_-@_-"/>
    <numFmt numFmtId="167" formatCode="_-* #,##0.0\ _k_r_._-;\-* #,##0.0\ _k_r_._-;_-* &quot;-&quot;?\ _k_r_._-;_-@_-"/>
  </numFmts>
  <fonts count="61" x14ac:knownFonts="1">
    <font>
      <sz val="11"/>
      <color theme="1"/>
      <name val="Calibri"/>
      <family val="2"/>
      <scheme val="minor"/>
    </font>
    <font>
      <sz val="8.5"/>
      <color theme="0"/>
      <name val="Verdana"/>
      <family val="2"/>
    </font>
    <font>
      <sz val="8.5"/>
      <color theme="1"/>
      <name val="Verdana"/>
      <family val="2"/>
    </font>
    <font>
      <sz val="11"/>
      <color theme="1"/>
      <name val="Calibri"/>
      <family val="2"/>
      <scheme val="minor"/>
    </font>
    <font>
      <sz val="9"/>
      <color theme="1"/>
      <name val="Calibri"/>
      <family val="2"/>
      <scheme val="minor"/>
    </font>
    <font>
      <sz val="9"/>
      <color rgb="FF009999"/>
      <name val="Verdana"/>
      <family val="2"/>
    </font>
    <font>
      <u/>
      <sz val="11"/>
      <color theme="10"/>
      <name val="Calibri"/>
      <family val="2"/>
      <scheme val="minor"/>
    </font>
    <font>
      <sz val="11"/>
      <color rgb="FF009999"/>
      <name val="Calibri"/>
      <family val="2"/>
      <scheme val="minor"/>
    </font>
    <font>
      <sz val="9"/>
      <color theme="1"/>
      <name val="Verdana"/>
      <family val="2"/>
    </font>
    <font>
      <sz val="9"/>
      <color theme="0" tint="-0.499984740745262"/>
      <name val="Calibri"/>
      <family val="2"/>
      <scheme val="minor"/>
    </font>
    <font>
      <sz val="9"/>
      <color theme="0" tint="-0.499984740745262"/>
      <name val="Verdana"/>
      <family val="2"/>
    </font>
    <font>
      <sz val="14"/>
      <color theme="4" tint="-0.249977111117893"/>
      <name val="Verdana"/>
      <family val="2"/>
    </font>
    <font>
      <sz val="14"/>
      <color theme="9" tint="-0.499984740745262"/>
      <name val="Verdana"/>
      <family val="2"/>
    </font>
    <font>
      <sz val="9"/>
      <name val="Calibri"/>
      <family val="2"/>
      <scheme val="minor"/>
    </font>
    <font>
      <sz val="9"/>
      <color theme="9" tint="0.59999389629810485"/>
      <name val="Verdana"/>
      <family val="2"/>
    </font>
    <font>
      <sz val="9"/>
      <name val="Verdana"/>
      <family val="2"/>
    </font>
    <font>
      <b/>
      <sz val="12"/>
      <color theme="9" tint="-0.499984740745262"/>
      <name val="Verdana"/>
      <family val="2"/>
    </font>
    <font>
      <sz val="18"/>
      <color theme="9" tint="0.79998168889431442"/>
      <name val="Verdana"/>
      <family val="2"/>
    </font>
    <font>
      <sz val="11"/>
      <color theme="4" tint="-0.249977111117893"/>
      <name val="Verdana"/>
      <family val="2"/>
    </font>
    <font>
      <b/>
      <sz val="9"/>
      <color theme="1"/>
      <name val="Verdana"/>
      <family val="2"/>
    </font>
    <font>
      <i/>
      <sz val="9"/>
      <color rgb="FFFF0000"/>
      <name val="Verdana"/>
      <family val="2"/>
    </font>
    <font>
      <sz val="10"/>
      <color theme="1"/>
      <name val="Verdana"/>
      <family val="2"/>
    </font>
    <font>
      <sz val="10"/>
      <name val="Verdana"/>
      <family val="2"/>
    </font>
    <font>
      <b/>
      <sz val="10"/>
      <color theme="1"/>
      <name val="Verdana"/>
      <family val="2"/>
    </font>
    <font>
      <b/>
      <sz val="8.5"/>
      <color theme="1"/>
      <name val="Verdana"/>
      <family val="2"/>
    </font>
    <font>
      <b/>
      <sz val="11"/>
      <color theme="1"/>
      <name val="Calibri"/>
      <family val="2"/>
      <scheme val="minor"/>
    </font>
    <font>
      <sz val="9"/>
      <color rgb="FF212529"/>
      <name val="Calibri"/>
      <family val="2"/>
    </font>
    <font>
      <sz val="9"/>
      <color rgb="FF000000"/>
      <name val="Calibri"/>
      <family val="2"/>
    </font>
    <font>
      <sz val="9"/>
      <color theme="9" tint="0.79998168889431442"/>
      <name val="Verdana"/>
      <family val="2"/>
    </font>
    <font>
      <b/>
      <sz val="9"/>
      <color theme="9" tint="0.59999389629810485"/>
      <name val="Verdana"/>
      <family val="2"/>
    </font>
    <font>
      <sz val="9"/>
      <color theme="0"/>
      <name val="Verdana"/>
      <family val="2"/>
    </font>
    <font>
      <sz val="24"/>
      <color theme="1"/>
      <name val="Verdana"/>
      <family val="2"/>
    </font>
    <font>
      <u/>
      <sz val="20"/>
      <color theme="10"/>
      <name val="Calibri"/>
      <family val="2"/>
      <scheme val="minor"/>
    </font>
    <font>
      <sz val="11"/>
      <color theme="1" tint="0.499984740745262"/>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sz val="11"/>
      <color theme="1"/>
      <name val="Verdana"/>
      <family val="2"/>
    </font>
    <font>
      <sz val="10"/>
      <color theme="4" tint="-0.249977111117893"/>
      <name val="Verdana"/>
      <family val="2"/>
    </font>
    <font>
      <sz val="10"/>
      <color theme="1"/>
      <name val="Calibri"/>
      <family val="2"/>
      <scheme val="minor"/>
    </font>
    <font>
      <b/>
      <sz val="9"/>
      <color theme="1"/>
      <name val="Calibri"/>
      <family val="2"/>
      <scheme val="minor"/>
    </font>
    <font>
      <i/>
      <sz val="10"/>
      <color theme="4" tint="-0.249977111117893"/>
      <name val="Verdana"/>
      <family val="2"/>
    </font>
    <font>
      <i/>
      <sz val="10"/>
      <color theme="4" tint="-0.249977111117893"/>
      <name val="Calibri"/>
      <family val="2"/>
      <scheme val="minor"/>
    </font>
    <font>
      <i/>
      <sz val="10"/>
      <color theme="1"/>
      <name val="Verdana"/>
      <family val="2"/>
    </font>
    <font>
      <i/>
      <sz val="10"/>
      <color theme="1"/>
      <name val="Calibri"/>
      <family val="2"/>
      <scheme val="minor"/>
    </font>
    <font>
      <i/>
      <sz val="11"/>
      <name val="Calibri"/>
      <family val="2"/>
      <scheme val="minor"/>
    </font>
    <font>
      <sz val="9"/>
      <color theme="4" tint="-0.249977111117893"/>
      <name val="Verdana"/>
      <family val="2"/>
    </font>
    <font>
      <sz val="14"/>
      <color rgb="FF009999"/>
      <name val="Calibri"/>
      <family val="2"/>
      <scheme val="minor"/>
    </font>
    <font>
      <sz val="11"/>
      <color theme="4" tint="-0.249977111117893"/>
      <name val="Calibri"/>
      <family val="2"/>
      <scheme val="minor"/>
    </font>
    <font>
      <b/>
      <sz val="10"/>
      <color theme="0" tint="-0.14999847407452621"/>
      <name val="Verdana"/>
      <family val="2"/>
    </font>
    <font>
      <sz val="11"/>
      <color theme="0" tint="-0.14999847407452621"/>
      <name val="Calibri"/>
      <family val="2"/>
      <scheme val="minor"/>
    </font>
    <font>
      <sz val="10"/>
      <color theme="0" tint="-0.14999847407452621"/>
      <name val="Verdana"/>
      <family val="2"/>
    </font>
    <font>
      <sz val="9"/>
      <color theme="0" tint="-0.14999847407452621"/>
      <name val="Verdana"/>
      <family val="2"/>
    </font>
    <font>
      <b/>
      <sz val="11"/>
      <name val="Verdana"/>
      <family val="2"/>
    </font>
    <font>
      <sz val="11"/>
      <color theme="1"/>
      <name val="Verdana"/>
      <family val="2"/>
    </font>
    <font>
      <sz val="11"/>
      <name val="Verdana"/>
      <family val="2"/>
    </font>
    <font>
      <sz val="11"/>
      <color rgb="FFFF0000"/>
      <name val="Verdana"/>
      <family val="2"/>
    </font>
    <font>
      <b/>
      <sz val="11"/>
      <color rgb="FFFF0000"/>
      <name val="Verdana"/>
      <family val="2"/>
    </font>
    <font>
      <b/>
      <sz val="14"/>
      <color theme="1"/>
      <name val="Verdana"/>
      <family val="2"/>
    </font>
    <font>
      <u/>
      <sz val="14"/>
      <color theme="10"/>
      <name val="Calibri"/>
      <family val="2"/>
      <scheme val="minor"/>
    </font>
    <font>
      <sz val="12"/>
      <color theme="4" tint="-0.249977111117893"/>
      <name val="Verdana"/>
      <family val="2"/>
    </font>
  </fonts>
  <fills count="14">
    <fill>
      <patternFill patternType="none"/>
    </fill>
    <fill>
      <patternFill patternType="gray125"/>
    </fill>
    <fill>
      <patternFill patternType="solid">
        <fgColor rgb="FF8DB4E2"/>
        <bgColor indexed="64"/>
      </patternFill>
    </fill>
    <fill>
      <patternFill patternType="solid">
        <fgColor theme="4" tint="0.59999389629810485"/>
        <bgColor indexed="64"/>
      </patternFill>
    </fill>
    <fill>
      <patternFill patternType="solid">
        <fgColor rgb="FFFFCC99"/>
      </patternFill>
    </fill>
    <fill>
      <patternFill patternType="solid">
        <fgColor rgb="FFF2F2F2"/>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DDEBF7"/>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theme="4" tint="-0.249977111117893"/>
      </right>
      <top/>
      <bottom/>
      <diagonal/>
    </border>
    <border>
      <left style="thin">
        <color theme="4" tint="-0.249977111117893"/>
      </left>
      <right/>
      <top style="thin">
        <color indexed="64"/>
      </top>
      <bottom style="thin">
        <color theme="4" tint="-0.249977111117893"/>
      </bottom>
      <diagonal/>
    </border>
    <border>
      <left/>
      <right style="thin">
        <color theme="4" tint="-0.249977111117893"/>
      </right>
      <top style="thin">
        <color indexed="64"/>
      </top>
      <bottom style="thin">
        <color theme="4"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theme="2" tint="-9.9978637043366805E-2"/>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4" fillId="0" borderId="0"/>
    <xf numFmtId="0" fontId="6" fillId="0" borderId="0" applyNumberFormat="0" applyFill="0" applyBorder="0" applyAlignment="0" applyProtection="0"/>
  </cellStyleXfs>
  <cellXfs count="330">
    <xf numFmtId="0" fontId="0" fillId="0" borderId="0" xfId="0"/>
    <xf numFmtId="0" fontId="5" fillId="7" borderId="0" xfId="3" applyFont="1" applyFill="1"/>
    <xf numFmtId="0" fontId="8" fillId="7" borderId="0" xfId="3" applyFont="1" applyFill="1"/>
    <xf numFmtId="0" fontId="11" fillId="7" borderId="0" xfId="3" applyFont="1" applyFill="1"/>
    <xf numFmtId="0" fontId="8" fillId="9" borderId="0" xfId="3" applyFont="1" applyFill="1"/>
    <xf numFmtId="0" fontId="8" fillId="7" borderId="0" xfId="3" quotePrefix="1" applyFont="1" applyFill="1"/>
    <xf numFmtId="0" fontId="8" fillId="7" borderId="0" xfId="3" applyFont="1" applyFill="1" applyBorder="1"/>
    <xf numFmtId="43" fontId="2" fillId="0" borderId="0" xfId="2" applyFont="1" applyAlignment="1" applyProtection="1">
      <alignment horizontal="left" vertical="center" indent="1"/>
      <protection hidden="1"/>
    </xf>
    <xf numFmtId="43" fontId="2" fillId="0" borderId="0" xfId="2" applyFont="1" applyFill="1" applyAlignment="1" applyProtection="1">
      <alignment horizontal="left" vertical="center" indent="1"/>
      <protection hidden="1"/>
    </xf>
    <xf numFmtId="43" fontId="2" fillId="0" borderId="0" xfId="2" applyFont="1" applyAlignment="1" applyProtection="1">
      <alignment horizontal="left" vertical="center" wrapText="1" indent="1"/>
      <protection locked="0"/>
    </xf>
    <xf numFmtId="43" fontId="2" fillId="2" borderId="0" xfId="2" applyFont="1" applyFill="1" applyAlignment="1" applyProtection="1">
      <alignment horizontal="left" vertical="center" indent="1"/>
      <protection hidden="1"/>
    </xf>
    <xf numFmtId="43" fontId="2" fillId="0" borderId="0" xfId="2" applyFont="1" applyAlignment="1" applyProtection="1">
      <alignment horizontal="left" vertical="center" indent="1"/>
      <protection locked="0"/>
    </xf>
    <xf numFmtId="43" fontId="2" fillId="5" borderId="1" xfId="2" applyFont="1" applyFill="1" applyBorder="1" applyAlignment="1" applyProtection="1">
      <alignment horizontal="left" vertical="center" indent="1"/>
    </xf>
    <xf numFmtId="43" fontId="2" fillId="5" borderId="1" xfId="2" applyFont="1" applyFill="1" applyBorder="1" applyAlignment="1" applyProtection="1">
      <alignment horizontal="left" vertical="center" indent="1"/>
      <protection hidden="1"/>
    </xf>
    <xf numFmtId="43" fontId="2" fillId="4" borderId="1" xfId="2" applyFont="1" applyFill="1" applyBorder="1" applyAlignment="1" applyProtection="1">
      <alignment horizontal="left" vertical="center" indent="1"/>
      <protection hidden="1"/>
    </xf>
    <xf numFmtId="43" fontId="2" fillId="6" borderId="0" xfId="2" applyFont="1" applyFill="1" applyAlignment="1" applyProtection="1">
      <alignment horizontal="left" vertical="center" indent="1"/>
      <protection hidden="1"/>
    </xf>
    <xf numFmtId="43" fontId="2" fillId="3" borderId="0" xfId="2" applyFont="1" applyFill="1" applyAlignment="1" applyProtection="1">
      <alignment horizontal="left" vertical="center" indent="1"/>
      <protection hidden="1"/>
    </xf>
    <xf numFmtId="43" fontId="2" fillId="0" borderId="0" xfId="2" applyFont="1" applyProtection="1">
      <protection hidden="1"/>
    </xf>
    <xf numFmtId="43" fontId="2" fillId="2" borderId="0" xfId="2" applyFont="1" applyFill="1" applyAlignment="1" applyProtection="1">
      <alignment horizontal="left" vertical="center" indent="1"/>
      <protection locked="0"/>
    </xf>
    <xf numFmtId="43" fontId="8" fillId="0" borderId="0" xfId="2" applyFont="1"/>
    <xf numFmtId="43" fontId="0" fillId="0" borderId="0" xfId="2" applyFont="1"/>
    <xf numFmtId="43" fontId="8" fillId="0" borderId="0" xfId="2" applyFont="1" applyBorder="1"/>
    <xf numFmtId="43" fontId="8" fillId="0" borderId="5" xfId="2" applyFont="1" applyBorder="1"/>
    <xf numFmtId="43" fontId="6" fillId="0" borderId="0" xfId="2" applyFont="1"/>
    <xf numFmtId="43" fontId="8" fillId="0" borderId="16" xfId="2" applyFont="1" applyBorder="1"/>
    <xf numFmtId="43" fontId="8" fillId="0" borderId="18" xfId="2" applyFont="1" applyBorder="1"/>
    <xf numFmtId="164" fontId="2" fillId="0" borderId="0" xfId="2" applyNumberFormat="1" applyFont="1" applyAlignment="1" applyProtection="1">
      <alignment horizontal="left" vertical="center" indent="1"/>
      <protection hidden="1"/>
    </xf>
    <xf numFmtId="43" fontId="1" fillId="0" borderId="0" xfId="2" applyFont="1" applyFill="1" applyAlignment="1" applyProtection="1">
      <alignment horizontal="left" vertical="center" indent="1"/>
      <protection hidden="1"/>
    </xf>
    <xf numFmtId="43" fontId="1" fillId="0" borderId="0" xfId="2" applyFont="1" applyAlignment="1" applyProtection="1">
      <alignment horizontal="left" vertical="center" indent="1"/>
      <protection hidden="1"/>
    </xf>
    <xf numFmtId="0" fontId="26" fillId="11" borderId="21" xfId="0" applyFont="1" applyFill="1" applyBorder="1" applyAlignment="1">
      <alignment vertical="center" wrapText="1"/>
    </xf>
    <xf numFmtId="9" fontId="27" fillId="0" borderId="19" xfId="0" applyNumberFormat="1" applyFont="1" applyBorder="1" applyAlignment="1">
      <alignment horizontal="center" vertical="center"/>
    </xf>
    <xf numFmtId="9" fontId="27" fillId="0" borderId="21" xfId="0" applyNumberFormat="1" applyFont="1" applyBorder="1" applyAlignment="1">
      <alignment horizontal="center" vertical="center"/>
    </xf>
    <xf numFmtId="9" fontId="27" fillId="0" borderId="11" xfId="0" applyNumberFormat="1" applyFont="1" applyBorder="1" applyAlignment="1">
      <alignment horizontal="center" vertical="center"/>
    </xf>
    <xf numFmtId="9" fontId="27" fillId="0" borderId="23" xfId="0" applyNumberFormat="1" applyFont="1" applyBorder="1" applyAlignment="1">
      <alignment horizontal="center" vertical="center"/>
    </xf>
    <xf numFmtId="9" fontId="27" fillId="0" borderId="24" xfId="0" applyNumberFormat="1" applyFont="1" applyBorder="1" applyAlignment="1">
      <alignment horizontal="center" vertical="center"/>
    </xf>
    <xf numFmtId="0" fontId="26" fillId="11" borderId="25" xfId="0" applyFont="1" applyFill="1" applyBorder="1" applyAlignment="1">
      <alignment vertical="center" wrapText="1"/>
    </xf>
    <xf numFmtId="0" fontId="26" fillId="11" borderId="19" xfId="0" applyFont="1" applyFill="1" applyBorder="1" applyAlignment="1">
      <alignment vertical="center" wrapText="1"/>
    </xf>
    <xf numFmtId="0" fontId="26" fillId="12" borderId="0" xfId="0" applyFont="1" applyFill="1" applyBorder="1" applyAlignment="1">
      <alignment vertical="center" wrapText="1"/>
    </xf>
    <xf numFmtId="0" fontId="0" fillId="0" borderId="0" xfId="0" applyBorder="1"/>
    <xf numFmtId="0" fontId="25" fillId="0" borderId="0" xfId="0" applyFont="1" applyBorder="1"/>
    <xf numFmtId="0" fontId="25" fillId="0" borderId="2" xfId="0" applyFont="1" applyBorder="1"/>
    <xf numFmtId="0" fontId="0" fillId="0" borderId="2" xfId="0" applyBorder="1"/>
    <xf numFmtId="0" fontId="0" fillId="0" borderId="26" xfId="0" applyBorder="1"/>
    <xf numFmtId="0" fontId="25" fillId="0" borderId="27" xfId="0" applyFont="1" applyBorder="1"/>
    <xf numFmtId="0" fontId="0" fillId="0" borderId="27" xfId="0" applyBorder="1"/>
    <xf numFmtId="0" fontId="0" fillId="0" borderId="20" xfId="0" applyBorder="1"/>
    <xf numFmtId="0" fontId="0" fillId="0" borderId="28" xfId="0" applyBorder="1"/>
    <xf numFmtId="0" fontId="0" fillId="0" borderId="24" xfId="0" applyBorder="1"/>
    <xf numFmtId="0" fontId="0" fillId="0" borderId="29" xfId="0" applyBorder="1"/>
    <xf numFmtId="0" fontId="0" fillId="0" borderId="22" xfId="0" applyBorder="1"/>
    <xf numFmtId="0" fontId="0" fillId="0" borderId="23" xfId="0" applyBorder="1"/>
    <xf numFmtId="0" fontId="0" fillId="12" borderId="0" xfId="0" applyFill="1" applyBorder="1"/>
    <xf numFmtId="9" fontId="27" fillId="12" borderId="0" xfId="0" applyNumberFormat="1" applyFont="1" applyFill="1" applyBorder="1" applyAlignment="1">
      <alignment horizontal="center" vertical="center"/>
    </xf>
    <xf numFmtId="9" fontId="27" fillId="0" borderId="9" xfId="0" applyNumberFormat="1" applyFont="1" applyBorder="1" applyAlignment="1">
      <alignment horizontal="center" vertical="center"/>
    </xf>
    <xf numFmtId="9" fontId="27" fillId="0" borderId="29" xfId="0" applyNumberFormat="1" applyFont="1" applyBorder="1" applyAlignment="1">
      <alignment horizontal="center" vertical="center"/>
    </xf>
    <xf numFmtId="9" fontId="27" fillId="0" borderId="22" xfId="0" applyNumberFormat="1" applyFont="1" applyBorder="1" applyAlignment="1">
      <alignment horizontal="center" vertical="center"/>
    </xf>
    <xf numFmtId="9" fontId="27" fillId="0" borderId="0" xfId="0" applyNumberFormat="1" applyFont="1" applyBorder="1" applyAlignment="1">
      <alignment horizontal="center" vertical="center"/>
    </xf>
    <xf numFmtId="3" fontId="0" fillId="0" borderId="2" xfId="0" applyNumberFormat="1" applyBorder="1"/>
    <xf numFmtId="0" fontId="25" fillId="0" borderId="0" xfId="0" applyFont="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2" xfId="0" applyFill="1" applyBorder="1"/>
    <xf numFmtId="0" fontId="0" fillId="0" borderId="36" xfId="0" applyFill="1" applyBorder="1"/>
    <xf numFmtId="0" fontId="0" fillId="0" borderId="37" xfId="0" applyFill="1" applyBorder="1"/>
    <xf numFmtId="0" fontId="0" fillId="0" borderId="38" xfId="0" applyFill="1" applyBorder="1"/>
    <xf numFmtId="0" fontId="0" fillId="0" borderId="38" xfId="0" applyBorder="1"/>
    <xf numFmtId="0" fontId="0" fillId="0" borderId="39" xfId="0" applyBorder="1"/>
    <xf numFmtId="0" fontId="25" fillId="0" borderId="2" xfId="0" applyFont="1" applyFill="1" applyBorder="1"/>
    <xf numFmtId="14" fontId="0" fillId="0" borderId="0" xfId="0" applyNumberFormat="1"/>
    <xf numFmtId="1" fontId="0" fillId="0" borderId="0" xfId="0" applyNumberFormat="1"/>
    <xf numFmtId="2" fontId="0" fillId="0" borderId="0" xfId="0" applyNumberFormat="1"/>
    <xf numFmtId="43" fontId="0" fillId="0" borderId="0" xfId="0" applyNumberFormat="1"/>
    <xf numFmtId="166" fontId="0" fillId="0" borderId="0" xfId="0" applyNumberFormat="1"/>
    <xf numFmtId="9" fontId="0" fillId="0" borderId="0" xfId="1" applyFont="1"/>
    <xf numFmtId="9" fontId="0" fillId="0" borderId="0" xfId="0" applyNumberFormat="1"/>
    <xf numFmtId="0" fontId="0" fillId="0" borderId="0" xfId="0" applyNumberFormat="1"/>
    <xf numFmtId="0" fontId="0" fillId="0" borderId="0" xfId="0" applyAlignment="1"/>
    <xf numFmtId="0" fontId="0" fillId="0" borderId="15" xfId="0" applyFill="1" applyBorder="1"/>
    <xf numFmtId="0" fontId="0" fillId="0" borderId="0" xfId="0" applyFill="1" applyBorder="1"/>
    <xf numFmtId="0" fontId="0" fillId="0" borderId="0" xfId="0" applyFill="1"/>
    <xf numFmtId="0" fontId="0" fillId="8" borderId="0" xfId="0" applyFill="1"/>
    <xf numFmtId="1" fontId="0" fillId="0" borderId="0" xfId="0" applyNumberFormat="1" applyAlignment="1"/>
    <xf numFmtId="14" fontId="0" fillId="0" borderId="2" xfId="0" applyNumberFormat="1" applyBorder="1"/>
    <xf numFmtId="1" fontId="0" fillId="0" borderId="2" xfId="0" applyNumberFormat="1" applyBorder="1"/>
    <xf numFmtId="0" fontId="0" fillId="0" borderId="37" xfId="0" applyBorder="1"/>
    <xf numFmtId="0" fontId="0" fillId="0" borderId="40" xfId="0" applyBorder="1"/>
    <xf numFmtId="0" fontId="0" fillId="0" borderId="41" xfId="0" applyBorder="1"/>
    <xf numFmtId="14" fontId="0" fillId="0" borderId="38" xfId="0" applyNumberFormat="1" applyBorder="1"/>
    <xf numFmtId="1" fontId="0" fillId="0" borderId="38" xfId="0" applyNumberFormat="1" applyBorder="1"/>
    <xf numFmtId="0" fontId="0" fillId="0" borderId="0" xfId="0" applyBorder="1" applyAlignment="1"/>
    <xf numFmtId="0" fontId="8" fillId="13" borderId="0" xfId="3" applyFont="1" applyFill="1"/>
    <xf numFmtId="0" fontId="7" fillId="7" borderId="0" xfId="4" applyFont="1" applyFill="1" applyBorder="1" applyAlignment="1" applyProtection="1">
      <alignment vertical="center"/>
      <protection hidden="1"/>
    </xf>
    <xf numFmtId="0" fontId="9" fillId="7" borderId="0" xfId="0" applyFont="1" applyFill="1" applyAlignment="1" applyProtection="1">
      <alignment horizontal="right"/>
      <protection hidden="1"/>
    </xf>
    <xf numFmtId="0" fontId="8" fillId="7" borderId="0" xfId="3" applyFont="1" applyFill="1" applyProtection="1">
      <protection hidden="1"/>
    </xf>
    <xf numFmtId="0" fontId="9" fillId="7" borderId="0" xfId="0" applyFont="1" applyFill="1" applyAlignment="1" applyProtection="1">
      <alignment vertical="top" wrapText="1"/>
      <protection hidden="1"/>
    </xf>
    <xf numFmtId="0" fontId="11" fillId="7" borderId="0" xfId="3" applyFont="1" applyFill="1" applyAlignment="1" applyProtection="1">
      <alignment vertical="center" wrapText="1"/>
      <protection hidden="1"/>
    </xf>
    <xf numFmtId="0" fontId="11" fillId="7" borderId="0" xfId="3" applyFont="1" applyFill="1" applyAlignment="1" applyProtection="1">
      <alignment vertical="center"/>
      <protection hidden="1"/>
    </xf>
    <xf numFmtId="0" fontId="9" fillId="7" borderId="0" xfId="0" applyFont="1" applyFill="1" applyAlignment="1" applyProtection="1">
      <alignment horizontal="left" vertical="top"/>
      <protection hidden="1"/>
    </xf>
    <xf numFmtId="0" fontId="13" fillId="7" borderId="0" xfId="0" applyFont="1" applyFill="1" applyAlignment="1" applyProtection="1">
      <alignment horizontal="right"/>
      <protection hidden="1"/>
    </xf>
    <xf numFmtId="0" fontId="11" fillId="7" borderId="0" xfId="3" applyFont="1" applyFill="1" applyBorder="1" applyAlignment="1">
      <alignment horizontal="left"/>
    </xf>
    <xf numFmtId="0" fontId="8" fillId="7" borderId="0" xfId="3" applyFont="1" applyFill="1" applyBorder="1" applyAlignment="1">
      <alignment vertical="center"/>
    </xf>
    <xf numFmtId="0" fontId="15" fillId="7" borderId="0" xfId="3" applyFont="1" applyFill="1" applyBorder="1"/>
    <xf numFmtId="0" fontId="8" fillId="7" borderId="0" xfId="3" applyFont="1" applyFill="1" applyBorder="1" applyAlignment="1">
      <alignment horizontal="center" vertical="center"/>
    </xf>
    <xf numFmtId="0" fontId="8" fillId="7" borderId="0" xfId="3" quotePrefix="1" applyFont="1" applyFill="1" applyBorder="1" applyAlignment="1">
      <alignment horizontal="left" vertical="center"/>
    </xf>
    <xf numFmtId="0" fontId="15" fillId="7" borderId="0" xfId="3" applyFont="1" applyFill="1" applyBorder="1" applyAlignment="1">
      <alignment horizontal="center" vertical="center"/>
    </xf>
    <xf numFmtId="0" fontId="8" fillId="7" borderId="0" xfId="3" applyFont="1" applyFill="1" applyBorder="1" applyAlignment="1">
      <alignment horizontal="left" vertical="center"/>
    </xf>
    <xf numFmtId="0" fontId="16" fillId="7" borderId="0" xfId="3" applyFont="1" applyFill="1" applyBorder="1"/>
    <xf numFmtId="0" fontId="17" fillId="7" borderId="0" xfId="3" applyFont="1" applyFill="1" applyBorder="1"/>
    <xf numFmtId="0" fontId="11" fillId="7" borderId="0" xfId="3" applyFont="1" applyFill="1" applyBorder="1" applyAlignment="1"/>
    <xf numFmtId="0" fontId="8" fillId="7" borderId="0" xfId="3" applyFont="1" applyFill="1" applyBorder="1" applyAlignment="1" applyProtection="1">
      <alignment vertical="center"/>
      <protection hidden="1"/>
    </xf>
    <xf numFmtId="0" fontId="8" fillId="7" borderId="0" xfId="3" applyFont="1" applyFill="1" applyBorder="1" applyProtection="1">
      <protection hidden="1"/>
    </xf>
    <xf numFmtId="0" fontId="40" fillId="7" borderId="0" xfId="0" applyFont="1" applyFill="1"/>
    <xf numFmtId="0" fontId="40" fillId="7" borderId="0" xfId="0" applyFont="1" applyFill="1" applyProtection="1">
      <protection hidden="1"/>
    </xf>
    <xf numFmtId="0" fontId="4" fillId="7" borderId="0" xfId="0" applyFont="1" applyFill="1" applyProtection="1">
      <protection hidden="1"/>
    </xf>
    <xf numFmtId="0" fontId="40" fillId="7" borderId="0" xfId="0" applyFont="1" applyFill="1" applyAlignment="1" applyProtection="1">
      <protection hidden="1"/>
    </xf>
    <xf numFmtId="0" fontId="4" fillId="7" borderId="0" xfId="0" applyFont="1" applyFill="1" applyAlignment="1" applyProtection="1">
      <alignment horizontal="left" vertical="top" wrapText="1"/>
      <protection hidden="1"/>
    </xf>
    <xf numFmtId="0" fontId="4" fillId="7" borderId="0" xfId="0" applyFont="1" applyFill="1" applyAlignment="1" applyProtection="1">
      <alignment horizontal="center" vertical="top" wrapText="1"/>
      <protection hidden="1"/>
    </xf>
    <xf numFmtId="0" fontId="11" fillId="7" borderId="0" xfId="3" applyFont="1" applyFill="1" applyBorder="1" applyAlignment="1">
      <alignment horizontal="left" vertical="center"/>
    </xf>
    <xf numFmtId="0" fontId="8" fillId="7" borderId="0" xfId="3" applyFont="1" applyFill="1" applyBorder="1" applyAlignment="1">
      <alignment horizontal="left"/>
    </xf>
    <xf numFmtId="0" fontId="19" fillId="7" borderId="0" xfId="3" applyFont="1" applyFill="1" applyBorder="1" applyAlignment="1">
      <alignment horizontal="left" vertical="center"/>
    </xf>
    <xf numFmtId="0" fontId="5" fillId="7" borderId="0" xfId="3" applyFont="1" applyFill="1" applyProtection="1">
      <protection hidden="1"/>
    </xf>
    <xf numFmtId="0" fontId="7" fillId="7" borderId="0" xfId="4" applyFont="1" applyFill="1" applyAlignment="1" applyProtection="1">
      <alignment vertical="center"/>
      <protection hidden="1"/>
    </xf>
    <xf numFmtId="0" fontId="10" fillId="7" borderId="0" xfId="3" applyFont="1" applyFill="1" applyProtection="1">
      <protection hidden="1"/>
    </xf>
    <xf numFmtId="0" fontId="9" fillId="7" borderId="0" xfId="0" applyFont="1" applyFill="1" applyAlignment="1" applyProtection="1">
      <alignment horizontal="center" vertical="top"/>
      <protection hidden="1"/>
    </xf>
    <xf numFmtId="0" fontId="11" fillId="7" borderId="0" xfId="3" applyFont="1" applyFill="1" applyProtection="1">
      <protection hidden="1"/>
    </xf>
    <xf numFmtId="0" fontId="11" fillId="7" borderId="0" xfId="3" applyFont="1" applyFill="1" applyAlignment="1" applyProtection="1">
      <alignment horizontal="center" vertical="center" wrapText="1"/>
      <protection hidden="1"/>
    </xf>
    <xf numFmtId="0" fontId="9" fillId="7" borderId="0" xfId="0" applyFont="1" applyFill="1" applyAlignment="1" applyProtection="1">
      <alignment horizontal="left" vertical="center" wrapText="1"/>
      <protection hidden="1"/>
    </xf>
    <xf numFmtId="0" fontId="8" fillId="9" borderId="0" xfId="3" applyFont="1" applyFill="1" applyProtection="1">
      <protection hidden="1"/>
    </xf>
    <xf numFmtId="0" fontId="41" fillId="7" borderId="0" xfId="3" applyFont="1" applyFill="1" applyProtection="1">
      <protection hidden="1"/>
    </xf>
    <xf numFmtId="0" fontId="42" fillId="7" borderId="0" xfId="4" applyFont="1" applyFill="1" applyProtection="1">
      <protection hidden="1"/>
    </xf>
    <xf numFmtId="0" fontId="43" fillId="7" borderId="0" xfId="3" applyFont="1" applyFill="1" applyProtection="1">
      <protection hidden="1"/>
    </xf>
    <xf numFmtId="0" fontId="44" fillId="7" borderId="0" xfId="0" applyFont="1" applyFill="1" applyAlignment="1" applyProtection="1">
      <alignment horizontal="right"/>
      <protection hidden="1"/>
    </xf>
    <xf numFmtId="0" fontId="43" fillId="13" borderId="0" xfId="3" applyFont="1" applyFill="1"/>
    <xf numFmtId="0" fontId="46" fillId="7" borderId="0" xfId="3" applyFont="1" applyFill="1" applyProtection="1">
      <protection hidden="1"/>
    </xf>
    <xf numFmtId="0" fontId="34" fillId="9" borderId="0" xfId="4" applyFont="1" applyFill="1" applyAlignment="1" applyProtection="1">
      <alignment horizontal="center"/>
      <protection hidden="1"/>
    </xf>
    <xf numFmtId="0" fontId="47" fillId="7" borderId="0" xfId="4" applyFont="1" applyFill="1" applyProtection="1">
      <protection hidden="1"/>
    </xf>
    <xf numFmtId="0" fontId="30" fillId="7" borderId="0" xfId="3" applyFont="1" applyFill="1" applyAlignment="1" applyProtection="1">
      <alignment horizontal="center"/>
      <protection hidden="1"/>
    </xf>
    <xf numFmtId="0" fontId="48" fillId="7" borderId="0" xfId="4" applyFont="1" applyFill="1" applyProtection="1">
      <protection hidden="1"/>
    </xf>
    <xf numFmtId="14" fontId="0" fillId="0" borderId="24" xfId="0" applyNumberFormat="1" applyBorder="1"/>
    <xf numFmtId="43" fontId="0" fillId="0" borderId="0" xfId="2" applyFont="1" applyBorder="1"/>
    <xf numFmtId="43" fontId="8" fillId="0" borderId="17" xfId="2" applyFont="1" applyBorder="1"/>
    <xf numFmtId="0" fontId="34" fillId="7" borderId="0" xfId="4" applyFont="1" applyFill="1" applyAlignment="1" applyProtection="1">
      <alignment horizontal="center"/>
      <protection hidden="1"/>
    </xf>
    <xf numFmtId="0" fontId="46" fillId="13" borderId="0" xfId="3" applyFont="1" applyFill="1" applyProtection="1">
      <protection hidden="1"/>
    </xf>
    <xf numFmtId="0" fontId="30" fillId="13" borderId="0" xfId="3" applyFont="1" applyFill="1" applyAlignment="1" applyProtection="1">
      <alignment horizontal="center"/>
      <protection hidden="1"/>
    </xf>
    <xf numFmtId="0" fontId="48" fillId="13" borderId="0" xfId="4" applyFont="1" applyFill="1" applyProtection="1">
      <protection hidden="1"/>
    </xf>
    <xf numFmtId="0" fontId="8" fillId="13" borderId="0" xfId="3" applyFont="1" applyFill="1" applyProtection="1">
      <protection hidden="1"/>
    </xf>
    <xf numFmtId="0" fontId="34" fillId="13" borderId="0" xfId="4" applyFont="1" applyFill="1" applyAlignment="1" applyProtection="1">
      <alignment horizontal="center"/>
      <protection hidden="1"/>
    </xf>
    <xf numFmtId="43" fontId="8" fillId="0" borderId="0" xfId="2" applyFont="1" applyAlignment="1" applyProtection="1">
      <alignment horizontal="left" vertical="center"/>
      <protection hidden="1"/>
    </xf>
    <xf numFmtId="43" fontId="0" fillId="0" borderId="2" xfId="0" applyNumberFormat="1" applyBorder="1"/>
    <xf numFmtId="0" fontId="0" fillId="0" borderId="42" xfId="0" applyFont="1" applyBorder="1"/>
    <xf numFmtId="0" fontId="0" fillId="0" borderId="43" xfId="0" applyBorder="1"/>
    <xf numFmtId="0" fontId="0" fillId="0" borderId="44" xfId="0" applyBorder="1"/>
    <xf numFmtId="43" fontId="2" fillId="0" borderId="0" xfId="2" applyFont="1" applyAlignment="1" applyProtection="1">
      <protection hidden="1"/>
    </xf>
    <xf numFmtId="43" fontId="2" fillId="0" borderId="14" xfId="2" applyFont="1" applyBorder="1" applyAlignment="1" applyProtection="1">
      <alignment horizontal="left" vertical="center" indent="1"/>
      <protection hidden="1"/>
    </xf>
    <xf numFmtId="43" fontId="2" fillId="0" borderId="15" xfId="2" applyFont="1" applyBorder="1" applyAlignment="1" applyProtection="1">
      <alignment horizontal="left" vertical="center" indent="1"/>
      <protection hidden="1"/>
    </xf>
    <xf numFmtId="43" fontId="2" fillId="0" borderId="0" xfId="2" applyFont="1" applyBorder="1" applyAlignment="1" applyProtection="1">
      <alignment horizontal="left" vertical="center" indent="1"/>
      <protection hidden="1"/>
    </xf>
    <xf numFmtId="9" fontId="2" fillId="0" borderId="5" xfId="1" applyFont="1" applyBorder="1" applyAlignment="1" applyProtection="1">
      <alignment horizontal="left" vertical="center" indent="1"/>
      <protection hidden="1"/>
    </xf>
    <xf numFmtId="43" fontId="2" fillId="0" borderId="5" xfId="2" applyFont="1" applyBorder="1" applyAlignment="1" applyProtection="1">
      <alignment horizontal="left" vertical="center" indent="1"/>
      <protection hidden="1"/>
    </xf>
    <xf numFmtId="43" fontId="2" fillId="0" borderId="16" xfId="2" applyFont="1" applyBorder="1" applyAlignment="1" applyProtection="1">
      <alignment horizontal="left" vertical="center" indent="1"/>
      <protection hidden="1"/>
    </xf>
    <xf numFmtId="43" fontId="2" fillId="0" borderId="17" xfId="2" applyFont="1" applyBorder="1" applyAlignment="1" applyProtection="1">
      <alignment horizontal="left" vertical="center" indent="1"/>
      <protection hidden="1"/>
    </xf>
    <xf numFmtId="43" fontId="2" fillId="0" borderId="18" xfId="2" applyFont="1" applyBorder="1" applyAlignment="1" applyProtection="1">
      <alignment horizontal="left" vertical="center" indent="1"/>
      <protection hidden="1"/>
    </xf>
    <xf numFmtId="43" fontId="58" fillId="0" borderId="0" xfId="2" applyFont="1" applyAlignment="1" applyProtection="1">
      <alignment horizontal="left" vertical="center" indent="1"/>
      <protection hidden="1"/>
    </xf>
    <xf numFmtId="0" fontId="2" fillId="0" borderId="0" xfId="2" applyNumberFormat="1" applyFont="1" applyAlignment="1" applyProtection="1">
      <alignment horizontal="left" vertical="center" indent="1"/>
      <protection hidden="1"/>
    </xf>
    <xf numFmtId="43" fontId="2" fillId="0" borderId="0" xfId="2" applyNumberFormat="1" applyFont="1" applyAlignment="1" applyProtection="1">
      <alignment horizontal="left" vertical="center" indent="1"/>
      <protection hidden="1"/>
    </xf>
    <xf numFmtId="43" fontId="2" fillId="3" borderId="0" xfId="2" applyNumberFormat="1" applyFont="1" applyFill="1" applyAlignment="1" applyProtection="1">
      <alignment horizontal="left" vertical="center" indent="1"/>
      <protection hidden="1"/>
    </xf>
    <xf numFmtId="43" fontId="2" fillId="5" borderId="1" xfId="2" applyNumberFormat="1" applyFont="1" applyFill="1" applyBorder="1" applyAlignment="1" applyProtection="1">
      <alignment horizontal="left" vertical="center" indent="1"/>
    </xf>
    <xf numFmtId="43" fontId="2" fillId="5" borderId="1" xfId="2" applyNumberFormat="1" applyFont="1" applyFill="1" applyBorder="1" applyAlignment="1" applyProtection="1">
      <alignment horizontal="left" vertical="center" indent="1"/>
      <protection hidden="1"/>
    </xf>
    <xf numFmtId="0" fontId="59" fillId="7" borderId="0" xfId="4" applyFont="1" applyFill="1"/>
    <xf numFmtId="2" fontId="22" fillId="10" borderId="0" xfId="2" applyNumberFormat="1" applyFont="1" applyFill="1" applyAlignment="1" applyProtection="1">
      <alignment horizontal="center" vertical="center"/>
      <protection hidden="1"/>
    </xf>
    <xf numFmtId="2" fontId="23" fillId="10" borderId="10" xfId="2" applyNumberFormat="1" applyFont="1" applyFill="1" applyBorder="1" applyAlignment="1" applyProtection="1">
      <alignment horizontal="center" vertical="center"/>
      <protection hidden="1"/>
    </xf>
    <xf numFmtId="2" fontId="21" fillId="10" borderId="0" xfId="3" applyNumberFormat="1" applyFont="1" applyFill="1" applyAlignment="1" applyProtection="1">
      <alignment horizontal="center" vertical="center"/>
      <protection hidden="1"/>
    </xf>
    <xf numFmtId="0" fontId="21" fillId="10" borderId="0" xfId="3" applyFont="1" applyFill="1" applyAlignment="1" applyProtection="1">
      <alignment horizontal="center" vertical="center"/>
      <protection hidden="1"/>
    </xf>
    <xf numFmtId="0" fontId="14" fillId="10" borderId="0" xfId="3" applyFont="1" applyFill="1" applyAlignment="1" applyProtection="1">
      <alignment horizontal="center" vertical="center"/>
      <protection hidden="1"/>
    </xf>
    <xf numFmtId="1" fontId="31" fillId="7" borderId="0" xfId="3" applyNumberFormat="1" applyFont="1" applyFill="1" applyAlignment="1" applyProtection="1">
      <alignment horizontal="right" vertical="center" indent="2"/>
      <protection hidden="1"/>
    </xf>
    <xf numFmtId="0" fontId="33" fillId="7" borderId="0" xfId="4" applyFont="1" applyFill="1" applyAlignment="1" applyProtection="1">
      <alignment vertical="center"/>
      <protection hidden="1"/>
    </xf>
    <xf numFmtId="0" fontId="0" fillId="7" borderId="0" xfId="0" applyFill="1" applyProtection="1">
      <protection hidden="1"/>
    </xf>
    <xf numFmtId="0" fontId="0" fillId="13" borderId="0" xfId="0" applyFill="1" applyBorder="1" applyProtection="1">
      <protection hidden="1"/>
    </xf>
    <xf numFmtId="0" fontId="9" fillId="7" borderId="0" xfId="0" applyFont="1" applyFill="1" applyAlignment="1" applyProtection="1">
      <alignment horizontal="right" vertical="top"/>
      <protection hidden="1"/>
    </xf>
    <xf numFmtId="0" fontId="12" fillId="7" borderId="0" xfId="3" applyFont="1" applyFill="1" applyProtection="1">
      <protection hidden="1"/>
    </xf>
    <xf numFmtId="0" fontId="8" fillId="7" borderId="0" xfId="3" quotePrefix="1" applyFont="1" applyFill="1" applyProtection="1">
      <protection hidden="1"/>
    </xf>
    <xf numFmtId="0" fontId="14" fillId="7" borderId="0" xfId="3" applyFont="1" applyFill="1" applyProtection="1">
      <protection hidden="1"/>
    </xf>
    <xf numFmtId="0" fontId="15" fillId="7" borderId="0" xfId="3" applyFont="1" applyFill="1" applyProtection="1">
      <protection hidden="1"/>
    </xf>
    <xf numFmtId="0" fontId="8" fillId="10" borderId="0" xfId="3" applyFont="1" applyFill="1" applyAlignment="1" applyProtection="1">
      <alignment horizontal="center" vertical="center"/>
      <protection hidden="1"/>
    </xf>
    <xf numFmtId="0" fontId="8" fillId="8" borderId="2" xfId="3" applyFont="1" applyFill="1" applyBorder="1" applyAlignment="1" applyProtection="1">
      <alignment horizontal="center" vertical="center"/>
      <protection locked="0" hidden="1"/>
    </xf>
    <xf numFmtId="0" fontId="8" fillId="10" borderId="0" xfId="3" applyFont="1" applyFill="1" applyProtection="1">
      <protection hidden="1"/>
    </xf>
    <xf numFmtId="0" fontId="16" fillId="7" borderId="0" xfId="3" applyFont="1" applyFill="1" applyAlignment="1" applyProtection="1">
      <alignment vertical="center"/>
      <protection hidden="1"/>
    </xf>
    <xf numFmtId="0" fontId="8" fillId="7" borderId="0" xfId="3" applyFont="1" applyFill="1" applyAlignment="1" applyProtection="1">
      <alignment vertical="center"/>
      <protection hidden="1"/>
    </xf>
    <xf numFmtId="0" fontId="21" fillId="8" borderId="0" xfId="3" applyFont="1" applyFill="1" applyProtection="1">
      <protection hidden="1"/>
    </xf>
    <xf numFmtId="0" fontId="16" fillId="7" borderId="0" xfId="3" applyFont="1" applyFill="1" applyProtection="1">
      <protection hidden="1"/>
    </xf>
    <xf numFmtId="0" fontId="21" fillId="6" borderId="0" xfId="0" applyFont="1" applyFill="1" applyProtection="1">
      <protection hidden="1"/>
    </xf>
    <xf numFmtId="0" fontId="17" fillId="7" borderId="0" xfId="3" applyFont="1" applyFill="1" applyProtection="1">
      <protection hidden="1"/>
    </xf>
    <xf numFmtId="0" fontId="11" fillId="7" borderId="0" xfId="3" applyFont="1" applyFill="1" applyAlignment="1" applyProtection="1">
      <alignment horizontal="left" vertical="center"/>
      <protection hidden="1"/>
    </xf>
    <xf numFmtId="0" fontId="53" fillId="10" borderId="0" xfId="3" applyFont="1" applyFill="1" applyAlignment="1" applyProtection="1">
      <alignment horizontal="center" vertical="center"/>
      <protection hidden="1"/>
    </xf>
    <xf numFmtId="0" fontId="37" fillId="10" borderId="0" xfId="3" applyFont="1" applyFill="1" applyAlignment="1" applyProtection="1">
      <alignment horizontal="left" vertical="center"/>
      <protection hidden="1"/>
    </xf>
    <xf numFmtId="0" fontId="18" fillId="10" borderId="0" xfId="3" applyFont="1" applyFill="1" applyAlignment="1" applyProtection="1">
      <alignment horizontal="left" vertical="center"/>
      <protection hidden="1"/>
    </xf>
    <xf numFmtId="0" fontId="11" fillId="10" borderId="0" xfId="3" applyFont="1" applyFill="1" applyAlignment="1" applyProtection="1">
      <alignment horizontal="left" vertical="center"/>
      <protection hidden="1"/>
    </xf>
    <xf numFmtId="0" fontId="21" fillId="10" borderId="0" xfId="3" applyFont="1" applyFill="1" applyAlignment="1" applyProtection="1">
      <alignment horizontal="left" vertical="center"/>
      <protection hidden="1"/>
    </xf>
    <xf numFmtId="0" fontId="38" fillId="10" borderId="0" xfId="3" applyFont="1" applyFill="1" applyAlignment="1" applyProtection="1">
      <alignment horizontal="left" vertical="center"/>
      <protection hidden="1"/>
    </xf>
    <xf numFmtId="0" fontId="0" fillId="10" borderId="0" xfId="0" applyFill="1" applyAlignment="1" applyProtection="1">
      <alignment horizontal="left" vertical="center"/>
      <protection hidden="1"/>
    </xf>
    <xf numFmtId="0" fontId="54" fillId="10" borderId="0" xfId="3" applyFont="1" applyFill="1" applyAlignment="1" applyProtection="1">
      <alignment horizontal="center" vertical="center"/>
      <protection hidden="1"/>
    </xf>
    <xf numFmtId="0" fontId="54" fillId="10" borderId="0" xfId="3" quotePrefix="1" applyFont="1" applyFill="1" applyAlignment="1" applyProtection="1">
      <alignment horizontal="left" vertical="center"/>
      <protection hidden="1"/>
    </xf>
    <xf numFmtId="0" fontId="54" fillId="10" borderId="0" xfId="3" quotePrefix="1" applyFont="1" applyFill="1" applyBorder="1" applyAlignment="1" applyProtection="1">
      <alignment horizontal="left" vertical="center"/>
      <protection hidden="1"/>
    </xf>
    <xf numFmtId="0" fontId="8" fillId="10" borderId="0" xfId="3" applyFont="1" applyFill="1" applyAlignment="1" applyProtection="1">
      <alignment vertical="center"/>
      <protection hidden="1"/>
    </xf>
    <xf numFmtId="0" fontId="39" fillId="10" borderId="0" xfId="0" applyFont="1" applyFill="1" applyAlignment="1" applyProtection="1">
      <alignment horizontal="left" vertical="center"/>
      <protection hidden="1"/>
    </xf>
    <xf numFmtId="0" fontId="8" fillId="7" borderId="0" xfId="3" applyFont="1" applyFill="1" applyAlignment="1" applyProtection="1">
      <alignment wrapText="1"/>
      <protection hidden="1"/>
    </xf>
    <xf numFmtId="0" fontId="54" fillId="10" borderId="0" xfId="3" applyFont="1" applyFill="1" applyAlignment="1" applyProtection="1">
      <alignment horizontal="center" vertical="center" wrapText="1"/>
      <protection hidden="1"/>
    </xf>
    <xf numFmtId="0" fontId="8" fillId="10" borderId="0" xfId="3" applyFont="1" applyFill="1" applyAlignment="1" applyProtection="1">
      <alignment vertical="center" wrapText="1"/>
      <protection hidden="1"/>
    </xf>
    <xf numFmtId="0" fontId="21" fillId="10" borderId="0" xfId="3" quotePrefix="1" applyFont="1" applyFill="1" applyAlignment="1" applyProtection="1">
      <alignment horizontal="left" vertical="center" wrapText="1"/>
      <protection hidden="1"/>
    </xf>
    <xf numFmtId="0" fontId="0" fillId="10" borderId="0" xfId="0" applyFill="1" applyAlignment="1" applyProtection="1">
      <alignment horizontal="left" vertical="center" wrapText="1"/>
      <protection hidden="1"/>
    </xf>
    <xf numFmtId="0" fontId="0" fillId="7" borderId="0" xfId="0" applyFill="1" applyAlignment="1" applyProtection="1">
      <alignment wrapText="1"/>
      <protection hidden="1"/>
    </xf>
    <xf numFmtId="0" fontId="0" fillId="13" borderId="0" xfId="0" applyFill="1" applyBorder="1" applyAlignment="1" applyProtection="1">
      <alignment wrapText="1"/>
      <protection hidden="1"/>
    </xf>
    <xf numFmtId="0" fontId="37" fillId="10" borderId="0" xfId="3" applyFont="1" applyFill="1" applyAlignment="1" applyProtection="1">
      <alignment horizontal="center" vertical="center"/>
      <protection hidden="1"/>
    </xf>
    <xf numFmtId="0" fontId="50" fillId="13" borderId="0" xfId="0" applyFont="1" applyFill="1" applyBorder="1" applyProtection="1">
      <protection hidden="1"/>
    </xf>
    <xf numFmtId="0" fontId="54" fillId="10" borderId="0" xfId="3" applyFont="1" applyFill="1" applyAlignment="1" applyProtection="1">
      <alignment horizontal="left" vertical="center" wrapText="1"/>
      <protection hidden="1"/>
    </xf>
    <xf numFmtId="0" fontId="21" fillId="10" borderId="0" xfId="3" applyFont="1" applyFill="1" applyAlignment="1" applyProtection="1">
      <alignment horizontal="left" vertical="center" wrapText="1"/>
      <protection hidden="1"/>
    </xf>
    <xf numFmtId="0" fontId="23" fillId="10" borderId="11" xfId="3" applyFont="1" applyFill="1" applyBorder="1" applyAlignment="1" applyProtection="1">
      <alignment horizontal="center" vertical="center"/>
      <protection hidden="1"/>
    </xf>
    <xf numFmtId="0" fontId="0" fillId="10" borderId="0" xfId="0" applyFill="1" applyProtection="1">
      <protection hidden="1"/>
    </xf>
    <xf numFmtId="0" fontId="37" fillId="10" borderId="0" xfId="3" applyFont="1" applyFill="1" applyAlignment="1" applyProtection="1">
      <alignment horizontal="left" vertical="center" wrapText="1"/>
      <protection hidden="1"/>
    </xf>
    <xf numFmtId="0" fontId="23" fillId="10" borderId="0" xfId="3" applyFont="1" applyFill="1" applyAlignment="1" applyProtection="1">
      <alignment horizontal="left" vertical="center" wrapText="1"/>
      <protection hidden="1"/>
    </xf>
    <xf numFmtId="1" fontId="21" fillId="8" borderId="2" xfId="1" applyNumberFormat="1" applyFont="1" applyFill="1" applyBorder="1" applyAlignment="1" applyProtection="1">
      <alignment horizontal="center" vertical="center"/>
      <protection locked="0" hidden="1"/>
    </xf>
    <xf numFmtId="14" fontId="21" fillId="8" borderId="2" xfId="1" applyNumberFormat="1" applyFont="1" applyFill="1" applyBorder="1" applyAlignment="1" applyProtection="1">
      <alignment horizontal="center" vertical="center"/>
      <protection locked="0" hidden="1"/>
    </xf>
    <xf numFmtId="0" fontId="18" fillId="7" borderId="0" xfId="3" applyFont="1" applyFill="1" applyProtection="1">
      <protection hidden="1"/>
    </xf>
    <xf numFmtId="0" fontId="8" fillId="7" borderId="0" xfId="3" applyFont="1" applyFill="1" applyAlignment="1" applyProtection="1">
      <alignment horizontal="center" vertical="center"/>
      <protection hidden="1"/>
    </xf>
    <xf numFmtId="0" fontId="8" fillId="7" borderId="0" xfId="3" quotePrefix="1" applyFont="1" applyFill="1" applyAlignment="1" applyProtection="1">
      <alignment horizontal="left" wrapText="1"/>
      <protection hidden="1"/>
    </xf>
    <xf numFmtId="0" fontId="54" fillId="10" borderId="0" xfId="3" applyFont="1" applyFill="1" applyAlignment="1" applyProtection="1">
      <alignment horizontal="left" vertical="center"/>
      <protection hidden="1"/>
    </xf>
    <xf numFmtId="0" fontId="56" fillId="10" borderId="0" xfId="3" applyFont="1" applyFill="1" applyAlignment="1" applyProtection="1">
      <alignment horizontal="left" vertical="center" wrapText="1"/>
      <protection hidden="1"/>
    </xf>
    <xf numFmtId="1" fontId="54" fillId="10" borderId="0" xfId="3" applyNumberFormat="1" applyFont="1" applyFill="1" applyAlignment="1" applyProtection="1">
      <alignment horizontal="left" vertical="center"/>
      <protection hidden="1"/>
    </xf>
    <xf numFmtId="1" fontId="54" fillId="10" borderId="0" xfId="3" quotePrefix="1" applyNumberFormat="1" applyFont="1" applyFill="1" applyAlignment="1" applyProtection="1">
      <alignment horizontal="left" vertical="center" wrapText="1"/>
      <protection hidden="1"/>
    </xf>
    <xf numFmtId="0" fontId="54" fillId="10" borderId="0" xfId="3" applyNumberFormat="1" applyFont="1" applyFill="1" applyAlignment="1" applyProtection="1">
      <alignment vertical="center"/>
      <protection hidden="1"/>
    </xf>
    <xf numFmtId="0" fontId="23" fillId="10" borderId="0" xfId="3" applyFont="1" applyFill="1" applyBorder="1" applyAlignment="1" applyProtection="1">
      <alignment horizontal="left" vertical="center" wrapText="1"/>
      <protection hidden="1"/>
    </xf>
    <xf numFmtId="0" fontId="8" fillId="10" borderId="0" xfId="3" applyFont="1" applyFill="1" applyBorder="1" applyAlignment="1" applyProtection="1">
      <alignment horizontal="left" vertical="center" wrapText="1"/>
      <protection hidden="1"/>
    </xf>
    <xf numFmtId="0" fontId="8" fillId="10" borderId="0" xfId="3" applyFont="1" applyFill="1" applyAlignment="1" applyProtection="1">
      <alignment horizontal="left" vertical="center" wrapText="1"/>
      <protection hidden="1"/>
    </xf>
    <xf numFmtId="0" fontId="57" fillId="10" borderId="0" xfId="3" applyNumberFormat="1" applyFont="1" applyFill="1" applyAlignment="1" applyProtection="1">
      <alignment vertical="center" wrapText="1"/>
      <protection hidden="1"/>
    </xf>
    <xf numFmtId="0" fontId="57" fillId="10" borderId="0" xfId="3" applyFont="1" applyFill="1" applyAlignment="1" applyProtection="1">
      <alignment horizontal="left" vertical="center" wrapText="1"/>
      <protection hidden="1"/>
    </xf>
    <xf numFmtId="0" fontId="8" fillId="7" borderId="0" xfId="3" quotePrefix="1" applyFont="1" applyFill="1" applyAlignment="1" applyProtection="1">
      <alignment horizontal="left" vertical="center" wrapText="1"/>
      <protection hidden="1"/>
    </xf>
    <xf numFmtId="0" fontId="30" fillId="7" borderId="0" xfId="3" applyFont="1" applyFill="1" applyBorder="1" applyAlignment="1" applyProtection="1">
      <alignment horizontal="center" vertical="center"/>
      <protection hidden="1"/>
    </xf>
    <xf numFmtId="0" fontId="49" fillId="13" borderId="0" xfId="3" applyFont="1" applyFill="1" applyBorder="1" applyAlignment="1" applyProtection="1">
      <alignment vertical="center" wrapText="1"/>
      <protection hidden="1"/>
    </xf>
    <xf numFmtId="3" fontId="51" fillId="13" borderId="0" xfId="1" applyNumberFormat="1" applyFont="1" applyFill="1" applyBorder="1" applyAlignment="1" applyProtection="1">
      <alignment vertical="center"/>
      <protection locked="0" hidden="1"/>
    </xf>
    <xf numFmtId="0" fontId="52" fillId="13" borderId="0" xfId="3" applyFont="1" applyFill="1" applyBorder="1" applyAlignment="1" applyProtection="1">
      <alignment vertical="center"/>
      <protection hidden="1"/>
    </xf>
    <xf numFmtId="0" fontId="37" fillId="10" borderId="0" xfId="3" applyFont="1" applyFill="1" applyProtection="1">
      <protection hidden="1"/>
    </xf>
    <xf numFmtId="0" fontId="54" fillId="10" borderId="0" xfId="3" applyFont="1" applyFill="1" applyProtection="1">
      <protection hidden="1"/>
    </xf>
    <xf numFmtId="0" fontId="0" fillId="7" borderId="31" xfId="0" applyFill="1" applyBorder="1" applyProtection="1">
      <protection hidden="1"/>
    </xf>
    <xf numFmtId="0" fontId="28" fillId="7" borderId="0" xfId="3" applyFont="1" applyFill="1" applyProtection="1">
      <protection hidden="1"/>
    </xf>
    <xf numFmtId="0" fontId="56" fillId="10" borderId="0" xfId="3" applyFont="1" applyFill="1" applyBorder="1" applyAlignment="1" applyProtection="1">
      <alignment horizontal="left" vertical="center"/>
      <protection hidden="1"/>
    </xf>
    <xf numFmtId="0" fontId="0" fillId="7" borderId="0" xfId="0" applyFill="1" applyBorder="1" applyProtection="1">
      <protection hidden="1"/>
    </xf>
    <xf numFmtId="0" fontId="8" fillId="10" borderId="0" xfId="3" applyFont="1" applyFill="1" applyAlignment="1" applyProtection="1">
      <alignment horizontal="left" vertical="center"/>
      <protection hidden="1"/>
    </xf>
    <xf numFmtId="0" fontId="8" fillId="7" borderId="0" xfId="3" applyFont="1" applyFill="1" applyAlignment="1" applyProtection="1">
      <alignment horizontal="left" vertical="center" wrapText="1"/>
      <protection hidden="1"/>
    </xf>
    <xf numFmtId="0" fontId="20" fillId="7" borderId="0" xfId="3" applyFont="1" applyFill="1" applyAlignment="1" applyProtection="1">
      <alignment vertical="center"/>
      <protection hidden="1"/>
    </xf>
    <xf numFmtId="0" fontId="20" fillId="7" borderId="0" xfId="3" applyFont="1" applyFill="1" applyProtection="1">
      <protection hidden="1"/>
    </xf>
    <xf numFmtId="0" fontId="6" fillId="7" borderId="0" xfId="4" applyFill="1" applyAlignment="1" applyProtection="1">
      <alignment horizontal="center" vertical="top"/>
      <protection hidden="1"/>
    </xf>
    <xf numFmtId="0" fontId="0" fillId="13" borderId="0" xfId="0" applyFill="1" applyProtection="1">
      <protection hidden="1"/>
    </xf>
    <xf numFmtId="167" fontId="0" fillId="13" borderId="0" xfId="0" applyNumberFormat="1" applyFill="1" applyProtection="1">
      <protection hidden="1"/>
    </xf>
    <xf numFmtId="9" fontId="0" fillId="0" borderId="0" xfId="1" applyFont="1" applyBorder="1"/>
    <xf numFmtId="9" fontId="0" fillId="0" borderId="0" xfId="0" applyNumberFormat="1" applyBorder="1"/>
    <xf numFmtId="0" fontId="21" fillId="10" borderId="0" xfId="3" quotePrefix="1" applyFont="1" applyFill="1" applyAlignment="1" applyProtection="1">
      <alignment horizontal="left" vertical="center"/>
      <protection hidden="1"/>
    </xf>
    <xf numFmtId="0" fontId="21" fillId="10" borderId="5" xfId="3" quotePrefix="1" applyFont="1" applyFill="1" applyBorder="1" applyAlignment="1" applyProtection="1">
      <alignment horizontal="left" vertical="center"/>
      <protection hidden="1"/>
    </xf>
    <xf numFmtId="0" fontId="4" fillId="7" borderId="0" xfId="0" applyFont="1" applyFill="1" applyAlignment="1" applyProtection="1">
      <alignment horizontal="left" vertical="center" wrapText="1"/>
      <protection hidden="1"/>
    </xf>
    <xf numFmtId="0" fontId="4" fillId="7" borderId="0" xfId="0" applyFont="1" applyFill="1" applyAlignment="1" applyProtection="1">
      <alignment horizontal="left" vertical="top" wrapText="1"/>
      <protection hidden="1"/>
    </xf>
    <xf numFmtId="0" fontId="40" fillId="7" borderId="0" xfId="0" applyFont="1" applyFill="1" applyAlignment="1" applyProtection="1">
      <alignment horizontal="left" vertical="center" wrapText="1"/>
      <protection hidden="1"/>
    </xf>
    <xf numFmtId="0" fontId="19" fillId="7" borderId="0" xfId="3" applyFont="1" applyFill="1" applyBorder="1" applyAlignment="1">
      <alignment horizontal="left" vertical="center"/>
    </xf>
    <xf numFmtId="164" fontId="19" fillId="7" borderId="0" xfId="2" applyNumberFormat="1" applyFont="1" applyFill="1" applyBorder="1" applyAlignment="1">
      <alignment horizontal="center" vertical="center"/>
    </xf>
    <xf numFmtId="0" fontId="8" fillId="7" borderId="0" xfId="3" applyFont="1" applyFill="1" applyBorder="1" applyAlignment="1">
      <alignment horizontal="center" vertical="center"/>
    </xf>
    <xf numFmtId="0" fontId="8" fillId="7" borderId="0" xfId="3" applyFont="1" applyFill="1" applyBorder="1" applyAlignment="1">
      <alignment horizontal="left" vertical="center" wrapText="1"/>
    </xf>
    <xf numFmtId="0" fontId="8" fillId="7" borderId="0" xfId="3" applyFont="1" applyFill="1" applyBorder="1" applyAlignment="1">
      <alignment horizontal="left" vertical="center"/>
    </xf>
    <xf numFmtId="0" fontId="8" fillId="7" borderId="0" xfId="3" applyFont="1" applyFill="1" applyBorder="1" applyAlignment="1" applyProtection="1">
      <alignment horizontal="center" vertical="center"/>
      <protection hidden="1"/>
    </xf>
    <xf numFmtId="0" fontId="8" fillId="7" borderId="0" xfId="3" quotePrefix="1" applyFont="1" applyFill="1" applyBorder="1" applyAlignment="1" applyProtection="1">
      <alignment horizontal="left" vertical="center" wrapText="1"/>
      <protection hidden="1"/>
    </xf>
    <xf numFmtId="0" fontId="8" fillId="7" borderId="0" xfId="3" quotePrefix="1" applyFont="1" applyFill="1" applyBorder="1" applyAlignment="1">
      <alignment horizontal="left" vertical="center"/>
    </xf>
    <xf numFmtId="0" fontId="11" fillId="7" borderId="0" xfId="3" applyFont="1" applyFill="1" applyBorder="1" applyAlignment="1">
      <alignment horizontal="left" vertical="center"/>
    </xf>
    <xf numFmtId="164" fontId="8" fillId="7" borderId="0" xfId="2" applyNumberFormat="1" applyFont="1" applyFill="1" applyBorder="1" applyAlignment="1">
      <alignment horizontal="center" vertical="center"/>
    </xf>
    <xf numFmtId="0" fontId="8" fillId="7" borderId="0" xfId="3" quotePrefix="1" applyFont="1" applyFill="1" applyBorder="1" applyAlignment="1">
      <alignment horizontal="left" wrapText="1"/>
    </xf>
    <xf numFmtId="0" fontId="60" fillId="7" borderId="0" xfId="3" applyFont="1" applyFill="1" applyAlignment="1" applyProtection="1">
      <alignment horizontal="left" vertical="center" wrapText="1"/>
      <protection hidden="1"/>
    </xf>
    <xf numFmtId="0" fontId="9" fillId="7" borderId="0" xfId="0" applyFont="1" applyFill="1" applyAlignment="1" applyProtection="1">
      <alignment horizontal="left" vertical="center" wrapText="1"/>
      <protection hidden="1"/>
    </xf>
    <xf numFmtId="0" fontId="11" fillId="7" borderId="0" xfId="3" applyFont="1" applyFill="1" applyBorder="1" applyAlignment="1">
      <alignment horizontal="left"/>
    </xf>
    <xf numFmtId="0" fontId="45" fillId="10" borderId="0" xfId="4" applyFont="1" applyFill="1" applyAlignment="1" applyProtection="1">
      <alignment horizontal="left" vertical="top" wrapText="1"/>
      <protection hidden="1"/>
    </xf>
    <xf numFmtId="0" fontId="45" fillId="13" borderId="0" xfId="4" applyFont="1" applyFill="1" applyAlignment="1" applyProtection="1">
      <alignment horizontal="left" vertical="top" wrapText="1"/>
      <protection hidden="1"/>
    </xf>
    <xf numFmtId="0" fontId="20" fillId="10" borderId="0" xfId="3" applyFont="1" applyFill="1" applyAlignment="1" applyProtection="1">
      <alignment horizontal="left" vertical="center"/>
      <protection hidden="1"/>
    </xf>
    <xf numFmtId="0" fontId="55" fillId="10" borderId="0" xfId="3" applyFont="1" applyFill="1" applyAlignment="1" applyProtection="1">
      <alignment horizontal="left" vertical="center" wrapText="1"/>
      <protection hidden="1"/>
    </xf>
    <xf numFmtId="0" fontId="55" fillId="10" borderId="5" xfId="3" applyFont="1" applyFill="1" applyBorder="1" applyAlignment="1" applyProtection="1">
      <alignment horizontal="left" vertical="center" wrapText="1"/>
      <protection hidden="1"/>
    </xf>
    <xf numFmtId="0" fontId="32" fillId="7" borderId="0" xfId="4" applyFont="1" applyFill="1" applyProtection="1">
      <protection hidden="1"/>
    </xf>
    <xf numFmtId="0" fontId="7" fillId="7" borderId="0" xfId="4" applyFont="1" applyFill="1" applyAlignment="1" applyProtection="1">
      <alignment horizontal="center" vertical="center"/>
      <protection hidden="1"/>
    </xf>
    <xf numFmtId="0" fontId="11" fillId="7" borderId="0" xfId="3" applyFont="1" applyFill="1" applyAlignment="1" applyProtection="1">
      <alignment horizontal="left"/>
      <protection hidden="1"/>
    </xf>
    <xf numFmtId="0" fontId="21" fillId="10" borderId="0" xfId="3" quotePrefix="1" applyFont="1" applyFill="1" applyAlignment="1" applyProtection="1">
      <alignment horizontal="left" vertical="center"/>
      <protection hidden="1"/>
    </xf>
    <xf numFmtId="0" fontId="21" fillId="10" borderId="5" xfId="3" quotePrefix="1" applyFont="1" applyFill="1" applyBorder="1" applyAlignment="1" applyProtection="1">
      <alignment horizontal="left" vertical="center"/>
      <protection hidden="1"/>
    </xf>
    <xf numFmtId="0" fontId="22" fillId="10" borderId="0" xfId="3" quotePrefix="1" applyFont="1" applyFill="1" applyAlignment="1" applyProtection="1">
      <alignment horizontal="left" vertical="center"/>
      <protection hidden="1"/>
    </xf>
    <xf numFmtId="0" fontId="22" fillId="10" borderId="5" xfId="3" quotePrefix="1" applyFont="1" applyFill="1" applyBorder="1" applyAlignment="1" applyProtection="1">
      <alignment horizontal="left" vertical="center"/>
      <protection hidden="1"/>
    </xf>
    <xf numFmtId="0" fontId="11" fillId="7" borderId="0" xfId="3" applyFont="1" applyFill="1" applyAlignment="1" applyProtection="1">
      <alignment horizontal="left" vertical="center"/>
      <protection hidden="1"/>
    </xf>
    <xf numFmtId="0" fontId="21" fillId="8" borderId="2" xfId="3" applyFont="1" applyFill="1" applyBorder="1" applyAlignment="1" applyProtection="1">
      <alignment horizontal="center" vertical="center"/>
      <protection locked="0" hidden="1"/>
    </xf>
    <xf numFmtId="0" fontId="55" fillId="10" borderId="0" xfId="3" applyFont="1" applyFill="1" applyAlignment="1" applyProtection="1">
      <alignment horizontal="left" vertical="center"/>
      <protection hidden="1"/>
    </xf>
    <xf numFmtId="0" fontId="55" fillId="10" borderId="5" xfId="3" applyFont="1" applyFill="1" applyBorder="1" applyAlignment="1" applyProtection="1">
      <alignment horizontal="left" vertical="center"/>
      <protection hidden="1"/>
    </xf>
    <xf numFmtId="0" fontId="22" fillId="8" borderId="3" xfId="3" applyFont="1" applyFill="1" applyBorder="1" applyAlignment="1" applyProtection="1">
      <alignment horizontal="center" vertical="center"/>
      <protection locked="0" hidden="1"/>
    </xf>
    <xf numFmtId="0" fontId="22" fillId="8" borderId="4" xfId="3" applyFont="1" applyFill="1" applyBorder="1" applyAlignment="1" applyProtection="1">
      <alignment horizontal="center" vertical="center"/>
      <protection locked="0" hidden="1"/>
    </xf>
    <xf numFmtId="0" fontId="22" fillId="8" borderId="3" xfId="3" applyFont="1" applyFill="1" applyBorder="1" applyAlignment="1" applyProtection="1">
      <alignment horizontal="center" vertical="center" wrapText="1"/>
      <protection locked="0" hidden="1"/>
    </xf>
    <xf numFmtId="0" fontId="22" fillId="8" borderId="4" xfId="3" applyFont="1" applyFill="1" applyBorder="1" applyAlignment="1" applyProtection="1">
      <alignment horizontal="center" vertical="center" wrapText="1"/>
      <protection locked="0" hidden="1"/>
    </xf>
    <xf numFmtId="3" fontId="21" fillId="8" borderId="7" xfId="2" applyNumberFormat="1" applyFont="1" applyFill="1" applyBorder="1" applyAlignment="1" applyProtection="1">
      <alignment horizontal="center" vertical="center"/>
      <protection locked="0" hidden="1"/>
    </xf>
    <xf numFmtId="3" fontId="21" fillId="8" borderId="8" xfId="2" applyNumberFormat="1" applyFont="1" applyFill="1" applyBorder="1" applyAlignment="1" applyProtection="1">
      <alignment horizontal="center" vertical="center"/>
      <protection locked="0" hidden="1"/>
    </xf>
    <xf numFmtId="0" fontId="54" fillId="10" borderId="0" xfId="3" applyFont="1" applyFill="1" applyAlignment="1" applyProtection="1">
      <alignment horizontal="left" vertical="center" wrapText="1"/>
      <protection hidden="1"/>
    </xf>
    <xf numFmtId="4" fontId="21" fillId="6" borderId="2" xfId="1" applyNumberFormat="1" applyFont="1" applyFill="1" applyBorder="1" applyAlignment="1" applyProtection="1">
      <alignment horizontal="center" vertical="center"/>
      <protection hidden="1"/>
    </xf>
    <xf numFmtId="0" fontId="54" fillId="10" borderId="0" xfId="3" applyFont="1" applyFill="1" applyAlignment="1" applyProtection="1">
      <alignment horizontal="left" vertical="center"/>
      <protection hidden="1"/>
    </xf>
    <xf numFmtId="0" fontId="54" fillId="10" borderId="0" xfId="3" applyFont="1" applyFill="1" applyBorder="1" applyAlignment="1" applyProtection="1">
      <alignment horizontal="left" vertical="center"/>
      <protection hidden="1"/>
    </xf>
    <xf numFmtId="0" fontId="54" fillId="10" borderId="6" xfId="3" applyFont="1" applyFill="1" applyBorder="1" applyAlignment="1" applyProtection="1">
      <alignment horizontal="left" vertical="center" wrapText="1"/>
      <protection hidden="1"/>
    </xf>
    <xf numFmtId="2" fontId="21" fillId="6" borderId="2" xfId="1" applyNumberFormat="1" applyFont="1" applyFill="1" applyBorder="1" applyAlignment="1" applyProtection="1">
      <alignment horizontal="center" vertical="center"/>
      <protection hidden="1"/>
    </xf>
    <xf numFmtId="1" fontId="21" fillId="8" borderId="3" xfId="1" applyNumberFormat="1" applyFont="1" applyFill="1" applyBorder="1" applyAlignment="1" applyProtection="1">
      <alignment horizontal="center" vertical="center"/>
      <protection locked="0" hidden="1"/>
    </xf>
    <xf numFmtId="1" fontId="21" fillId="8" borderId="4" xfId="1" applyNumberFormat="1" applyFont="1" applyFill="1" applyBorder="1" applyAlignment="1" applyProtection="1">
      <alignment horizontal="center" vertical="center"/>
      <protection locked="0" hidden="1"/>
    </xf>
    <xf numFmtId="1" fontId="21" fillId="8" borderId="2" xfId="1" applyNumberFormat="1" applyFont="1" applyFill="1" applyBorder="1" applyAlignment="1" applyProtection="1">
      <alignment horizontal="center" vertical="center"/>
      <protection locked="0" hidden="1"/>
    </xf>
    <xf numFmtId="1" fontId="22" fillId="10" borderId="0" xfId="1" applyNumberFormat="1" applyFont="1" applyFill="1" applyBorder="1" applyAlignment="1" applyProtection="1">
      <alignment horizontal="center" vertical="center"/>
      <protection locked="0" hidden="1"/>
    </xf>
    <xf numFmtId="1" fontId="21" fillId="10" borderId="2" xfId="1" applyNumberFormat="1" applyFont="1" applyFill="1" applyBorder="1" applyAlignment="1" applyProtection="1">
      <alignment horizontal="center" vertical="center"/>
      <protection locked="0" hidden="1"/>
    </xf>
    <xf numFmtId="0" fontId="23" fillId="8" borderId="2" xfId="3" applyFont="1" applyFill="1" applyBorder="1" applyAlignment="1" applyProtection="1">
      <alignment horizontal="center" vertical="center" wrapText="1"/>
      <protection locked="0" hidden="1"/>
    </xf>
    <xf numFmtId="0" fontId="54" fillId="10" borderId="5" xfId="3" applyFont="1" applyFill="1" applyBorder="1" applyAlignment="1" applyProtection="1">
      <alignment horizontal="left" vertical="center" wrapText="1"/>
      <protection hidden="1"/>
    </xf>
    <xf numFmtId="0" fontId="23" fillId="10" borderId="9" xfId="3" applyFont="1" applyFill="1" applyBorder="1" applyAlignment="1" applyProtection="1">
      <alignment horizontal="left" vertical="center"/>
      <protection hidden="1"/>
    </xf>
    <xf numFmtId="0" fontId="23" fillId="10" borderId="10" xfId="3" applyFont="1" applyFill="1" applyBorder="1" applyAlignment="1" applyProtection="1">
      <alignment horizontal="left" vertical="center"/>
      <protection hidden="1"/>
    </xf>
    <xf numFmtId="0" fontId="21" fillId="10" borderId="30" xfId="1" applyNumberFormat="1" applyFont="1" applyFill="1" applyBorder="1" applyAlignment="1" applyProtection="1">
      <alignment horizontal="center" vertical="center"/>
      <protection hidden="1"/>
    </xf>
    <xf numFmtId="0" fontId="54" fillId="10" borderId="0" xfId="3" applyFont="1" applyFill="1" applyBorder="1" applyAlignment="1" applyProtection="1">
      <alignment horizontal="left" vertical="center" wrapText="1"/>
      <protection hidden="1"/>
    </xf>
    <xf numFmtId="2" fontId="21" fillId="6" borderId="0" xfId="1" applyNumberFormat="1" applyFont="1" applyFill="1" applyBorder="1" applyAlignment="1" applyProtection="1">
      <alignment horizontal="center" vertical="center"/>
      <protection hidden="1"/>
    </xf>
    <xf numFmtId="0" fontId="29" fillId="10" borderId="0" xfId="3" applyFont="1" applyFill="1" applyAlignment="1" applyProtection="1">
      <alignment horizontal="left" vertical="center" wrapText="1"/>
      <protection hidden="1"/>
    </xf>
    <xf numFmtId="165" fontId="21" fillId="10" borderId="0" xfId="1" applyNumberFormat="1" applyFont="1" applyFill="1" applyBorder="1" applyAlignment="1" applyProtection="1">
      <alignment horizontal="center" vertical="center"/>
      <protection hidden="1"/>
    </xf>
    <xf numFmtId="0" fontId="21" fillId="8" borderId="0" xfId="0" applyFont="1" applyFill="1" applyBorder="1" applyAlignment="1" applyProtection="1">
      <alignment horizontal="center" vertical="center"/>
      <protection locked="0" hidden="1"/>
    </xf>
    <xf numFmtId="0" fontId="21" fillId="10" borderId="0" xfId="3" applyFont="1" applyFill="1" applyBorder="1" applyAlignment="1" applyProtection="1">
      <alignment horizontal="center" vertical="center"/>
      <protection locked="0" hidden="1"/>
    </xf>
    <xf numFmtId="0" fontId="54" fillId="10" borderId="0" xfId="3" applyNumberFormat="1" applyFont="1" applyFill="1" applyAlignment="1" applyProtection="1">
      <alignment horizontal="left" vertical="center" wrapText="1"/>
      <protection hidden="1"/>
    </xf>
    <xf numFmtId="0" fontId="37" fillId="10" borderId="0" xfId="3" applyNumberFormat="1" applyFont="1" applyFill="1" applyAlignment="1" applyProtection="1">
      <alignment horizontal="left" vertical="center" wrapText="1"/>
      <protection hidden="1"/>
    </xf>
    <xf numFmtId="9" fontId="21" fillId="10" borderId="0" xfId="1" applyFont="1" applyFill="1" applyBorder="1" applyAlignment="1" applyProtection="1">
      <alignment horizontal="center" vertical="center"/>
      <protection locked="0" hidden="1"/>
    </xf>
    <xf numFmtId="43" fontId="24" fillId="0" borderId="13" xfId="2" applyFont="1" applyBorder="1" applyAlignment="1" applyProtection="1">
      <alignment horizontal="center" vertical="center"/>
      <protection hidden="1"/>
    </xf>
    <xf numFmtId="43" fontId="24" fillId="0" borderId="12" xfId="2" applyFont="1" applyBorder="1" applyAlignment="1" applyProtection="1">
      <alignment horizontal="center" vertical="center"/>
      <protection hidden="1"/>
    </xf>
    <xf numFmtId="43" fontId="19" fillId="0" borderId="12" xfId="2" applyFont="1" applyBorder="1" applyAlignment="1">
      <alignment horizontal="center"/>
    </xf>
    <xf numFmtId="43" fontId="19" fillId="0" borderId="14" xfId="2" applyFont="1" applyBorder="1" applyAlignment="1">
      <alignment horizontal="center"/>
    </xf>
    <xf numFmtId="43" fontId="2" fillId="0" borderId="0" xfId="2" applyFont="1" applyAlignment="1" applyProtection="1">
      <alignment horizontal="center" vertical="center"/>
      <protection hidden="1"/>
    </xf>
    <xf numFmtId="0" fontId="35" fillId="0" borderId="0" xfId="0" applyFont="1" applyAlignment="1">
      <alignment horizontal="center"/>
    </xf>
    <xf numFmtId="0" fontId="36" fillId="0" borderId="0" xfId="0" applyFont="1" applyAlignment="1">
      <alignment horizontal="center"/>
    </xf>
  </cellXfs>
  <cellStyles count="5">
    <cellStyle name="Komma" xfId="2" builtinId="3"/>
    <cellStyle name="Link" xfId="4" builtinId="8"/>
    <cellStyle name="Normal" xfId="0" builtinId="0"/>
    <cellStyle name="Normal 2" xfId="3"/>
    <cellStyle name="Procent" xfId="1" builtinId="5"/>
  </cellStyles>
  <dxfs count="20">
    <dxf>
      <fill>
        <patternFill>
          <bgColor rgb="FFFFFF00"/>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9" tint="0.59996337778862885"/>
        </patternFill>
      </fill>
      <border>
        <left/>
        <right/>
        <top/>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border>
        <left/>
        <right/>
        <top/>
        <bottom/>
      </border>
    </dxf>
    <dxf>
      <fill>
        <patternFill>
          <bgColor theme="9" tint="0.59996337778862885"/>
        </patternFill>
      </fill>
      <border>
        <left/>
        <right/>
        <top style="thin">
          <color auto="1"/>
        </top>
        <bottom/>
      </border>
    </dxf>
    <dxf>
      <fill>
        <patternFill>
          <bgColor rgb="FFFFFF0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right/>
        <top/>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2.3846557641833233E-2"/>
                  <c:y val="0.34567901234567899"/>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Forbrugsberegner!$AA$4:$AA$6</c:f>
              <c:numCache>
                <c:formatCode>_(* #,##0.00_);_(* \(#,##0.00\);_(* "-"??_);_(@_)</c:formatCode>
                <c:ptCount val="3"/>
                <c:pt idx="0">
                  <c:v>1000</c:v>
                </c:pt>
                <c:pt idx="1">
                  <c:v>100</c:v>
                </c:pt>
                <c:pt idx="2">
                  <c:v>10</c:v>
                </c:pt>
              </c:numCache>
            </c:numRef>
          </c:xVal>
          <c:yVal>
            <c:numRef>
              <c:f>Forbrugsberegner!$AB$4:$AB$6</c:f>
              <c:numCache>
                <c:formatCode>_(* #,##0.00_);_(* \(#,##0.00\);_(* "-"??_);_(@_)</c:formatCode>
                <c:ptCount val="3"/>
                <c:pt idx="0">
                  <c:v>0.96</c:v>
                </c:pt>
                <c:pt idx="1">
                  <c:v>0.95</c:v>
                </c:pt>
                <c:pt idx="2">
                  <c:v>0.94</c:v>
                </c:pt>
              </c:numCache>
            </c:numRef>
          </c:yVal>
          <c:smooth val="0"/>
          <c:extLst>
            <c:ext xmlns:c16="http://schemas.microsoft.com/office/drawing/2014/chart" uri="{C3380CC4-5D6E-409C-BE32-E72D297353CC}">
              <c16:uniqueId val="{00000000-04F0-4F61-B08A-C6B7BE81B7D9}"/>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noFill/>
              <a:round/>
            </a:ln>
            <a:effectLst/>
          </c:spPr>
          <c:marker>
            <c:symbol val="circle"/>
            <c:size val="5"/>
            <c:spPr>
              <a:solidFill>
                <a:schemeClr val="accent1"/>
              </a:solidFill>
              <a:ln w="9525">
                <a:solidFill>
                  <a:schemeClr val="accent1"/>
                </a:solidFill>
              </a:ln>
              <a:effectLst/>
            </c:spPr>
          </c:marker>
          <c:cat>
            <c:strRef>
              <c:f>Forbrugsberegner!$M$4:$M$8</c:f>
              <c:strCache>
                <c:ptCount val="5"/>
                <c:pt idx="0">
                  <c:v>Træpiller</c:v>
                </c:pt>
                <c:pt idx="1">
                  <c:v>Brænde</c:v>
                </c:pt>
                <c:pt idx="2">
                  <c:v>Flis</c:v>
                </c:pt>
                <c:pt idx="3">
                  <c:v>Halm</c:v>
                </c:pt>
                <c:pt idx="4">
                  <c:v>Olie</c:v>
                </c:pt>
              </c:strCache>
            </c:strRef>
          </c:cat>
          <c:val>
            <c:numRef>
              <c:f>Forbrugsberegner!$N$4:$N$8</c:f>
              <c:numCache>
                <c:formatCode>_(* #,##0.00_);_(* \(#,##0.00\);_(* "-"??_);_(@_)</c:formatCode>
                <c:ptCount val="5"/>
                <c:pt idx="0">
                  <c:v>0.51846577122601412</c:v>
                </c:pt>
                <c:pt idx="1">
                  <c:v>0.47520655922811195</c:v>
                </c:pt>
                <c:pt idx="2">
                  <c:v>0.46311840162769247</c:v>
                </c:pt>
                <c:pt idx="3">
                  <c:v>0.36352366243104917</c:v>
                </c:pt>
                <c:pt idx="4">
                  <c:v>0.49806577122601414</c:v>
                </c:pt>
              </c:numCache>
            </c:numRef>
          </c:val>
          <c:smooth val="0"/>
          <c:extLst>
            <c:ext xmlns:c16="http://schemas.microsoft.com/office/drawing/2014/chart" uri="{C3380CC4-5D6E-409C-BE32-E72D297353CC}">
              <c16:uniqueId val="{00000000-AEE0-40E7-90CF-5B1894894559}"/>
            </c:ext>
          </c:extLst>
        </c:ser>
        <c:dLbls>
          <c:showLegendKey val="0"/>
          <c:showVal val="0"/>
          <c:showCatName val="0"/>
          <c:showSerName val="0"/>
          <c:showPercent val="0"/>
          <c:showBubbleSize val="0"/>
        </c:dLbls>
        <c:marker val="1"/>
        <c:smooth val="0"/>
        <c:axId val="432885856"/>
        <c:axId val="432886840"/>
      </c:lineChart>
      <c:catAx>
        <c:axId val="432885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6840"/>
        <c:crosses val="autoZero"/>
        <c:auto val="1"/>
        <c:lblAlgn val="ctr"/>
        <c:lblOffset val="100"/>
        <c:noMultiLvlLbl val="0"/>
      </c:catAx>
      <c:valAx>
        <c:axId val="4328868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Forbrugsberegner!$G$12</c:f>
              <c:strCache>
                <c:ptCount val="1"/>
                <c:pt idx="0">
                  <c:v>Træpiller</c:v>
                </c:pt>
              </c:strCache>
            </c:strRef>
          </c:tx>
          <c:spPr>
            <a:ln w="25400" cap="rnd">
              <a:noFill/>
              <a:round/>
            </a:ln>
            <a:effectLst/>
          </c:spPr>
          <c:marker>
            <c:symbol val="none"/>
          </c:marker>
          <c:trendline>
            <c:spPr>
              <a:ln w="19050" cap="rnd">
                <a:solidFill>
                  <a:schemeClr val="accent1"/>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Forbrugsberegner!$G$13:$G$15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0-74EA-4B31-874D-4B3831D47BA4}"/>
            </c:ext>
          </c:extLst>
        </c:ser>
        <c:ser>
          <c:idx val="1"/>
          <c:order val="1"/>
          <c:tx>
            <c:strRef>
              <c:f>Forbrugsberegner!$H$12</c:f>
              <c:strCache>
                <c:ptCount val="1"/>
                <c:pt idx="0">
                  <c:v>Brænde</c:v>
                </c:pt>
              </c:strCache>
            </c:strRef>
          </c:tx>
          <c:spPr>
            <a:ln w="25400" cap="rnd">
              <a:noFill/>
              <a:round/>
            </a:ln>
            <a:effectLst/>
          </c:spPr>
          <c:marker>
            <c:symbol val="none"/>
          </c:marker>
          <c:trendline>
            <c:spPr>
              <a:ln w="19050" cap="rnd">
                <a:solidFill>
                  <a:schemeClr val="accent2"/>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Forbrugsberegner!$H$13:$H$15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1-74EA-4B31-874D-4B3831D47BA4}"/>
            </c:ext>
          </c:extLst>
        </c:ser>
        <c:ser>
          <c:idx val="2"/>
          <c:order val="2"/>
          <c:tx>
            <c:strRef>
              <c:f>Forbrugsberegner!$I$12</c:f>
              <c:strCache>
                <c:ptCount val="1"/>
                <c:pt idx="0">
                  <c:v>Flis</c:v>
                </c:pt>
              </c:strCache>
            </c:strRef>
          </c:tx>
          <c:spPr>
            <a:ln w="25400" cap="rnd">
              <a:noFill/>
              <a:round/>
            </a:ln>
            <a:effectLst/>
          </c:spPr>
          <c:marker>
            <c:symbol val="none"/>
          </c:marker>
          <c:trendline>
            <c:spPr>
              <a:ln w="19050" cap="rnd">
                <a:solidFill>
                  <a:schemeClr val="accent3"/>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Forbrugsberegner!$I$13:$I$15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2-74EA-4B31-874D-4B3831D47BA4}"/>
            </c:ext>
          </c:extLst>
        </c:ser>
        <c:ser>
          <c:idx val="3"/>
          <c:order val="3"/>
          <c:tx>
            <c:strRef>
              <c:f>Forbrugsberegner!$J$12</c:f>
              <c:strCache>
                <c:ptCount val="1"/>
                <c:pt idx="0">
                  <c:v>Halm</c:v>
                </c:pt>
              </c:strCache>
            </c:strRef>
          </c:tx>
          <c:spPr>
            <a:ln w="25400" cap="rnd">
              <a:noFill/>
              <a:round/>
            </a:ln>
            <a:effectLst/>
          </c:spPr>
          <c:marker>
            <c:symbol val="none"/>
          </c:marker>
          <c:trendline>
            <c:spPr>
              <a:ln w="19050" cap="rnd">
                <a:solidFill>
                  <a:schemeClr val="accent4"/>
                </a:solidFill>
                <a:prstDash val="sysDot"/>
              </a:ln>
              <a:effectLst/>
            </c:spPr>
            <c:trendlineType val="log"/>
            <c:dispRSqr val="0"/>
            <c:dispEq val="1"/>
            <c:trendlineLbl>
              <c:layout>
                <c:manualLayout>
                  <c:x val="9.8348881543901104E-2"/>
                  <c:y val="-0.35214579020065667"/>
                </c:manualLayout>
              </c:layout>
              <c:numFmt formatCode="General" sourceLinked="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trendlineLbl>
          </c:trendline>
          <c:xVal>
            <c:numRef>
              <c:f>Forbrugsberegner!$F$13:$F$15</c:f>
              <c:numCache>
                <c:formatCode>_(* #,##0.00_);_(* \(#,##0.00\);_(* "-"??_);_(@_)</c:formatCode>
                <c:ptCount val="3"/>
                <c:pt idx="0">
                  <c:v>1</c:v>
                </c:pt>
                <c:pt idx="1">
                  <c:v>10</c:v>
                </c:pt>
                <c:pt idx="2">
                  <c:v>30</c:v>
                </c:pt>
              </c:numCache>
            </c:numRef>
          </c:xVal>
          <c:yVal>
            <c:numRef>
              <c:f>Forbrugsberegner!$J$13:$J$15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3-74EA-4B31-874D-4B3831D47BA4}"/>
            </c:ext>
          </c:extLst>
        </c:ser>
        <c:ser>
          <c:idx val="4"/>
          <c:order val="4"/>
          <c:tx>
            <c:v>ssfsdf</c:v>
          </c:tx>
          <c:spPr>
            <a:ln w="25400" cap="rnd">
              <a:noFill/>
              <a:round/>
            </a:ln>
            <a:effectLst/>
          </c:spPr>
          <c:marker>
            <c:symbol val="circle"/>
            <c:size val="5"/>
            <c:spPr>
              <a:solidFill>
                <a:schemeClr val="accent5"/>
              </a:solidFill>
              <a:ln w="9525">
                <a:solidFill>
                  <a:schemeClr val="accent5"/>
                </a:solidFill>
              </a:ln>
              <a:effectLst/>
            </c:spPr>
          </c:marker>
          <c:xVal>
            <c:numRef>
              <c:f>Forbrugsberegner!$C$5</c:f>
              <c:numCache>
                <c:formatCode>_(* #,##0.00_);_(* \(#,##0.00\);_(* "-"??_);_(@_)</c:formatCode>
                <c:ptCount val="1"/>
                <c:pt idx="0">
                  <c:v>2022</c:v>
                </c:pt>
              </c:numCache>
            </c:numRef>
          </c:xVal>
          <c:yVal>
            <c:numRef>
              <c:f>Forbrugsberegner!$E$8</c:f>
              <c:numCache>
                <c:formatCode>_(* #,##0.00_);_(* \(#,##0.00\);_(* "-"??_);_(@_)</c:formatCode>
                <c:ptCount val="1"/>
              </c:numCache>
            </c:numRef>
          </c:yVal>
          <c:smooth val="0"/>
          <c:extLst>
            <c:ext xmlns:c16="http://schemas.microsoft.com/office/drawing/2014/chart" uri="{C3380CC4-5D6E-409C-BE32-E72D297353CC}">
              <c16:uniqueId val="{00000008-74EA-4B31-874D-4B3831D47BA4}"/>
            </c:ext>
          </c:extLst>
        </c:ser>
        <c:ser>
          <c:idx val="5"/>
          <c:order val="5"/>
          <c:tx>
            <c:strRef>
              <c:f>Forbrugsberegner!$B$25</c:f>
              <c:strCache>
                <c:ptCount val="1"/>
              </c:strCache>
            </c:strRef>
          </c:tx>
          <c:spPr>
            <a:ln w="25400" cap="rnd">
              <a:noFill/>
              <a:round/>
            </a:ln>
            <a:effectLst/>
          </c:spPr>
          <c:marker>
            <c:symbol val="none"/>
          </c:marker>
          <c:xVal>
            <c:numRef>
              <c:f>Forbrugsberegner!$B$26:$B$29</c:f>
              <c:numCache>
                <c:formatCode>_(* #,##0.00_);_(* \(#,##0.00\);_(* "-"??_);_(@_)</c:formatCode>
                <c:ptCount val="4"/>
              </c:numCache>
            </c:numRef>
          </c:xVal>
          <c:yVal>
            <c:numRef>
              <c:f>Forbrugsberegner!$C$26:$C$29</c:f>
              <c:numCache>
                <c:formatCode>_(* #,##0.00_);_(* \(#,##0.00\);_(* "-"??_);_(@_)</c:formatCode>
                <c:ptCount val="4"/>
              </c:numCache>
            </c:numRef>
          </c:yVal>
          <c:smooth val="0"/>
          <c:extLst>
            <c:ext xmlns:c16="http://schemas.microsoft.com/office/drawing/2014/chart" uri="{C3380CC4-5D6E-409C-BE32-E72D297353CC}">
              <c16:uniqueId val="{00000004-1522-440F-9CF9-56701BBAD9E4}"/>
            </c:ext>
          </c:extLst>
        </c:ser>
        <c:dLbls>
          <c:showLegendKey val="0"/>
          <c:showVal val="0"/>
          <c:showCatName val="0"/>
          <c:showSerName val="0"/>
          <c:showPercent val="0"/>
          <c:showBubbleSize val="0"/>
        </c:dLbls>
        <c:axId val="327091104"/>
        <c:axId val="474292800"/>
      </c:scatterChart>
      <c:valAx>
        <c:axId val="327091104"/>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474292800"/>
        <c:crosses val="autoZero"/>
        <c:crossBetween val="midCat"/>
      </c:valAx>
      <c:valAx>
        <c:axId val="474292800"/>
        <c:scaling>
          <c:orientation val="minMax"/>
          <c:max val="0.85000000000000009"/>
          <c:min val="0.5"/>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327091104"/>
        <c:crosses val="autoZero"/>
        <c:crossBetween val="midCat"/>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50" b="0" i="0">
          <a:latin typeface="Verdana" panose="020B0604030504040204" pitchFamily="34" charset="0"/>
          <a:ea typeface="Verdana" panose="020B0604030504040204" pitchFamily="34" charset="0"/>
          <a:cs typeface="Verdana" panose="020B0604030504040204" pitchFamily="34" charset="0"/>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3318389681608993E-2"/>
                  <c:y val="-0.15191010498687665"/>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Forbrugsberegner!$M$14:$M$16</c:f>
              <c:numCache>
                <c:formatCode>_(* #,##0.00_);_(* \(#,##0.00\);_(* "-"??_);_(@_)</c:formatCode>
                <c:ptCount val="3"/>
                <c:pt idx="0">
                  <c:v>1</c:v>
                </c:pt>
                <c:pt idx="1">
                  <c:v>10</c:v>
                </c:pt>
                <c:pt idx="2">
                  <c:v>30</c:v>
                </c:pt>
              </c:numCache>
            </c:numRef>
          </c:xVal>
          <c:yVal>
            <c:numRef>
              <c:f>Forbrugsberegner!$N$14:$N$16</c:f>
              <c:numCache>
                <c:formatCode>_(* #,##0.00_);_(* \(#,##0.00\);_(* "-"??_);_(@_)</c:formatCode>
                <c:ptCount val="3"/>
                <c:pt idx="0">
                  <c:v>0.99</c:v>
                </c:pt>
                <c:pt idx="1">
                  <c:v>0.85</c:v>
                </c:pt>
                <c:pt idx="2">
                  <c:v>0.78</c:v>
                </c:pt>
              </c:numCache>
            </c:numRef>
          </c:yVal>
          <c:smooth val="0"/>
          <c:extLst>
            <c:ext xmlns:c16="http://schemas.microsoft.com/office/drawing/2014/chart" uri="{C3380CC4-5D6E-409C-BE32-E72D297353CC}">
              <c16:uniqueId val="{00000001-3467-470D-BBDD-2A040CBD4A45}"/>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8315354330708661"/>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Forbrugsberegner!$M$23:$M$25</c:f>
              <c:numCache>
                <c:formatCode>_(* #,##0.00_);_(* \(#,##0.00\);_(* "-"??_);_(@_)</c:formatCode>
                <c:ptCount val="3"/>
                <c:pt idx="0">
                  <c:v>1</c:v>
                </c:pt>
                <c:pt idx="1">
                  <c:v>10</c:v>
                </c:pt>
                <c:pt idx="2">
                  <c:v>30</c:v>
                </c:pt>
              </c:numCache>
            </c:numRef>
          </c:xVal>
          <c:yVal>
            <c:numRef>
              <c:f>Forbrugsberegner!$N$23:$N$25</c:f>
              <c:numCache>
                <c:formatCode>_(* #,##0.00_);_(* \(#,##0.00\);_(* "-"??_);_(@_)</c:formatCode>
                <c:ptCount val="3"/>
                <c:pt idx="0">
                  <c:v>0.98504999999999998</c:v>
                </c:pt>
                <c:pt idx="1">
                  <c:v>0.83129999999999993</c:v>
                </c:pt>
                <c:pt idx="2">
                  <c:v>0.75660000000000005</c:v>
                </c:pt>
              </c:numCache>
            </c:numRef>
          </c:yVal>
          <c:smooth val="0"/>
          <c:extLst>
            <c:ext xmlns:c16="http://schemas.microsoft.com/office/drawing/2014/chart" uri="{C3380CC4-5D6E-409C-BE32-E72D297353CC}">
              <c16:uniqueId val="{00000001-C111-4055-BA7F-11E822B45CCA}"/>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757034120734908"/>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Forbrugsberegner!$M$32:$M$34</c:f>
              <c:numCache>
                <c:formatCode>_(* #,##0.00_);_(* \(#,##0.00\);_(* "-"??_);_(@_)</c:formatCode>
                <c:ptCount val="3"/>
                <c:pt idx="0">
                  <c:v>1</c:v>
                </c:pt>
                <c:pt idx="1">
                  <c:v>10</c:v>
                </c:pt>
                <c:pt idx="2">
                  <c:v>30</c:v>
                </c:pt>
              </c:numCache>
            </c:numRef>
          </c:xVal>
          <c:yVal>
            <c:numRef>
              <c:f>Forbrugsberegner!$N$32:$N$34</c:f>
              <c:numCache>
                <c:formatCode>_(* #,##0.00_);_(* \(#,##0.00\);_(* "-"??_);_(@_)</c:formatCode>
                <c:ptCount val="3"/>
                <c:pt idx="0">
                  <c:v>0.96534900000000001</c:v>
                </c:pt>
                <c:pt idx="1">
                  <c:v>0.8146739999999999</c:v>
                </c:pt>
                <c:pt idx="2">
                  <c:v>0.74146800000000002</c:v>
                </c:pt>
              </c:numCache>
            </c:numRef>
          </c:yVal>
          <c:smooth val="0"/>
          <c:extLst>
            <c:ext xmlns:c16="http://schemas.microsoft.com/office/drawing/2014/chart" uri="{C3380CC4-5D6E-409C-BE32-E72D297353CC}">
              <c16:uniqueId val="{00000001-19F4-4856-AC6D-ED1CF4E2E4BF}"/>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Forbrugsberegner!$M$41:$M$43</c:f>
              <c:numCache>
                <c:formatCode>_(* #,##0.00_);_(* \(#,##0.00\);_(* "-"??_);_(@_)</c:formatCode>
                <c:ptCount val="3"/>
                <c:pt idx="0">
                  <c:v>1</c:v>
                </c:pt>
                <c:pt idx="1">
                  <c:v>10</c:v>
                </c:pt>
                <c:pt idx="2">
                  <c:v>30</c:v>
                </c:pt>
              </c:numCache>
            </c:numRef>
          </c:xVal>
          <c:yVal>
            <c:numRef>
              <c:f>Forbrugsberegner!$N$41:$N$43</c:f>
              <c:numCache>
                <c:formatCode>_(* #,##0.00_);_(* \(#,##0.00\);_(* "-"??_);_(@_)</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1-0CD7-41AA-BA02-C3D04D24D5E7}"/>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Forbrugsberegner!$M$50:$M$52</c:f>
              <c:numCache>
                <c:formatCode>_(* #,##0.00_);_(* \(#,##0.00\);_(* "-"??_);_(@_)</c:formatCode>
                <c:ptCount val="3"/>
                <c:pt idx="0">
                  <c:v>1</c:v>
                </c:pt>
                <c:pt idx="1">
                  <c:v>10</c:v>
                </c:pt>
                <c:pt idx="2">
                  <c:v>30</c:v>
                </c:pt>
              </c:numCache>
            </c:numRef>
          </c:xVal>
          <c:yVal>
            <c:numRef>
              <c:f>Forbrugsberegner!$N$50:$N$52</c:f>
              <c:numCache>
                <c:formatCode>_(* #,##0.00_);_(* \(#,##0.00\);_(* "-"??_);_(@_)</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0-187A-4896-B7E9-D6CAB275919D}"/>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649</xdr:colOff>
      <xdr:row>0</xdr:row>
      <xdr:rowOff>80010</xdr:rowOff>
    </xdr:from>
    <xdr:to>
      <xdr:col>15</xdr:col>
      <xdr:colOff>629240</xdr:colOff>
      <xdr:row>2</xdr:row>
      <xdr:rowOff>379031</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1699" y="80010"/>
          <a:ext cx="1155641" cy="562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526224</xdr:colOff>
      <xdr:row>14</xdr:row>
      <xdr:rowOff>114300</xdr:rowOff>
    </xdr:from>
    <xdr:to>
      <xdr:col>9</xdr:col>
      <xdr:colOff>139756</xdr:colOff>
      <xdr:row>18</xdr:row>
      <xdr:rowOff>139976</xdr:rowOff>
    </xdr:to>
    <xdr:pic>
      <xdr:nvPicPr>
        <xdr:cNvPr id="3"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4524" y="2413000"/>
          <a:ext cx="893057" cy="686076"/>
        </a:xfrm>
        <a:prstGeom prst="rect">
          <a:avLst/>
        </a:prstGeom>
      </xdr:spPr>
    </xdr:pic>
    <xdr:clientData/>
  </xdr:twoCellAnchor>
  <xdr:twoCellAnchor editAs="oneCell">
    <xdr:from>
      <xdr:col>3</xdr:col>
      <xdr:colOff>797753</xdr:colOff>
      <xdr:row>14</xdr:row>
      <xdr:rowOff>114301</xdr:rowOff>
    </xdr:from>
    <xdr:to>
      <xdr:col>4</xdr:col>
      <xdr:colOff>818484</xdr:colOff>
      <xdr:row>18</xdr:row>
      <xdr:rowOff>139978</xdr:rowOff>
    </xdr:to>
    <xdr:pic>
      <xdr:nvPicPr>
        <xdr:cNvPr id="4"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0603" y="2413001"/>
          <a:ext cx="820831" cy="686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20651</xdr:colOff>
      <xdr:row>1</xdr:row>
      <xdr:rowOff>129540</xdr:rowOff>
    </xdr:from>
    <xdr:to>
      <xdr:col>14</xdr:col>
      <xdr:colOff>418420</xdr:colOff>
      <xdr:row>3</xdr:row>
      <xdr:rowOff>107569</xdr:rowOff>
    </xdr:to>
    <xdr:pic>
      <xdr:nvPicPr>
        <xdr:cNvPr id="2" name="Picture 2" descr="Energistyrelsen søger en Kontorchef til energiadministrativt kraftcenter i  Esbjerg - Altinget - Alt om politik">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7601" y="281940"/>
          <a:ext cx="1274069" cy="559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83516</xdr:colOff>
      <xdr:row>0</xdr:row>
      <xdr:rowOff>0</xdr:rowOff>
    </xdr:from>
    <xdr:ext cx="1155324" cy="593344"/>
    <xdr:pic>
      <xdr:nvPicPr>
        <xdr:cNvPr id="2" name="Picture 1" descr="Energistyrelsen søger en Kontorchef til energiadministrativt kraftcenter i  Esbjerg - Altinget - Alt om politik">
          <a:extLst>
            <a:ext uri="{FF2B5EF4-FFF2-40B4-BE49-F238E27FC236}">
              <a16:creationId xmlns:a16="http://schemas.microsoft.com/office/drawing/2014/main" id="{38308480-2C0F-4E0A-B08D-00D83986FB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316" y="0"/>
          <a:ext cx="1155324" cy="5933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33617</xdr:colOff>
      <xdr:row>24</xdr:row>
      <xdr:rowOff>11205</xdr:rowOff>
    </xdr:from>
    <xdr:to>
      <xdr:col>17</xdr:col>
      <xdr:colOff>0</xdr:colOff>
      <xdr:row>41</xdr:row>
      <xdr:rowOff>145677</xdr:rowOff>
    </xdr:to>
    <xdr:sp macro="" textlink="">
      <xdr:nvSpPr>
        <xdr:cNvPr id="3" name="TextBox 2">
          <a:extLst>
            <a:ext uri="{FF2B5EF4-FFF2-40B4-BE49-F238E27FC236}">
              <a16:creationId xmlns:a16="http://schemas.microsoft.com/office/drawing/2014/main" id="{F92CCB9D-08D2-41A2-BCA8-92A0CB08EBBD}"/>
            </a:ext>
          </a:extLst>
        </xdr:cNvPr>
        <xdr:cNvSpPr txBox="1"/>
      </xdr:nvSpPr>
      <xdr:spPr>
        <a:xfrm>
          <a:off x="11979088" y="6241676"/>
          <a:ext cx="5255559" cy="5098677"/>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i="1">
              <a:solidFill>
                <a:schemeClr val="dk1"/>
              </a:solidFill>
              <a:effectLst/>
              <a:latin typeface="+mn-lt"/>
              <a:ea typeface="+mn-ea"/>
              <a:cs typeface="+mn-cs"/>
            </a:rPr>
            <a:t>Dokumentationskrav ved fase 2 ansøgning: </a:t>
          </a:r>
          <a:endParaRPr lang="da-DK" sz="1100">
            <a:solidFill>
              <a:schemeClr val="dk1"/>
            </a:solidFill>
            <a:effectLst/>
            <a:latin typeface="+mn-lt"/>
            <a:ea typeface="+mn-ea"/>
            <a:cs typeface="+mn-cs"/>
          </a:endParaRPr>
        </a:p>
        <a:p>
          <a:r>
            <a:rPr lang="da-DK" sz="800">
              <a:solidFill>
                <a:schemeClr val="dk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Der skal indsendes et billede af brændselskedlen. Desuden skal effekt og alder på brændselskedlen også dokumenteres. Dette kunne eksempelvis være vha. et billede af mærkepladen eller en faktura på eksisterende brændselskedel. </a:t>
          </a: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Energiforbruget skal opgøres med fakturaer eller en opgørelse over en gasmåler. Opgørelsen skal dække over 12 sammenhængende måneder eller 3 sammenhængende år forud for ansøgning og må maksimalt være 1 år gammel på tidspunktet for fase 1 ansøgningen.</a:t>
          </a: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Ved manuel indtastning af graddageuafhængigt forbrug (GUF), skal værdierne dokumenteres.</a:t>
          </a:r>
          <a:endParaRPr lang="da-DK" sz="1100" b="0" i="0" u="none" strike="noStrike">
            <a:solidFill>
              <a:schemeClr val="dk1"/>
            </a:solidFill>
            <a:effectLst/>
            <a:latin typeface="+mn-lt"/>
            <a:ea typeface="+mn-ea"/>
            <a:cs typeface="+mn-cs"/>
          </a:endParaRPr>
        </a:p>
        <a:p>
          <a:endParaRPr lang="da-DK" sz="800" i="1">
            <a:solidFill>
              <a:schemeClr val="dk1"/>
            </a:solidFill>
            <a:effectLst/>
            <a:latin typeface="+mn-lt"/>
            <a:ea typeface="+mn-ea"/>
            <a:cs typeface="+mn-cs"/>
          </a:endParaRPr>
        </a:p>
        <a:p>
          <a:r>
            <a:rPr lang="da-DK" sz="1100" i="1">
              <a:solidFill>
                <a:schemeClr val="dk1"/>
              </a:solidFill>
              <a:effectLst/>
              <a:latin typeface="+mn-lt"/>
              <a:ea typeface="+mn-ea"/>
              <a:cs typeface="+mn-cs"/>
            </a:rPr>
            <a:t>Dokumentationskrav ved ansøgning om udbetaling:</a:t>
          </a:r>
          <a:endParaRPr lang="da-DK" sz="1100" b="0" i="0" u="none" strike="noStrike">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indent="-228600">
            <a:buFont typeface="+mj-lt"/>
            <a:buAutoNum type="arabicPeriod"/>
          </a:pPr>
          <a:r>
            <a:rPr lang="da-DK" sz="1100">
              <a:solidFill>
                <a:schemeClr val="dk1"/>
              </a:solidFill>
              <a:effectLst/>
              <a:latin typeface="+mn-lt"/>
              <a:ea typeface="+mn-ea"/>
              <a:cs typeface="+mn-cs"/>
            </a:rPr>
            <a:t>Ved ansøgning om udbetaling skal der indsendes dokumentation i form af et datablad for virkningsgrad for brændselskedel /SCOP-værdi for varmepumpen.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Der skal vedlægges billeddokumentation af den nye varmeløsning. </a:t>
          </a:r>
        </a:p>
        <a:p>
          <a:endParaRPr lang="da-DK" sz="900" b="1" i="0">
            <a:solidFill>
              <a:schemeClr val="dk1"/>
            </a:solidFill>
            <a:effectLst/>
            <a:latin typeface="+mn-lt"/>
            <a:ea typeface="+mn-ea"/>
            <a:cs typeface="+mn-cs"/>
          </a:endParaRPr>
        </a:p>
        <a:p>
          <a:r>
            <a:rPr lang="da-DK" sz="1100" b="1" i="0">
              <a:solidFill>
                <a:schemeClr val="dk1"/>
              </a:solidFill>
              <a:effectLst/>
              <a:latin typeface="+mn-lt"/>
              <a:ea typeface="+mn-ea"/>
              <a:cs typeface="+mn-cs"/>
            </a:rPr>
            <a:t>Yderligere</a:t>
          </a:r>
          <a:r>
            <a:rPr lang="da-DK" sz="1100" b="1" i="0" baseline="0">
              <a:solidFill>
                <a:schemeClr val="dk1"/>
              </a:solidFill>
              <a:effectLst/>
              <a:latin typeface="+mn-lt"/>
              <a:ea typeface="+mn-ea"/>
              <a:cs typeface="+mn-cs"/>
            </a:rPr>
            <a:t> vejledning henvises til vejledning </a:t>
          </a:r>
          <a:r>
            <a:rPr lang="da-DK" sz="1100" b="1" i="1" baseline="0">
              <a:solidFill>
                <a:schemeClr val="dk1"/>
              </a:solidFill>
              <a:effectLst/>
              <a:latin typeface="+mn-lt"/>
              <a:ea typeface="+mn-ea"/>
              <a:cs typeface="+mn-cs"/>
            </a:rPr>
            <a:t>"</a:t>
          </a:r>
          <a:r>
            <a:rPr lang="da-DK" sz="1100" b="1" i="1">
              <a:solidFill>
                <a:schemeClr val="dk1"/>
              </a:solidFill>
              <a:effectLst/>
              <a:latin typeface="+mn-lt"/>
              <a:ea typeface="+mn-ea"/>
              <a:cs typeface="+mn-cs"/>
            </a:rPr>
            <a:t>Standardløsning for udskiftning af brændselskedler til og med 1.000 kW med beregner af energiforbruget"</a:t>
          </a:r>
          <a:r>
            <a:rPr lang="da-DK" sz="1100" b="1" i="0">
              <a:solidFill>
                <a:schemeClr val="dk1"/>
              </a:solidFill>
              <a:effectLst/>
              <a:latin typeface="+mn-lt"/>
              <a:ea typeface="+mn-ea"/>
              <a:cs typeface="+mn-cs"/>
            </a:rPr>
            <a:t>:</a:t>
          </a:r>
          <a:r>
            <a:rPr lang="da-DK" sz="1100" b="1" i="1">
              <a:solidFill>
                <a:schemeClr val="dk1"/>
              </a:solidFill>
              <a:effectLst/>
              <a:latin typeface="+mn-lt"/>
              <a:ea typeface="+mn-ea"/>
              <a:cs typeface="+mn-cs"/>
            </a:rPr>
            <a:t> </a:t>
          </a:r>
          <a:r>
            <a:rPr lang="da-DK" sz="1100" b="0" i="1"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pPr>
            <a:lnSpc>
              <a:spcPct val="107000"/>
            </a:lnSpc>
            <a:spcAft>
              <a:spcPts val="800"/>
            </a:spcAft>
          </a:pPr>
          <a:r>
            <a:rPr lang="da-DK" sz="1100">
              <a:effectLst/>
              <a:latin typeface="Calibri" panose="020F0502020204030204" pitchFamily="34" charset="0"/>
              <a:ea typeface="Calibri" panose="020F0502020204030204" pitchFamily="34" charset="0"/>
              <a:cs typeface="Times New Roman" panose="02020603050405020304" pitchFamily="18" charset="0"/>
            </a:rPr>
            <a:t>Der gøres opmærksom på, at de generelle dokumentationskrav for ansøgningen skal være opfyldt. Dette gælder bl.a. budget og dokumentation for realisering. Disse findes i ”</a:t>
          </a:r>
          <a:r>
            <a:rPr lang="da-DK" sz="1100" i="1">
              <a:effectLst/>
              <a:latin typeface="Calibri" panose="020F0502020204030204" pitchFamily="34" charset="0"/>
              <a:ea typeface="Calibri" panose="020F0502020204030204" pitchFamily="34" charset="0"/>
              <a:cs typeface="Times New Roman" panose="02020603050405020304" pitchFamily="18" charset="0"/>
            </a:rPr>
            <a:t>Vejledning til ansøgning om Tilskud til energibesparelser og energieffektiviseringer i erhvervsvirksomheder”</a:t>
          </a:r>
          <a:endParaRPr lang="da-DK" sz="1100">
            <a:effectLst/>
            <a:latin typeface="Calibri" panose="020F0502020204030204" pitchFamily="34" charset="0"/>
            <a:ea typeface="Calibri" panose="020F0502020204030204" pitchFamily="34" charset="0"/>
            <a:cs typeface="Times New Roman" panose="02020603050405020304" pitchFamily="18"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effectLst/>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85725</xdr:colOff>
          <xdr:row>35</xdr:row>
          <xdr:rowOff>276225</xdr:rowOff>
        </xdr:from>
        <xdr:to>
          <xdr:col>14</xdr:col>
          <xdr:colOff>933450</xdr:colOff>
          <xdr:row>39</xdr:row>
          <xdr:rowOff>114300</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1</xdr:colOff>
      <xdr:row>1</xdr:row>
      <xdr:rowOff>0</xdr:rowOff>
    </xdr:from>
    <xdr:to>
      <xdr:col>34</xdr:col>
      <xdr:colOff>1</xdr:colOff>
      <xdr:row>9</xdr:row>
      <xdr:rowOff>0</xdr:rowOff>
    </xdr:to>
    <xdr:graphicFrame macro="">
      <xdr:nvGraphicFramePr>
        <xdr:cNvPr id="2" name="Diagram 1">
          <a:extLst>
            <a:ext uri="{FF2B5EF4-FFF2-40B4-BE49-F238E27FC236}">
              <a16:creationId xmlns:a16="http://schemas.microsoft.com/office/drawing/2014/main" id="{3FE0A845-F369-4305-B4DF-1998AD789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1</xdr:rowOff>
    </xdr:from>
    <xdr:to>
      <xdr:col>25</xdr:col>
      <xdr:colOff>0</xdr:colOff>
      <xdr:row>9</xdr:row>
      <xdr:rowOff>0</xdr:rowOff>
    </xdr:to>
    <xdr:graphicFrame macro="">
      <xdr:nvGraphicFramePr>
        <xdr:cNvPr id="3" name="Diagram 2">
          <a:extLst>
            <a:ext uri="{FF2B5EF4-FFF2-40B4-BE49-F238E27FC236}">
              <a16:creationId xmlns:a16="http://schemas.microsoft.com/office/drawing/2014/main" id="{6505B91C-C932-4BE9-9052-B725884A0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840438</xdr:colOff>
      <xdr:row>17</xdr:row>
      <xdr:rowOff>558</xdr:rowOff>
    </xdr:from>
    <xdr:to>
      <xdr:col>9</xdr:col>
      <xdr:colOff>301997</xdr:colOff>
      <xdr:row>39</xdr:row>
      <xdr:rowOff>133909</xdr:rowOff>
    </xdr:to>
    <xdr:graphicFrame macro="">
      <xdr:nvGraphicFramePr>
        <xdr:cNvPr id="5" name="Diagram 4">
          <a:extLst>
            <a:ext uri="{FF2B5EF4-FFF2-40B4-BE49-F238E27FC236}">
              <a16:creationId xmlns:a16="http://schemas.microsoft.com/office/drawing/2014/main" id="{711CC444-FA74-406B-BCB0-46DB9DE156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xdr:colOff>
      <xdr:row>11</xdr:row>
      <xdr:rowOff>0</xdr:rowOff>
    </xdr:from>
    <xdr:to>
      <xdr:col>25</xdr:col>
      <xdr:colOff>1</xdr:colOff>
      <xdr:row>19</xdr:row>
      <xdr:rowOff>0</xdr:rowOff>
    </xdr:to>
    <xdr:graphicFrame macro="">
      <xdr:nvGraphicFramePr>
        <xdr:cNvPr id="6" name="Diagram 5">
          <a:extLst>
            <a:ext uri="{FF2B5EF4-FFF2-40B4-BE49-F238E27FC236}">
              <a16:creationId xmlns:a16="http://schemas.microsoft.com/office/drawing/2014/main" id="{C2770DCA-05F3-47D0-B45C-3BF352B3E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xdr:colOff>
      <xdr:row>20</xdr:row>
      <xdr:rowOff>0</xdr:rowOff>
    </xdr:from>
    <xdr:to>
      <xdr:col>25</xdr:col>
      <xdr:colOff>1</xdr:colOff>
      <xdr:row>28</xdr:row>
      <xdr:rowOff>0</xdr:rowOff>
    </xdr:to>
    <xdr:graphicFrame macro="">
      <xdr:nvGraphicFramePr>
        <xdr:cNvPr id="7" name="Diagram 6">
          <a:extLst>
            <a:ext uri="{FF2B5EF4-FFF2-40B4-BE49-F238E27FC236}">
              <a16:creationId xmlns:a16="http://schemas.microsoft.com/office/drawing/2014/main" id="{638E667A-FB66-4B9D-B612-334FFA54F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xdr:colOff>
      <xdr:row>29</xdr:row>
      <xdr:rowOff>0</xdr:rowOff>
    </xdr:from>
    <xdr:to>
      <xdr:col>25</xdr:col>
      <xdr:colOff>1</xdr:colOff>
      <xdr:row>37</xdr:row>
      <xdr:rowOff>0</xdr:rowOff>
    </xdr:to>
    <xdr:graphicFrame macro="">
      <xdr:nvGraphicFramePr>
        <xdr:cNvPr id="8" name="Diagram 7">
          <a:extLst>
            <a:ext uri="{FF2B5EF4-FFF2-40B4-BE49-F238E27FC236}">
              <a16:creationId xmlns:a16="http://schemas.microsoft.com/office/drawing/2014/main" id="{A84C59AD-D5ED-4C97-AFA1-EF63D75A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xdr:colOff>
      <xdr:row>38</xdr:row>
      <xdr:rowOff>0</xdr:rowOff>
    </xdr:from>
    <xdr:to>
      <xdr:col>25</xdr:col>
      <xdr:colOff>1</xdr:colOff>
      <xdr:row>46</xdr:row>
      <xdr:rowOff>0</xdr:rowOff>
    </xdr:to>
    <xdr:graphicFrame macro="">
      <xdr:nvGraphicFramePr>
        <xdr:cNvPr id="9" name="Diagram 8">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xdr:colOff>
      <xdr:row>47</xdr:row>
      <xdr:rowOff>0</xdr:rowOff>
    </xdr:from>
    <xdr:to>
      <xdr:col>25</xdr:col>
      <xdr:colOff>1</xdr:colOff>
      <xdr:row>55</xdr:row>
      <xdr:rowOff>0</xdr:rowOff>
    </xdr:to>
    <xdr:graphicFrame macro="">
      <xdr:nvGraphicFramePr>
        <xdr:cNvPr id="10" name="Diagram 9">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408983</xdr:colOff>
      <xdr:row>96</xdr:row>
      <xdr:rowOff>43051</xdr:rowOff>
    </xdr:from>
    <xdr:to>
      <xdr:col>28</xdr:col>
      <xdr:colOff>562688</xdr:colOff>
      <xdr:row>116</xdr:row>
      <xdr:rowOff>65047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93559" y="17693898"/>
          <a:ext cx="5457143"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hyperlink" Target="https://ens.dk/sites/ens.dk/files/CO2/standardfaktorer_for_2019.pdf" TargetMode="External"/><Relationship Id="rId2" Type="http://schemas.openxmlformats.org/officeDocument/2006/relationships/hyperlink" Target="https://ens.dk/sites/ens.dk/files/CO2/standardfaktorer_for_2019.pdf" TargetMode="External"/><Relationship Id="rId1" Type="http://schemas.openxmlformats.org/officeDocument/2006/relationships/hyperlink" Target="https://ens.dk/sites/ens.dk/files/CO2/standardfaktorer_for_2019.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8"/>
  <sheetViews>
    <sheetView workbookViewId="0">
      <selection activeCell="E24" sqref="E24:G24"/>
    </sheetView>
  </sheetViews>
  <sheetFormatPr defaultColWidth="10.42578125" defaultRowHeight="12.75" customHeight="1" x14ac:dyDescent="0.15"/>
  <cols>
    <col min="1" max="1" width="7.42578125" style="93" customWidth="1"/>
    <col min="2" max="2" width="4.42578125" style="93" customWidth="1"/>
    <col min="3" max="3" width="5.42578125" style="93" customWidth="1"/>
    <col min="4" max="4" width="11.42578125" style="93" customWidth="1"/>
    <col min="5" max="5" width="15.42578125" style="93" customWidth="1"/>
    <col min="6" max="6" width="10.42578125" style="93" customWidth="1"/>
    <col min="7" max="7" width="10.5703125" style="93" customWidth="1"/>
    <col min="8" max="8" width="7" style="93" customWidth="1"/>
    <col min="9" max="9" width="11.28515625" style="93" customWidth="1"/>
    <col min="10" max="10" width="6.42578125" style="93" customWidth="1"/>
    <col min="11" max="11" width="4.5703125" style="93" customWidth="1"/>
    <col min="12" max="12" width="3.42578125" style="93" customWidth="1"/>
    <col min="13" max="13" width="10.42578125" style="93" customWidth="1"/>
    <col min="14" max="14" width="12.5703125" style="93" customWidth="1"/>
    <col min="15" max="15" width="7.5703125" style="93" customWidth="1"/>
    <col min="16" max="16384" width="10.42578125" style="93"/>
  </cols>
  <sheetData>
    <row r="1" spans="1:16" ht="6.75" customHeight="1" x14ac:dyDescent="0.15">
      <c r="A1" s="1"/>
      <c r="B1" s="1"/>
      <c r="C1" s="1"/>
      <c r="D1" s="1"/>
      <c r="E1" s="1"/>
      <c r="F1" s="1"/>
      <c r="G1" s="1"/>
      <c r="H1" s="1"/>
      <c r="I1" s="1"/>
      <c r="J1" s="1"/>
      <c r="K1" s="1"/>
      <c r="L1" s="1"/>
      <c r="M1" s="1"/>
      <c r="N1" s="1"/>
      <c r="O1" s="1"/>
      <c r="P1" s="1"/>
    </row>
    <row r="2" spans="1:16" ht="14.25" customHeight="1" x14ac:dyDescent="0.2">
      <c r="A2" s="1"/>
      <c r="B2" s="273" t="s">
        <v>227</v>
      </c>
      <c r="C2" s="273"/>
      <c r="D2" s="273"/>
      <c r="E2" s="273"/>
      <c r="F2" s="273"/>
      <c r="G2" s="273"/>
      <c r="H2" s="94"/>
      <c r="I2" s="274"/>
      <c r="J2" s="274"/>
      <c r="K2" s="274"/>
      <c r="L2" s="274"/>
      <c r="M2" s="274"/>
      <c r="N2" s="274"/>
      <c r="O2" s="95"/>
      <c r="P2" s="96"/>
    </row>
    <row r="3" spans="1:16" ht="31.5" customHeight="1" x14ac:dyDescent="0.15">
      <c r="A3" s="2"/>
      <c r="B3" s="273"/>
      <c r="C3" s="273"/>
      <c r="D3" s="273"/>
      <c r="E3" s="273"/>
      <c r="F3" s="273"/>
      <c r="G3" s="273"/>
      <c r="H3" s="94"/>
      <c r="I3" s="274"/>
      <c r="J3" s="274"/>
      <c r="K3" s="274"/>
      <c r="L3" s="274"/>
      <c r="M3" s="274"/>
      <c r="N3" s="274"/>
      <c r="O3" s="97"/>
      <c r="P3" s="96"/>
    </row>
    <row r="4" spans="1:16" ht="9.75" customHeight="1" x14ac:dyDescent="0.25">
      <c r="A4" s="3"/>
      <c r="B4" s="98"/>
      <c r="C4" s="98"/>
      <c r="D4" s="98"/>
      <c r="E4" s="98"/>
      <c r="F4" s="98"/>
      <c r="G4" s="98"/>
      <c r="H4" s="99"/>
      <c r="I4" s="100"/>
      <c r="J4" s="96"/>
      <c r="K4" s="96"/>
      <c r="L4" s="96"/>
      <c r="M4" s="96"/>
      <c r="N4" s="96"/>
      <c r="O4" s="96"/>
      <c r="P4" s="101" t="s">
        <v>228</v>
      </c>
    </row>
    <row r="5" spans="1:16" ht="12.75" customHeight="1" x14ac:dyDescent="0.15">
      <c r="A5" s="4"/>
      <c r="B5" s="4"/>
      <c r="C5" s="4"/>
      <c r="D5" s="4"/>
      <c r="E5" s="4"/>
      <c r="F5" s="4"/>
      <c r="G5" s="4"/>
      <c r="H5" s="4"/>
      <c r="I5" s="4"/>
      <c r="J5" s="4"/>
      <c r="K5" s="4"/>
      <c r="L5" s="4"/>
      <c r="M5" s="4"/>
      <c r="N5" s="4"/>
      <c r="O5" s="4"/>
      <c r="P5" s="4"/>
    </row>
    <row r="6" spans="1:16" ht="6.75" customHeight="1" x14ac:dyDescent="0.15">
      <c r="A6" s="2"/>
      <c r="B6" s="5"/>
      <c r="C6" s="2"/>
      <c r="D6" s="2"/>
      <c r="E6" s="2"/>
      <c r="F6" s="2"/>
      <c r="G6" s="2"/>
      <c r="H6" s="2"/>
      <c r="I6" s="2"/>
      <c r="J6" s="2"/>
      <c r="K6" s="2"/>
      <c r="L6" s="2"/>
      <c r="M6" s="2"/>
      <c r="N6" s="2"/>
      <c r="O6" s="2"/>
      <c r="P6" s="2"/>
    </row>
    <row r="7" spans="1:16" ht="12.75" customHeight="1" x14ac:dyDescent="0.25">
      <c r="A7" s="6"/>
      <c r="B7" s="275"/>
      <c r="C7" s="275"/>
      <c r="D7" s="275"/>
      <c r="E7" s="275"/>
      <c r="F7" s="275"/>
      <c r="G7" s="275"/>
      <c r="H7" s="275"/>
      <c r="I7" s="275"/>
      <c r="J7" s="275"/>
      <c r="K7" s="275"/>
      <c r="L7" s="275"/>
      <c r="M7" s="275"/>
      <c r="N7" s="102"/>
      <c r="O7" s="102"/>
      <c r="P7" s="103"/>
    </row>
    <row r="8" spans="1:16" ht="12.75" customHeight="1" x14ac:dyDescent="0.25">
      <c r="A8" s="6"/>
      <c r="B8" s="275"/>
      <c r="C8" s="275"/>
      <c r="D8" s="275"/>
      <c r="E8" s="275"/>
      <c r="F8" s="275"/>
      <c r="G8" s="275"/>
      <c r="H8" s="275"/>
      <c r="I8" s="275"/>
      <c r="J8" s="275"/>
      <c r="K8" s="275"/>
      <c r="L8" s="275"/>
      <c r="M8" s="275"/>
      <c r="N8" s="102"/>
      <c r="O8" s="102"/>
      <c r="P8" s="104"/>
    </row>
    <row r="9" spans="1:16" ht="12.75" customHeight="1" x14ac:dyDescent="0.15">
      <c r="A9" s="6"/>
      <c r="B9" s="105"/>
      <c r="C9" s="269"/>
      <c r="D9" s="269"/>
      <c r="E9" s="269"/>
      <c r="F9" s="269"/>
      <c r="G9" s="269"/>
      <c r="H9" s="269"/>
      <c r="I9" s="269"/>
      <c r="J9" s="269"/>
      <c r="K9" s="269"/>
      <c r="L9" s="269"/>
      <c r="M9" s="269"/>
      <c r="N9" s="106"/>
      <c r="O9" s="106"/>
      <c r="P9" s="107"/>
    </row>
    <row r="10" spans="1:16" ht="12.75" customHeight="1" x14ac:dyDescent="0.15">
      <c r="A10" s="6"/>
      <c r="B10" s="105"/>
      <c r="C10" s="269"/>
      <c r="D10" s="269"/>
      <c r="E10" s="269"/>
      <c r="F10" s="269"/>
      <c r="G10" s="269"/>
      <c r="H10" s="269"/>
      <c r="I10" s="269"/>
      <c r="J10" s="269"/>
      <c r="K10" s="269"/>
      <c r="L10" s="269"/>
      <c r="M10" s="269"/>
      <c r="N10" s="106"/>
      <c r="O10" s="106"/>
      <c r="P10" s="107"/>
    </row>
    <row r="11" spans="1:16" ht="12.75" customHeight="1" x14ac:dyDescent="0.15">
      <c r="A11" s="6"/>
      <c r="B11" s="105"/>
      <c r="C11" s="269"/>
      <c r="D11" s="269"/>
      <c r="E11" s="269"/>
      <c r="F11" s="269"/>
      <c r="G11" s="269"/>
      <c r="H11" s="269"/>
      <c r="I11" s="269"/>
      <c r="J11" s="269"/>
      <c r="K11" s="269"/>
      <c r="L11" s="269"/>
      <c r="M11" s="269"/>
      <c r="N11" s="106"/>
      <c r="O11" s="106"/>
      <c r="P11" s="107"/>
    </row>
    <row r="12" spans="1:16" ht="12.75" customHeight="1" x14ac:dyDescent="0.15">
      <c r="A12" s="6"/>
      <c r="B12" s="105"/>
      <c r="C12" s="269"/>
      <c r="D12" s="269"/>
      <c r="E12" s="269"/>
      <c r="F12" s="269"/>
      <c r="G12" s="269"/>
      <c r="H12" s="269"/>
      <c r="I12" s="269"/>
      <c r="J12" s="269"/>
      <c r="K12" s="269"/>
      <c r="L12" s="269"/>
      <c r="M12" s="269"/>
      <c r="N12" s="106"/>
      <c r="O12" s="106"/>
      <c r="P12" s="107"/>
    </row>
    <row r="13" spans="1:16" ht="12.75" customHeight="1" x14ac:dyDescent="0.15">
      <c r="A13" s="6"/>
      <c r="B13" s="105"/>
      <c r="C13" s="269"/>
      <c r="D13" s="269"/>
      <c r="E13" s="269"/>
      <c r="F13" s="269"/>
      <c r="G13" s="269"/>
      <c r="H13" s="269"/>
      <c r="I13" s="269"/>
      <c r="J13" s="269"/>
      <c r="K13" s="269"/>
      <c r="L13" s="269"/>
      <c r="M13" s="269"/>
      <c r="N13" s="106"/>
      <c r="O13" s="106"/>
      <c r="P13" s="107"/>
    </row>
    <row r="14" spans="1:16" ht="12.75" customHeight="1" x14ac:dyDescent="0.15">
      <c r="A14" s="6"/>
      <c r="B14" s="105"/>
      <c r="C14" s="266"/>
      <c r="D14" s="266"/>
      <c r="E14" s="266"/>
      <c r="F14" s="266"/>
      <c r="G14" s="266"/>
      <c r="H14" s="266"/>
      <c r="I14" s="266"/>
      <c r="J14" s="266"/>
      <c r="K14" s="266"/>
      <c r="L14" s="266"/>
      <c r="M14" s="266"/>
      <c r="N14" s="108"/>
      <c r="O14" s="108"/>
      <c r="P14" s="104"/>
    </row>
    <row r="15" spans="1:16" ht="9.75" customHeight="1" x14ac:dyDescent="0.3">
      <c r="A15" s="6"/>
      <c r="B15" s="109"/>
      <c r="C15" s="6"/>
      <c r="D15" s="6"/>
      <c r="E15" s="6"/>
      <c r="F15" s="6"/>
      <c r="G15" s="6"/>
      <c r="H15" s="6"/>
      <c r="I15" s="6"/>
      <c r="J15" s="6"/>
      <c r="K15" s="110"/>
      <c r="L15" s="110"/>
      <c r="M15" s="6"/>
      <c r="N15" s="6"/>
      <c r="O15" s="6"/>
      <c r="P15" s="6"/>
    </row>
    <row r="16" spans="1:16" ht="18" x14ac:dyDescent="0.25">
      <c r="A16" s="6"/>
      <c r="B16" s="270"/>
      <c r="C16" s="270"/>
      <c r="D16" s="270"/>
      <c r="E16" s="270"/>
      <c r="F16" s="270"/>
      <c r="G16" s="270"/>
      <c r="H16" s="270"/>
      <c r="I16" s="270"/>
      <c r="J16" s="270"/>
      <c r="K16" s="6"/>
      <c r="L16" s="111"/>
      <c r="M16" s="6"/>
      <c r="N16" s="6"/>
      <c r="O16" s="6"/>
      <c r="P16" s="111"/>
    </row>
    <row r="17" spans="1:16" ht="12.75" customHeight="1" x14ac:dyDescent="0.15">
      <c r="A17" s="6"/>
      <c r="B17" s="105"/>
      <c r="C17" s="266"/>
      <c r="D17" s="266"/>
      <c r="E17" s="266"/>
      <c r="F17" s="266"/>
      <c r="G17" s="108"/>
      <c r="H17" s="271"/>
      <c r="I17" s="271"/>
      <c r="J17" s="103"/>
      <c r="K17" s="6"/>
      <c r="L17" s="264"/>
      <c r="M17" s="272"/>
      <c r="N17" s="272"/>
      <c r="O17" s="272"/>
      <c r="P17" s="272"/>
    </row>
    <row r="18" spans="1:16" ht="12.75" customHeight="1" x14ac:dyDescent="0.15">
      <c r="A18" s="6"/>
      <c r="B18" s="105"/>
      <c r="C18" s="269"/>
      <c r="D18" s="269"/>
      <c r="E18" s="269"/>
      <c r="F18" s="269"/>
      <c r="G18" s="106"/>
      <c r="H18" s="264"/>
      <c r="I18" s="264"/>
      <c r="J18" s="103"/>
      <c r="K18" s="6"/>
      <c r="L18" s="264"/>
      <c r="M18" s="272"/>
      <c r="N18" s="272"/>
      <c r="O18" s="272"/>
      <c r="P18" s="272"/>
    </row>
    <row r="19" spans="1:16" ht="12.75" customHeight="1" x14ac:dyDescent="0.15">
      <c r="A19" s="6"/>
      <c r="B19" s="105"/>
      <c r="C19" s="266"/>
      <c r="D19" s="266"/>
      <c r="E19" s="266"/>
      <c r="F19" s="266"/>
      <c r="G19" s="108"/>
      <c r="H19" s="267"/>
      <c r="I19" s="267"/>
      <c r="J19" s="112"/>
      <c r="K19" s="113"/>
      <c r="L19" s="267"/>
      <c r="M19" s="268"/>
      <c r="N19" s="268"/>
      <c r="O19" s="268"/>
      <c r="P19" s="268"/>
    </row>
    <row r="20" spans="1:16" ht="12.75" customHeight="1" x14ac:dyDescent="0.15">
      <c r="A20" s="6"/>
      <c r="B20" s="105"/>
      <c r="C20" s="266"/>
      <c r="D20" s="266"/>
      <c r="E20" s="266"/>
      <c r="F20" s="266"/>
      <c r="G20" s="108"/>
      <c r="H20" s="267"/>
      <c r="I20" s="267"/>
      <c r="J20" s="112"/>
      <c r="K20" s="113"/>
      <c r="L20" s="267"/>
      <c r="M20" s="268"/>
      <c r="N20" s="268"/>
      <c r="O20" s="268"/>
      <c r="P20" s="268"/>
    </row>
    <row r="21" spans="1:16" ht="12" customHeight="1" x14ac:dyDescent="0.2">
      <c r="A21" s="6"/>
      <c r="B21" s="114"/>
      <c r="C21" s="103"/>
      <c r="D21" s="96"/>
      <c r="E21" s="115" t="s">
        <v>182</v>
      </c>
      <c r="F21" s="116"/>
      <c r="G21" s="116"/>
      <c r="H21" s="96"/>
      <c r="I21" s="117" t="s">
        <v>183</v>
      </c>
      <c r="J21" s="116"/>
      <c r="K21" s="116"/>
      <c r="L21" s="96"/>
      <c r="M21" s="116"/>
      <c r="N21" s="116"/>
      <c r="O21" s="117"/>
      <c r="P21" s="112"/>
    </row>
    <row r="22" spans="1:16" ht="34.35" customHeight="1" x14ac:dyDescent="0.15">
      <c r="A22" s="6"/>
      <c r="B22" s="105"/>
      <c r="C22" s="103"/>
      <c r="D22" s="96"/>
      <c r="E22" s="259" t="s">
        <v>186</v>
      </c>
      <c r="F22" s="259"/>
      <c r="G22" s="259"/>
      <c r="H22" s="96"/>
      <c r="I22" s="260" t="s">
        <v>184</v>
      </c>
      <c r="J22" s="260"/>
      <c r="K22" s="260"/>
      <c r="L22" s="260"/>
      <c r="M22" s="260"/>
      <c r="N22" s="118"/>
      <c r="O22" s="259"/>
      <c r="P22" s="259"/>
    </row>
    <row r="23" spans="1:16" ht="31.5" customHeight="1" x14ac:dyDescent="0.15">
      <c r="A23" s="6"/>
      <c r="B23" s="105"/>
      <c r="C23" s="103"/>
      <c r="D23" s="96"/>
      <c r="E23" s="259" t="s">
        <v>187</v>
      </c>
      <c r="F23" s="259"/>
      <c r="G23" s="259"/>
      <c r="H23" s="96"/>
      <c r="I23" s="260" t="s">
        <v>185</v>
      </c>
      <c r="J23" s="260"/>
      <c r="K23" s="260"/>
      <c r="L23" s="260"/>
      <c r="M23" s="260"/>
      <c r="N23" s="119"/>
      <c r="O23" s="259"/>
      <c r="P23" s="259"/>
    </row>
    <row r="24" spans="1:16" ht="42" customHeight="1" x14ac:dyDescent="0.15">
      <c r="A24" s="6"/>
      <c r="B24" s="105"/>
      <c r="C24" s="103"/>
      <c r="D24" s="96"/>
      <c r="E24" s="259" t="s">
        <v>188</v>
      </c>
      <c r="F24" s="259"/>
      <c r="G24" s="259"/>
      <c r="H24" s="96"/>
      <c r="I24" s="260"/>
      <c r="J24" s="260"/>
      <c r="K24" s="260"/>
      <c r="L24" s="260"/>
      <c r="M24" s="260"/>
      <c r="N24" s="119"/>
      <c r="O24" s="259"/>
      <c r="P24" s="259"/>
    </row>
    <row r="25" spans="1:16" ht="53.25" customHeight="1" x14ac:dyDescent="0.15">
      <c r="A25" s="6"/>
      <c r="B25" s="105"/>
      <c r="C25" s="103"/>
      <c r="D25" s="96"/>
      <c r="E25" s="261" t="s">
        <v>229</v>
      </c>
      <c r="F25" s="259"/>
      <c r="G25" s="259"/>
      <c r="H25" s="2"/>
      <c r="I25" s="103"/>
      <c r="J25" s="103"/>
      <c r="K25" s="103"/>
      <c r="L25" s="103"/>
      <c r="M25" s="103"/>
      <c r="N25" s="103"/>
      <c r="O25" s="103"/>
      <c r="P25" s="103"/>
    </row>
    <row r="26" spans="1:16" ht="12.75" customHeight="1" x14ac:dyDescent="0.15">
      <c r="A26" s="6"/>
      <c r="B26" s="6"/>
      <c r="C26" s="103"/>
      <c r="D26" s="103"/>
      <c r="E26" s="103"/>
      <c r="F26" s="103"/>
      <c r="G26" s="103"/>
      <c r="H26" s="103"/>
      <c r="I26" s="103"/>
      <c r="J26" s="103"/>
      <c r="K26" s="103"/>
      <c r="L26" s="103"/>
      <c r="M26" s="103"/>
      <c r="N26" s="103"/>
      <c r="O26" s="103"/>
      <c r="P26" s="103"/>
    </row>
    <row r="27" spans="1:16" ht="18.75" customHeight="1" x14ac:dyDescent="0.15">
      <c r="A27" s="6"/>
      <c r="B27" s="120"/>
      <c r="C27" s="103"/>
      <c r="D27" s="103"/>
      <c r="E27" s="103"/>
      <c r="F27" s="103"/>
      <c r="G27" s="103"/>
      <c r="H27" s="103"/>
      <c r="I27" s="103"/>
      <c r="J27" s="103"/>
      <c r="K27" s="103"/>
      <c r="L27" s="103"/>
      <c r="M27" s="103"/>
      <c r="N27" s="103"/>
      <c r="O27" s="103"/>
      <c r="P27" s="103"/>
    </row>
    <row r="28" spans="1:16" ht="6" customHeight="1" x14ac:dyDescent="0.15">
      <c r="A28" s="6"/>
      <c r="B28" s="121"/>
      <c r="C28" s="103"/>
      <c r="D28" s="103"/>
      <c r="E28" s="103"/>
      <c r="F28" s="103"/>
      <c r="G28" s="103"/>
      <c r="H28" s="103"/>
      <c r="I28" s="103"/>
      <c r="J28" s="103"/>
      <c r="K28" s="103"/>
      <c r="L28" s="103"/>
      <c r="M28" s="103"/>
      <c r="N28" s="103"/>
      <c r="O28" s="103"/>
      <c r="P28" s="103"/>
    </row>
    <row r="29" spans="1:16" ht="12.75" customHeight="1" x14ac:dyDescent="0.15">
      <c r="A29" s="6"/>
      <c r="B29" s="121"/>
      <c r="C29" s="103"/>
      <c r="D29" s="103"/>
      <c r="E29" s="103"/>
      <c r="F29" s="103"/>
      <c r="G29" s="103"/>
      <c r="H29" s="103"/>
      <c r="I29" s="103"/>
      <c r="J29" s="103"/>
      <c r="K29" s="103"/>
      <c r="L29" s="103"/>
      <c r="M29" s="103"/>
      <c r="N29" s="103"/>
      <c r="O29" s="103"/>
      <c r="P29" s="103"/>
    </row>
    <row r="30" spans="1:16" ht="15" customHeight="1" x14ac:dyDescent="0.15">
      <c r="A30" s="6"/>
      <c r="B30" s="108"/>
      <c r="C30" s="103"/>
      <c r="D30" s="103"/>
      <c r="E30" s="103"/>
      <c r="F30" s="103"/>
      <c r="G30" s="103"/>
      <c r="H30" s="103"/>
      <c r="I30" s="103"/>
      <c r="J30" s="103"/>
      <c r="K30" s="103"/>
      <c r="L30" s="103"/>
      <c r="M30" s="103"/>
      <c r="N30" s="103"/>
      <c r="O30" s="103"/>
      <c r="P30" s="103"/>
    </row>
    <row r="31" spans="1:16" ht="12.75" customHeight="1" x14ac:dyDescent="0.15">
      <c r="A31" s="6"/>
      <c r="B31" s="262"/>
      <c r="C31" s="262"/>
      <c r="D31" s="262"/>
      <c r="E31" s="262"/>
      <c r="F31" s="262"/>
      <c r="G31" s="122"/>
      <c r="H31" s="122"/>
      <c r="I31" s="263"/>
      <c r="J31" s="262"/>
      <c r="K31" s="6"/>
      <c r="L31" s="264"/>
      <c r="M31" s="265"/>
      <c r="N31" s="265"/>
      <c r="O31" s="265"/>
      <c r="P31" s="265"/>
    </row>
    <row r="32" spans="1:16" ht="15" customHeight="1" x14ac:dyDescent="0.15">
      <c r="A32" s="6"/>
      <c r="B32" s="262"/>
      <c r="C32" s="262"/>
      <c r="D32" s="262"/>
      <c r="E32" s="262"/>
      <c r="F32" s="262"/>
      <c r="G32" s="122"/>
      <c r="H32" s="122"/>
      <c r="I32" s="263"/>
      <c r="J32" s="262"/>
      <c r="K32" s="6"/>
      <c r="L32" s="264"/>
      <c r="M32" s="265"/>
      <c r="N32" s="265"/>
      <c r="O32" s="265"/>
      <c r="P32" s="265"/>
    </row>
    <row r="33" spans="1:16" ht="18.75" customHeight="1" x14ac:dyDescent="0.15">
      <c r="A33" s="6"/>
      <c r="B33" s="6"/>
      <c r="C33" s="6"/>
      <c r="D33" s="6"/>
      <c r="E33" s="6"/>
      <c r="F33" s="6"/>
      <c r="G33" s="6"/>
      <c r="H33" s="6"/>
      <c r="I33" s="6"/>
      <c r="J33" s="6"/>
      <c r="K33" s="6"/>
      <c r="L33" s="6"/>
      <c r="M33" s="6"/>
      <c r="N33" s="6"/>
      <c r="O33" s="6"/>
      <c r="P33" s="6"/>
    </row>
    <row r="34" spans="1:16" ht="12.75" customHeight="1" x14ac:dyDescent="0.15">
      <c r="A34" s="2"/>
      <c r="B34" s="2"/>
      <c r="C34" s="2"/>
      <c r="D34" s="2"/>
      <c r="E34" s="2"/>
      <c r="F34" s="2"/>
      <c r="G34" s="2"/>
      <c r="H34" s="2"/>
      <c r="I34" s="2"/>
      <c r="J34" s="2"/>
      <c r="K34" s="2"/>
      <c r="L34" s="2"/>
      <c r="M34" s="2"/>
      <c r="N34" s="2"/>
      <c r="O34" s="2"/>
      <c r="P34" s="2"/>
    </row>
    <row r="35" spans="1:16" ht="12.75" customHeight="1" x14ac:dyDescent="0.15">
      <c r="A35" s="2"/>
      <c r="B35" s="2"/>
      <c r="C35" s="2"/>
      <c r="D35" s="2"/>
      <c r="E35" s="2"/>
      <c r="F35" s="2"/>
      <c r="G35" s="2"/>
      <c r="H35" s="2"/>
      <c r="I35" s="2"/>
      <c r="J35" s="2"/>
      <c r="K35" s="2"/>
      <c r="L35" s="2"/>
      <c r="M35" s="2"/>
      <c r="N35" s="2"/>
      <c r="O35" s="2"/>
      <c r="P35" s="2"/>
    </row>
    <row r="36" spans="1:16" ht="12.75" customHeight="1" x14ac:dyDescent="0.15">
      <c r="A36" s="2"/>
      <c r="B36" s="2"/>
      <c r="C36" s="2"/>
      <c r="D36" s="2"/>
      <c r="E36" s="2"/>
      <c r="F36" s="2"/>
      <c r="G36" s="2"/>
      <c r="H36" s="2"/>
      <c r="I36" s="2"/>
      <c r="J36" s="2"/>
      <c r="K36" s="2"/>
      <c r="L36" s="2"/>
      <c r="M36" s="2"/>
      <c r="N36" s="2"/>
      <c r="O36" s="2"/>
      <c r="P36" s="2"/>
    </row>
    <row r="37" spans="1:16" ht="12.75" customHeight="1" x14ac:dyDescent="0.15">
      <c r="A37" s="2"/>
      <c r="B37" s="2"/>
      <c r="C37" s="2"/>
      <c r="D37" s="2"/>
      <c r="E37" s="2"/>
      <c r="F37" s="2"/>
      <c r="G37" s="2"/>
      <c r="H37" s="2"/>
      <c r="I37" s="2"/>
      <c r="J37" s="2"/>
      <c r="K37" s="2"/>
      <c r="L37" s="2"/>
      <c r="M37" s="2"/>
      <c r="N37" s="2"/>
      <c r="O37" s="2"/>
      <c r="P37" s="2"/>
    </row>
    <row r="38" spans="1:16" ht="12.75" customHeight="1" x14ac:dyDescent="0.15">
      <c r="A38" s="2"/>
      <c r="B38" s="2"/>
      <c r="C38" s="2"/>
      <c r="D38" s="2"/>
      <c r="E38" s="2"/>
      <c r="F38" s="2"/>
      <c r="G38" s="2"/>
      <c r="H38" s="2"/>
      <c r="I38" s="2"/>
      <c r="J38" s="2"/>
      <c r="K38" s="2"/>
      <c r="L38" s="2"/>
      <c r="M38" s="2"/>
      <c r="N38" s="2"/>
      <c r="O38" s="2"/>
      <c r="P38" s="2"/>
    </row>
  </sheetData>
  <sheetProtection algorithmName="SHA-512" hashValue="1+zfKLangl1YCl/h9aLRisGSybYOle9i61UeDuiOp6D7sk/LVaO2cXxa+Csn7hHS5sInaFJaWN1mA8Mzyi4Syw==" saltValue="fhBS7sN57PRXZvjKXnq7Vg==" spinCount="100000" sheet="1" objects="1" scenarios="1"/>
  <mergeCells count="37">
    <mergeCell ref="C11:M11"/>
    <mergeCell ref="B2:G3"/>
    <mergeCell ref="I2:N3"/>
    <mergeCell ref="B7:M8"/>
    <mergeCell ref="C9:M9"/>
    <mergeCell ref="C10:M10"/>
    <mergeCell ref="C12:M12"/>
    <mergeCell ref="C13:M13"/>
    <mergeCell ref="C14:M14"/>
    <mergeCell ref="B16:J16"/>
    <mergeCell ref="C17:F17"/>
    <mergeCell ref="H17:I17"/>
    <mergeCell ref="L17:L18"/>
    <mergeCell ref="M17:P18"/>
    <mergeCell ref="C18:F18"/>
    <mergeCell ref="H18:I18"/>
    <mergeCell ref="C19:F19"/>
    <mergeCell ref="H19:I19"/>
    <mergeCell ref="L19:L20"/>
    <mergeCell ref="M19:P20"/>
    <mergeCell ref="C20:F20"/>
    <mergeCell ref="H20:I20"/>
    <mergeCell ref="E22:G22"/>
    <mergeCell ref="I22:M22"/>
    <mergeCell ref="O22:P22"/>
    <mergeCell ref="E23:G23"/>
    <mergeCell ref="I23:M23"/>
    <mergeCell ref="O23:P23"/>
    <mergeCell ref="E24:G24"/>
    <mergeCell ref="I24:M24"/>
    <mergeCell ref="O24:P24"/>
    <mergeCell ref="E25:G25"/>
    <mergeCell ref="B31:F32"/>
    <mergeCell ref="I31:I32"/>
    <mergeCell ref="J31:J32"/>
    <mergeCell ref="L31:L32"/>
    <mergeCell ref="M31:P32"/>
  </mergeCells>
  <conditionalFormatting sqref="K15:L15">
    <cfRule type="iconSet" priority="1">
      <iconSet iconSet="3Symbols2">
        <cfvo type="percent" val="0"/>
        <cfvo type="percent" val="33"/>
        <cfvo type="percent" val="67"/>
      </iconSet>
    </cfRule>
  </conditionalFormatting>
  <dataValidations count="1">
    <dataValidation type="list" allowBlank="1" showInputMessage="1" showErrorMessage="1" sqref="H18:H2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
  <sheetViews>
    <sheetView workbookViewId="0">
      <selection activeCell="C11" sqref="C11:N11"/>
    </sheetView>
  </sheetViews>
  <sheetFormatPr defaultColWidth="10.42578125" defaultRowHeight="12.75" customHeight="1" x14ac:dyDescent="0.15"/>
  <cols>
    <col min="1" max="1" width="7.42578125" style="93" customWidth="1"/>
    <col min="2" max="2" width="3.42578125" style="93" customWidth="1"/>
    <col min="3" max="3" width="8.42578125" style="93" customWidth="1"/>
    <col min="4" max="4" width="10.42578125" style="93" customWidth="1"/>
    <col min="5" max="5" width="7.5703125" style="93" customWidth="1"/>
    <col min="6" max="6" width="12.5703125" style="93" customWidth="1"/>
    <col min="7" max="7" width="14" style="93" customWidth="1"/>
    <col min="8" max="8" width="6" style="93" customWidth="1"/>
    <col min="9" max="9" width="6.85546875" style="93" customWidth="1"/>
    <col min="10" max="10" width="12.140625" style="93" customWidth="1"/>
    <col min="11" max="11" width="10.42578125" style="93"/>
    <col min="12" max="12" width="12.85546875" style="93" customWidth="1"/>
    <col min="13" max="13" width="11.140625" style="93" customWidth="1"/>
    <col min="14" max="14" width="12.5703125" style="93" customWidth="1"/>
    <col min="15" max="16384" width="10.42578125" style="93"/>
  </cols>
  <sheetData>
    <row r="1" spans="1:15" ht="12" customHeight="1" x14ac:dyDescent="0.2">
      <c r="A1" s="123"/>
      <c r="B1" s="94"/>
      <c r="C1" s="94"/>
      <c r="D1" s="94"/>
      <c r="E1" s="94"/>
      <c r="F1" s="94"/>
      <c r="G1" s="94"/>
      <c r="H1" s="124"/>
      <c r="I1" s="124"/>
      <c r="J1" s="95"/>
      <c r="K1" s="95"/>
      <c r="L1" s="95"/>
      <c r="M1" s="96"/>
      <c r="N1" s="125"/>
      <c r="O1" s="95"/>
    </row>
    <row r="2" spans="1:15" ht="12" customHeight="1" x14ac:dyDescent="0.15">
      <c r="A2" s="96"/>
      <c r="B2" s="273" t="str">
        <f>Forside!B2</f>
        <v>Standardløsningskatalog for udskiftning af brændselskedler til og med 1000 kW med beregner af energiforbruget</v>
      </c>
      <c r="C2" s="273"/>
      <c r="D2" s="273"/>
      <c r="E2" s="273"/>
      <c r="F2" s="273"/>
      <c r="G2" s="273"/>
      <c r="H2" s="124"/>
      <c r="I2" s="274"/>
      <c r="J2" s="274"/>
      <c r="K2" s="274"/>
      <c r="L2" s="274"/>
      <c r="M2" s="274"/>
      <c r="N2" s="126"/>
      <c r="O2" s="97"/>
    </row>
    <row r="3" spans="1:15" ht="33.75" customHeight="1" x14ac:dyDescent="0.25">
      <c r="A3" s="127"/>
      <c r="B3" s="273"/>
      <c r="C3" s="273"/>
      <c r="D3" s="273"/>
      <c r="E3" s="273"/>
      <c r="F3" s="273"/>
      <c r="G3" s="273"/>
      <c r="H3" s="96"/>
      <c r="I3" s="274"/>
      <c r="J3" s="274"/>
      <c r="K3" s="274"/>
      <c r="L3" s="274"/>
      <c r="M3" s="274"/>
      <c r="N3" s="97"/>
      <c r="O3" s="97"/>
    </row>
    <row r="4" spans="1:15" ht="10.35" customHeight="1" x14ac:dyDescent="0.25">
      <c r="A4" s="127"/>
      <c r="B4" s="128"/>
      <c r="C4" s="128"/>
      <c r="D4" s="128"/>
      <c r="E4" s="128"/>
      <c r="F4" s="128"/>
      <c r="G4" s="128"/>
      <c r="H4" s="96"/>
      <c r="I4" s="129"/>
      <c r="J4" s="129"/>
      <c r="K4" s="129"/>
      <c r="L4" s="129"/>
      <c r="M4" s="129"/>
      <c r="N4" s="97"/>
      <c r="O4" s="101" t="str">
        <f>Forside!P4</f>
        <v>Vers. 1  15.08.2022</v>
      </c>
    </row>
    <row r="5" spans="1:15" ht="11.25" x14ac:dyDescent="0.15">
      <c r="A5" s="130"/>
      <c r="B5" s="130"/>
      <c r="C5" s="130"/>
      <c r="D5" s="130"/>
      <c r="E5" s="130"/>
      <c r="F5" s="130"/>
      <c r="G5" s="130"/>
      <c r="H5" s="130"/>
      <c r="I5" s="130"/>
      <c r="J5" s="130"/>
      <c r="K5" s="130"/>
      <c r="L5" s="130"/>
      <c r="M5" s="130"/>
      <c r="N5" s="130"/>
      <c r="O5" s="130"/>
    </row>
    <row r="6" spans="1:15" ht="11.25" x14ac:dyDescent="0.15">
      <c r="A6" s="96"/>
      <c r="B6" s="96"/>
      <c r="C6" s="96"/>
      <c r="D6" s="96"/>
      <c r="E6" s="96"/>
      <c r="F6" s="96"/>
      <c r="G6" s="96"/>
      <c r="H6" s="96"/>
      <c r="I6" s="96"/>
      <c r="J6" s="96"/>
      <c r="K6" s="96"/>
      <c r="L6" s="96"/>
      <c r="M6" s="96"/>
      <c r="N6" s="96"/>
      <c r="O6" s="96"/>
    </row>
    <row r="7" spans="1:15" s="135" customFormat="1" x14ac:dyDescent="0.2">
      <c r="A7" s="131"/>
      <c r="B7" s="131"/>
      <c r="C7" s="132"/>
      <c r="D7" s="133"/>
      <c r="E7" s="133"/>
      <c r="F7" s="133"/>
      <c r="G7" s="133"/>
      <c r="H7" s="133"/>
      <c r="I7" s="133"/>
      <c r="J7" s="134"/>
      <c r="K7" s="133"/>
      <c r="L7" s="133"/>
      <c r="M7" s="133"/>
      <c r="N7" s="133"/>
      <c r="O7" s="133"/>
    </row>
    <row r="8" spans="1:15" s="135" customFormat="1" ht="46.5" customHeight="1" x14ac:dyDescent="0.2">
      <c r="A8" s="131"/>
      <c r="B8" s="131"/>
      <c r="C8" s="276" t="s">
        <v>231</v>
      </c>
      <c r="D8" s="276"/>
      <c r="E8" s="276"/>
      <c r="F8" s="276"/>
      <c r="G8" s="276"/>
      <c r="H8" s="276"/>
      <c r="I8" s="276"/>
      <c r="J8" s="276"/>
      <c r="K8" s="276"/>
      <c r="L8" s="276"/>
      <c r="M8" s="276"/>
      <c r="N8" s="276"/>
      <c r="O8" s="133"/>
    </row>
    <row r="9" spans="1:15" ht="11.25" x14ac:dyDescent="0.15">
      <c r="A9" s="136"/>
      <c r="B9" s="96"/>
      <c r="C9" s="96"/>
      <c r="D9" s="96"/>
      <c r="E9" s="96"/>
      <c r="F9" s="96"/>
      <c r="G9" s="96"/>
      <c r="H9" s="96"/>
      <c r="I9" s="96"/>
      <c r="J9" s="96"/>
      <c r="K9" s="96"/>
      <c r="L9" s="96"/>
      <c r="M9" s="96"/>
      <c r="N9" s="96"/>
      <c r="O9" s="96"/>
    </row>
    <row r="10" spans="1:15" ht="18.75" x14ac:dyDescent="0.3">
      <c r="A10" s="136"/>
      <c r="B10" s="137">
        <v>1</v>
      </c>
      <c r="C10" s="170" t="s">
        <v>232</v>
      </c>
      <c r="D10" s="96"/>
      <c r="E10" s="96"/>
      <c r="F10" s="96"/>
      <c r="G10" s="96"/>
      <c r="H10" s="96"/>
      <c r="I10" s="96"/>
      <c r="J10" s="96"/>
      <c r="K10" s="96"/>
      <c r="L10" s="96"/>
      <c r="M10" s="96"/>
      <c r="N10" s="96"/>
      <c r="O10" s="96"/>
    </row>
    <row r="11" spans="1:15" ht="186.75" customHeight="1" x14ac:dyDescent="0.25">
      <c r="A11" s="136"/>
      <c r="B11" s="137"/>
      <c r="C11" s="276" t="s">
        <v>230</v>
      </c>
      <c r="D11" s="276"/>
      <c r="E11" s="276"/>
      <c r="F11" s="276"/>
      <c r="G11" s="276"/>
      <c r="H11" s="276"/>
      <c r="I11" s="276"/>
      <c r="J11" s="276"/>
      <c r="K11" s="276"/>
      <c r="L11" s="276"/>
      <c r="M11" s="276"/>
      <c r="N11" s="276"/>
      <c r="O11" s="96"/>
    </row>
    <row r="12" spans="1:15" ht="12.75" customHeight="1" x14ac:dyDescent="0.25">
      <c r="A12" s="136"/>
      <c r="B12" s="139"/>
      <c r="C12" s="140"/>
      <c r="D12" s="96"/>
      <c r="E12" s="96"/>
      <c r="F12" s="96"/>
      <c r="G12" s="96"/>
      <c r="H12" s="96"/>
      <c r="I12" s="96"/>
      <c r="J12" s="96"/>
      <c r="K12" s="96"/>
      <c r="L12" s="96"/>
      <c r="M12" s="96"/>
      <c r="N12" s="96"/>
      <c r="O12" s="96"/>
    </row>
    <row r="13" spans="1:15" ht="18.75" x14ac:dyDescent="0.3">
      <c r="A13" s="136"/>
      <c r="B13" s="144"/>
      <c r="C13" s="138"/>
      <c r="D13" s="96"/>
      <c r="E13" s="96"/>
      <c r="F13" s="96"/>
      <c r="G13" s="96"/>
      <c r="H13" s="96"/>
      <c r="I13" s="96"/>
      <c r="J13" s="96"/>
      <c r="K13" s="96"/>
      <c r="L13" s="96"/>
      <c r="M13" s="96"/>
      <c r="N13" s="96"/>
      <c r="O13" s="96"/>
    </row>
    <row r="14" spans="1:15" ht="154.5" customHeight="1" x14ac:dyDescent="0.25">
      <c r="A14" s="145"/>
      <c r="B14" s="149"/>
      <c r="C14" s="277"/>
      <c r="D14" s="277"/>
      <c r="E14" s="277"/>
      <c r="F14" s="277"/>
      <c r="G14" s="277"/>
      <c r="H14" s="277"/>
      <c r="I14" s="277"/>
      <c r="J14" s="277"/>
      <c r="K14" s="277"/>
      <c r="L14" s="277"/>
      <c r="M14" s="277"/>
      <c r="N14" s="277"/>
      <c r="O14" s="148"/>
    </row>
    <row r="15" spans="1:15" ht="12.75" customHeight="1" x14ac:dyDescent="0.15">
      <c r="A15" s="145"/>
      <c r="B15" s="145"/>
      <c r="C15" s="145"/>
      <c r="D15" s="145"/>
      <c r="E15" s="145"/>
      <c r="F15" s="145"/>
      <c r="G15" s="145"/>
      <c r="H15" s="145"/>
      <c r="I15" s="145"/>
      <c r="J15" s="145"/>
      <c r="K15" s="145"/>
      <c r="L15" s="145"/>
      <c r="M15" s="145"/>
      <c r="N15" s="145"/>
      <c r="O15" s="148"/>
    </row>
    <row r="16" spans="1:15" ht="11.25" x14ac:dyDescent="0.15">
      <c r="A16" s="145"/>
      <c r="B16" s="145"/>
      <c r="C16" s="145"/>
      <c r="D16" s="145"/>
      <c r="E16" s="145"/>
      <c r="F16" s="145"/>
      <c r="G16" s="145"/>
      <c r="H16" s="145"/>
      <c r="I16" s="145"/>
      <c r="J16" s="145"/>
      <c r="K16" s="145"/>
      <c r="L16" s="145"/>
      <c r="M16" s="145"/>
      <c r="N16" s="145"/>
      <c r="O16" s="148"/>
    </row>
    <row r="17" spans="1:15" ht="12.75" customHeight="1" x14ac:dyDescent="0.15">
      <c r="A17" s="145"/>
      <c r="B17" s="145"/>
      <c r="C17" s="145"/>
      <c r="D17" s="145"/>
      <c r="E17" s="145"/>
      <c r="F17" s="145"/>
      <c r="G17" s="145"/>
      <c r="H17" s="145"/>
      <c r="I17" s="145"/>
      <c r="J17" s="145"/>
      <c r="K17" s="145"/>
      <c r="L17" s="145"/>
      <c r="M17" s="145"/>
      <c r="N17" s="145"/>
      <c r="O17" s="148"/>
    </row>
    <row r="18" spans="1:15" ht="12.75" customHeight="1" x14ac:dyDescent="0.15">
      <c r="A18" s="145"/>
      <c r="B18" s="145"/>
      <c r="C18" s="145"/>
      <c r="D18" s="145"/>
      <c r="E18" s="145"/>
      <c r="F18" s="145"/>
      <c r="G18" s="145"/>
      <c r="H18" s="145"/>
      <c r="I18" s="145"/>
      <c r="J18" s="145"/>
      <c r="K18" s="145"/>
      <c r="L18" s="145"/>
      <c r="M18" s="145"/>
      <c r="N18" s="145"/>
      <c r="O18" s="148"/>
    </row>
    <row r="19" spans="1:15" ht="12.75" customHeight="1" x14ac:dyDescent="0.25">
      <c r="A19" s="145"/>
      <c r="B19" s="146"/>
      <c r="C19" s="147"/>
      <c r="D19" s="148"/>
      <c r="E19" s="148"/>
      <c r="F19" s="148"/>
      <c r="G19" s="148"/>
      <c r="H19" s="148"/>
      <c r="I19" s="148"/>
      <c r="J19" s="148"/>
      <c r="K19" s="148"/>
      <c r="L19" s="148"/>
      <c r="M19" s="148"/>
      <c r="N19" s="148"/>
      <c r="O19" s="148"/>
    </row>
    <row r="20" spans="1:15" ht="11.25" x14ac:dyDescent="0.15"/>
    <row r="25" spans="1:15" ht="11.25" x14ac:dyDescent="0.15"/>
  </sheetData>
  <sheetProtection algorithmName="SHA-512" hashValue="nCmde4kJ1WQhTMYVlZZrEjl1IQtKbV07ua6Ri1tcBH6CVxAMdwCVrj0TBpP8qQG+4oNAwycqepxt3Bojn/bkMQ==" saltValue="GHs2nDrCJ1phwtt8np29RQ==" spinCount="100000" sheet="1" objects="1" scenarios="1"/>
  <mergeCells count="5">
    <mergeCell ref="B2:G3"/>
    <mergeCell ref="I2:M3"/>
    <mergeCell ref="C8:N8"/>
    <mergeCell ref="C11:N11"/>
    <mergeCell ref="C14:N14"/>
  </mergeCells>
  <hyperlinks>
    <hyperlink ref="B10:B11" location="'1'!A1" display="'1'!A1"/>
    <hyperlink ref="C10" location="'Beregner '!A1" display="Udskiftning af brændselskedel under 1000 kW"/>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00B050"/>
    <pageSetUpPr fitToPage="1"/>
  </sheetPr>
  <dimension ref="A1:Y54"/>
  <sheetViews>
    <sheetView tabSelected="1" topLeftCell="A16" zoomScale="85" zoomScaleNormal="85" workbookViewId="0">
      <selection activeCell="G36" sqref="G36:H36"/>
    </sheetView>
  </sheetViews>
  <sheetFormatPr defaultColWidth="9.140625" defaultRowHeight="15" x14ac:dyDescent="0.25"/>
  <cols>
    <col min="1" max="1" width="22.42578125" style="253" customWidth="1"/>
    <col min="2" max="2" width="7.42578125" style="253" customWidth="1"/>
    <col min="3" max="3" width="11.85546875" style="253" bestFit="1" customWidth="1"/>
    <col min="4" max="4" width="35.5703125" style="253" customWidth="1"/>
    <col min="5" max="5" width="11" style="253" customWidth="1"/>
    <col min="6" max="6" width="29.5703125" style="253" customWidth="1"/>
    <col min="7" max="7" width="25.5703125" style="253" bestFit="1" customWidth="1"/>
    <col min="8" max="8" width="19.5703125" style="253" customWidth="1"/>
    <col min="9" max="9" width="9.140625" style="253" customWidth="1"/>
    <col min="10" max="10" width="7.140625" style="253" customWidth="1"/>
    <col min="11" max="12" width="9.140625" style="253"/>
    <col min="13" max="13" width="7.140625" style="253" customWidth="1"/>
    <col min="14" max="14" width="9.140625" style="253"/>
    <col min="15" max="15" width="21.85546875" style="253" customWidth="1"/>
    <col min="16" max="16" width="10.42578125" style="253" customWidth="1"/>
    <col min="17" max="17" width="12.5703125" style="253" customWidth="1"/>
    <col min="18" max="18" width="9.140625" style="253"/>
    <col min="19" max="19" width="30.85546875" style="179" bestFit="1" customWidth="1"/>
    <col min="20" max="16384" width="9.140625" style="179"/>
  </cols>
  <sheetData>
    <row r="1" spans="1:18" x14ac:dyDescent="0.25">
      <c r="A1" s="123"/>
      <c r="B1" s="281" t="s">
        <v>16</v>
      </c>
      <c r="C1" s="281"/>
      <c r="D1" s="282"/>
      <c r="E1" s="282"/>
      <c r="F1" s="177" t="s">
        <v>233</v>
      </c>
      <c r="G1" s="177"/>
      <c r="H1" s="177"/>
      <c r="I1" s="177"/>
      <c r="J1" s="96"/>
      <c r="K1" s="96"/>
      <c r="L1" s="95"/>
      <c r="M1" s="125"/>
      <c r="N1" s="95"/>
      <c r="O1" s="125"/>
      <c r="P1" s="95"/>
      <c r="Q1" s="95"/>
      <c r="R1" s="178"/>
    </row>
    <row r="2" spans="1:18" x14ac:dyDescent="0.25">
      <c r="A2" s="96"/>
      <c r="B2" s="281"/>
      <c r="C2" s="281"/>
      <c r="D2" s="282"/>
      <c r="E2" s="282"/>
      <c r="F2" s="177" t="s">
        <v>87</v>
      </c>
      <c r="G2" s="177"/>
      <c r="H2" s="177"/>
      <c r="I2" s="177"/>
      <c r="J2" s="96"/>
      <c r="K2" s="96"/>
      <c r="L2" s="97"/>
      <c r="M2" s="97"/>
      <c r="N2" s="180"/>
      <c r="O2" s="97"/>
      <c r="P2" s="97"/>
      <c r="Q2" s="97"/>
      <c r="R2" s="178"/>
    </row>
    <row r="3" spans="1:18" ht="18" x14ac:dyDescent="0.25">
      <c r="A3" s="127"/>
      <c r="B3" s="99" t="str">
        <f>Beskrivelse!C10</f>
        <v>Udskiftning af brændselskedel til og med 1000 kW med beregner af energiforbruget</v>
      </c>
      <c r="C3" s="181"/>
      <c r="D3" s="96"/>
      <c r="E3" s="96"/>
      <c r="F3" s="96"/>
      <c r="G3" s="96"/>
      <c r="H3" s="96"/>
      <c r="I3" s="96"/>
      <c r="J3" s="96"/>
      <c r="K3" s="96"/>
      <c r="L3" s="96"/>
      <c r="M3" s="97"/>
      <c r="N3" s="180"/>
      <c r="O3" s="97"/>
      <c r="P3" s="97"/>
      <c r="Q3" s="101"/>
      <c r="R3" s="178"/>
    </row>
    <row r="4" spans="1:18" ht="15" customHeight="1" x14ac:dyDescent="0.25">
      <c r="A4" s="130"/>
      <c r="B4" s="130"/>
      <c r="C4" s="130"/>
      <c r="D4" s="130"/>
      <c r="E4" s="130"/>
      <c r="F4" s="130"/>
      <c r="G4" s="130"/>
      <c r="H4" s="130"/>
      <c r="I4" s="130"/>
      <c r="J4" s="130"/>
      <c r="K4" s="130"/>
      <c r="L4" s="130"/>
      <c r="M4" s="130"/>
      <c r="N4" s="130"/>
      <c r="O4" s="130"/>
      <c r="P4" s="130"/>
      <c r="Q4" s="130"/>
      <c r="R4" s="178"/>
    </row>
    <row r="5" spans="1:18" x14ac:dyDescent="0.25">
      <c r="A5" s="96"/>
      <c r="B5" s="182"/>
      <c r="C5" s="96"/>
      <c r="D5" s="96"/>
      <c r="E5" s="96"/>
      <c r="F5" s="96"/>
      <c r="G5" s="96"/>
      <c r="H5" s="96"/>
      <c r="I5" s="96"/>
      <c r="J5" s="96"/>
      <c r="K5" s="96"/>
      <c r="L5" s="96"/>
      <c r="M5" s="96"/>
      <c r="N5" s="96"/>
      <c r="O5" s="96"/>
      <c r="P5" s="96"/>
      <c r="Q5" s="96"/>
      <c r="R5" s="178"/>
    </row>
    <row r="6" spans="1:18" x14ac:dyDescent="0.25">
      <c r="A6" s="96"/>
      <c r="B6" s="283" t="s">
        <v>17</v>
      </c>
      <c r="C6" s="283"/>
      <c r="D6" s="283"/>
      <c r="E6" s="283"/>
      <c r="F6" s="283"/>
      <c r="G6" s="283"/>
      <c r="H6" s="283"/>
      <c r="I6" s="283"/>
      <c r="J6" s="283"/>
      <c r="K6" s="283"/>
      <c r="L6" s="283"/>
      <c r="M6" s="96"/>
      <c r="N6" s="96"/>
      <c r="O6" s="96"/>
      <c r="P6" s="96"/>
      <c r="Q6" s="96"/>
      <c r="R6" s="178"/>
    </row>
    <row r="7" spans="1:18" x14ac:dyDescent="0.25">
      <c r="A7" s="96"/>
      <c r="B7" s="283"/>
      <c r="C7" s="283"/>
      <c r="D7" s="283"/>
      <c r="E7" s="283"/>
      <c r="F7" s="283"/>
      <c r="G7" s="283"/>
      <c r="H7" s="283"/>
      <c r="I7" s="283"/>
      <c r="J7" s="283"/>
      <c r="K7" s="283"/>
      <c r="L7" s="283"/>
      <c r="M7" s="183"/>
      <c r="N7" s="184"/>
      <c r="O7" s="184"/>
      <c r="P7" s="96"/>
      <c r="Q7" s="96"/>
      <c r="R7" s="178"/>
    </row>
    <row r="8" spans="1:18" x14ac:dyDescent="0.25">
      <c r="A8" s="96"/>
      <c r="B8" s="185" t="s">
        <v>18</v>
      </c>
      <c r="C8" s="284" t="s">
        <v>225</v>
      </c>
      <c r="D8" s="284"/>
      <c r="E8" s="284"/>
      <c r="F8" s="284"/>
      <c r="G8" s="284"/>
      <c r="H8" s="284"/>
      <c r="I8" s="284"/>
      <c r="J8" s="284"/>
      <c r="K8" s="284"/>
      <c r="L8" s="285"/>
      <c r="M8" s="186"/>
      <c r="N8" s="175" t="s">
        <v>19</v>
      </c>
      <c r="O8" s="175">
        <f>IF(M8="",0,IF(M8=N8,1,-1))</f>
        <v>0</v>
      </c>
      <c r="P8" s="187"/>
      <c r="Q8" s="96"/>
      <c r="R8" s="178"/>
    </row>
    <row r="9" spans="1:18" x14ac:dyDescent="0.25">
      <c r="A9" s="96"/>
      <c r="B9" s="185" t="s">
        <v>18</v>
      </c>
      <c r="C9" s="257" t="s">
        <v>234</v>
      </c>
      <c r="D9" s="257"/>
      <c r="E9" s="257"/>
      <c r="F9" s="257"/>
      <c r="G9" s="257"/>
      <c r="H9" s="257"/>
      <c r="I9" s="257"/>
      <c r="J9" s="257"/>
      <c r="K9" s="257"/>
      <c r="L9" s="258"/>
      <c r="M9" s="186"/>
      <c r="N9" s="175" t="s">
        <v>19</v>
      </c>
      <c r="O9" s="175">
        <f>IF(M9="",0,IF(M9=N9,1,-1))</f>
        <v>0</v>
      </c>
      <c r="P9" s="187"/>
      <c r="Q9" s="96"/>
      <c r="R9" s="178"/>
    </row>
    <row r="10" spans="1:18" x14ac:dyDescent="0.25">
      <c r="A10" s="96"/>
      <c r="B10" s="185" t="s">
        <v>18</v>
      </c>
      <c r="C10" s="257" t="s">
        <v>235</v>
      </c>
      <c r="D10" s="257"/>
      <c r="E10" s="257"/>
      <c r="F10" s="257"/>
      <c r="G10" s="257"/>
      <c r="H10" s="257"/>
      <c r="I10" s="257"/>
      <c r="J10" s="257"/>
      <c r="K10" s="257"/>
      <c r="L10" s="258"/>
      <c r="M10" s="186"/>
      <c r="N10" s="175" t="s">
        <v>19</v>
      </c>
      <c r="O10" s="175">
        <f>IF(M10="",0,IF(M10=N10,1,-1))</f>
        <v>0</v>
      </c>
      <c r="P10" s="187"/>
      <c r="Q10" s="96"/>
      <c r="R10" s="178"/>
    </row>
    <row r="11" spans="1:18" x14ac:dyDescent="0.25">
      <c r="A11" s="96"/>
      <c r="B11" s="185" t="s">
        <v>18</v>
      </c>
      <c r="C11" s="286" t="s">
        <v>191</v>
      </c>
      <c r="D11" s="286"/>
      <c r="E11" s="286"/>
      <c r="F11" s="286"/>
      <c r="G11" s="286"/>
      <c r="H11" s="286"/>
      <c r="I11" s="286"/>
      <c r="J11" s="286"/>
      <c r="K11" s="286"/>
      <c r="L11" s="287"/>
      <c r="M11" s="186"/>
      <c r="N11" s="175" t="s">
        <v>19</v>
      </c>
      <c r="O11" s="175">
        <f>IF(M11="",0,IF(M11=N11,1,-1))</f>
        <v>0</v>
      </c>
      <c r="P11" s="187"/>
      <c r="Q11" s="96"/>
      <c r="R11" s="178"/>
    </row>
    <row r="12" spans="1:18" ht="29.25" x14ac:dyDescent="0.25">
      <c r="A12" s="96"/>
      <c r="B12" s="188" t="str">
        <f>IF(I12=0,"Spørgsmål om afgrænsning er ikke besvaret",IF(I12=1,"Projektet er omfattet af standardløsningen","Projektet er IKKE omfattet af standardløsningen"))</f>
        <v>Spørgsmål om afgrænsning er ikke besvaret</v>
      </c>
      <c r="C12" s="189"/>
      <c r="D12" s="189"/>
      <c r="E12" s="189"/>
      <c r="F12" s="189"/>
      <c r="G12" s="190" t="s">
        <v>159</v>
      </c>
      <c r="H12" s="189"/>
      <c r="I12" s="176">
        <f>MIN(O8:O11)</f>
        <v>0</v>
      </c>
      <c r="J12" s="96"/>
      <c r="K12" s="96"/>
      <c r="L12" s="96"/>
      <c r="M12" s="96"/>
      <c r="N12" s="96"/>
      <c r="O12" s="96"/>
      <c r="P12" s="96"/>
      <c r="Q12" s="96"/>
      <c r="R12" s="178"/>
    </row>
    <row r="13" spans="1:18" ht="22.5" x14ac:dyDescent="0.3">
      <c r="A13" s="96"/>
      <c r="B13" s="191"/>
      <c r="C13" s="96"/>
      <c r="D13" s="96"/>
      <c r="E13" s="96"/>
      <c r="F13" s="96"/>
      <c r="G13" s="192" t="s">
        <v>160</v>
      </c>
      <c r="H13" s="96"/>
      <c r="I13" s="96"/>
      <c r="J13" s="193"/>
      <c r="K13" s="193"/>
      <c r="L13" s="96"/>
      <c r="M13" s="96"/>
      <c r="N13" s="96"/>
      <c r="O13" s="96"/>
      <c r="P13" s="96"/>
      <c r="Q13" s="127"/>
      <c r="R13" s="178"/>
    </row>
    <row r="14" spans="1:18" ht="18" x14ac:dyDescent="0.25">
      <c r="A14" s="96"/>
      <c r="B14" s="288" t="s">
        <v>21</v>
      </c>
      <c r="C14" s="288"/>
      <c r="D14" s="288"/>
      <c r="E14" s="288"/>
      <c r="F14" s="288"/>
      <c r="G14" s="288"/>
      <c r="H14" s="288"/>
      <c r="I14" s="288"/>
      <c r="J14" s="96"/>
      <c r="K14" s="194" t="s">
        <v>24</v>
      </c>
      <c r="L14" s="96"/>
      <c r="M14" s="127"/>
      <c r="N14" s="127"/>
      <c r="O14" s="127"/>
      <c r="P14" s="127"/>
      <c r="Q14" s="96"/>
      <c r="R14" s="178"/>
    </row>
    <row r="15" spans="1:18" ht="24.75" customHeight="1" x14ac:dyDescent="0.25">
      <c r="A15" s="96"/>
      <c r="B15" s="195">
        <v>1</v>
      </c>
      <c r="C15" s="196" t="s">
        <v>226</v>
      </c>
      <c r="D15" s="197"/>
      <c r="E15" s="197"/>
      <c r="F15" s="197"/>
      <c r="G15" s="198"/>
      <c r="H15" s="198"/>
      <c r="I15" s="198"/>
      <c r="J15" s="96"/>
      <c r="K15" s="199" t="s">
        <v>181</v>
      </c>
      <c r="L15" s="200"/>
      <c r="M15" s="200"/>
      <c r="N15" s="200"/>
      <c r="O15" s="174" t="str">
        <f>IF(G16="","-",Forbrugsberegner!B108)</f>
        <v>-</v>
      </c>
      <c r="P15" s="199"/>
      <c r="Q15" s="201"/>
      <c r="R15" s="178"/>
    </row>
    <row r="16" spans="1:18" ht="24.75" customHeight="1" x14ac:dyDescent="0.25">
      <c r="A16" s="96"/>
      <c r="B16" s="202" t="s">
        <v>168</v>
      </c>
      <c r="C16" s="203" t="s">
        <v>132</v>
      </c>
      <c r="D16" s="203"/>
      <c r="E16" s="203"/>
      <c r="F16" s="204"/>
      <c r="G16" s="289"/>
      <c r="H16" s="289"/>
      <c r="I16" s="205"/>
      <c r="J16" s="96"/>
      <c r="K16" s="199" t="s">
        <v>180</v>
      </c>
      <c r="L16" s="199"/>
      <c r="M16" s="199"/>
      <c r="N16" s="199"/>
      <c r="O16" s="171" t="str">
        <f ca="1">IFERROR(IF(OR(G34="",G24="",H24="",G25="",G16="",G17="",G18="",G19="",G21=""),"-",IF(AND(G25=3,G24&gt;Forbrugsberegner!C17),"Ugyldige årstal",IF(G27&gt;Forbrugsberegner!B98,"Ugyldigt energiforbrug",Graddageberegner!C146/1000))),"-")</f>
        <v>-</v>
      </c>
      <c r="P16" s="174" t="s">
        <v>25</v>
      </c>
      <c r="Q16" s="201"/>
      <c r="R16" s="178"/>
    </row>
    <row r="17" spans="1:25" s="213" customFormat="1" ht="26.45" customHeight="1" x14ac:dyDescent="0.25">
      <c r="A17" s="207"/>
      <c r="B17" s="202" t="s">
        <v>167</v>
      </c>
      <c r="C17" s="290" t="s">
        <v>201</v>
      </c>
      <c r="D17" s="290"/>
      <c r="E17" s="290"/>
      <c r="F17" s="291"/>
      <c r="G17" s="292"/>
      <c r="H17" s="293"/>
      <c r="I17" s="205"/>
      <c r="J17" s="96"/>
      <c r="K17" s="206"/>
      <c r="L17" s="206"/>
      <c r="M17" s="206"/>
      <c r="N17" s="206"/>
      <c r="O17" s="174"/>
      <c r="P17" s="206"/>
      <c r="Q17" s="211"/>
      <c r="R17" s="212"/>
    </row>
    <row r="18" spans="1:25" ht="24.75" customHeight="1" x14ac:dyDescent="0.25">
      <c r="A18" s="96"/>
      <c r="B18" s="208" t="s">
        <v>169</v>
      </c>
      <c r="C18" s="279" t="s">
        <v>64</v>
      </c>
      <c r="D18" s="279"/>
      <c r="E18" s="279"/>
      <c r="F18" s="280"/>
      <c r="G18" s="294"/>
      <c r="H18" s="295"/>
      <c r="I18" s="209"/>
      <c r="J18" s="207"/>
      <c r="K18" s="199" t="s">
        <v>179</v>
      </c>
      <c r="L18" s="210"/>
      <c r="M18" s="210"/>
      <c r="N18" s="210"/>
      <c r="O18" s="174" t="str">
        <f>IF(G36="","-",Forbrugsberegner!B109)</f>
        <v>-</v>
      </c>
      <c r="P18" s="206"/>
      <c r="Q18" s="201"/>
      <c r="R18" s="178"/>
    </row>
    <row r="19" spans="1:25" ht="24.75" customHeight="1" x14ac:dyDescent="0.25">
      <c r="A19" s="96"/>
      <c r="B19" s="202" t="s">
        <v>170</v>
      </c>
      <c r="C19" s="298" t="s">
        <v>210</v>
      </c>
      <c r="D19" s="298"/>
      <c r="E19" s="298"/>
      <c r="F19" s="302"/>
      <c r="G19" s="296"/>
      <c r="H19" s="297"/>
      <c r="I19" s="205"/>
      <c r="J19" s="96"/>
      <c r="K19" s="199" t="s">
        <v>178</v>
      </c>
      <c r="L19" s="210"/>
      <c r="M19" s="210"/>
      <c r="N19" s="210"/>
      <c r="O19" s="171" t="str">
        <f>IFERROR(IF(G36="","-",IF(OR(O16="Ugyldigt energiforbrug",O16="Ugyldige årstal",O16="-"),O16,Forbrugsberegner!B86/1000)),"-")</f>
        <v>-</v>
      </c>
      <c r="P19" s="174" t="s">
        <v>25</v>
      </c>
      <c r="Q19" s="201"/>
      <c r="R19" s="178"/>
      <c r="T19" s="215"/>
      <c r="U19" s="215"/>
      <c r="V19" s="215"/>
      <c r="W19" s="215"/>
      <c r="X19" s="215"/>
      <c r="Y19" s="215"/>
    </row>
    <row r="20" spans="1:25" ht="24.75" customHeight="1" x14ac:dyDescent="0.25">
      <c r="A20" s="96"/>
      <c r="B20" s="214"/>
      <c r="C20" s="298" t="str">
        <f>IF(G16="Kul/koks","Normvirkningsgrad","")</f>
        <v/>
      </c>
      <c r="D20" s="298"/>
      <c r="E20" s="298"/>
      <c r="F20" s="298"/>
      <c r="G20" s="313"/>
      <c r="H20" s="313"/>
      <c r="I20" s="205"/>
      <c r="J20" s="96"/>
      <c r="K20" s="199"/>
      <c r="L20" s="210"/>
      <c r="M20" s="210"/>
      <c r="N20" s="210"/>
      <c r="O20" s="206"/>
      <c r="P20" s="206"/>
      <c r="Q20" s="201"/>
      <c r="R20" s="178"/>
      <c r="T20" s="215"/>
      <c r="U20" s="215"/>
      <c r="V20" s="215"/>
      <c r="W20" s="215"/>
      <c r="X20" s="215"/>
      <c r="Y20" s="215"/>
    </row>
    <row r="21" spans="1:25" ht="24.75" customHeight="1" thickBot="1" x14ac:dyDescent="0.3">
      <c r="A21" s="96"/>
      <c r="B21" s="202" t="s">
        <v>172</v>
      </c>
      <c r="C21" s="298" t="s">
        <v>171</v>
      </c>
      <c r="D21" s="298"/>
      <c r="E21" s="298"/>
      <c r="F21" s="298"/>
      <c r="G21" s="303" t="str">
        <f ca="1">IFERROR(IF(OR(I12=0,G16="",G17="",G18="",G19="",Virkningsgradsberegner!M9=0),"",Forbrugsberegner!C14),"Ugyldig kombination")</f>
        <v>Ugyldig kombination</v>
      </c>
      <c r="H21" s="303"/>
      <c r="I21" s="205"/>
      <c r="J21" s="96"/>
      <c r="K21" s="199" t="s">
        <v>26</v>
      </c>
      <c r="L21" s="210"/>
      <c r="M21" s="210"/>
      <c r="N21" s="210"/>
      <c r="O21" s="173" t="str">
        <f ca="1">IFERROR(O22/O16*100,"-")</f>
        <v>-</v>
      </c>
      <c r="P21" s="206" t="s">
        <v>23</v>
      </c>
      <c r="Q21" s="219"/>
      <c r="R21" s="178"/>
      <c r="T21" s="215"/>
      <c r="U21" s="215"/>
      <c r="V21" s="215"/>
      <c r="W21" s="215"/>
      <c r="X21" s="215"/>
      <c r="Y21" s="215"/>
    </row>
    <row r="22" spans="1:25" ht="27" customHeight="1" thickBot="1" x14ac:dyDescent="0.3">
      <c r="A22" s="96"/>
      <c r="B22" s="202"/>
      <c r="C22" s="216"/>
      <c r="D22" s="216"/>
      <c r="E22" s="216"/>
      <c r="F22" s="216"/>
      <c r="G22" s="217"/>
      <c r="H22" s="217"/>
      <c r="I22" s="205"/>
      <c r="J22" s="96"/>
      <c r="K22" s="311" t="s">
        <v>27</v>
      </c>
      <c r="L22" s="312"/>
      <c r="M22" s="312"/>
      <c r="N22" s="312"/>
      <c r="O22" s="172" t="str">
        <f ca="1">IFERROR(IF(OR(O19="-",O16="-"),"-",IF(I12=1,O16-O19,"Input mangler / Ugyldig kombination!")),"-")</f>
        <v>-</v>
      </c>
      <c r="P22" s="218" t="s">
        <v>25</v>
      </c>
      <c r="Q22" s="201"/>
      <c r="R22" s="178"/>
      <c r="T22" s="215"/>
      <c r="U22" s="215"/>
      <c r="V22" s="215"/>
      <c r="W22" s="215"/>
      <c r="X22" s="215"/>
      <c r="Y22" s="215"/>
    </row>
    <row r="23" spans="1:25" ht="26.25" customHeight="1" x14ac:dyDescent="0.25">
      <c r="A23" s="96"/>
      <c r="B23" s="214">
        <v>2</v>
      </c>
      <c r="C23" s="196" t="str">
        <f>IFERROR("Opgørelse af nuværende forbrug af"&amp;" "&amp;Forbrugsberegner!M90,"Opgørelse af nuværende forbrug")</f>
        <v>Opgørelse af nuværende forbrug</v>
      </c>
      <c r="D23" s="220"/>
      <c r="E23" s="220"/>
      <c r="F23" s="220"/>
      <c r="G23" s="221" t="s">
        <v>110</v>
      </c>
      <c r="H23" s="221" t="s">
        <v>108</v>
      </c>
      <c r="I23" s="205"/>
      <c r="J23" s="96"/>
      <c r="K23" s="178"/>
      <c r="L23" s="178"/>
      <c r="M23" s="178"/>
      <c r="N23" s="178"/>
      <c r="O23" s="178"/>
      <c r="P23" s="178"/>
      <c r="Q23" s="178"/>
      <c r="R23" s="178"/>
      <c r="T23" s="215"/>
      <c r="U23" s="215"/>
      <c r="V23" s="215"/>
      <c r="W23" s="215"/>
      <c r="X23" s="215"/>
      <c r="Y23" s="215"/>
    </row>
    <row r="24" spans="1:25" ht="24.75" customHeight="1" x14ac:dyDescent="0.25">
      <c r="A24" s="96"/>
      <c r="B24" s="202" t="s">
        <v>173</v>
      </c>
      <c r="C24" s="298" t="str">
        <f>IF(G16="Naturgas","Angiv seneste periodes første måned og år","Angiv seneste periodes første måned og år")</f>
        <v>Angiv seneste periodes første måned og år</v>
      </c>
      <c r="D24" s="298"/>
      <c r="E24" s="298"/>
      <c r="F24" s="310"/>
      <c r="G24" s="222">
        <v>2020</v>
      </c>
      <c r="H24" s="223" t="s">
        <v>102</v>
      </c>
      <c r="I24" s="205"/>
      <c r="J24" s="96"/>
      <c r="K24" s="224" t="s">
        <v>223</v>
      </c>
      <c r="L24" s="178"/>
      <c r="M24" s="178"/>
      <c r="N24" s="178"/>
      <c r="O24" s="178"/>
      <c r="P24" s="178"/>
      <c r="Q24" s="96"/>
      <c r="R24" s="178"/>
      <c r="T24" s="215">
        <v>1</v>
      </c>
      <c r="U24" s="215"/>
      <c r="V24" s="215"/>
      <c r="W24" s="215"/>
      <c r="X24" s="215"/>
      <c r="Y24" s="215"/>
    </row>
    <row r="25" spans="1:25" ht="24.75" customHeight="1" x14ac:dyDescent="0.25">
      <c r="A25" s="96"/>
      <c r="B25" s="202" t="s">
        <v>175</v>
      </c>
      <c r="C25" s="298" t="s">
        <v>174</v>
      </c>
      <c r="D25" s="298"/>
      <c r="E25" s="298"/>
      <c r="F25" s="220"/>
      <c r="G25" s="304">
        <v>1</v>
      </c>
      <c r="H25" s="305"/>
      <c r="I25" s="205"/>
      <c r="J25" s="96"/>
      <c r="K25" s="225"/>
      <c r="L25" s="226"/>
      <c r="M25" s="226"/>
      <c r="N25" s="226"/>
      <c r="O25" s="226"/>
      <c r="P25" s="96"/>
      <c r="Q25" s="96"/>
      <c r="R25" s="178"/>
      <c r="T25" s="215">
        <v>3</v>
      </c>
      <c r="U25" s="215"/>
      <c r="V25" s="215"/>
      <c r="W25" s="215"/>
      <c r="X25" s="215"/>
      <c r="Y25" s="215"/>
    </row>
    <row r="26" spans="1:25" ht="24.75" customHeight="1" x14ac:dyDescent="0.25">
      <c r="A26" s="96"/>
      <c r="B26" s="202"/>
      <c r="C26" s="227" t="str">
        <f>IF(G25&lt;&gt;"","Indtast forbruget for opgørelsesperioden","")</f>
        <v>Indtast forbruget for opgørelsesperioden</v>
      </c>
      <c r="D26" s="216"/>
      <c r="E26" s="228"/>
      <c r="F26" s="220"/>
      <c r="G26" s="220"/>
      <c r="H26" s="220"/>
      <c r="I26" s="205"/>
      <c r="J26" s="96"/>
      <c r="K26" s="225"/>
      <c r="L26" s="226"/>
      <c r="M26" s="226"/>
      <c r="N26" s="226"/>
      <c r="O26" s="226"/>
      <c r="P26" s="96"/>
      <c r="Q26" s="96"/>
      <c r="R26" s="178"/>
      <c r="T26" s="215"/>
      <c r="U26" s="215"/>
      <c r="V26" s="215"/>
      <c r="W26" s="215"/>
      <c r="X26" s="215"/>
      <c r="Y26" s="215"/>
    </row>
    <row r="27" spans="1:25" ht="24.75" customHeight="1" x14ac:dyDescent="0.25">
      <c r="A27" s="96"/>
      <c r="B27" s="202"/>
      <c r="C27" s="229" t="str">
        <f>IF(OR(G24="",H24="",G25=""),"",Graddageberegner!C157)</f>
        <v>Januar 2020-December 2020</v>
      </c>
      <c r="D27" s="230"/>
      <c r="E27" s="228"/>
      <c r="F27" s="220"/>
      <c r="G27" s="306"/>
      <c r="H27" s="306"/>
      <c r="I27" s="205" t="str">
        <f>IF(OR(G24="",H24="",G25=""),"",IF(G16="","",IF(G16="Naturgas","Nm3/år",IF(OR(G16="Fyringsolie",G16="Heavy Fuel Oil"),"l/år","kg/år"))))</f>
        <v/>
      </c>
      <c r="J27" s="96"/>
      <c r="K27" s="178"/>
      <c r="L27" s="226"/>
      <c r="M27" s="226"/>
      <c r="N27" s="226"/>
      <c r="O27" s="226"/>
      <c r="P27" s="96"/>
      <c r="Q27" s="96"/>
      <c r="R27" s="178"/>
      <c r="T27" s="215">
        <f>IF(C28="",0,1)</f>
        <v>0</v>
      </c>
      <c r="U27" s="215"/>
      <c r="V27" s="215"/>
      <c r="W27" s="215"/>
      <c r="X27" s="215"/>
      <c r="Y27" s="215"/>
    </row>
    <row r="28" spans="1:25" ht="24.75" customHeight="1" x14ac:dyDescent="0.25">
      <c r="A28" s="96"/>
      <c r="B28" s="202"/>
      <c r="C28" s="227" t="str">
        <f>IFERROR(IF(G25=1,"",IF(G25=3,Graddageberegner!C158,IF(G25="",""))),"")</f>
        <v/>
      </c>
      <c r="D28" s="216"/>
      <c r="E28" s="216"/>
      <c r="F28" s="220"/>
      <c r="G28" s="307"/>
      <c r="H28" s="307"/>
      <c r="I28" s="205" t="str">
        <f>IF(G25=3,I27,"")</f>
        <v/>
      </c>
      <c r="J28" s="96"/>
      <c r="K28" s="225"/>
      <c r="L28" s="226"/>
      <c r="M28" s="226"/>
      <c r="N28" s="226"/>
      <c r="O28" s="226"/>
      <c r="P28" s="96"/>
      <c r="Q28" s="96"/>
      <c r="R28" s="178"/>
      <c r="T28" s="215"/>
      <c r="U28" s="215"/>
      <c r="V28" s="215"/>
      <c r="W28" s="215"/>
      <c r="X28" s="215"/>
      <c r="Y28" s="215"/>
    </row>
    <row r="29" spans="1:25" ht="24.75" customHeight="1" x14ac:dyDescent="0.25">
      <c r="A29" s="96"/>
      <c r="B29" s="202"/>
      <c r="C29" s="227" t="str">
        <f>IFERROR(IF(G25=1,"",IF(G25=3,Graddageberegner!C159,"")),"")</f>
        <v/>
      </c>
      <c r="D29" s="216"/>
      <c r="E29" s="216"/>
      <c r="F29" s="220"/>
      <c r="G29" s="308"/>
      <c r="H29" s="308"/>
      <c r="I29" s="205" t="str">
        <f>IF(G25=3,I27,"")</f>
        <v/>
      </c>
      <c r="J29" s="96"/>
      <c r="K29" s="225"/>
      <c r="L29" s="226"/>
      <c r="M29" s="226"/>
      <c r="N29" s="226"/>
      <c r="O29" s="226"/>
      <c r="P29" s="96"/>
      <c r="Q29" s="96"/>
      <c r="R29" s="178"/>
      <c r="T29" s="215"/>
      <c r="U29" s="215"/>
      <c r="V29" s="215"/>
      <c r="W29" s="215"/>
      <c r="X29" s="215"/>
      <c r="Y29" s="215"/>
    </row>
    <row r="30" spans="1:25" ht="24.75" customHeight="1" x14ac:dyDescent="0.25">
      <c r="A30" s="96"/>
      <c r="B30" s="202" t="s">
        <v>176</v>
      </c>
      <c r="C30" s="231" t="s">
        <v>224</v>
      </c>
      <c r="D30" s="231"/>
      <c r="E30" s="220"/>
      <c r="F30" s="220"/>
      <c r="G30" s="232"/>
      <c r="H30" s="233" t="str">
        <f>IF(OR(F25="",G25="",F26=""),"",IF(OR(F26=1,G25="Januar"),"",IF(F17="","",IF(F17="Naturgas","Nm3/år",IF(F17="Olie","l/år","kg/år")))))</f>
        <v/>
      </c>
      <c r="I30" s="234"/>
      <c r="J30" s="96"/>
      <c r="K30" s="225"/>
      <c r="L30" s="226"/>
      <c r="M30" s="226"/>
      <c r="N30" s="226"/>
      <c r="O30" s="226"/>
      <c r="P30" s="96"/>
      <c r="Q30" s="96"/>
      <c r="R30" s="178"/>
      <c r="T30" s="215"/>
      <c r="U30" s="215"/>
      <c r="V30" s="215"/>
      <c r="W30" s="215"/>
      <c r="X30" s="215"/>
      <c r="Y30" s="215"/>
    </row>
    <row r="31" spans="1:25" ht="24.75" customHeight="1" x14ac:dyDescent="0.25">
      <c r="A31" s="96"/>
      <c r="B31" s="202"/>
      <c r="C31" s="320" t="s">
        <v>211</v>
      </c>
      <c r="D31" s="321"/>
      <c r="E31" s="220"/>
      <c r="F31" s="220"/>
      <c r="G31" s="309" t="s">
        <v>127</v>
      </c>
      <c r="H31" s="309"/>
      <c r="I31" s="234"/>
      <c r="J31" s="96"/>
      <c r="K31" s="225"/>
      <c r="L31" s="226"/>
      <c r="M31" s="226"/>
      <c r="N31" s="226"/>
      <c r="O31" s="226"/>
      <c r="P31" s="96"/>
      <c r="Q31" s="96"/>
      <c r="R31" s="178"/>
      <c r="T31" s="215"/>
      <c r="U31" s="215"/>
      <c r="V31" s="215"/>
      <c r="W31" s="215"/>
      <c r="X31" s="215"/>
      <c r="Y31" s="215"/>
    </row>
    <row r="32" spans="1:25" ht="24.75" customHeight="1" x14ac:dyDescent="0.25">
      <c r="A32" s="96"/>
      <c r="B32" s="202"/>
      <c r="C32" s="320" t="str">
        <f>IF(G31="Branche","Vælg branche",IF(G31="Manuel","Indtast dokumenteret GUF-andel i %",""))</f>
        <v>Indtast dokumenteret GUF-andel i %</v>
      </c>
      <c r="D32" s="320"/>
      <c r="E32" s="235"/>
      <c r="F32" s="236"/>
      <c r="G32" s="322"/>
      <c r="H32" s="322"/>
      <c r="I32" s="234"/>
      <c r="J32" s="96"/>
      <c r="K32" s="225"/>
      <c r="L32" s="226"/>
      <c r="M32" s="226"/>
      <c r="N32" s="226"/>
      <c r="O32" s="226"/>
      <c r="P32" s="96"/>
      <c r="Q32" s="96"/>
      <c r="R32" s="178"/>
      <c r="T32" s="215"/>
      <c r="U32" s="215"/>
      <c r="V32" s="215"/>
      <c r="W32" s="215"/>
      <c r="X32" s="215"/>
      <c r="Y32" s="215"/>
    </row>
    <row r="33" spans="1:25" ht="24.75" customHeight="1" x14ac:dyDescent="0.25">
      <c r="A33" s="96"/>
      <c r="B33" s="202"/>
      <c r="C33" s="220"/>
      <c r="D33" s="220"/>
      <c r="E33" s="220"/>
      <c r="F33" s="220"/>
      <c r="G33" s="221"/>
      <c r="H33" s="221"/>
      <c r="I33" s="221"/>
      <c r="J33" s="96"/>
      <c r="K33" s="225"/>
      <c r="L33" s="226"/>
      <c r="M33" s="226"/>
      <c r="N33" s="226"/>
      <c r="O33" s="226"/>
      <c r="P33" s="96"/>
      <c r="Q33" s="96"/>
      <c r="R33" s="238"/>
      <c r="S33" s="239"/>
      <c r="T33" s="239"/>
      <c r="U33" s="239"/>
      <c r="V33" s="239"/>
      <c r="W33" s="240"/>
      <c r="X33" s="240"/>
      <c r="Y33" s="241" t="str">
        <f>IF(G16="Naturgas","Nm3/år",IF(G16="Olie","l/år","kg/år"))</f>
        <v>kg/år</v>
      </c>
    </row>
    <row r="34" spans="1:25" x14ac:dyDescent="0.25">
      <c r="A34" s="96"/>
      <c r="B34" s="202"/>
      <c r="C34" s="298" t="s">
        <v>114</v>
      </c>
      <c r="D34" s="298"/>
      <c r="E34" s="298"/>
      <c r="F34" s="298"/>
      <c r="G34" s="299" t="str">
        <f>IFERROR(IF(AND(G25=3,H24&lt;&gt;"Januar",G29=""),"",IF(OR(G24="",H24="",G25="",G31=""),"",IF(AND(G25=3,OR(G27="",G28="",G29="")),"",IF(AND(G31="Manuel",G32=""),"",Graddageberegner!D135)))),"")</f>
        <v/>
      </c>
      <c r="H34" s="299"/>
      <c r="I34" s="205" t="str">
        <f>I27</f>
        <v/>
      </c>
      <c r="J34" s="96"/>
      <c r="K34" s="225"/>
      <c r="L34" s="237"/>
      <c r="M34" s="237"/>
      <c r="N34" s="237"/>
      <c r="O34" s="237"/>
      <c r="P34" s="96"/>
      <c r="Q34" s="96"/>
      <c r="R34" s="244"/>
    </row>
    <row r="35" spans="1:25" ht="24.75" customHeight="1" x14ac:dyDescent="0.25">
      <c r="A35" s="96"/>
      <c r="B35" s="214">
        <v>3</v>
      </c>
      <c r="C35" s="242" t="s">
        <v>236</v>
      </c>
      <c r="D35" s="242"/>
      <c r="E35" s="243"/>
      <c r="F35" s="243"/>
      <c r="G35" s="174"/>
      <c r="H35" s="174"/>
      <c r="I35" s="187"/>
      <c r="J35" s="96"/>
      <c r="K35" s="96"/>
      <c r="L35" s="96"/>
      <c r="M35" s="96"/>
      <c r="N35" s="96"/>
      <c r="O35" s="96"/>
      <c r="P35" s="96"/>
      <c r="Q35" s="96"/>
      <c r="R35" s="244"/>
    </row>
    <row r="36" spans="1:25" ht="24.75" customHeight="1" x14ac:dyDescent="0.25">
      <c r="A36" s="96"/>
      <c r="B36" s="202" t="s">
        <v>177</v>
      </c>
      <c r="C36" s="300" t="s">
        <v>205</v>
      </c>
      <c r="D36" s="300"/>
      <c r="E36" s="300"/>
      <c r="F36" s="301"/>
      <c r="G36" s="289"/>
      <c r="H36" s="289"/>
      <c r="I36" s="187"/>
      <c r="J36" s="245">
        <f>G36</f>
        <v>0</v>
      </c>
      <c r="K36" s="225"/>
      <c r="L36" s="237"/>
      <c r="M36" s="237"/>
      <c r="N36" s="237"/>
      <c r="O36" s="237"/>
      <c r="P36" s="96"/>
      <c r="Q36" s="96"/>
      <c r="R36" s="244"/>
    </row>
    <row r="37" spans="1:25" ht="24.75" customHeight="1" x14ac:dyDescent="0.25">
      <c r="A37" s="96"/>
      <c r="B37" s="202" t="str">
        <f>IF(C37="","","3.2")</f>
        <v/>
      </c>
      <c r="C37" s="227" t="str">
        <f>IF(OR(J36="Fyringsolie",J36="Naturgas",J36="Kul og koks",J36="Flis",J36="Træpiller",J36="Halm",J36="Kul/koks"),"Varmeydelse (effekt i kW) på den nye forventede brændselskedel ","")</f>
        <v/>
      </c>
      <c r="D37" s="227"/>
      <c r="E37" s="227"/>
      <c r="F37" s="246"/>
      <c r="G37" s="319"/>
      <c r="H37" s="319"/>
      <c r="I37" s="205" t="str">
        <f>IF(OR(J36="Fyringsolie",J36="Naturgas",J36="Kul og koks",J36="Flis",J36="Træpiller",J36="Halm"),"kW","")</f>
        <v/>
      </c>
      <c r="J37" s="245">
        <f>IF(OR(J36="Fyringsolie",J36="Naturgas",J36="Kul og koks",J36="Flis",J36="Træpiller",J36="Halm",J36="Kul/koks"),1,0)</f>
        <v>0</v>
      </c>
      <c r="K37" s="225"/>
      <c r="L37" s="237"/>
      <c r="M37" s="237"/>
      <c r="N37" s="237"/>
      <c r="O37" s="237"/>
      <c r="P37" s="96"/>
      <c r="Q37" s="96"/>
      <c r="R37" s="244"/>
    </row>
    <row r="38" spans="1:25" ht="24.75" customHeight="1" x14ac:dyDescent="0.25">
      <c r="A38" s="96"/>
      <c r="B38" s="202" t="str">
        <f>IF(C38="","","3.3")</f>
        <v/>
      </c>
      <c r="C38" s="298" t="str">
        <f>IF(OR(J36="Fyringsolie",J36="Naturgas",J36="Kul og koks",J36="Flis",J36="Træpiller",J36="Halm",J36="Kul/koks",J36="Heavy Fuel Oil"),"Virkningsgrad/nyttevirkning på forventede ny kedel",IF(J36="Varmepumpe","SCOP-værdi på varmepumpe",""))</f>
        <v/>
      </c>
      <c r="D38" s="298"/>
      <c r="E38" s="298"/>
      <c r="F38" s="314"/>
      <c r="G38" s="318"/>
      <c r="H38" s="318"/>
      <c r="I38" s="205" t="str">
        <f>IF(OR(J36="Fyringsolie",J36="Naturgas",J36="Kul og koks",J36="Flis",J36="Træpiller",J36="Halm"),"%","")</f>
        <v/>
      </c>
      <c r="J38" s="245">
        <f>IF(OR(J36="Fyringsolie",J36="Naturgas",J36="Kul og koks",J36="Flis",J36="Træpiller",J36="Halm",J36="Kul/koks"),1,0)</f>
        <v>0</v>
      </c>
      <c r="K38" s="225"/>
      <c r="L38" s="237"/>
      <c r="M38" s="237"/>
      <c r="N38" s="237"/>
      <c r="O38" s="237"/>
      <c r="P38" s="96"/>
      <c r="Q38" s="96"/>
      <c r="R38" s="244"/>
    </row>
    <row r="39" spans="1:25" ht="24.75" customHeight="1" x14ac:dyDescent="0.25">
      <c r="A39" s="96"/>
      <c r="B39" s="202" t="str">
        <f>IF(C39="","","3.4")</f>
        <v/>
      </c>
      <c r="C39" s="298" t="str">
        <f>IF(OR(J36="Fyringsolie",J36="Naturgas",J36="Kul og koks",J36="Flis",J36="Træpiller",J36="Halm",J36="Kul/koks")," Den forventede nye brændselskedels årsvirkningsgrad","")</f>
        <v/>
      </c>
      <c r="D39" s="298"/>
      <c r="E39" s="298"/>
      <c r="F39" s="298"/>
      <c r="G39" s="315" t="str">
        <f>IFERROR(IF(G38&lt;&gt;"",Forbrugsberegner!B103,""),"")</f>
        <v/>
      </c>
      <c r="H39" s="315"/>
      <c r="I39" s="205" t="str">
        <f>IF(OR(J36="Fyringsolie",J36="Naturgas",J36="Kul og koks",J36="Flis",J36="Træpiller",J36="Halm"),"%","")</f>
        <v/>
      </c>
      <c r="J39" s="245">
        <f>IF(OR(G36="Fjernvarme",G36="Elkedel"),1,0)</f>
        <v>0</v>
      </c>
      <c r="K39" s="225"/>
      <c r="L39" s="237"/>
      <c r="M39" s="237"/>
      <c r="N39" s="237"/>
      <c r="O39" s="237"/>
      <c r="P39" s="96"/>
      <c r="Q39" s="96"/>
      <c r="R39" s="247"/>
    </row>
    <row r="40" spans="1:25" x14ac:dyDescent="0.25">
      <c r="A40" s="96"/>
      <c r="B40" s="185"/>
      <c r="C40" s="316"/>
      <c r="D40" s="316"/>
      <c r="E40" s="316"/>
      <c r="F40" s="316"/>
      <c r="G40" s="317"/>
      <c r="H40" s="317"/>
      <c r="I40" s="205"/>
      <c r="J40" s="96"/>
      <c r="K40" s="225"/>
      <c r="L40" s="237"/>
      <c r="M40" s="237"/>
      <c r="N40" s="237"/>
      <c r="O40" s="237"/>
      <c r="P40" s="96"/>
      <c r="Q40" s="96"/>
      <c r="R40" s="178"/>
    </row>
    <row r="41" spans="1:25" x14ac:dyDescent="0.25">
      <c r="A41" s="96"/>
      <c r="B41" s="278"/>
      <c r="C41" s="278"/>
      <c r="D41" s="278"/>
      <c r="E41" s="278"/>
      <c r="F41" s="278"/>
      <c r="G41" s="278"/>
      <c r="H41" s="278"/>
      <c r="I41" s="248"/>
      <c r="J41" s="96"/>
      <c r="K41" s="225"/>
      <c r="L41" s="237"/>
      <c r="M41" s="237"/>
      <c r="N41" s="237"/>
      <c r="O41" s="237"/>
      <c r="P41" s="96"/>
      <c r="Q41" s="96"/>
      <c r="R41" s="178"/>
    </row>
    <row r="42" spans="1:25" x14ac:dyDescent="0.25">
      <c r="A42" s="96"/>
      <c r="B42" s="278"/>
      <c r="C42" s="278"/>
      <c r="D42" s="278"/>
      <c r="E42" s="278"/>
      <c r="F42" s="278"/>
      <c r="G42" s="278"/>
      <c r="H42" s="278"/>
      <c r="I42" s="248"/>
      <c r="J42" s="96"/>
      <c r="K42" s="225"/>
      <c r="L42" s="237"/>
      <c r="M42" s="237"/>
      <c r="N42" s="237"/>
      <c r="O42" s="237"/>
      <c r="P42" s="96"/>
      <c r="Q42" s="96"/>
      <c r="R42" s="178"/>
    </row>
    <row r="43" spans="1:25" x14ac:dyDescent="0.25">
      <c r="A43" s="96"/>
      <c r="B43" s="178"/>
      <c r="C43" s="178"/>
      <c r="D43" s="178"/>
      <c r="E43" s="178"/>
      <c r="F43" s="178"/>
      <c r="G43" s="178"/>
      <c r="H43" s="178"/>
      <c r="I43" s="178"/>
      <c r="J43" s="96"/>
      <c r="K43" s="225"/>
      <c r="L43" s="237"/>
      <c r="M43" s="237"/>
      <c r="N43" s="237"/>
      <c r="O43" s="237"/>
      <c r="P43" s="96"/>
      <c r="Q43" s="96"/>
      <c r="R43" s="178"/>
    </row>
    <row r="44" spans="1:25" x14ac:dyDescent="0.25">
      <c r="A44" s="96"/>
      <c r="B44" s="178"/>
      <c r="C44" s="178"/>
      <c r="D44" s="178"/>
      <c r="E44" s="178"/>
      <c r="F44" s="178"/>
      <c r="G44" s="178"/>
      <c r="H44" s="178"/>
      <c r="I44" s="178"/>
      <c r="J44" s="96"/>
      <c r="K44" s="225"/>
      <c r="L44" s="237"/>
      <c r="M44" s="237"/>
      <c r="N44" s="237"/>
      <c r="O44" s="237"/>
      <c r="P44" s="96"/>
      <c r="Q44" s="96"/>
      <c r="R44" s="178"/>
    </row>
    <row r="45" spans="1:25" x14ac:dyDescent="0.25">
      <c r="A45" s="96"/>
      <c r="B45" s="178"/>
      <c r="C45" s="178"/>
      <c r="D45" s="178"/>
      <c r="E45" s="178"/>
      <c r="F45" s="178"/>
      <c r="G45" s="178"/>
      <c r="H45" s="178"/>
      <c r="I45" s="178"/>
      <c r="J45" s="96"/>
      <c r="K45" s="225"/>
      <c r="L45" s="237"/>
      <c r="M45" s="237"/>
      <c r="N45" s="237"/>
      <c r="O45" s="237"/>
      <c r="P45" s="96"/>
      <c r="Q45" s="96"/>
      <c r="R45" s="178"/>
    </row>
    <row r="46" spans="1:25" x14ac:dyDescent="0.25">
      <c r="A46" s="96"/>
      <c r="B46" s="178"/>
      <c r="C46" s="178"/>
      <c r="D46" s="178"/>
      <c r="E46" s="178"/>
      <c r="F46" s="178"/>
      <c r="G46" s="178"/>
      <c r="H46" s="178"/>
      <c r="I46" s="178"/>
      <c r="J46" s="96"/>
      <c r="K46" s="225"/>
      <c r="L46" s="249"/>
      <c r="M46" s="249"/>
      <c r="N46" s="249"/>
      <c r="O46" s="249"/>
      <c r="P46" s="96"/>
      <c r="Q46" s="96"/>
      <c r="R46" s="178"/>
    </row>
    <row r="47" spans="1:25" x14ac:dyDescent="0.25">
      <c r="A47" s="113"/>
      <c r="B47" s="178"/>
      <c r="C47" s="178"/>
      <c r="D47" s="178"/>
      <c r="E47" s="178"/>
      <c r="F47" s="178"/>
      <c r="G47" s="178"/>
      <c r="H47" s="178"/>
      <c r="I47" s="178"/>
      <c r="J47" s="96"/>
      <c r="K47" s="225"/>
      <c r="L47" s="249"/>
      <c r="M47" s="249"/>
      <c r="N47" s="249"/>
      <c r="O47" s="249"/>
      <c r="P47" s="96"/>
      <c r="Q47" s="96"/>
      <c r="R47" s="178"/>
    </row>
    <row r="48" spans="1:25" x14ac:dyDescent="0.25">
      <c r="A48" s="96"/>
      <c r="B48" s="250"/>
      <c r="C48" s="96"/>
      <c r="D48" s="96"/>
      <c r="E48" s="96"/>
      <c r="F48" s="96"/>
      <c r="G48" s="96"/>
      <c r="H48" s="96"/>
      <c r="I48" s="96"/>
      <c r="J48" s="113"/>
      <c r="K48" s="96"/>
      <c r="L48" s="96"/>
      <c r="M48" s="249"/>
      <c r="N48" s="249"/>
      <c r="O48" s="249"/>
      <c r="P48" s="96"/>
      <c r="Q48" s="252" t="s">
        <v>28</v>
      </c>
      <c r="R48" s="178"/>
    </row>
    <row r="49" spans="1:18" x14ac:dyDescent="0.25">
      <c r="A49" s="96"/>
      <c r="B49" s="251"/>
      <c r="C49" s="96"/>
      <c r="D49" s="96"/>
      <c r="E49" s="96"/>
      <c r="F49" s="96"/>
      <c r="G49" s="96"/>
      <c r="H49" s="96"/>
      <c r="I49" s="96"/>
      <c r="J49" s="96"/>
      <c r="K49" s="96"/>
      <c r="L49" s="96"/>
      <c r="M49" s="96"/>
      <c r="N49" s="96"/>
      <c r="O49" s="96"/>
      <c r="P49" s="96"/>
      <c r="Q49" s="96"/>
      <c r="R49" s="178"/>
    </row>
    <row r="50" spans="1:18" x14ac:dyDescent="0.25">
      <c r="B50" s="96"/>
      <c r="C50" s="96"/>
      <c r="D50" s="96"/>
      <c r="E50" s="96"/>
      <c r="F50" s="96"/>
      <c r="G50" s="96"/>
      <c r="H50" s="96"/>
      <c r="I50" s="96"/>
      <c r="J50" s="96"/>
      <c r="K50" s="96"/>
      <c r="L50" s="96"/>
      <c r="M50" s="96"/>
      <c r="N50" s="96"/>
      <c r="O50" s="96"/>
      <c r="P50" s="96"/>
      <c r="Q50" s="96"/>
      <c r="R50" s="178"/>
    </row>
    <row r="54" spans="1:18" x14ac:dyDescent="0.25">
      <c r="H54" s="254"/>
    </row>
  </sheetData>
  <sheetProtection algorithmName="SHA-512" hashValue="eCOIyiGcj/j6T2yJct1ZoIHRlkrs0IUuspth7/wXc3Rj6mGo7jG0CHm7sMIdTLHOOisSaiyy5VRyU+ZjPOUJLw==" saltValue="w8ZHZ9YlcwkZuzZw62KWQg==" spinCount="100000" sheet="1" selectLockedCells="1"/>
  <mergeCells count="41">
    <mergeCell ref="K22:N22"/>
    <mergeCell ref="B41:H41"/>
    <mergeCell ref="G20:H20"/>
    <mergeCell ref="C38:F38"/>
    <mergeCell ref="G39:H39"/>
    <mergeCell ref="C20:F20"/>
    <mergeCell ref="C21:F21"/>
    <mergeCell ref="C40:F40"/>
    <mergeCell ref="G40:H40"/>
    <mergeCell ref="C39:F39"/>
    <mergeCell ref="G38:H38"/>
    <mergeCell ref="G37:H37"/>
    <mergeCell ref="C25:E25"/>
    <mergeCell ref="C31:D31"/>
    <mergeCell ref="G32:H32"/>
    <mergeCell ref="C32:D32"/>
    <mergeCell ref="G36:H36"/>
    <mergeCell ref="C19:F19"/>
    <mergeCell ref="G21:H21"/>
    <mergeCell ref="G25:H25"/>
    <mergeCell ref="G27:H27"/>
    <mergeCell ref="G28:H28"/>
    <mergeCell ref="G29:H29"/>
    <mergeCell ref="G31:H31"/>
    <mergeCell ref="C24:F24"/>
    <mergeCell ref="B42:H42"/>
    <mergeCell ref="C18:F18"/>
    <mergeCell ref="B1:C2"/>
    <mergeCell ref="D1:E2"/>
    <mergeCell ref="B6:L7"/>
    <mergeCell ref="C8:L8"/>
    <mergeCell ref="C11:L11"/>
    <mergeCell ref="B14:I14"/>
    <mergeCell ref="G16:H16"/>
    <mergeCell ref="C17:F17"/>
    <mergeCell ref="G17:H17"/>
    <mergeCell ref="G18:H18"/>
    <mergeCell ref="G19:H19"/>
    <mergeCell ref="C34:F34"/>
    <mergeCell ref="G34:H34"/>
    <mergeCell ref="C36:F36"/>
  </mergeCells>
  <conditionalFormatting sqref="J13:K13">
    <cfRule type="iconSet" priority="41">
      <iconSet iconSet="3Symbols2">
        <cfvo type="percent" val="0"/>
        <cfvo type="percent" val="33"/>
        <cfvo type="percent" val="67"/>
      </iconSet>
    </cfRule>
  </conditionalFormatting>
  <conditionalFormatting sqref="G40:H40">
    <cfRule type="expression" dxfId="19" priority="38">
      <formula>$G$36="Varmepumpe"</formula>
    </cfRule>
  </conditionalFormatting>
  <conditionalFormatting sqref="G37:H39">
    <cfRule type="expression" dxfId="18" priority="1">
      <formula>$G$36="Elkedel"</formula>
    </cfRule>
    <cfRule type="expression" dxfId="17" priority="33">
      <formula>$G$36="Fjernvarme"</formula>
    </cfRule>
  </conditionalFormatting>
  <conditionalFormatting sqref="G20:H20">
    <cfRule type="expression" dxfId="16" priority="29">
      <formula>#REF!="Ja"</formula>
    </cfRule>
    <cfRule type="expression" dxfId="15" priority="30">
      <formula>#REF!="Nej"</formula>
    </cfRule>
  </conditionalFormatting>
  <conditionalFormatting sqref="G38:H40">
    <cfRule type="expression" dxfId="14" priority="28">
      <formula>$G$36="Varmepumpe"</formula>
    </cfRule>
  </conditionalFormatting>
  <conditionalFormatting sqref="G38:H39">
    <cfRule type="expression" dxfId="13" priority="26">
      <formula>$J$37=1</formula>
    </cfRule>
  </conditionalFormatting>
  <conditionalFormatting sqref="G37:H37">
    <cfRule type="expression" dxfId="12" priority="25">
      <formula>$J$38=1</formula>
    </cfRule>
  </conditionalFormatting>
  <conditionalFormatting sqref="G38:H38">
    <cfRule type="expression" dxfId="11" priority="24">
      <formula>$G$36="Varmepumpe"</formula>
    </cfRule>
  </conditionalFormatting>
  <conditionalFormatting sqref="G37:H40">
    <cfRule type="expression" dxfId="10" priority="22">
      <formula>$G$36=""</formula>
    </cfRule>
  </conditionalFormatting>
  <conditionalFormatting sqref="G36:H36">
    <cfRule type="expression" dxfId="9" priority="21">
      <formula>$G$36=""</formula>
    </cfRule>
  </conditionalFormatting>
  <conditionalFormatting sqref="G29">
    <cfRule type="cellIs" dxfId="8" priority="18" operator="greaterThan">
      <formula>0</formula>
    </cfRule>
  </conditionalFormatting>
  <conditionalFormatting sqref="G28:H29">
    <cfRule type="expression" dxfId="7" priority="9">
      <formula>AND($G$25=3,$G$24&lt;&gt;"",$H$24&lt;&gt;"")</formula>
    </cfRule>
    <cfRule type="expression" dxfId="6" priority="15">
      <formula>AND($G$25=1,$H$24="Januar")</formula>
    </cfRule>
  </conditionalFormatting>
  <conditionalFormatting sqref="G29:H29">
    <cfRule type="expression" dxfId="5" priority="13">
      <formula>$G$25=1</formula>
    </cfRule>
  </conditionalFormatting>
  <conditionalFormatting sqref="G27:H27">
    <cfRule type="expression" dxfId="4" priority="12">
      <formula>AND($H$24="Januar",$G$25=1)</formula>
    </cfRule>
  </conditionalFormatting>
  <conditionalFormatting sqref="G28:H28">
    <cfRule type="expression" dxfId="3" priority="11">
      <formula>$G$25=3</formula>
    </cfRule>
  </conditionalFormatting>
  <conditionalFormatting sqref="G27:H29">
    <cfRule type="expression" dxfId="2" priority="10">
      <formula>OR($G$24="",$H$24="",$G$25="")</formula>
    </cfRule>
  </conditionalFormatting>
  <conditionalFormatting sqref="G34:H34">
    <cfRule type="cellIs" dxfId="1" priority="4" operator="greaterThan">
      <formula>0</formula>
    </cfRule>
  </conditionalFormatting>
  <conditionalFormatting sqref="G32:H32">
    <cfRule type="expression" dxfId="0" priority="2">
      <formula>$G$31="Manuel"</formula>
    </cfRule>
  </conditionalFormatting>
  <dataValidations xWindow="996" yWindow="598" count="6">
    <dataValidation type="list" allowBlank="1" showInputMessage="1" showErrorMessage="1" sqref="G25:H25">
      <formula1>$T$24:$T$25</formula1>
    </dataValidation>
    <dataValidation allowBlank="1" showErrorMessage="1" prompt="Indtast det årlige brændselsforbrug for den eksisterende kedel der er opgjort eller målt" sqref="G34:H34"/>
    <dataValidation type="whole" allowBlank="1" showInputMessage="1" showErrorMessage="1" error="Kedlens varmeydelse må ikke være større end 1000 kW." sqref="G37:H37">
      <formula1>0</formula1>
      <formula2>1000</formula2>
    </dataValidation>
    <dataValidation allowBlank="1" showInputMessage="1" showErrorMessage="1" prompt="Den nye virkningsgrad/SCOP-værdi kan f.eks. findes i kedlens/varmepumpens datablad. Hvis der er angivet to SCOP-værdier, vælges den laveste, medmindre at der er gulvvarme i hele bygningen." sqref="G38:H38"/>
    <dataValidation type="decimal" allowBlank="1" showInputMessage="1" showErrorMessage="1" error="Kedlens varmeydelse må ikke være større end 1000 kW." prompt="Indtast effekt/varmeydelse på kedlen. Denne kan typisk findes i datablad eller på kedlens mærkeplade." sqref="G19:H19">
      <formula1>0</formula1>
      <formula2>1000</formula2>
    </dataValidation>
    <dataValidation type="decimal" allowBlank="1" showInputMessage="1" showErrorMessage="1" prompt="Her indtastes det graddageuafhængige forbrug i procent._x000a_Dette kan f.eks. være andelen af varmt brugsvand" sqref="G32:H32">
      <formula1>0</formula1>
      <formula2>1</formula2>
    </dataValidation>
  </dataValidations>
  <hyperlinks>
    <hyperlink ref="Q48" location="Forside!A1" display="Retur"/>
    <hyperlink ref="B1:C2" location="Forside!A1" display="Forside"/>
  </hyperlinks>
  <pageMargins left="0.70866141732283472" right="0.70866141732283472" top="0.74803149606299213" bottom="0.74803149606299213" header="0.31496062992125984" footer="0.31496062992125984"/>
  <pageSetup paperSize="9" scale="37" orientation="landscape" horizontalDpi="1200" verticalDpi="1200" r:id="rId1"/>
  <drawing r:id="rId2"/>
  <legacyDrawing r:id="rId3"/>
  <oleObjects>
    <mc:AlternateContent xmlns:mc="http://schemas.openxmlformats.org/markup-compatibility/2006">
      <mc:Choice Requires="x14">
        <oleObject progId="AcroExch.Document.DC" dvAspect="DVASPECT_ICON" shapeId="3082" r:id="rId4">
          <objectPr defaultSize="0" autoPict="0" r:id="rId5">
            <anchor moveWithCells="1">
              <from>
                <xdr:col>13</xdr:col>
                <xdr:colOff>85725</xdr:colOff>
                <xdr:row>35</xdr:row>
                <xdr:rowOff>276225</xdr:rowOff>
              </from>
              <to>
                <xdr:col>14</xdr:col>
                <xdr:colOff>933450</xdr:colOff>
                <xdr:row>39</xdr:row>
                <xdr:rowOff>114300</xdr:rowOff>
              </to>
            </anchor>
          </objectPr>
        </oleObject>
      </mc:Choice>
      <mc:Fallback>
        <oleObject progId="AcroExch.Document.DC" dvAspect="DVASPECT_ICON" shapeId="3082"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9" id="{A16BA56F-E1F8-4987-A3DC-B9630847C6ED}">
            <x14:iconSet iconSet="3Symbols2" custom="1">
              <x14:cfvo type="percent">
                <xm:f>0</xm:f>
              </x14:cfvo>
              <x14:cfvo type="num">
                <xm:f>-0.5</xm:f>
              </x14:cfvo>
              <x14:cfvo type="num">
                <xm:f>0.5</xm:f>
              </x14:cfvo>
              <x14:cfIcon iconSet="3Symbols2" iconId="0"/>
              <x14:cfIcon iconSet="3Symbols2" iconId="1"/>
              <x14:cfIcon iconSet="3Symbols2" iconId="2"/>
            </x14:iconSet>
          </x14:cfRule>
          <xm:sqref>I12</xm:sqref>
        </x14:conditionalFormatting>
        <x14:conditionalFormatting xmlns:xm="http://schemas.microsoft.com/office/excel/2006/main">
          <x14:cfRule type="iconSet" priority="44" id="{FE58997F-D508-444B-8234-B549D898311A}">
            <x14:iconSet iconSet="3Symbols2" custom="1">
              <x14:cfvo type="percent">
                <xm:f>0</xm:f>
              </x14:cfvo>
              <x14:cfvo type="num">
                <xm:f>-0.5</xm:f>
              </x14:cfvo>
              <x14:cfvo type="num">
                <xm:f>0.5</xm:f>
              </x14:cfvo>
              <x14:cfIcon iconSet="3Symbols2" iconId="0"/>
              <x14:cfIcon iconSet="3Symbols2" iconId="1"/>
              <x14:cfIcon iconSet="3Symbols2" iconId="2"/>
            </x14:iconSet>
          </x14:cfRule>
          <xm:sqref>O8:O11</xm:sqref>
        </x14:conditionalFormatting>
      </x14:conditionalFormattings>
    </ext>
    <ext xmlns:x14="http://schemas.microsoft.com/office/spreadsheetml/2009/9/main" uri="{CCE6A557-97BC-4b89-ADB6-D9C93CAAB3DF}">
      <x14:dataValidations xmlns:xm="http://schemas.microsoft.com/office/excel/2006/main" xWindow="996" yWindow="598" count="11">
        <x14:dataValidation type="list" allowBlank="1" showInputMessage="1" showErrorMessage="1" prompt="Her indtastes første forbrugsmåned - fx fra første kalenderdag i forbrugsmåneden">
          <x14:formula1>
            <xm:f>Graddageberegner!$C$3:$N$3</xm:f>
          </x14:formula1>
          <xm:sqref>H24</xm:sqref>
        </x14:dataValidation>
        <x14:dataValidation type="list" allowBlank="1" showInputMessage="1" showErrorMessage="1">
          <x14:formula1>
            <xm:f>Graddageberegner!$M$104:$M$114</xm:f>
          </x14:formula1>
          <xm:sqref>G31:H31</xm:sqref>
        </x14:dataValidation>
        <x14:dataValidation type="list" allowBlank="1" showInputMessage="1" showErrorMessage="1" prompt="Indtast energitype i før-situationen.">
          <x14:formula1>
            <xm:f>Forbrugsberegner!$D$71:$D$77</xm:f>
          </x14:formula1>
          <xm:sqref>G16:H16</xm:sqref>
        </x14:dataValidation>
        <x14:dataValidation type="list" allowBlank="1" showInputMessage="1" showErrorMessage="1">
          <x14:formula1>
            <xm:f>Forbrugsberegner!$D$82:$D$89</xm:f>
          </x14:formula1>
          <xm:sqref>G36:H36</xm:sqref>
        </x14:dataValidation>
        <x14:dataValidation type="list" allowBlank="1" showInputMessage="1" showErrorMessage="1" error="Starten af perioden skal være mellem 2018-2021">
          <x14:formula1>
            <xm:f>Graddageberegner!$R$21:$R$24</xm:f>
          </x14:formula1>
          <xm:sqref>G24</xm:sqref>
        </x14:dataValidation>
        <x14:dataValidation type="list" allowBlank="1" showInputMessage="1" showErrorMessage="1" prompt="Indtast kedeltypen, f.eks. om den er kondenserende eller ikke-kondenserende. Er der kun en mulighed vælges denne.">
          <x14:formula1>
            <xm:f>OFFSET(Virkningsgradsberegner!$M$13,1,0,MAX(Virkningsgradsberegner!$L:$L),1)</xm:f>
          </x14:formula1>
          <xm:sqref>G18:H18</xm:sqref>
        </x14:dataValidation>
        <x14:dataValidation type="whole" operator="lessThanOrEqual" allowBlank="1" showInputMessage="1" showErrorMessage="1" error="Brændselsforbruget kan ikke være højere end kedlens nominelle brændselsforbrug over et år." prompt="Her indtastes kedlens brændsels-forbrug. Særligt for naturgas: Her skal det ikke-regulerede forbrug benyttes.">
          <x14:formula1>
            <xm:f>Forbrugsberegner!B98</xm:f>
          </x14:formula1>
          <xm:sqref>G27:H27</xm:sqref>
        </x14:dataValidation>
        <x14:dataValidation type="whole" operator="lessThanOrEqual" allowBlank="1" showInputMessage="1" showErrorMessage="1" error="Brændselsforbruget kan ikke være højere end kedlens nominelle varmeydelse over et år.">
          <x14:formula1>
            <xm:f>Forbrugsberegner!B98</xm:f>
          </x14:formula1>
          <xm:sqref>G28:H28</xm:sqref>
        </x14:dataValidation>
        <x14:dataValidation type="whole" operator="lessThanOrEqual" allowBlank="1" showInputMessage="1" showErrorMessage="1" error="Brændselsforbruget kan ikke være højere end kedlens nominelle varmeydelse over et år.">
          <x14:formula1>
            <xm:f>Forbrugsberegner!B98</xm:f>
          </x14:formula1>
          <xm:sqref>G29:H29</xm:sqref>
        </x14:dataValidation>
        <x14:dataValidation type="whole" allowBlank="1" showInputMessage="1" showErrorMessage="1" error="Kedlen skal være fra perioden 1950-2020" prompt="Indtast årgang for eksisterende kedel. Årstallet kan typisk findes på kedlens mærkeplade.">
          <x14:formula1>
            <xm:f>1950</xm:f>
          </x14:formula1>
          <x14:formula2>
            <xm:f>Forbrugsberegner!B17-2</xm:f>
          </x14:formula2>
          <xm:sqref>G17:H17</xm:sqref>
        </x14:dataValidation>
        <x14:dataValidation type="list" allowBlank="1" showInputMessage="1" showErrorMessage="1">
          <x14:formula1>
            <xm:f>Forbrugsberegner!$G$1:$G$2</xm:f>
          </x14:formula1>
          <xm:sqref>M8:M11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H109"/>
  <sheetViews>
    <sheetView topLeftCell="A67" workbookViewId="0">
      <selection activeCell="E95" sqref="E95"/>
    </sheetView>
  </sheetViews>
  <sheetFormatPr defaultColWidth="9.140625" defaultRowHeight="15" customHeight="1" x14ac:dyDescent="0.25"/>
  <cols>
    <col min="1" max="1" width="30" style="7" bestFit="1" customWidth="1"/>
    <col min="2" max="2" width="22.5703125" style="7" customWidth="1"/>
    <col min="3" max="3" width="16.42578125" style="7" bestFit="1" customWidth="1"/>
    <col min="4" max="4" width="14.85546875" style="7" bestFit="1" customWidth="1"/>
    <col min="5" max="5" width="11" style="7" bestFit="1" customWidth="1"/>
    <col min="6" max="8" width="9.140625" style="7" customWidth="1"/>
    <col min="9" max="9" width="11.140625" style="7" customWidth="1"/>
    <col min="10" max="11" width="9.140625" style="7" customWidth="1"/>
    <col min="12" max="12" width="63.5703125" style="7" customWidth="1"/>
    <col min="13" max="13" width="14.140625" style="7" bestFit="1" customWidth="1"/>
    <col min="14" max="14" width="14" style="7" bestFit="1" customWidth="1"/>
    <col min="15" max="15" width="9.42578125" style="7" bestFit="1" customWidth="1"/>
    <col min="16" max="16" width="26.5703125" style="7" customWidth="1"/>
    <col min="17" max="20" width="9.42578125" style="7" customWidth="1"/>
    <col min="21" max="26" width="9.140625" style="7"/>
    <col min="27" max="27" width="10.85546875" style="7" bestFit="1" customWidth="1"/>
    <col min="28" max="28" width="14" style="7" bestFit="1" customWidth="1"/>
    <col min="29" max="16384" width="9.140625" style="7"/>
  </cols>
  <sheetData>
    <row r="1" spans="1:34" ht="69.75" customHeight="1" x14ac:dyDescent="0.25">
      <c r="B1" s="164" t="s">
        <v>203</v>
      </c>
      <c r="E1" s="8"/>
      <c r="F1" s="8"/>
      <c r="G1" s="27" t="s">
        <v>19</v>
      </c>
      <c r="H1" s="8"/>
      <c r="I1" s="8"/>
      <c r="J1" s="8"/>
      <c r="K1" s="8"/>
      <c r="L1" s="9"/>
      <c r="M1" s="327" t="s">
        <v>38</v>
      </c>
      <c r="N1" s="327"/>
      <c r="Q1" s="327" t="s">
        <v>39</v>
      </c>
      <c r="R1" s="327"/>
    </row>
    <row r="2" spans="1:34" ht="42" customHeight="1" x14ac:dyDescent="0.25">
      <c r="B2" s="10"/>
      <c r="C2" s="10"/>
      <c r="F2" s="8"/>
      <c r="G2" s="28" t="s">
        <v>20</v>
      </c>
      <c r="L2" s="11" t="str">
        <f>IF(M4=C3,1,IF(M5=C3,2,IF(M6=C3,3,IF(M7=C3,4,IF(M8=C3,5,IF(M9=C3,6,IF(M10=C3,7,"")))))))</f>
        <v/>
      </c>
      <c r="M2" s="10" t="e">
        <f>VLOOKUP(L2,L4:N10,2)</f>
        <v>#N/A</v>
      </c>
      <c r="N2" s="10" t="e">
        <f>VLOOKUP(L2,L4:N10,3)</f>
        <v>#N/A</v>
      </c>
      <c r="P2" s="11" t="str">
        <f>IF(Q4=C47,1,IF(Q5=C47,2,IF(Q6=C47,3,IF(Q7=C47,4,IF(Q8=C47,5,IF(Q9=C47,6,IF(Q10=C47,7,"")))))))</f>
        <v/>
      </c>
      <c r="Q2" s="7" t="e">
        <f>VLOOKUP(P2,P4:R10,2)</f>
        <v>#N/A</v>
      </c>
      <c r="R2" s="7" t="e">
        <f>VLOOKUP(P2,P4:R10,3)</f>
        <v>#N/A</v>
      </c>
      <c r="AA2" s="10" t="s">
        <v>1</v>
      </c>
      <c r="AB2" s="10">
        <v>0.01</v>
      </c>
    </row>
    <row r="3" spans="1:34" ht="15" customHeight="1" x14ac:dyDescent="0.25">
      <c r="B3" s="7" t="s">
        <v>0</v>
      </c>
      <c r="C3" s="7">
        <f>IF(OR('Beregner '!G16="Fyringsolie",'Beregner '!G16="Heavy Fuel Oil"),"Olie",IF(OR(D3="Stenkul",D3="Koks"),"Kul/koks",'Beregner '!G16))</f>
        <v>0</v>
      </c>
      <c r="D3" s="7">
        <f>'Beregner '!G16</f>
        <v>0</v>
      </c>
      <c r="E3" s="168" t="e">
        <f>N2</f>
        <v>#N/A</v>
      </c>
      <c r="F3" s="8"/>
    </row>
    <row r="4" spans="1:34" ht="15" customHeight="1" x14ac:dyDescent="0.25">
      <c r="B4" s="7" t="s">
        <v>1</v>
      </c>
      <c r="C4" s="166">
        <f>'Beregner '!G19</f>
        <v>0</v>
      </c>
      <c r="E4" s="169" t="e">
        <f xml:space="preserve"> 0.0043*LN(C4) + 0.93</f>
        <v>#NUM!</v>
      </c>
      <c r="F4" s="8"/>
      <c r="L4" s="7">
        <v>1</v>
      </c>
      <c r="M4" s="7" t="s">
        <v>6</v>
      </c>
      <c r="N4" s="14">
        <f ca="1">N12</f>
        <v>0.51846577122601412</v>
      </c>
      <c r="P4" s="7">
        <v>1</v>
      </c>
      <c r="Q4" s="7" t="s">
        <v>6</v>
      </c>
      <c r="R4" s="14">
        <f ca="1">R12</f>
        <v>0.99039999999999995</v>
      </c>
      <c r="AA4" s="7">
        <v>1000</v>
      </c>
      <c r="AB4" s="14">
        <v>0.96</v>
      </c>
    </row>
    <row r="5" spans="1:34" ht="15" customHeight="1" x14ac:dyDescent="0.25">
      <c r="B5" s="7" t="s">
        <v>2</v>
      </c>
      <c r="C5" s="166">
        <f ca="1">B17-'Beregner '!G17</f>
        <v>2022</v>
      </c>
      <c r="E5" s="8"/>
      <c r="F5" s="8"/>
      <c r="J5" s="15" t="str">
        <f>IF(M4=D3,1,IF(M5=D3,2,IF(M6=D3,3,IF(M7=D3,4,IF(M8=D3,5,"")))))</f>
        <v/>
      </c>
      <c r="L5" s="7">
        <v>2</v>
      </c>
      <c r="M5" s="7" t="s">
        <v>12</v>
      </c>
      <c r="N5" s="14">
        <f ca="1">N21</f>
        <v>0.47520655922811195</v>
      </c>
      <c r="P5" s="7">
        <v>2</v>
      </c>
      <c r="Q5" s="7" t="s">
        <v>12</v>
      </c>
      <c r="R5" s="14">
        <f ca="1">R21</f>
        <v>0.98519999999999996</v>
      </c>
      <c r="AA5" s="7">
        <v>100</v>
      </c>
      <c r="AB5" s="14">
        <f>AB4-AB2</f>
        <v>0.95</v>
      </c>
    </row>
    <row r="6" spans="1:34" ht="15" customHeight="1" x14ac:dyDescent="0.25">
      <c r="B6" s="7" t="s">
        <v>3</v>
      </c>
      <c r="C6" s="166" t="e">
        <f>Virkningsgradsberegner!C93/100</f>
        <v>#N/A</v>
      </c>
      <c r="F6" s="8"/>
      <c r="G6" s="8"/>
      <c r="H6" s="8"/>
      <c r="I6" s="8"/>
      <c r="J6" s="8"/>
      <c r="K6" s="8"/>
      <c r="L6" s="7">
        <v>3</v>
      </c>
      <c r="M6" s="7" t="s">
        <v>13</v>
      </c>
      <c r="N6" s="14">
        <f ca="1">N30</f>
        <v>0.46311840162769247</v>
      </c>
      <c r="P6" s="7">
        <v>3</v>
      </c>
      <c r="Q6" s="7" t="s">
        <v>13</v>
      </c>
      <c r="R6" s="14">
        <f ca="1">R30</f>
        <v>0.96550000000000002</v>
      </c>
      <c r="AA6" s="7">
        <v>10</v>
      </c>
      <c r="AB6" s="14">
        <f>AB5-AB2</f>
        <v>0.94</v>
      </c>
    </row>
    <row r="7" spans="1:34" ht="15" customHeight="1" x14ac:dyDescent="0.25">
      <c r="C7" s="166"/>
      <c r="F7" s="8"/>
      <c r="G7" s="8"/>
      <c r="H7" s="8"/>
      <c r="I7" s="8"/>
      <c r="J7" s="8"/>
      <c r="K7" s="8"/>
      <c r="L7" s="7">
        <v>4</v>
      </c>
      <c r="M7" s="7" t="s">
        <v>5</v>
      </c>
      <c r="N7" s="14">
        <f ca="1">N39</f>
        <v>0.36352366243104917</v>
      </c>
      <c r="P7" s="7">
        <v>4</v>
      </c>
      <c r="Q7" s="7" t="s">
        <v>5</v>
      </c>
      <c r="R7" s="14">
        <f ca="1">R39</f>
        <v>0.92679999999999996</v>
      </c>
    </row>
    <row r="8" spans="1:34" ht="15" customHeight="1" x14ac:dyDescent="0.25">
      <c r="B8" s="16" t="s">
        <v>11</v>
      </c>
      <c r="C8" s="167" t="e">
        <f>E3</f>
        <v>#N/A</v>
      </c>
      <c r="G8" s="8"/>
      <c r="H8" s="8"/>
      <c r="I8" s="8"/>
      <c r="J8" s="8"/>
      <c r="K8" s="8"/>
      <c r="L8" s="7">
        <v>5</v>
      </c>
      <c r="M8" s="7" t="s">
        <v>14</v>
      </c>
      <c r="N8" s="14">
        <f ca="1">N48</f>
        <v>0.49806577122601414</v>
      </c>
      <c r="P8" s="7">
        <v>5</v>
      </c>
      <c r="Q8" s="7" t="s">
        <v>14</v>
      </c>
      <c r="R8" s="14">
        <f ca="1">R48</f>
        <v>0.97</v>
      </c>
    </row>
    <row r="9" spans="1:34" ht="15" customHeight="1" x14ac:dyDescent="0.25">
      <c r="B9" s="7" t="s">
        <v>4</v>
      </c>
      <c r="C9" s="166" t="e">
        <f>C6*C8</f>
        <v>#N/A</v>
      </c>
      <c r="F9" s="8"/>
      <c r="G9" s="8"/>
      <c r="H9" s="8"/>
      <c r="I9" s="8"/>
      <c r="J9" s="8"/>
      <c r="K9" s="8"/>
      <c r="L9" s="7">
        <v>6</v>
      </c>
      <c r="M9" s="7" t="s">
        <v>30</v>
      </c>
      <c r="N9" s="14">
        <f ca="1">N57</f>
        <v>0.50523023402727285</v>
      </c>
      <c r="P9" s="7">
        <v>6</v>
      </c>
      <c r="Q9" s="7" t="s">
        <v>30</v>
      </c>
      <c r="R9" s="14">
        <f ca="1">R57</f>
        <v>0.99999998999999995</v>
      </c>
    </row>
    <row r="10" spans="1:34" ht="15" customHeight="1" x14ac:dyDescent="0.25">
      <c r="B10" s="7" t="s">
        <v>10</v>
      </c>
      <c r="C10" s="166" t="e">
        <f>C6-C9</f>
        <v>#N/A</v>
      </c>
      <c r="F10" s="8"/>
      <c r="G10" s="8"/>
      <c r="H10" s="8"/>
      <c r="I10" s="8"/>
      <c r="J10" s="8"/>
      <c r="K10" s="8"/>
      <c r="L10" s="7">
        <v>7</v>
      </c>
      <c r="M10" s="7" t="s">
        <v>154</v>
      </c>
      <c r="N10" s="14">
        <f ca="1">N21</f>
        <v>0.47520655922811195</v>
      </c>
      <c r="P10" s="7">
        <v>7</v>
      </c>
      <c r="Q10" s="7" t="s">
        <v>35</v>
      </c>
      <c r="R10" s="14">
        <f ca="1">R21</f>
        <v>0.98519999999999996</v>
      </c>
    </row>
    <row r="11" spans="1:34" ht="15" customHeight="1" x14ac:dyDescent="0.15">
      <c r="C11" s="166"/>
      <c r="L11" s="17"/>
    </row>
    <row r="12" spans="1:34" ht="15" customHeight="1" x14ac:dyDescent="0.25">
      <c r="B12" s="16" t="s">
        <v>8</v>
      </c>
      <c r="C12" s="167" t="e">
        <f>E4</f>
        <v>#NUM!</v>
      </c>
      <c r="G12" s="7" t="s">
        <v>6</v>
      </c>
      <c r="H12" s="7" t="s">
        <v>12</v>
      </c>
      <c r="I12" s="7" t="s">
        <v>13</v>
      </c>
      <c r="J12" s="7" t="s">
        <v>5</v>
      </c>
      <c r="M12" s="10" t="s">
        <v>6</v>
      </c>
      <c r="N12" s="10">
        <f ca="1">-0.062*LN(C5) + 0.9904</f>
        <v>0.51846577122601412</v>
      </c>
      <c r="Q12" s="10" t="s">
        <v>6</v>
      </c>
      <c r="R12" s="10">
        <f ca="1">-0.062*LN(B17-C49+1) + 0.9904</f>
        <v>0.99039999999999995</v>
      </c>
    </row>
    <row r="13" spans="1:34" ht="15" customHeight="1" x14ac:dyDescent="0.25">
      <c r="B13" s="7" t="s">
        <v>9</v>
      </c>
      <c r="C13" s="166" t="e">
        <f>C6*C12</f>
        <v>#N/A</v>
      </c>
      <c r="F13" s="7">
        <v>1</v>
      </c>
      <c r="G13" s="7" t="e">
        <f>N14*$C$6/100</f>
        <v>#N/A</v>
      </c>
      <c r="H13" s="7" t="e">
        <f>N23*$C$6/100</f>
        <v>#N/A</v>
      </c>
      <c r="I13" s="7" t="e">
        <f>N32*$C$6/100</f>
        <v>#N/A</v>
      </c>
      <c r="J13" s="7" t="e">
        <f>N41*$C$6/100</f>
        <v>#N/A</v>
      </c>
    </row>
    <row r="14" spans="1:34" ht="15" customHeight="1" x14ac:dyDescent="0.25">
      <c r="B14" s="7" t="s">
        <v>7</v>
      </c>
      <c r="C14" s="166" t="e">
        <f>IF(E14=0,"",IF(E14&lt;50,50,E14))</f>
        <v>#N/A</v>
      </c>
      <c r="D14" s="7" t="s">
        <v>130</v>
      </c>
      <c r="E14" s="7" t="e">
        <f>C9*C12*100</f>
        <v>#N/A</v>
      </c>
      <c r="F14" s="7">
        <v>10</v>
      </c>
      <c r="G14" s="7" t="e">
        <f>N15*$C$6/100</f>
        <v>#N/A</v>
      </c>
      <c r="H14" s="7" t="e">
        <f>N24*$C$6/100</f>
        <v>#N/A</v>
      </c>
      <c r="I14" s="7" t="e">
        <f>N33*$C$6/100</f>
        <v>#N/A</v>
      </c>
      <c r="J14" s="7" t="e">
        <f>N42*$C$6/100</f>
        <v>#N/A</v>
      </c>
      <c r="M14" s="7">
        <v>1</v>
      </c>
      <c r="N14" s="14">
        <v>0.99</v>
      </c>
      <c r="Q14" s="7">
        <v>1</v>
      </c>
      <c r="R14" s="14">
        <v>0.99</v>
      </c>
    </row>
    <row r="15" spans="1:34" ht="15" customHeight="1" x14ac:dyDescent="0.25">
      <c r="B15" s="7" t="s">
        <v>10</v>
      </c>
      <c r="C15" s="166" t="e">
        <f>C13-C14/100</f>
        <v>#N/A</v>
      </c>
      <c r="F15" s="7">
        <v>30</v>
      </c>
      <c r="G15" s="7" t="e">
        <f>N16*$C$6/100</f>
        <v>#N/A</v>
      </c>
      <c r="H15" s="7" t="e">
        <f>N25*$C$6/100</f>
        <v>#N/A</v>
      </c>
      <c r="I15" s="7" t="e">
        <f>N34*$C$6/100</f>
        <v>#N/A</v>
      </c>
      <c r="J15" s="7" t="e">
        <f>N43*$C$6/100</f>
        <v>#N/A</v>
      </c>
      <c r="M15" s="7">
        <v>10</v>
      </c>
      <c r="N15" s="14">
        <v>0.85</v>
      </c>
      <c r="Q15" s="7">
        <v>10</v>
      </c>
      <c r="R15" s="14">
        <v>0.85</v>
      </c>
    </row>
    <row r="16" spans="1:34" s="17" customFormat="1" ht="15" customHeight="1" x14ac:dyDescent="0.15">
      <c r="A16" s="7"/>
      <c r="B16" s="7"/>
      <c r="C16" s="7"/>
      <c r="D16" s="7"/>
      <c r="E16" s="7"/>
      <c r="F16" s="7"/>
      <c r="G16" s="7"/>
      <c r="H16" s="7"/>
      <c r="I16" s="7"/>
      <c r="J16" s="7"/>
      <c r="K16" s="7"/>
      <c r="L16" s="7"/>
      <c r="M16" s="7">
        <v>30</v>
      </c>
      <c r="N16" s="14">
        <v>0.78</v>
      </c>
      <c r="O16" s="7"/>
      <c r="P16" s="7"/>
      <c r="Q16" s="7">
        <v>30</v>
      </c>
      <c r="R16" s="14">
        <v>0.78</v>
      </c>
      <c r="S16" s="7"/>
      <c r="T16" s="7"/>
      <c r="U16" s="7"/>
      <c r="V16" s="7"/>
      <c r="W16" s="7"/>
      <c r="X16" s="7"/>
      <c r="Y16" s="7"/>
      <c r="Z16" s="7"/>
      <c r="AA16" s="7"/>
      <c r="AB16" s="7"/>
      <c r="AC16" s="7"/>
      <c r="AD16" s="7"/>
      <c r="AE16" s="7"/>
      <c r="AF16" s="7"/>
      <c r="AG16" s="7"/>
      <c r="AH16" s="7"/>
    </row>
    <row r="17" spans="1:34" s="17" customFormat="1" ht="15" customHeight="1" x14ac:dyDescent="0.15">
      <c r="A17" s="7"/>
      <c r="B17" s="26">
        <f ca="1">YEAR(TODAY())</f>
        <v>2022</v>
      </c>
      <c r="C17" s="7">
        <f ca="1">B17-3</f>
        <v>2019</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s="17" customFormat="1" ht="15" customHeight="1" x14ac:dyDescent="0.15">
      <c r="A18" s="7"/>
      <c r="B18" s="7"/>
      <c r="C18" s="7"/>
      <c r="D18" s="7"/>
      <c r="E18" s="7"/>
      <c r="F18" s="7"/>
      <c r="G18" s="7"/>
      <c r="H18" s="7"/>
      <c r="I18" s="7"/>
      <c r="J18" s="7"/>
      <c r="K18" s="7"/>
      <c r="M18" s="7"/>
      <c r="N18" s="7"/>
      <c r="O18" s="7"/>
      <c r="P18" s="7"/>
      <c r="Q18" s="7"/>
      <c r="R18" s="7"/>
      <c r="S18" s="7"/>
      <c r="T18" s="7"/>
      <c r="U18" s="7"/>
      <c r="V18" s="7"/>
      <c r="W18" s="7"/>
      <c r="X18" s="7"/>
      <c r="Y18" s="7"/>
      <c r="Z18" s="7"/>
      <c r="AA18" s="7"/>
      <c r="AB18" s="7"/>
      <c r="AC18" s="7"/>
      <c r="AD18" s="7"/>
      <c r="AE18" s="7"/>
      <c r="AF18" s="7"/>
      <c r="AG18" s="7"/>
      <c r="AH18" s="7"/>
    </row>
    <row r="19" spans="1:34" ht="15" customHeight="1" x14ac:dyDescent="0.15">
      <c r="L19" s="17"/>
    </row>
    <row r="20" spans="1:34" ht="15" customHeight="1" x14ac:dyDescent="0.15">
      <c r="L20" s="17"/>
    </row>
    <row r="21" spans="1:34" ht="15" customHeight="1" x14ac:dyDescent="0.25">
      <c r="M21" s="10" t="s">
        <v>12</v>
      </c>
      <c r="N21" s="10">
        <f ca="1" xml:space="preserve"> -0.067*LN(C5) + 0.9852</f>
        <v>0.47520655922811195</v>
      </c>
      <c r="Q21" s="10" t="s">
        <v>12</v>
      </c>
      <c r="R21" s="10">
        <f ca="1" xml:space="preserve"> -0.067*LN(B17-C49+1) + 0.9852</f>
        <v>0.98519999999999996</v>
      </c>
    </row>
    <row r="23" spans="1:34" ht="15" customHeight="1" x14ac:dyDescent="0.25">
      <c r="M23" s="7">
        <v>1</v>
      </c>
      <c r="N23" s="14">
        <v>0.98504999999999998</v>
      </c>
      <c r="Q23" s="7">
        <v>1</v>
      </c>
      <c r="R23" s="14">
        <v>0.98504999999999998</v>
      </c>
    </row>
    <row r="24" spans="1:34" ht="15" customHeight="1" x14ac:dyDescent="0.25">
      <c r="M24" s="7">
        <v>10</v>
      </c>
      <c r="N24" s="14">
        <v>0.83129999999999993</v>
      </c>
      <c r="Q24" s="7">
        <v>10</v>
      </c>
      <c r="R24" s="14">
        <v>0.83129999999999993</v>
      </c>
    </row>
    <row r="25" spans="1:34" ht="15" customHeight="1" x14ac:dyDescent="0.25">
      <c r="M25" s="7">
        <v>30</v>
      </c>
      <c r="N25" s="14">
        <v>0.75660000000000005</v>
      </c>
      <c r="Q25" s="7">
        <v>30</v>
      </c>
      <c r="R25" s="14">
        <v>0.75660000000000005</v>
      </c>
    </row>
    <row r="30" spans="1:34" ht="15" customHeight="1" x14ac:dyDescent="0.25">
      <c r="M30" s="18" t="s">
        <v>13</v>
      </c>
      <c r="N30" s="10">
        <f ca="1">-0.066*LN(C5) + 0.9655</f>
        <v>0.46311840162769247</v>
      </c>
      <c r="O30" s="7">
        <v>0.98</v>
      </c>
      <c r="Q30" s="18" t="s">
        <v>13</v>
      </c>
      <c r="R30" s="10">
        <f ca="1">-0.066*LN(B17-C49+1) + 0.9655</f>
        <v>0.96550000000000002</v>
      </c>
    </row>
    <row r="32" spans="1:34" ht="15" customHeight="1" x14ac:dyDescent="0.25">
      <c r="M32" s="7">
        <v>1</v>
      </c>
      <c r="N32" s="14">
        <f>N23*$O$30</f>
        <v>0.96534900000000001</v>
      </c>
      <c r="Q32" s="7">
        <v>1</v>
      </c>
      <c r="R32" s="14">
        <f>R23*$O$30</f>
        <v>0.96534900000000001</v>
      </c>
    </row>
    <row r="33" spans="2:18" ht="15" customHeight="1" x14ac:dyDescent="0.25">
      <c r="M33" s="7">
        <v>10</v>
      </c>
      <c r="N33" s="14">
        <f>N24*$O$30</f>
        <v>0.8146739999999999</v>
      </c>
      <c r="Q33" s="7">
        <v>10</v>
      </c>
      <c r="R33" s="14">
        <f>R24*$O$30</f>
        <v>0.8146739999999999</v>
      </c>
    </row>
    <row r="34" spans="2:18" ht="15" customHeight="1" x14ac:dyDescent="0.25">
      <c r="M34" s="7">
        <v>30</v>
      </c>
      <c r="N34" s="14">
        <f>N25*$O$30</f>
        <v>0.74146800000000002</v>
      </c>
      <c r="Q34" s="7">
        <v>30</v>
      </c>
      <c r="R34" s="14">
        <f>R25*$O$30</f>
        <v>0.74146800000000002</v>
      </c>
    </row>
    <row r="35" spans="2:18" ht="15" customHeight="1" x14ac:dyDescent="0.25">
      <c r="L35" s="165"/>
    </row>
    <row r="39" spans="2:18" ht="15" customHeight="1" x14ac:dyDescent="0.25">
      <c r="M39" s="10" t="s">
        <v>5</v>
      </c>
      <c r="N39" s="10">
        <f ca="1">-0.074*LN(C5) + 0.9268</f>
        <v>0.36352366243104917</v>
      </c>
      <c r="O39" s="7">
        <v>0.95</v>
      </c>
      <c r="Q39" s="10" t="s">
        <v>5</v>
      </c>
      <c r="R39" s="10">
        <f ca="1">-0.074*LN(B17-C49+1) + 0.9268</f>
        <v>0.92679999999999996</v>
      </c>
    </row>
    <row r="41" spans="2:18" ht="15" customHeight="1" x14ac:dyDescent="0.25">
      <c r="M41" s="7">
        <v>1</v>
      </c>
      <c r="N41" s="14">
        <v>0.92643952499999993</v>
      </c>
      <c r="Q41" s="7">
        <v>1</v>
      </c>
      <c r="R41" s="14">
        <v>0.92643952499999993</v>
      </c>
    </row>
    <row r="42" spans="2:18" ht="15" customHeight="1" x14ac:dyDescent="0.25">
      <c r="M42" s="7">
        <v>10</v>
      </c>
      <c r="N42" s="14">
        <v>0.75649999999999995</v>
      </c>
      <c r="Q42" s="7">
        <v>10</v>
      </c>
      <c r="R42" s="14">
        <v>0.75649999999999995</v>
      </c>
    </row>
    <row r="43" spans="2:18" ht="15" customHeight="1" x14ac:dyDescent="0.25">
      <c r="M43" s="7">
        <v>30</v>
      </c>
      <c r="N43" s="14">
        <v>0.67313999999999996</v>
      </c>
      <c r="Q43" s="7">
        <v>30</v>
      </c>
      <c r="R43" s="14">
        <v>0.67313999999999996</v>
      </c>
    </row>
    <row r="44" spans="2:18" ht="15" customHeight="1" x14ac:dyDescent="0.25">
      <c r="B44" s="164" t="s">
        <v>204</v>
      </c>
    </row>
    <row r="46" spans="2:18" ht="25.5" customHeight="1" x14ac:dyDescent="0.25">
      <c r="B46" s="10"/>
      <c r="C46" s="10"/>
    </row>
    <row r="47" spans="2:18" ht="15" customHeight="1" x14ac:dyDescent="0.25">
      <c r="B47" s="7" t="s">
        <v>0</v>
      </c>
      <c r="C47" s="7">
        <f>IF(OR('Beregner '!G36="Fyringsolie",'Beregner '!G36="Heavy Fuel Oil"),"Olie",D47)</f>
        <v>0</v>
      </c>
      <c r="D47" s="7">
        <f>'Beregner '!G36</f>
        <v>0</v>
      </c>
      <c r="E47" s="12" t="e">
        <f>R2</f>
        <v>#N/A</v>
      </c>
    </row>
    <row r="48" spans="2:18" ht="15" customHeight="1" x14ac:dyDescent="0.25">
      <c r="B48" s="7" t="s">
        <v>1</v>
      </c>
      <c r="C48" s="7">
        <f>'Beregner '!G19</f>
        <v>0</v>
      </c>
      <c r="E48" s="13" t="e">
        <f xml:space="preserve"> 0.0043*LN(C48) + 0.93</f>
        <v>#NUM!</v>
      </c>
      <c r="M48" s="10" t="s">
        <v>14</v>
      </c>
      <c r="N48" s="10">
        <f ca="1">-0.062*LN(C5) + 0.97</f>
        <v>0.49806577122601414</v>
      </c>
      <c r="O48" s="7">
        <v>0.95</v>
      </c>
      <c r="Q48" s="10" t="s">
        <v>14</v>
      </c>
      <c r="R48" s="10">
        <f ca="1">-0.062*LN(B17-C49+1) + 0.97</f>
        <v>0.97</v>
      </c>
    </row>
    <row r="49" spans="2:18" ht="15" customHeight="1" x14ac:dyDescent="0.25">
      <c r="B49" s="7" t="s">
        <v>2</v>
      </c>
      <c r="C49" s="7">
        <f ca="1">B17</f>
        <v>2022</v>
      </c>
    </row>
    <row r="50" spans="2:18" ht="15" customHeight="1" x14ac:dyDescent="0.25">
      <c r="B50" s="7" t="s">
        <v>3</v>
      </c>
      <c r="C50" s="7">
        <f>'Beregner '!G38</f>
        <v>0</v>
      </c>
      <c r="M50" s="7">
        <v>1</v>
      </c>
      <c r="N50" s="14">
        <v>0.92643952499999993</v>
      </c>
      <c r="Q50" s="7">
        <v>1</v>
      </c>
      <c r="R50" s="14">
        <v>0.92643952499999993</v>
      </c>
    </row>
    <row r="51" spans="2:18" ht="15" customHeight="1" x14ac:dyDescent="0.25">
      <c r="M51" s="7">
        <v>10</v>
      </c>
      <c r="N51" s="14">
        <v>0.75649999999999995</v>
      </c>
      <c r="Q51" s="7">
        <v>10</v>
      </c>
      <c r="R51" s="14">
        <v>0.75649999999999995</v>
      </c>
    </row>
    <row r="52" spans="2:18" ht="15" customHeight="1" x14ac:dyDescent="0.25">
      <c r="M52" s="7">
        <v>30</v>
      </c>
      <c r="N52" s="14">
        <v>0.67313999999999996</v>
      </c>
      <c r="Q52" s="7">
        <v>30</v>
      </c>
      <c r="R52" s="14">
        <v>0.67313999999999996</v>
      </c>
    </row>
    <row r="53" spans="2:18" ht="15" customHeight="1" x14ac:dyDescent="0.25">
      <c r="B53" s="16" t="s">
        <v>11</v>
      </c>
      <c r="C53" s="7" t="e">
        <f>E47</f>
        <v>#N/A</v>
      </c>
    </row>
    <row r="54" spans="2:18" ht="15" customHeight="1" x14ac:dyDescent="0.25">
      <c r="B54" s="7" t="s">
        <v>4</v>
      </c>
      <c r="C54" s="7" t="e">
        <f>C50*C53</f>
        <v>#N/A</v>
      </c>
    </row>
    <row r="55" spans="2:18" ht="15" customHeight="1" x14ac:dyDescent="0.25">
      <c r="B55" s="7" t="s">
        <v>10</v>
      </c>
      <c r="C55" s="7" t="e">
        <f>C50-C54</f>
        <v>#N/A</v>
      </c>
      <c r="D55" s="7">
        <f>IF(OR('Beregner '!G36="Fyringsolie",'Beregner '!G36="Heavy Fuel Oil"),"Olie",'Beregner '!G16)</f>
        <v>0</v>
      </c>
    </row>
    <row r="57" spans="2:18" ht="15" customHeight="1" x14ac:dyDescent="0.25">
      <c r="B57" s="16" t="s">
        <v>8</v>
      </c>
      <c r="C57" s="7" t="e">
        <f>E48</f>
        <v>#NUM!</v>
      </c>
      <c r="M57" s="10" t="s">
        <v>15</v>
      </c>
      <c r="N57" s="10">
        <f ca="1">-0.065*LN(C5) + 0.99999999</f>
        <v>0.50523023402727285</v>
      </c>
      <c r="Q57" s="10" t="s">
        <v>15</v>
      </c>
      <c r="R57" s="10">
        <f ca="1">-0.065*LN(B17-C49+1) + 0.99999999</f>
        <v>0.99999998999999995</v>
      </c>
    </row>
    <row r="58" spans="2:18" ht="15" customHeight="1" x14ac:dyDescent="0.25">
      <c r="B58" s="7" t="s">
        <v>9</v>
      </c>
      <c r="C58" s="7" t="e">
        <f>C50*E48</f>
        <v>#NUM!</v>
      </c>
    </row>
    <row r="59" spans="2:18" ht="15" customHeight="1" x14ac:dyDescent="0.25">
      <c r="B59" s="7" t="s">
        <v>7</v>
      </c>
      <c r="C59" s="7" t="e">
        <f>C57*C54</f>
        <v>#NUM!</v>
      </c>
      <c r="M59" s="7">
        <v>1</v>
      </c>
      <c r="N59" s="14">
        <v>0.92643952499999993</v>
      </c>
      <c r="Q59" s="7">
        <v>1</v>
      </c>
      <c r="R59" s="14">
        <v>0.92643952499999993</v>
      </c>
    </row>
    <row r="60" spans="2:18" ht="15" customHeight="1" x14ac:dyDescent="0.25">
      <c r="B60" s="7" t="s">
        <v>10</v>
      </c>
      <c r="C60" s="7" t="e">
        <f>C58-C59</f>
        <v>#NUM!</v>
      </c>
      <c r="M60" s="7">
        <v>10</v>
      </c>
      <c r="N60" s="14">
        <v>0.75649999999999995</v>
      </c>
      <c r="Q60" s="7">
        <v>10</v>
      </c>
      <c r="R60" s="14">
        <v>0.75649999999999995</v>
      </c>
    </row>
    <row r="61" spans="2:18" ht="15" customHeight="1" x14ac:dyDescent="0.25">
      <c r="M61" s="7">
        <v>30</v>
      </c>
      <c r="N61" s="14">
        <v>0.67313999999999996</v>
      </c>
      <c r="Q61" s="7">
        <v>30</v>
      </c>
      <c r="R61" s="14">
        <v>0.67313999999999996</v>
      </c>
    </row>
    <row r="64" spans="2:18" ht="15" customHeight="1" x14ac:dyDescent="0.25">
      <c r="M64" s="10" t="s">
        <v>154</v>
      </c>
      <c r="N64" s="10">
        <f ca="1" xml:space="preserve"> -0.067*LN(C5) + 0.9852</f>
        <v>0.47520655922811195</v>
      </c>
    </row>
    <row r="66" spans="1:14" ht="15" customHeight="1" x14ac:dyDescent="0.25">
      <c r="M66" s="7">
        <v>1</v>
      </c>
      <c r="N66" s="14">
        <f xml:space="preserve"> -0.067*LN(1) + 0.9852</f>
        <v>0.98519999999999996</v>
      </c>
    </row>
    <row r="67" spans="1:14" ht="15" customHeight="1" x14ac:dyDescent="0.25">
      <c r="M67" s="7">
        <v>10</v>
      </c>
      <c r="N67" s="14">
        <f xml:space="preserve"> -0.067*LN(10) + 0.9852</f>
        <v>0.8309267987693989</v>
      </c>
    </row>
    <row r="68" spans="1:14" ht="15" customHeight="1" x14ac:dyDescent="0.25">
      <c r="M68" s="7">
        <v>30</v>
      </c>
      <c r="N68" s="14">
        <f xml:space="preserve"> -0.067*LN(30) + 0.9852</f>
        <v>0.7573197754286356</v>
      </c>
    </row>
    <row r="69" spans="1:14" ht="15" customHeight="1" x14ac:dyDescent="0.25">
      <c r="A69" s="323" t="s">
        <v>51</v>
      </c>
      <c r="B69" s="324"/>
      <c r="C69" s="156"/>
    </row>
    <row r="70" spans="1:14" ht="15" customHeight="1" x14ac:dyDescent="0.25">
      <c r="A70" s="157" t="s">
        <v>0</v>
      </c>
      <c r="B70" s="158">
        <f>D3</f>
        <v>0</v>
      </c>
      <c r="C70" s="160"/>
      <c r="D70" s="325" t="s">
        <v>29</v>
      </c>
      <c r="E70" s="325"/>
      <c r="F70" s="326"/>
      <c r="G70" s="19"/>
      <c r="H70" s="19"/>
      <c r="I70" s="20"/>
      <c r="J70" s="19"/>
      <c r="K70" s="19"/>
      <c r="L70" s="19"/>
    </row>
    <row r="71" spans="1:14" ht="15" customHeight="1" x14ac:dyDescent="0.25">
      <c r="A71" s="157" t="s">
        <v>36</v>
      </c>
      <c r="B71" s="158" t="e">
        <f>INDEX(E71:E77,MATCH(B70,D71:D77,0))</f>
        <v>#N/A</v>
      </c>
      <c r="C71" s="160" t="str">
        <f>IF(B70="Olie","kWh/Liter",IF(B70="Naturgas","kWh/Nm3","kWh/Kg"))</f>
        <v>kWh/Kg</v>
      </c>
      <c r="D71" s="21" t="s">
        <v>30</v>
      </c>
      <c r="E71" s="21">
        <v>10.53</v>
      </c>
      <c r="F71" s="22" t="s">
        <v>31</v>
      </c>
      <c r="G71" s="23" t="s">
        <v>32</v>
      </c>
      <c r="H71" s="19"/>
      <c r="I71" s="20"/>
      <c r="J71" s="19"/>
      <c r="K71" s="19"/>
      <c r="L71" s="19"/>
    </row>
    <row r="72" spans="1:14" ht="15" customHeight="1" x14ac:dyDescent="0.25">
      <c r="A72" s="157"/>
      <c r="B72" s="158"/>
      <c r="C72" s="160"/>
      <c r="D72" s="21" t="s">
        <v>198</v>
      </c>
      <c r="E72" s="21">
        <v>9.8699999999999992</v>
      </c>
      <c r="F72" s="22" t="s">
        <v>33</v>
      </c>
      <c r="G72" s="23" t="s">
        <v>32</v>
      </c>
      <c r="H72" s="19"/>
      <c r="I72" s="20"/>
      <c r="J72" s="19"/>
      <c r="K72" s="19"/>
      <c r="L72" s="19"/>
    </row>
    <row r="73" spans="1:14" ht="15" customHeight="1" x14ac:dyDescent="0.25">
      <c r="A73" s="157" t="s">
        <v>37</v>
      </c>
      <c r="B73" s="158" t="str">
        <f>'Beregner '!G34</f>
        <v/>
      </c>
      <c r="C73" s="160" t="str">
        <f>IF(B70="Olie","Liter",IF(B70="Naturgas","Nm3","Kg"))</f>
        <v>Kg</v>
      </c>
      <c r="D73" s="21" t="s">
        <v>13</v>
      </c>
      <c r="E73" s="21">
        <f>9.3*1000/3600</f>
        <v>2.5833333333333335</v>
      </c>
      <c r="F73" s="22" t="s">
        <v>34</v>
      </c>
      <c r="G73" s="23" t="s">
        <v>32</v>
      </c>
      <c r="H73" s="19"/>
      <c r="I73" s="20"/>
      <c r="J73" s="19"/>
      <c r="K73" s="19"/>
      <c r="L73" s="19"/>
    </row>
    <row r="74" spans="1:14" ht="15" customHeight="1" x14ac:dyDescent="0.25">
      <c r="A74" s="157"/>
      <c r="B74" s="158"/>
      <c r="C74" s="160"/>
      <c r="D74" s="21" t="s">
        <v>6</v>
      </c>
      <c r="E74" s="21">
        <f>17.5*1000/3600</f>
        <v>4.8611111111111107</v>
      </c>
      <c r="F74" s="22" t="s">
        <v>34</v>
      </c>
      <c r="G74" s="23" t="s">
        <v>32</v>
      </c>
      <c r="H74" s="19"/>
      <c r="I74" s="20"/>
      <c r="J74" s="19"/>
      <c r="K74" s="19"/>
      <c r="L74" s="19"/>
    </row>
    <row r="75" spans="1:14" ht="15" customHeight="1" x14ac:dyDescent="0.25">
      <c r="A75" s="157" t="s">
        <v>41</v>
      </c>
      <c r="B75" s="158" t="e">
        <f>B73*B71</f>
        <v>#VALUE!</v>
      </c>
      <c r="C75" s="160" t="s">
        <v>43</v>
      </c>
      <c r="D75" s="21" t="s">
        <v>193</v>
      </c>
      <c r="E75" s="142">
        <f>I82</f>
        <v>6.6150000000000002</v>
      </c>
      <c r="F75" s="22" t="s">
        <v>34</v>
      </c>
      <c r="G75" s="23" t="s">
        <v>32</v>
      </c>
      <c r="H75" s="19"/>
      <c r="I75" s="20"/>
      <c r="J75" s="19"/>
      <c r="K75" s="19"/>
      <c r="L75" s="19"/>
    </row>
    <row r="76" spans="1:14" ht="15" customHeight="1" x14ac:dyDescent="0.25">
      <c r="A76" s="157"/>
      <c r="B76" s="158"/>
      <c r="C76" s="160"/>
      <c r="D76" s="21" t="s">
        <v>194</v>
      </c>
      <c r="E76" s="21">
        <v>7.92</v>
      </c>
      <c r="F76" s="22" t="s">
        <v>34</v>
      </c>
      <c r="G76" s="23" t="s">
        <v>32</v>
      </c>
      <c r="H76" s="19"/>
      <c r="I76" s="19"/>
      <c r="J76" s="19"/>
      <c r="K76" s="19"/>
      <c r="L76" s="19"/>
    </row>
    <row r="77" spans="1:14" ht="15" customHeight="1" x14ac:dyDescent="0.15">
      <c r="A77" s="161" t="s">
        <v>42</v>
      </c>
      <c r="B77" s="162" t="e">
        <f>B75*(C14/100)</f>
        <v>#VALUE!</v>
      </c>
      <c r="C77" s="163" t="s">
        <v>43</v>
      </c>
      <c r="D77" s="21" t="s">
        <v>199</v>
      </c>
      <c r="E77" s="21">
        <v>10.89</v>
      </c>
      <c r="F77" s="22" t="s">
        <v>33</v>
      </c>
    </row>
    <row r="78" spans="1:14" ht="15" customHeight="1" x14ac:dyDescent="0.15">
      <c r="D78" s="24" t="s">
        <v>5</v>
      </c>
      <c r="E78" s="143">
        <f>14.5*1000/3600</f>
        <v>4.0277777777777777</v>
      </c>
      <c r="F78" s="25" t="s">
        <v>34</v>
      </c>
      <c r="H78" s="7" t="s">
        <v>192</v>
      </c>
    </row>
    <row r="79" spans="1:14" ht="15" customHeight="1" x14ac:dyDescent="0.25">
      <c r="H79" s="7" t="s">
        <v>194</v>
      </c>
      <c r="I79" s="7">
        <v>7.92</v>
      </c>
    </row>
    <row r="80" spans="1:14" ht="15" customHeight="1" x14ac:dyDescent="0.25">
      <c r="A80" s="323" t="s">
        <v>50</v>
      </c>
      <c r="B80" s="324"/>
      <c r="C80" s="156"/>
      <c r="H80" s="7" t="s">
        <v>195</v>
      </c>
      <c r="I80" s="7">
        <v>4.7</v>
      </c>
    </row>
    <row r="81" spans="1:13" ht="15" customHeight="1" x14ac:dyDescent="0.15">
      <c r="A81" s="157" t="s">
        <v>0</v>
      </c>
      <c r="B81" s="158">
        <f>D47</f>
        <v>0</v>
      </c>
      <c r="C81" s="160"/>
      <c r="H81" s="7" t="s">
        <v>196</v>
      </c>
      <c r="I81" s="7">
        <v>8.5299999999999994</v>
      </c>
      <c r="L81" s="21" t="s">
        <v>30</v>
      </c>
      <c r="M81" s="7" t="s">
        <v>212</v>
      </c>
    </row>
    <row r="82" spans="1:13" ht="15" customHeight="1" x14ac:dyDescent="0.15">
      <c r="A82" s="157" t="s">
        <v>36</v>
      </c>
      <c r="B82" s="158" t="e">
        <f>IF(B81="Varmepumpe","",IF(B81="Fjernvarme","",IF(B81="Elkedel","",INDEX(E71:E83,MATCH(B81,D71:D83,0)))))</f>
        <v>#N/A</v>
      </c>
      <c r="C82" s="160" t="str">
        <f>IF(B81="Olie","kWh/Liter",IF(B81="Naturgas","kWh/Nm3","kWh/Kg"))</f>
        <v>kWh/Kg</v>
      </c>
      <c r="D82" s="150" t="s">
        <v>53</v>
      </c>
      <c r="E82" s="7">
        <v>1</v>
      </c>
      <c r="H82" s="7" t="s">
        <v>197</v>
      </c>
      <c r="I82" s="7">
        <f>(I80+I81)/2</f>
        <v>6.6150000000000002</v>
      </c>
      <c r="L82" s="21" t="s">
        <v>198</v>
      </c>
      <c r="M82" s="7" t="s">
        <v>213</v>
      </c>
    </row>
    <row r="83" spans="1:13" ht="15" customHeight="1" x14ac:dyDescent="0.15">
      <c r="A83" s="157"/>
      <c r="B83" s="158"/>
      <c r="C83" s="160"/>
      <c r="D83" s="150" t="s">
        <v>54</v>
      </c>
      <c r="E83" s="7">
        <v>1</v>
      </c>
      <c r="H83" s="7" t="s">
        <v>113</v>
      </c>
      <c r="I83" s="7">
        <f>(I79+I82)/2</f>
        <v>7.2675000000000001</v>
      </c>
      <c r="L83" s="21" t="s">
        <v>13</v>
      </c>
      <c r="M83" s="7" t="s">
        <v>214</v>
      </c>
    </row>
    <row r="84" spans="1:13" ht="15" customHeight="1" x14ac:dyDescent="0.15">
      <c r="A84" s="157" t="s">
        <v>208</v>
      </c>
      <c r="B84" s="158" t="e">
        <f>B77</f>
        <v>#VALUE!</v>
      </c>
      <c r="C84" s="160" t="s">
        <v>43</v>
      </c>
      <c r="D84" s="150" t="s">
        <v>189</v>
      </c>
      <c r="E84" s="7">
        <v>1</v>
      </c>
      <c r="L84" s="21" t="s">
        <v>6</v>
      </c>
      <c r="M84" s="7" t="s">
        <v>215</v>
      </c>
    </row>
    <row r="85" spans="1:13" ht="15" customHeight="1" x14ac:dyDescent="0.15">
      <c r="A85" s="157"/>
      <c r="B85" s="158"/>
      <c r="C85" s="160"/>
      <c r="D85" s="21" t="s">
        <v>30</v>
      </c>
      <c r="L85" s="21" t="s">
        <v>193</v>
      </c>
      <c r="M85" s="7" t="s">
        <v>216</v>
      </c>
    </row>
    <row r="86" spans="1:13" ht="15" customHeight="1" x14ac:dyDescent="0.15">
      <c r="A86" s="157" t="s">
        <v>40</v>
      </c>
      <c r="B86" s="158" t="e">
        <f>IF(B81="Varmepumpe",B84/'Beregner '!G38,IF(B81="Fjernvarme",B84,IF(B81="Elkedel",B84,B84/(B103/100))))</f>
        <v>#VALUE!</v>
      </c>
      <c r="C86" s="160" t="s">
        <v>43</v>
      </c>
      <c r="D86" s="21" t="s">
        <v>198</v>
      </c>
      <c r="L86" s="21" t="s">
        <v>194</v>
      </c>
      <c r="M86" s="7" t="s">
        <v>217</v>
      </c>
    </row>
    <row r="87" spans="1:13" ht="15" customHeight="1" x14ac:dyDescent="0.15">
      <c r="A87" s="157"/>
      <c r="B87" s="158"/>
      <c r="C87" s="160"/>
      <c r="D87" s="21" t="s">
        <v>13</v>
      </c>
      <c r="L87" s="21" t="s">
        <v>199</v>
      </c>
      <c r="M87" s="21" t="s">
        <v>199</v>
      </c>
    </row>
    <row r="88" spans="1:13" ht="15" customHeight="1" x14ac:dyDescent="0.15">
      <c r="A88" s="157" t="s">
        <v>44</v>
      </c>
      <c r="B88" s="158" t="e">
        <f>IF(B81="Varmepumpe","",IF(B81="Fjernvarme","",IF(B81="Elkedel","",B86/B82)))</f>
        <v>#VALUE!</v>
      </c>
      <c r="C88" s="160" t="str">
        <f>IF(B81="Olie","Liter",IF(B81="Naturgas","Nm3","Kg"))</f>
        <v>Kg</v>
      </c>
      <c r="D88" s="21" t="s">
        <v>6</v>
      </c>
      <c r="L88" s="24" t="s">
        <v>5</v>
      </c>
      <c r="M88" s="7" t="s">
        <v>218</v>
      </c>
    </row>
    <row r="89" spans="1:13" ht="15" customHeight="1" x14ac:dyDescent="0.15">
      <c r="A89" s="157"/>
      <c r="B89" s="158"/>
      <c r="C89" s="160"/>
      <c r="D89" s="21" t="s">
        <v>5</v>
      </c>
    </row>
    <row r="90" spans="1:13" ht="15" customHeight="1" x14ac:dyDescent="0.15">
      <c r="A90" s="161" t="s">
        <v>55</v>
      </c>
      <c r="B90" s="162">
        <f>IF(B81="Fjernvarme","",'Beregner '!G40)</f>
        <v>0</v>
      </c>
      <c r="C90" s="163"/>
      <c r="D90" s="155" t="s">
        <v>199</v>
      </c>
      <c r="L90" s="7" t="s">
        <v>219</v>
      </c>
      <c r="M90" s="7" t="e">
        <f>VLOOKUP('Beregner '!G16,Forbrugsberegner!L81:M88,2,FALSE)</f>
        <v>#N/A</v>
      </c>
    </row>
    <row r="91" spans="1:13" ht="15" customHeight="1" x14ac:dyDescent="0.15">
      <c r="D91" s="21" t="s">
        <v>193</v>
      </c>
    </row>
    <row r="92" spans="1:13" ht="15" customHeight="1" x14ac:dyDescent="0.15">
      <c r="A92" s="323" t="s">
        <v>45</v>
      </c>
      <c r="B92" s="324"/>
      <c r="C92" s="156"/>
      <c r="D92" s="21" t="s">
        <v>194</v>
      </c>
    </row>
    <row r="93" spans="1:13" ht="15" customHeight="1" x14ac:dyDescent="0.25">
      <c r="A93" s="157" t="s">
        <v>48</v>
      </c>
      <c r="B93" s="158">
        <f>D3</f>
        <v>0</v>
      </c>
      <c r="C93" s="160"/>
    </row>
    <row r="94" spans="1:13" ht="15" customHeight="1" x14ac:dyDescent="0.25">
      <c r="A94" s="157" t="s">
        <v>36</v>
      </c>
      <c r="B94" s="158" t="e">
        <f>INDEX(E71:E77,MATCH(B70,D71:D77,0))</f>
        <v>#N/A</v>
      </c>
      <c r="C94" s="160" t="str">
        <f>IF(B93="Fyringsolie","kWh/Liter",IF(B93="Naturgas","kWh/Nm3","kWh/Kg"))</f>
        <v>kWh/Kg</v>
      </c>
    </row>
    <row r="95" spans="1:13" ht="15" customHeight="1" x14ac:dyDescent="0.25">
      <c r="A95" s="157"/>
      <c r="B95" s="158"/>
      <c r="C95" s="160"/>
    </row>
    <row r="96" spans="1:13" ht="15" customHeight="1" x14ac:dyDescent="0.25">
      <c r="A96" s="157" t="s">
        <v>1</v>
      </c>
      <c r="B96" s="158">
        <f>C4</f>
        <v>0</v>
      </c>
      <c r="C96" s="160" t="s">
        <v>22</v>
      </c>
    </row>
    <row r="97" spans="1:3" ht="15" customHeight="1" x14ac:dyDescent="0.25">
      <c r="A97" s="157" t="s">
        <v>220</v>
      </c>
      <c r="B97" s="158">
        <f>B96*8760</f>
        <v>0</v>
      </c>
      <c r="C97" s="160" t="s">
        <v>43</v>
      </c>
    </row>
    <row r="98" spans="1:3" ht="15" customHeight="1" x14ac:dyDescent="0.25">
      <c r="A98" s="161" t="s">
        <v>221</v>
      </c>
      <c r="B98" s="162" t="e">
        <f>B97/B94</f>
        <v>#N/A</v>
      </c>
      <c r="C98" s="163" t="str">
        <f>IF(B93="Fyringsolie","Liter",IF(B93="Naturgas","Nm3","Kg"))</f>
        <v>Kg</v>
      </c>
    </row>
    <row r="100" spans="1:3" ht="15" customHeight="1" x14ac:dyDescent="0.25">
      <c r="A100" s="323" t="s">
        <v>128</v>
      </c>
      <c r="B100" s="324"/>
      <c r="C100" s="156"/>
    </row>
    <row r="101" spans="1:3" ht="15" customHeight="1" x14ac:dyDescent="0.25">
      <c r="A101" s="157" t="s">
        <v>49</v>
      </c>
      <c r="B101" s="158">
        <f>'Beregner '!G38</f>
        <v>0</v>
      </c>
      <c r="C101" s="159" t="s">
        <v>23</v>
      </c>
    </row>
    <row r="102" spans="1:3" ht="15" customHeight="1" x14ac:dyDescent="0.25">
      <c r="A102" s="157" t="s">
        <v>47</v>
      </c>
      <c r="B102" s="158">
        <f>'Beregner '!G37</f>
        <v>0</v>
      </c>
      <c r="C102" s="160" t="s">
        <v>22</v>
      </c>
    </row>
    <row r="103" spans="1:3" ht="15" customHeight="1" x14ac:dyDescent="0.25">
      <c r="A103" s="161" t="s">
        <v>52</v>
      </c>
      <c r="B103" s="162" t="e">
        <f>IF(B81="Varmepumpe","",IF(B81="Fjernvarme","",IF(B81="Elkedel","",B101*(0.0043*LN(B102)+0.93))))</f>
        <v>#NUM!</v>
      </c>
      <c r="C103" s="163" t="s">
        <v>23</v>
      </c>
    </row>
    <row r="107" spans="1:3" ht="15" customHeight="1" x14ac:dyDescent="0.25">
      <c r="A107" s="7" t="s">
        <v>206</v>
      </c>
      <c r="B107" s="7">
        <f>IF(OR('Beregner '!G36="Elkedel",'Beregner '!G36="Varmepumpe"),"Elektricitet",'Beregner '!G36)</f>
        <v>0</v>
      </c>
    </row>
    <row r="108" spans="1:3" ht="15" customHeight="1" x14ac:dyDescent="0.25">
      <c r="A108" s="7" t="s">
        <v>203</v>
      </c>
      <c r="B108" s="7">
        <f>IF('Beregner '!G16="Fyringsolie","Gas-/dieselolie",IF('Beregner '!G16="Heavy Fuel Oil","Fuelolie",IF('Beregner '!G16="Flis","Skovflis",'Beregner '!G16)))</f>
        <v>0</v>
      </c>
    </row>
    <row r="109" spans="1:3" ht="15" customHeight="1" x14ac:dyDescent="0.25">
      <c r="A109" s="7" t="s">
        <v>204</v>
      </c>
      <c r="B109" s="7">
        <f>IF('Beregner '!G36="Fyringsolie","Gas-/dieselolie",IF('Beregner '!G36="Flis","Skovflis",IF(OR('Beregner '!G36="Elkedel",'Beregner '!G36="Varmepumpe"),"Elektricitet",'Beregner '!G36)))</f>
        <v>0</v>
      </c>
    </row>
  </sheetData>
  <sheetProtection selectLockedCells="1" selectUnlockedCells="1"/>
  <mergeCells count="7">
    <mergeCell ref="A100:B100"/>
    <mergeCell ref="D70:F70"/>
    <mergeCell ref="M1:N1"/>
    <mergeCell ref="Q1:R1"/>
    <mergeCell ref="A69:B69"/>
    <mergeCell ref="A80:B80"/>
    <mergeCell ref="A92:B92"/>
  </mergeCells>
  <hyperlinks>
    <hyperlink ref="G71" r:id="rId1"/>
    <hyperlink ref="G72:G75" r:id="rId2" display="https://ens.dk/sites/ens.dk/files/CO2/standardfaktorer_for_2019.pdf"/>
    <hyperlink ref="G76" r:id="rId3"/>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O93"/>
  <sheetViews>
    <sheetView workbookViewId="0">
      <selection activeCell="M9" sqref="M9"/>
    </sheetView>
  </sheetViews>
  <sheetFormatPr defaultRowHeight="15" x14ac:dyDescent="0.25"/>
  <cols>
    <col min="2" max="2" width="23.42578125" customWidth="1"/>
    <col min="3" max="3" width="23.5703125" customWidth="1"/>
    <col min="4" max="4" width="19" bestFit="1" customWidth="1"/>
    <col min="5" max="5" width="10.85546875" bestFit="1" customWidth="1"/>
    <col min="6" max="6" width="12" bestFit="1" customWidth="1"/>
    <col min="9" max="9" width="12" bestFit="1" customWidth="1"/>
    <col min="10" max="10" width="19" bestFit="1" customWidth="1"/>
    <col min="13" max="13" width="93.42578125" bestFit="1" customWidth="1"/>
    <col min="14" max="14" width="9" bestFit="1" customWidth="1"/>
    <col min="15" max="15" width="93.42578125" bestFit="1" customWidth="1"/>
    <col min="16" max="16" width="19" bestFit="1" customWidth="1"/>
  </cols>
  <sheetData>
    <row r="3" spans="1:13" x14ac:dyDescent="0.25">
      <c r="B3" s="40" t="s">
        <v>61</v>
      </c>
      <c r="C3" s="57">
        <f>'Beregner '!G19</f>
        <v>0</v>
      </c>
    </row>
    <row r="4" spans="1:13" x14ac:dyDescent="0.25">
      <c r="B4" s="40" t="s">
        <v>64</v>
      </c>
      <c r="C4" s="151">
        <f>Forbrugsberegner!C3</f>
        <v>0</v>
      </c>
      <c r="K4">
        <f ca="1">YEAR(TODAY())</f>
        <v>2022</v>
      </c>
    </row>
    <row r="5" spans="1:13" ht="15.75" thickBot="1" x14ac:dyDescent="0.3">
      <c r="B5" s="40" t="s">
        <v>75</v>
      </c>
      <c r="C5" s="38">
        <f>'Beregner '!G17</f>
        <v>0</v>
      </c>
    </row>
    <row r="6" spans="1:13" ht="25.5" customHeight="1" thickBot="1" x14ac:dyDescent="0.3">
      <c r="B6" s="40" t="s">
        <v>62</v>
      </c>
      <c r="C6" s="36">
        <f>'Beregner '!G18</f>
        <v>0</v>
      </c>
    </row>
    <row r="7" spans="1:13" x14ac:dyDescent="0.25">
      <c r="B7" s="40" t="s">
        <v>60</v>
      </c>
      <c r="C7" s="41">
        <f>IF(OR(C4="Halm",C4="Træflis",C4="Træpiller",C4="Brænde"),1,IF(AND(C3&gt;0,C3&lt;69.999),1,IF(AND(C3&gt;69.999,C3&lt;199.999),2,IF(AND(C3&gt;199.999,C3&lt;1000.001),3,0))))</f>
        <v>0</v>
      </c>
    </row>
    <row r="8" spans="1:13" ht="15.75" thickBot="1" x14ac:dyDescent="0.3">
      <c r="L8" t="s">
        <v>222</v>
      </c>
    </row>
    <row r="9" spans="1:13" x14ac:dyDescent="0.25">
      <c r="A9" s="42"/>
      <c r="B9" s="43" t="s">
        <v>14</v>
      </c>
      <c r="C9" s="44"/>
      <c r="D9" s="44"/>
      <c r="E9" s="44"/>
      <c r="F9" s="44"/>
      <c r="G9" s="44"/>
      <c r="H9" s="44"/>
      <c r="I9" s="45"/>
      <c r="M9" t="e">
        <f ca="1">MATCH('Beregner '!G18,[0]!Kedelliste,0)</f>
        <v>#N/A</v>
      </c>
    </row>
    <row r="10" spans="1:13" x14ac:dyDescent="0.25">
      <c r="A10" s="46"/>
      <c r="B10" s="38"/>
      <c r="C10" s="38"/>
      <c r="D10" s="38" t="s">
        <v>57</v>
      </c>
      <c r="E10" s="38" t="s">
        <v>58</v>
      </c>
      <c r="F10" s="38" t="s">
        <v>59</v>
      </c>
      <c r="G10" s="38"/>
      <c r="H10" s="38"/>
      <c r="I10" s="47"/>
    </row>
    <row r="11" spans="1:13" ht="15.75" thickBot="1" x14ac:dyDescent="0.3">
      <c r="A11" s="46"/>
      <c r="B11" s="38"/>
      <c r="C11" s="38"/>
      <c r="D11" s="38">
        <v>1</v>
      </c>
      <c r="E11" s="38">
        <v>2</v>
      </c>
      <c r="F11" s="38">
        <v>3</v>
      </c>
      <c r="G11" s="38"/>
      <c r="H11" s="38"/>
      <c r="I11" s="47"/>
      <c r="M11" t="str">
        <f>IF(C4="Olie",1,IF(C4="Naturgas",2,IF(C4="Halm",3,IF(C4="Flis",4,IF(C4="Træpiller",5,IF(C4="Brænde",6,IF(C4="Kul/koks",7,"""")))))))</f>
        <v>"</v>
      </c>
    </row>
    <row r="12" spans="1:13" ht="15.75" thickBot="1" x14ac:dyDescent="0.3">
      <c r="A12" s="46"/>
      <c r="B12" s="38"/>
      <c r="C12" s="36" t="s">
        <v>82</v>
      </c>
      <c r="D12" s="30">
        <v>0.81</v>
      </c>
      <c r="E12" s="32">
        <v>0.83</v>
      </c>
      <c r="F12" s="32">
        <v>0.87</v>
      </c>
      <c r="G12" s="38"/>
      <c r="H12" s="38"/>
      <c r="I12" s="47"/>
    </row>
    <row r="13" spans="1:13" ht="15.75" thickBot="1" x14ac:dyDescent="0.3">
      <c r="A13" s="46"/>
      <c r="B13" s="38"/>
      <c r="C13" s="29" t="s">
        <v>83</v>
      </c>
      <c r="D13" s="31">
        <v>0.84</v>
      </c>
      <c r="E13" s="33">
        <v>0.87</v>
      </c>
      <c r="F13" s="33">
        <v>0.89</v>
      </c>
      <c r="G13" s="38"/>
      <c r="H13" s="38">
        <v>1</v>
      </c>
      <c r="I13" s="47" t="s">
        <v>57</v>
      </c>
    </row>
    <row r="14" spans="1:13" ht="15.75" thickBot="1" x14ac:dyDescent="0.3">
      <c r="A14" s="46"/>
      <c r="B14" s="38"/>
      <c r="C14" s="29" t="s">
        <v>84</v>
      </c>
      <c r="D14" s="31">
        <v>0.87</v>
      </c>
      <c r="E14" s="33">
        <v>0.88</v>
      </c>
      <c r="F14" s="33">
        <v>0.91</v>
      </c>
      <c r="G14" s="38"/>
      <c r="H14" s="38">
        <v>2</v>
      </c>
      <c r="I14" s="47" t="s">
        <v>58</v>
      </c>
      <c r="L14" t="str">
        <f ca="1">IF(M14="","",MAX(L$13:L13)+1)</f>
        <v/>
      </c>
      <c r="M14" t="str">
        <f ca="1">IF(AND($M$11=1,$C$5&lt;1970),C12,IF(AND($M$11=1,$C$5&gt;1969.99,$C$5&lt;1990.1),C15,IF(AND($M$11=1,$C$5&gt;1990.1,$C$5&lt;K4-10),C16,IF(AND($M$11=1,$K$4-$C$5&lt;10.0001),C17,IF(AND($M$11=2,K4-$C$5&gt;10.0001,C5&gt;1999.9),C29,IF(AND(M11=2,K4-C5&lt;10.0001),C30,IF(AND(M11=2,K4-$C$5&gt;10.0001,C5&lt;2000),C28,IF($M$11=3,C43,IF($M$11=4,C57,IF($M$11=5,C67,IF($M$11=6,C77,IF(C4=B92,"Kul/koks",""))))))))))))</f>
        <v/>
      </c>
    </row>
    <row r="15" spans="1:13" ht="15.75" thickBot="1" x14ac:dyDescent="0.3">
      <c r="A15" s="46"/>
      <c r="B15" s="38"/>
      <c r="C15" s="29" t="s">
        <v>56</v>
      </c>
      <c r="D15" s="31">
        <v>0.91</v>
      </c>
      <c r="E15" s="33">
        <v>0.92</v>
      </c>
      <c r="F15" s="33">
        <v>0.93</v>
      </c>
      <c r="G15" s="38"/>
      <c r="H15" s="38">
        <v>3</v>
      </c>
      <c r="I15" s="47" t="s">
        <v>59</v>
      </c>
      <c r="L15" t="str">
        <f>IF(M15="","",MAX(L$13:L14)+1)</f>
        <v/>
      </c>
      <c r="M15" t="str">
        <f>IF(AND($M$11=1,$C$5&lt;1970),C13,IF($M$11=3,C44,""))</f>
        <v/>
      </c>
    </row>
    <row r="16" spans="1:13" ht="24.75" thickBot="1" x14ac:dyDescent="0.3">
      <c r="A16" s="46"/>
      <c r="B16" s="38"/>
      <c r="C16" s="29" t="s">
        <v>152</v>
      </c>
      <c r="D16" s="31">
        <v>0.98</v>
      </c>
      <c r="E16" s="34">
        <v>0.99</v>
      </c>
      <c r="F16" s="33">
        <v>0.99</v>
      </c>
      <c r="G16" s="38"/>
      <c r="H16" s="38"/>
      <c r="I16" s="47"/>
      <c r="L16" t="str">
        <f>IF(M16="","",MAX(L$13:L15)+1)</f>
        <v/>
      </c>
      <c r="M16" t="str">
        <f>IF(AND($M$11=1,$C$5&lt;1970),C14,IF($M$11=3,C45,""))</f>
        <v/>
      </c>
    </row>
    <row r="17" spans="1:15" ht="24.75" thickBot="1" x14ac:dyDescent="0.3">
      <c r="A17" s="46"/>
      <c r="B17" s="38"/>
      <c r="C17" s="29" t="s">
        <v>153</v>
      </c>
      <c r="D17" s="31">
        <v>1.02</v>
      </c>
      <c r="E17" s="32">
        <v>1.03</v>
      </c>
      <c r="F17" s="33">
        <v>1.01</v>
      </c>
      <c r="G17" s="38"/>
      <c r="H17" s="38"/>
      <c r="I17" s="47"/>
      <c r="L17" t="str">
        <f>IF(M17="","",MAX(L$13:L16)+1)</f>
        <v/>
      </c>
      <c r="M17" t="str">
        <f>IF($M$11=3,C46,"")</f>
        <v/>
      </c>
    </row>
    <row r="18" spans="1:15" x14ac:dyDescent="0.25">
      <c r="A18" s="46"/>
      <c r="B18" s="38"/>
      <c r="C18" s="38"/>
      <c r="D18" s="38"/>
      <c r="E18" s="38"/>
      <c r="F18" s="38"/>
      <c r="G18" s="38"/>
      <c r="H18" s="38"/>
      <c r="I18" s="47"/>
      <c r="L18" t="str">
        <f>IF(M18="","",MAX(L$13:L17)+1)</f>
        <v/>
      </c>
      <c r="M18" t="str">
        <f>IF($M$11=3,C47,"")</f>
        <v/>
      </c>
    </row>
    <row r="19" spans="1:15" x14ac:dyDescent="0.25">
      <c r="A19" s="46"/>
      <c r="B19" s="38"/>
      <c r="C19" s="38"/>
      <c r="D19" s="38"/>
      <c r="E19" s="38"/>
      <c r="F19" s="38"/>
      <c r="G19" s="38"/>
      <c r="H19" s="38"/>
      <c r="I19" s="47"/>
    </row>
    <row r="20" spans="1:15" x14ac:dyDescent="0.25">
      <c r="A20" s="46"/>
      <c r="B20" s="38"/>
      <c r="C20" s="38"/>
      <c r="D20" s="38"/>
      <c r="E20" s="38"/>
      <c r="F20" s="38"/>
      <c r="G20" s="38"/>
      <c r="H20" s="38"/>
      <c r="I20" s="47"/>
    </row>
    <row r="21" spans="1:15" x14ac:dyDescent="0.25">
      <c r="A21" s="46"/>
      <c r="B21" s="39" t="s">
        <v>63</v>
      </c>
      <c r="C21" s="38" t="e">
        <f>+INDEX(D12:F17,MATCH(C6,C12:C17,0),MATCH(C7,D11:F11,1))</f>
        <v>#N/A</v>
      </c>
      <c r="D21" s="38">
        <f ca="1">IF(K4-C5&gt;10,1)</f>
        <v>1</v>
      </c>
      <c r="E21" s="38"/>
      <c r="F21" s="38"/>
      <c r="G21" s="38"/>
      <c r="H21" s="38"/>
      <c r="I21" s="47"/>
      <c r="M21" t="s">
        <v>202</v>
      </c>
    </row>
    <row r="22" spans="1:15" ht="15.75" thickBot="1" x14ac:dyDescent="0.3">
      <c r="A22" s="48"/>
      <c r="B22" s="49"/>
      <c r="C22" s="49"/>
      <c r="D22" s="49"/>
      <c r="E22" s="49"/>
      <c r="F22" s="49"/>
      <c r="G22" s="49"/>
      <c r="H22" s="49"/>
      <c r="I22" s="50"/>
    </row>
    <row r="24" spans="1:15" ht="15.75" thickBot="1" x14ac:dyDescent="0.3"/>
    <row r="25" spans="1:15" x14ac:dyDescent="0.25">
      <c r="A25" s="42"/>
      <c r="B25" s="43" t="s">
        <v>30</v>
      </c>
      <c r="C25" s="44"/>
      <c r="D25" s="44"/>
      <c r="E25" s="44"/>
      <c r="F25" s="44"/>
      <c r="G25" s="44"/>
      <c r="H25" s="44"/>
      <c r="I25" s="45"/>
    </row>
    <row r="26" spans="1:15" x14ac:dyDescent="0.25">
      <c r="A26" s="46"/>
      <c r="B26" s="38"/>
      <c r="C26" s="38"/>
      <c r="D26" s="38" t="s">
        <v>57</v>
      </c>
      <c r="E26" s="38" t="s">
        <v>58</v>
      </c>
      <c r="F26" s="38" t="s">
        <v>59</v>
      </c>
      <c r="G26" s="38"/>
      <c r="H26" s="38"/>
      <c r="I26" s="47"/>
    </row>
    <row r="27" spans="1:15" ht="15.75" thickBot="1" x14ac:dyDescent="0.3">
      <c r="A27" s="46"/>
      <c r="B27" s="38"/>
      <c r="C27" s="38"/>
      <c r="D27" s="38">
        <v>1</v>
      </c>
      <c r="E27" s="38">
        <v>2</v>
      </c>
      <c r="F27" s="38">
        <v>3</v>
      </c>
      <c r="G27" s="38"/>
      <c r="H27" s="38"/>
      <c r="I27" s="47"/>
    </row>
    <row r="28" spans="1:15" ht="15.75" thickBot="1" x14ac:dyDescent="0.3">
      <c r="A28" s="46"/>
      <c r="B28" s="38"/>
      <c r="C28" s="36" t="s">
        <v>65</v>
      </c>
      <c r="D28" s="30">
        <v>0.9</v>
      </c>
      <c r="E28" s="32">
        <v>0.86</v>
      </c>
      <c r="F28" s="32">
        <v>0.93</v>
      </c>
      <c r="G28" s="38"/>
      <c r="H28" s="38">
        <v>1</v>
      </c>
      <c r="I28" s="47" t="s">
        <v>57</v>
      </c>
    </row>
    <row r="29" spans="1:15" ht="24.75" thickBot="1" x14ac:dyDescent="0.3">
      <c r="A29" s="46"/>
      <c r="B29" s="38"/>
      <c r="C29" s="29" t="s">
        <v>152</v>
      </c>
      <c r="D29" s="31">
        <v>0.96</v>
      </c>
      <c r="E29" s="33">
        <v>1.01</v>
      </c>
      <c r="F29" s="33">
        <v>1.02</v>
      </c>
      <c r="G29" s="38"/>
      <c r="H29" s="38">
        <v>2</v>
      </c>
      <c r="I29" s="47" t="s">
        <v>58</v>
      </c>
    </row>
    <row r="30" spans="1:15" ht="24.75" thickBot="1" x14ac:dyDescent="0.3">
      <c r="A30" s="46"/>
      <c r="B30" s="38"/>
      <c r="C30" s="29" t="s">
        <v>153</v>
      </c>
      <c r="D30" s="31">
        <v>1.02</v>
      </c>
      <c r="E30" s="33">
        <v>1.02</v>
      </c>
      <c r="F30" s="33">
        <v>1.03</v>
      </c>
      <c r="G30" s="38"/>
      <c r="H30" s="38">
        <v>3</v>
      </c>
      <c r="I30" s="47" t="s">
        <v>59</v>
      </c>
    </row>
    <row r="31" spans="1:15" x14ac:dyDescent="0.25">
      <c r="A31" s="46"/>
      <c r="B31" s="38"/>
      <c r="C31" s="38"/>
      <c r="D31" s="38"/>
      <c r="E31" s="38"/>
      <c r="F31" s="38"/>
      <c r="G31" s="38"/>
      <c r="H31" s="38"/>
      <c r="I31" s="47"/>
    </row>
    <row r="32" spans="1:15" x14ac:dyDescent="0.25">
      <c r="A32" s="46"/>
      <c r="B32" s="38"/>
      <c r="C32" s="38"/>
      <c r="D32" s="38"/>
      <c r="E32" s="38"/>
      <c r="F32" s="38"/>
      <c r="G32" s="38"/>
      <c r="H32" s="38"/>
      <c r="I32" s="47"/>
      <c r="L32" s="51"/>
      <c r="M32" s="51"/>
      <c r="N32" s="51"/>
      <c r="O32" s="51"/>
    </row>
    <row r="33" spans="1:15" x14ac:dyDescent="0.25">
      <c r="A33" s="46"/>
      <c r="B33" s="38"/>
      <c r="C33" s="38"/>
      <c r="D33" s="38"/>
      <c r="E33" s="38"/>
      <c r="F33" s="38"/>
      <c r="G33" s="38"/>
      <c r="H33" s="38"/>
      <c r="I33" s="47"/>
      <c r="L33" s="37"/>
      <c r="M33" s="52"/>
      <c r="N33" s="52"/>
      <c r="O33" s="52"/>
    </row>
    <row r="34" spans="1:15" x14ac:dyDescent="0.25">
      <c r="A34" s="46"/>
      <c r="B34" s="39" t="s">
        <v>71</v>
      </c>
      <c r="C34" s="38" t="e">
        <f>+INDEX(D28:F30,MATCH(C6,C28:C30,0),MATCH(C7,D27:F27,1))</f>
        <v>#N/A</v>
      </c>
      <c r="D34" s="38"/>
      <c r="E34" s="38"/>
      <c r="F34" s="38"/>
      <c r="G34" s="38"/>
      <c r="H34" s="38"/>
      <c r="I34" s="47"/>
      <c r="L34" s="37"/>
      <c r="M34" s="52"/>
      <c r="N34" s="52"/>
      <c r="O34" s="52"/>
    </row>
    <row r="35" spans="1:15" ht="15.75" thickBot="1" x14ac:dyDescent="0.3">
      <c r="A35" s="48"/>
      <c r="B35" s="49"/>
      <c r="C35" s="49"/>
      <c r="D35" s="49"/>
      <c r="E35" s="49"/>
      <c r="F35" s="49"/>
      <c r="G35" s="49"/>
      <c r="H35" s="49"/>
      <c r="I35" s="50"/>
      <c r="L35" s="37"/>
      <c r="M35" s="52"/>
      <c r="N35" s="52"/>
      <c r="O35" s="52"/>
    </row>
    <row r="36" spans="1:15" x14ac:dyDescent="0.25">
      <c r="L36" s="51"/>
      <c r="M36" s="51"/>
      <c r="N36" s="51"/>
      <c r="O36" s="51"/>
    </row>
    <row r="39" spans="1:15" ht="15.75" thickBot="1" x14ac:dyDescent="0.3"/>
    <row r="40" spans="1:15" x14ac:dyDescent="0.25">
      <c r="B40" s="43" t="s">
        <v>66</v>
      </c>
      <c r="C40" s="44"/>
      <c r="D40" s="44"/>
      <c r="E40" s="44"/>
      <c r="F40" s="44"/>
      <c r="G40" s="44"/>
      <c r="H40" s="44"/>
      <c r="I40" s="45"/>
    </row>
    <row r="41" spans="1:15" x14ac:dyDescent="0.25">
      <c r="B41" s="38"/>
      <c r="C41" s="38"/>
      <c r="D41" s="38" t="s">
        <v>70</v>
      </c>
      <c r="E41" s="38"/>
      <c r="F41" s="38"/>
      <c r="G41" s="38"/>
      <c r="H41" s="38"/>
      <c r="I41" s="47"/>
    </row>
    <row r="42" spans="1:15" ht="15.75" thickBot="1" x14ac:dyDescent="0.3">
      <c r="B42" s="38"/>
      <c r="C42" s="38"/>
      <c r="D42" s="38">
        <v>1</v>
      </c>
      <c r="E42" s="38"/>
      <c r="F42" s="38"/>
      <c r="G42" s="38"/>
      <c r="H42" s="38"/>
      <c r="I42" s="47"/>
    </row>
    <row r="43" spans="1:15" ht="15.75" thickBot="1" x14ac:dyDescent="0.3">
      <c r="B43" s="38"/>
      <c r="C43" s="36" t="s">
        <v>77</v>
      </c>
      <c r="D43" s="53">
        <v>0.88</v>
      </c>
      <c r="E43" s="56"/>
      <c r="F43" s="56"/>
      <c r="G43" s="38"/>
      <c r="H43" s="38">
        <v>1</v>
      </c>
      <c r="I43" s="47" t="s">
        <v>70</v>
      </c>
    </row>
    <row r="44" spans="1:15" ht="48.75" thickBot="1" x14ac:dyDescent="0.3">
      <c r="B44" s="38"/>
      <c r="C44" s="29" t="s">
        <v>76</v>
      </c>
      <c r="D44" s="54">
        <v>0.75</v>
      </c>
      <c r="E44" s="56"/>
      <c r="F44" s="56"/>
      <c r="G44" s="38"/>
      <c r="H44" s="38"/>
      <c r="I44" s="47"/>
    </row>
    <row r="45" spans="1:15" ht="36.75" thickBot="1" x14ac:dyDescent="0.3">
      <c r="B45" s="38"/>
      <c r="C45" s="35" t="s">
        <v>67</v>
      </c>
      <c r="D45" s="55">
        <v>0.75</v>
      </c>
      <c r="E45" s="38"/>
      <c r="F45" s="56"/>
      <c r="G45" s="38"/>
      <c r="H45" s="38"/>
      <c r="I45" s="47"/>
    </row>
    <row r="46" spans="1:15" ht="60.75" thickBot="1" x14ac:dyDescent="0.3">
      <c r="B46" s="38"/>
      <c r="C46" s="35" t="s">
        <v>68</v>
      </c>
      <c r="D46" s="33">
        <v>0.75</v>
      </c>
      <c r="F46" s="38"/>
      <c r="G46" s="38"/>
      <c r="H46" s="38"/>
      <c r="I46" s="47"/>
    </row>
    <row r="47" spans="1:15" ht="48.75" thickBot="1" x14ac:dyDescent="0.3">
      <c r="B47" s="38"/>
      <c r="C47" s="29" t="s">
        <v>69</v>
      </c>
      <c r="D47" s="33">
        <v>0.88</v>
      </c>
      <c r="F47" s="38"/>
      <c r="G47" s="38"/>
      <c r="H47" s="38"/>
      <c r="I47" s="47"/>
    </row>
    <row r="48" spans="1:15" x14ac:dyDescent="0.25">
      <c r="B48" s="38"/>
      <c r="C48" s="38"/>
      <c r="D48" s="38"/>
      <c r="E48" s="38"/>
      <c r="F48" s="38"/>
      <c r="G48" s="38"/>
      <c r="H48" s="38"/>
      <c r="I48" s="47"/>
    </row>
    <row r="49" spans="2:9" x14ac:dyDescent="0.25">
      <c r="B49" s="39" t="s">
        <v>72</v>
      </c>
      <c r="C49" s="38" t="e">
        <f>+INDEX(D43:D47,MATCH(C6,C43:C47,0),MATCH(C7,D42,1))</f>
        <v>#N/A</v>
      </c>
      <c r="D49" s="38"/>
      <c r="E49" s="38"/>
      <c r="F49" s="38"/>
      <c r="G49" s="38"/>
      <c r="H49" s="38"/>
      <c r="I49" s="47"/>
    </row>
    <row r="50" spans="2:9" ht="15.75" thickBot="1" x14ac:dyDescent="0.3">
      <c r="B50" s="49"/>
      <c r="C50" s="49"/>
      <c r="D50" s="49"/>
      <c r="E50" s="49"/>
      <c r="F50" s="49"/>
      <c r="G50" s="49"/>
      <c r="H50" s="49"/>
      <c r="I50" s="50"/>
    </row>
    <row r="53" spans="2:9" ht="15.75" thickBot="1" x14ac:dyDescent="0.3"/>
    <row r="54" spans="2:9" x14ac:dyDescent="0.25">
      <c r="B54" s="43" t="s">
        <v>73</v>
      </c>
      <c r="C54" s="44"/>
      <c r="D54" s="44"/>
      <c r="E54" s="44"/>
      <c r="F54" s="44"/>
      <c r="G54" s="44"/>
      <c r="H54" s="44"/>
      <c r="I54" s="45"/>
    </row>
    <row r="55" spans="2:9" x14ac:dyDescent="0.25">
      <c r="B55" s="38"/>
      <c r="C55" s="38"/>
      <c r="D55" s="38" t="s">
        <v>70</v>
      </c>
      <c r="E55" s="38"/>
      <c r="F55" s="38"/>
      <c r="G55" s="38"/>
      <c r="H55" s="38"/>
      <c r="I55" s="47"/>
    </row>
    <row r="56" spans="2:9" ht="15.75" thickBot="1" x14ac:dyDescent="0.3">
      <c r="B56" s="38"/>
      <c r="C56" s="38"/>
      <c r="D56" s="38">
        <v>1</v>
      </c>
      <c r="E56" s="38"/>
      <c r="F56" s="38"/>
      <c r="G56" s="38"/>
      <c r="H56" s="38"/>
      <c r="I56" s="47"/>
    </row>
    <row r="57" spans="2:9" ht="15.75" thickBot="1" x14ac:dyDescent="0.3">
      <c r="B57" s="38"/>
      <c r="C57" s="36" t="s">
        <v>74</v>
      </c>
      <c r="D57" s="53">
        <v>0.97</v>
      </c>
      <c r="E57" s="56"/>
      <c r="F57" s="56"/>
      <c r="G57" s="38"/>
      <c r="H57" s="38">
        <v>1</v>
      </c>
      <c r="I57" s="47" t="s">
        <v>70</v>
      </c>
    </row>
    <row r="58" spans="2:9" x14ac:dyDescent="0.25">
      <c r="B58" s="38"/>
      <c r="C58" s="38"/>
      <c r="D58" s="38"/>
      <c r="E58" s="38"/>
      <c r="F58" s="38"/>
      <c r="G58" s="38"/>
      <c r="H58" s="38"/>
      <c r="I58" s="47"/>
    </row>
    <row r="59" spans="2:9" x14ac:dyDescent="0.25">
      <c r="B59" s="39" t="s">
        <v>79</v>
      </c>
      <c r="C59" s="38" t="e">
        <f>+INDEX(D57:D57,MATCH(C6,C57:C57,0),MATCH(C7,D56,1))</f>
        <v>#N/A</v>
      </c>
      <c r="D59" s="38"/>
      <c r="E59" s="38"/>
      <c r="F59" s="38"/>
      <c r="G59" s="38"/>
      <c r="H59" s="38"/>
      <c r="I59" s="47"/>
    </row>
    <row r="60" spans="2:9" ht="15.75" thickBot="1" x14ac:dyDescent="0.3">
      <c r="B60" s="49"/>
      <c r="C60" s="49"/>
      <c r="D60" s="49"/>
      <c r="E60" s="49"/>
      <c r="F60" s="49"/>
      <c r="G60" s="49"/>
      <c r="H60" s="49"/>
      <c r="I60" s="50"/>
    </row>
    <row r="63" spans="2:9" ht="15.75" thickBot="1" x14ac:dyDescent="0.3"/>
    <row r="64" spans="2:9" x14ac:dyDescent="0.25">
      <c r="B64" s="43" t="s">
        <v>6</v>
      </c>
      <c r="C64" s="44"/>
      <c r="D64" s="44"/>
      <c r="E64" s="44"/>
      <c r="F64" s="44"/>
      <c r="G64" s="44"/>
      <c r="H64" s="44"/>
      <c r="I64" s="45"/>
    </row>
    <row r="65" spans="2:9" x14ac:dyDescent="0.25">
      <c r="B65" s="38"/>
      <c r="C65" s="38"/>
      <c r="D65" s="38" t="s">
        <v>70</v>
      </c>
      <c r="E65" s="38"/>
      <c r="F65" s="38"/>
      <c r="G65" s="38"/>
      <c r="H65" s="38"/>
      <c r="I65" s="47"/>
    </row>
    <row r="66" spans="2:9" ht="15.75" thickBot="1" x14ac:dyDescent="0.3">
      <c r="B66" s="38"/>
      <c r="C66" s="38"/>
      <c r="D66" s="38">
        <v>1</v>
      </c>
      <c r="E66" s="38"/>
      <c r="F66" s="38"/>
      <c r="G66" s="38"/>
      <c r="H66" s="38"/>
      <c r="I66" s="47"/>
    </row>
    <row r="67" spans="2:9" ht="15.75" thickBot="1" x14ac:dyDescent="0.3">
      <c r="B67" s="38"/>
      <c r="C67" s="36" t="s">
        <v>86</v>
      </c>
      <c r="D67" s="53">
        <v>0.96</v>
      </c>
      <c r="E67" s="56"/>
      <c r="F67" s="56"/>
      <c r="G67" s="38"/>
      <c r="H67" s="38">
        <v>1</v>
      </c>
      <c r="I67" s="47" t="s">
        <v>70</v>
      </c>
    </row>
    <row r="68" spans="2:9" x14ac:dyDescent="0.25">
      <c r="B68" s="38"/>
      <c r="C68" s="38"/>
      <c r="D68" s="38"/>
      <c r="E68" s="38"/>
      <c r="F68" s="38"/>
      <c r="G68" s="38"/>
      <c r="H68" s="38"/>
      <c r="I68" s="47"/>
    </row>
    <row r="69" spans="2:9" x14ac:dyDescent="0.25">
      <c r="B69" s="39" t="s">
        <v>80</v>
      </c>
      <c r="C69" s="38" t="e">
        <f>+INDEX(D67:D67,MATCH(C6,C67:C67,0),MATCH(C7,D66,1))</f>
        <v>#N/A</v>
      </c>
      <c r="D69" s="38"/>
      <c r="E69" s="38"/>
      <c r="F69" s="38"/>
      <c r="G69" s="38"/>
      <c r="H69" s="38"/>
      <c r="I69" s="47"/>
    </row>
    <row r="70" spans="2:9" ht="15.75" thickBot="1" x14ac:dyDescent="0.3">
      <c r="B70" s="49"/>
      <c r="C70" s="49"/>
      <c r="D70" s="49"/>
      <c r="E70" s="49"/>
      <c r="F70" s="49"/>
      <c r="G70" s="49"/>
      <c r="H70" s="49"/>
      <c r="I70" s="50"/>
    </row>
    <row r="73" spans="2:9" ht="15.75" thickBot="1" x14ac:dyDescent="0.3"/>
    <row r="74" spans="2:9" x14ac:dyDescent="0.25">
      <c r="B74" s="43" t="s">
        <v>12</v>
      </c>
      <c r="C74" s="44"/>
      <c r="D74" s="44"/>
      <c r="E74" s="44"/>
      <c r="F74" s="44"/>
      <c r="G74" s="44"/>
      <c r="H74" s="44"/>
      <c r="I74" s="45"/>
    </row>
    <row r="75" spans="2:9" x14ac:dyDescent="0.25">
      <c r="B75" s="38"/>
      <c r="C75" s="38"/>
      <c r="D75" s="38" t="s">
        <v>70</v>
      </c>
      <c r="E75" s="38"/>
      <c r="F75" s="38"/>
      <c r="G75" s="38"/>
      <c r="H75" s="38"/>
      <c r="I75" s="47"/>
    </row>
    <row r="76" spans="2:9" ht="15.75" thickBot="1" x14ac:dyDescent="0.3">
      <c r="B76" s="38"/>
      <c r="C76" s="38"/>
      <c r="D76" s="38">
        <v>1</v>
      </c>
      <c r="E76" s="38"/>
      <c r="F76" s="38"/>
      <c r="G76" s="38"/>
      <c r="H76" s="38"/>
      <c r="I76" s="47"/>
    </row>
    <row r="77" spans="2:9" ht="24.75" thickBot="1" x14ac:dyDescent="0.3">
      <c r="B77" s="38"/>
      <c r="C77" s="36" t="s">
        <v>85</v>
      </c>
      <c r="D77" s="53">
        <v>0.94</v>
      </c>
      <c r="E77" s="56"/>
      <c r="F77" s="56"/>
      <c r="G77" s="38"/>
      <c r="H77" s="38">
        <v>1</v>
      </c>
      <c r="I77" s="47" t="s">
        <v>70</v>
      </c>
    </row>
    <row r="78" spans="2:9" x14ac:dyDescent="0.25">
      <c r="B78" s="38"/>
      <c r="C78" s="38"/>
      <c r="D78" s="38"/>
      <c r="E78" s="38"/>
      <c r="F78" s="38"/>
      <c r="G78" s="38"/>
      <c r="H78" s="38"/>
      <c r="I78" s="47"/>
    </row>
    <row r="79" spans="2:9" x14ac:dyDescent="0.25">
      <c r="B79" s="39" t="s">
        <v>81</v>
      </c>
      <c r="C79" s="38" t="e">
        <f>+INDEX(D77:D77,MATCH(C6,C77:C77,0),MATCH(C7,D76,1))</f>
        <v>#N/A</v>
      </c>
      <c r="D79" s="38"/>
      <c r="E79" s="38"/>
      <c r="F79" s="38"/>
      <c r="G79" s="38"/>
      <c r="H79" s="38"/>
      <c r="I79" s="47"/>
    </row>
    <row r="80" spans="2:9" ht="15.75" thickBot="1" x14ac:dyDescent="0.3">
      <c r="B80" s="49"/>
      <c r="C80" s="49"/>
      <c r="D80" s="49"/>
      <c r="E80" s="49"/>
      <c r="F80" s="49"/>
      <c r="G80" s="49"/>
      <c r="H80" s="49"/>
      <c r="I80" s="50"/>
    </row>
    <row r="85" spans="2:3" x14ac:dyDescent="0.25">
      <c r="B85" t="s">
        <v>78</v>
      </c>
    </row>
    <row r="86" spans="2:3" x14ac:dyDescent="0.25">
      <c r="B86" t="s">
        <v>14</v>
      </c>
      <c r="C86" t="e">
        <f>C21</f>
        <v>#N/A</v>
      </c>
    </row>
    <row r="87" spans="2:3" x14ac:dyDescent="0.25">
      <c r="B87" t="s">
        <v>30</v>
      </c>
      <c r="C87" t="e">
        <f>C34</f>
        <v>#N/A</v>
      </c>
    </row>
    <row r="88" spans="2:3" x14ac:dyDescent="0.25">
      <c r="B88" t="s">
        <v>5</v>
      </c>
      <c r="C88" t="e">
        <f>C49</f>
        <v>#N/A</v>
      </c>
    </row>
    <row r="89" spans="2:3" x14ac:dyDescent="0.25">
      <c r="B89" t="s">
        <v>13</v>
      </c>
      <c r="C89" t="e">
        <f>C59</f>
        <v>#N/A</v>
      </c>
    </row>
    <row r="90" spans="2:3" x14ac:dyDescent="0.25">
      <c r="B90" t="s">
        <v>6</v>
      </c>
      <c r="C90" t="e">
        <f>C69</f>
        <v>#N/A</v>
      </c>
    </row>
    <row r="91" spans="2:3" x14ac:dyDescent="0.25">
      <c r="B91" t="s">
        <v>12</v>
      </c>
      <c r="C91" t="e">
        <f>C79</f>
        <v>#N/A</v>
      </c>
    </row>
    <row r="92" spans="2:3" x14ac:dyDescent="0.25">
      <c r="B92" t="s">
        <v>154</v>
      </c>
      <c r="C92" s="77">
        <f>IF('Beregner '!G18=Forbrugsberegner!M64,Virkningsgradsberegner!D77,)</f>
        <v>0</v>
      </c>
    </row>
    <row r="93" spans="2:3" x14ac:dyDescent="0.25">
      <c r="B93" t="s">
        <v>46</v>
      </c>
      <c r="C93" t="e">
        <f>+INDEX(C86:C92,MATCH(C4,B86:B92,0))*100</f>
        <v>#N/A</v>
      </c>
    </row>
  </sheetData>
  <dataValidations disablePrompts="1" count="1">
    <dataValidation type="list" allowBlank="1" showInputMessage="1" showErrorMessage="1" sqref="M21">
      <formula1>$M$14:$M$18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G206"/>
  <sheetViews>
    <sheetView topLeftCell="I1" zoomScale="85" zoomScaleNormal="85" workbookViewId="0">
      <selection activeCell="W28" sqref="W28"/>
    </sheetView>
  </sheetViews>
  <sheetFormatPr defaultRowHeight="15" x14ac:dyDescent="0.25"/>
  <cols>
    <col min="2" max="2" width="21.140625" customWidth="1"/>
    <col min="3" max="3" width="34.5703125" bestFit="1" customWidth="1"/>
    <col min="4" max="4" width="29.85546875" bestFit="1" customWidth="1"/>
    <col min="5" max="5" width="14.85546875" customWidth="1"/>
    <col min="7" max="7" width="23.42578125" customWidth="1"/>
    <col min="12" max="12" width="11.5703125" bestFit="1" customWidth="1"/>
    <col min="13" max="13" width="23.85546875" bestFit="1" customWidth="1"/>
    <col min="14" max="14" width="14.5703125" bestFit="1" customWidth="1"/>
    <col min="15" max="16" width="11.42578125" customWidth="1"/>
    <col min="17" max="17" width="27.7109375" customWidth="1"/>
    <col min="18" max="18" width="14" bestFit="1" customWidth="1"/>
    <col min="19" max="25" width="10.85546875" bestFit="1" customWidth="1"/>
    <col min="26" max="27" width="10.42578125" bestFit="1" customWidth="1"/>
    <col min="28" max="28" width="10.140625" bestFit="1" customWidth="1"/>
    <col min="29" max="29" width="11.5703125" customWidth="1"/>
    <col min="30" max="30" width="11.140625" bestFit="1" customWidth="1"/>
    <col min="32" max="32" width="18.42578125" bestFit="1" customWidth="1"/>
    <col min="33" max="33" width="11.5703125" bestFit="1" customWidth="1"/>
  </cols>
  <sheetData>
    <row r="2" spans="2:18" ht="15.75" thickBot="1" x14ac:dyDescent="0.3">
      <c r="C2" t="s">
        <v>133</v>
      </c>
      <c r="D2" t="s">
        <v>134</v>
      </c>
      <c r="E2" t="s">
        <v>135</v>
      </c>
      <c r="F2" t="s">
        <v>138</v>
      </c>
      <c r="G2" t="s">
        <v>136</v>
      </c>
      <c r="H2" t="s">
        <v>137</v>
      </c>
    </row>
    <row r="3" spans="2:18" x14ac:dyDescent="0.25">
      <c r="B3" t="s">
        <v>98</v>
      </c>
      <c r="C3" t="s">
        <v>102</v>
      </c>
      <c r="D3" t="s">
        <v>88</v>
      </c>
      <c r="E3" t="s">
        <v>89</v>
      </c>
      <c r="F3" t="s">
        <v>90</v>
      </c>
      <c r="G3" t="s">
        <v>91</v>
      </c>
      <c r="H3" t="s">
        <v>92</v>
      </c>
      <c r="I3" t="s">
        <v>93</v>
      </c>
      <c r="J3" t="s">
        <v>94</v>
      </c>
      <c r="K3" t="s">
        <v>95</v>
      </c>
      <c r="L3" t="s">
        <v>96</v>
      </c>
      <c r="M3" t="s">
        <v>97</v>
      </c>
      <c r="N3" t="s">
        <v>98</v>
      </c>
      <c r="Q3" s="42" t="s">
        <v>139</v>
      </c>
      <c r="R3" s="45"/>
    </row>
    <row r="4" spans="2:18" x14ac:dyDescent="0.25">
      <c r="C4" t="s">
        <v>88</v>
      </c>
      <c r="D4" t="s">
        <v>89</v>
      </c>
      <c r="E4" t="s">
        <v>90</v>
      </c>
      <c r="F4" t="s">
        <v>91</v>
      </c>
      <c r="G4" t="s">
        <v>92</v>
      </c>
      <c r="H4" t="s">
        <v>93</v>
      </c>
      <c r="I4" t="s">
        <v>94</v>
      </c>
      <c r="J4" t="s">
        <v>95</v>
      </c>
      <c r="K4" t="s">
        <v>96</v>
      </c>
      <c r="L4" t="s">
        <v>97</v>
      </c>
      <c r="M4" t="s">
        <v>98</v>
      </c>
      <c r="Q4" s="46" t="s">
        <v>140</v>
      </c>
      <c r="R4" s="141" t="str">
        <f>'Beregner '!H24</f>
        <v>Januar</v>
      </c>
    </row>
    <row r="5" spans="2:18" x14ac:dyDescent="0.25">
      <c r="C5" t="s">
        <v>89</v>
      </c>
      <c r="D5" t="s">
        <v>90</v>
      </c>
      <c r="E5" t="s">
        <v>91</v>
      </c>
      <c r="F5" t="s">
        <v>92</v>
      </c>
      <c r="G5" t="s">
        <v>93</v>
      </c>
      <c r="H5" t="s">
        <v>94</v>
      </c>
      <c r="I5" t="s">
        <v>95</v>
      </c>
      <c r="J5" t="s">
        <v>96</v>
      </c>
      <c r="K5" t="s">
        <v>97</v>
      </c>
      <c r="L5" t="s">
        <v>98</v>
      </c>
      <c r="Q5" s="46" t="s">
        <v>141</v>
      </c>
      <c r="R5" s="47">
        <f>MATCH(R4,B3:N3,0)</f>
        <v>2</v>
      </c>
    </row>
    <row r="6" spans="2:18" x14ac:dyDescent="0.25">
      <c r="C6" t="s">
        <v>90</v>
      </c>
      <c r="D6" t="s">
        <v>91</v>
      </c>
      <c r="E6" t="s">
        <v>92</v>
      </c>
      <c r="F6" t="s">
        <v>93</v>
      </c>
      <c r="G6" t="s">
        <v>94</v>
      </c>
      <c r="H6" t="s">
        <v>95</v>
      </c>
      <c r="I6" t="s">
        <v>96</v>
      </c>
      <c r="J6" t="s">
        <v>97</v>
      </c>
      <c r="K6" t="s">
        <v>98</v>
      </c>
      <c r="Q6" s="46" t="s">
        <v>142</v>
      </c>
      <c r="R6" s="47">
        <f>R5-1</f>
        <v>1</v>
      </c>
    </row>
    <row r="7" spans="2:18" ht="15.75" thickBot="1" x14ac:dyDescent="0.3">
      <c r="C7" t="s">
        <v>91</v>
      </c>
      <c r="D7" t="s">
        <v>92</v>
      </c>
      <c r="E7" t="s">
        <v>93</v>
      </c>
      <c r="F7" t="s">
        <v>94</v>
      </c>
      <c r="G7" t="s">
        <v>95</v>
      </c>
      <c r="H7" t="s">
        <v>96</v>
      </c>
      <c r="I7" t="s">
        <v>97</v>
      </c>
      <c r="J7" t="s">
        <v>98</v>
      </c>
      <c r="Q7" s="48" t="s">
        <v>207</v>
      </c>
      <c r="R7" s="50" t="str">
        <f>IF(R4="December","November",INDEX(B3:N3,,R6))</f>
        <v>December</v>
      </c>
    </row>
    <row r="8" spans="2:18" x14ac:dyDescent="0.25">
      <c r="C8" t="s">
        <v>92</v>
      </c>
      <c r="D8" t="s">
        <v>93</v>
      </c>
      <c r="E8" t="s">
        <v>94</v>
      </c>
      <c r="F8" t="s">
        <v>95</v>
      </c>
      <c r="G8" t="s">
        <v>96</v>
      </c>
      <c r="H8" t="s">
        <v>97</v>
      </c>
      <c r="I8" t="s">
        <v>98</v>
      </c>
    </row>
    <row r="9" spans="2:18" x14ac:dyDescent="0.25">
      <c r="C9" t="s">
        <v>93</v>
      </c>
      <c r="D9" t="s">
        <v>94</v>
      </c>
      <c r="E9" t="s">
        <v>95</v>
      </c>
      <c r="F9" t="s">
        <v>96</v>
      </c>
      <c r="G9" t="s">
        <v>97</v>
      </c>
      <c r="H9" t="s">
        <v>98</v>
      </c>
    </row>
    <row r="10" spans="2:18" x14ac:dyDescent="0.25">
      <c r="C10" t="s">
        <v>94</v>
      </c>
      <c r="D10" t="s">
        <v>95</v>
      </c>
      <c r="E10" t="s">
        <v>96</v>
      </c>
      <c r="F10" t="s">
        <v>97</v>
      </c>
      <c r="G10" t="s">
        <v>98</v>
      </c>
    </row>
    <row r="11" spans="2:18" x14ac:dyDescent="0.25">
      <c r="C11" t="s">
        <v>95</v>
      </c>
      <c r="D11" t="s">
        <v>96</v>
      </c>
      <c r="E11" t="s">
        <v>97</v>
      </c>
      <c r="F11" t="s">
        <v>98</v>
      </c>
    </row>
    <row r="12" spans="2:18" x14ac:dyDescent="0.25">
      <c r="C12" t="s">
        <v>96</v>
      </c>
      <c r="D12" t="s">
        <v>97</v>
      </c>
      <c r="E12" t="s">
        <v>98</v>
      </c>
    </row>
    <row r="13" spans="2:18" x14ac:dyDescent="0.25">
      <c r="C13" t="s">
        <v>97</v>
      </c>
      <c r="D13" t="s">
        <v>98</v>
      </c>
    </row>
    <row r="14" spans="2:18" x14ac:dyDescent="0.25">
      <c r="C14" t="s">
        <v>98</v>
      </c>
    </row>
    <row r="15" spans="2:18" x14ac:dyDescent="0.25">
      <c r="B15" s="58" t="s">
        <v>99</v>
      </c>
      <c r="C15">
        <v>12</v>
      </c>
      <c r="D15">
        <v>11</v>
      </c>
      <c r="E15">
        <v>10</v>
      </c>
      <c r="F15">
        <v>9</v>
      </c>
      <c r="G15">
        <v>8</v>
      </c>
      <c r="H15">
        <v>7</v>
      </c>
      <c r="I15">
        <v>6</v>
      </c>
      <c r="J15">
        <v>5</v>
      </c>
      <c r="K15">
        <v>4</v>
      </c>
      <c r="L15">
        <v>3</v>
      </c>
      <c r="M15">
        <v>2</v>
      </c>
      <c r="N15">
        <v>1</v>
      </c>
    </row>
    <row r="16" spans="2:18" x14ac:dyDescent="0.25">
      <c r="D16" t="s">
        <v>138</v>
      </c>
      <c r="E16" s="78"/>
    </row>
    <row r="17" spans="3:33" ht="18.75" x14ac:dyDescent="0.3">
      <c r="R17" s="328" t="s">
        <v>100</v>
      </c>
      <c r="S17" s="328"/>
      <c r="T17" s="328"/>
      <c r="U17" s="328"/>
      <c r="V17" s="328"/>
      <c r="W17" s="328"/>
      <c r="X17" s="328"/>
      <c r="Y17" s="328"/>
      <c r="Z17" s="328"/>
      <c r="AA17" s="328"/>
      <c r="AB17" s="328"/>
      <c r="AC17" s="328"/>
      <c r="AD17" s="328"/>
    </row>
    <row r="18" spans="3:33" ht="16.5" thickBot="1" x14ac:dyDescent="0.3">
      <c r="C18" s="329" t="s">
        <v>101</v>
      </c>
      <c r="D18" s="329"/>
      <c r="E18" s="329"/>
      <c r="F18" s="329"/>
      <c r="G18" s="329"/>
      <c r="H18" s="329"/>
      <c r="I18" s="329"/>
      <c r="J18" s="329"/>
      <c r="K18" s="329"/>
      <c r="L18" s="329"/>
      <c r="M18" s="329"/>
      <c r="N18" s="329"/>
      <c r="O18" s="329"/>
      <c r="AB18" s="38"/>
      <c r="AC18" s="38"/>
      <c r="AD18" s="38"/>
    </row>
    <row r="19" spans="3:33" x14ac:dyDescent="0.25">
      <c r="R19" s="59" t="s">
        <v>147</v>
      </c>
      <c r="S19" s="60" t="s">
        <v>102</v>
      </c>
      <c r="T19" s="60" t="s">
        <v>88</v>
      </c>
      <c r="U19" s="60" t="s">
        <v>89</v>
      </c>
      <c r="V19" s="60" t="s">
        <v>90</v>
      </c>
      <c r="W19" s="60" t="s">
        <v>91</v>
      </c>
      <c r="X19" s="60" t="s">
        <v>92</v>
      </c>
      <c r="Y19" s="60" t="s">
        <v>93</v>
      </c>
      <c r="Z19" s="60" t="s">
        <v>94</v>
      </c>
      <c r="AA19" s="60" t="s">
        <v>95</v>
      </c>
      <c r="AB19" s="60" t="s">
        <v>96</v>
      </c>
      <c r="AC19" s="60" t="s">
        <v>97</v>
      </c>
      <c r="AD19" s="61" t="s">
        <v>98</v>
      </c>
      <c r="AE19" s="80" t="s">
        <v>144</v>
      </c>
      <c r="AF19" s="81" t="s">
        <v>146</v>
      </c>
      <c r="AG19" s="81" t="s">
        <v>145</v>
      </c>
    </row>
    <row r="20" spans="3:33" x14ac:dyDescent="0.25">
      <c r="C20" s="41" t="s">
        <v>102</v>
      </c>
      <c r="D20" s="41">
        <v>468</v>
      </c>
      <c r="E20" s="41">
        <f>D20</f>
        <v>468</v>
      </c>
      <c r="R20" s="62">
        <v>2017</v>
      </c>
      <c r="S20" s="41">
        <v>483.4</v>
      </c>
      <c r="T20" s="41">
        <v>423</v>
      </c>
      <c r="U20" s="41">
        <v>380.3</v>
      </c>
      <c r="V20" s="41">
        <v>321.7</v>
      </c>
      <c r="W20" s="41">
        <v>158</v>
      </c>
      <c r="X20" s="41">
        <v>71.099999999999994</v>
      </c>
      <c r="Y20" s="41">
        <v>48.1</v>
      </c>
      <c r="Z20" s="41">
        <v>37</v>
      </c>
      <c r="AA20" s="41">
        <v>111</v>
      </c>
      <c r="AB20" s="41">
        <v>181.9</v>
      </c>
      <c r="AC20" s="41">
        <v>341.5</v>
      </c>
      <c r="AD20" s="63">
        <v>412.9</v>
      </c>
      <c r="AE20">
        <f>SUM(S20:AD20)</f>
        <v>2969.9</v>
      </c>
      <c r="AF20">
        <v>2970.1</v>
      </c>
      <c r="AG20">
        <f>AE20-AF20</f>
        <v>-0.1999999999998181</v>
      </c>
    </row>
    <row r="21" spans="3:33" x14ac:dyDescent="0.25">
      <c r="C21" s="41" t="s">
        <v>88</v>
      </c>
      <c r="D21" s="41">
        <v>431</v>
      </c>
      <c r="E21" s="41">
        <f t="shared" ref="E21:E31" si="0">$D21+E20</f>
        <v>899</v>
      </c>
      <c r="F21" s="41">
        <f t="shared" ref="F21:F31" si="1">$D21+F20</f>
        <v>431</v>
      </c>
      <c r="R21" s="62">
        <v>2018</v>
      </c>
      <c r="S21" s="41">
        <v>454.6</v>
      </c>
      <c r="T21" s="41">
        <v>495.8</v>
      </c>
      <c r="U21" s="41">
        <v>516.6</v>
      </c>
      <c r="V21" s="41">
        <v>258</v>
      </c>
      <c r="W21" s="41">
        <v>76.8</v>
      </c>
      <c r="X21" s="41">
        <v>39.200000000000003</v>
      </c>
      <c r="Y21" s="41">
        <v>10.199999999999999</v>
      </c>
      <c r="Z21" s="41">
        <v>26.3</v>
      </c>
      <c r="AA21" s="41">
        <v>90.1</v>
      </c>
      <c r="AB21" s="41">
        <v>207.4</v>
      </c>
      <c r="AC21" s="41">
        <v>332.2</v>
      </c>
      <c r="AD21" s="63">
        <v>393</v>
      </c>
      <c r="AE21">
        <f>SUM(S21:AD21)</f>
        <v>2900.2</v>
      </c>
      <c r="AF21">
        <v>2900</v>
      </c>
      <c r="AG21">
        <f t="shared" ref="AG21:AG24" si="2">AE21-AF21</f>
        <v>0.1999999999998181</v>
      </c>
    </row>
    <row r="22" spans="3:33" x14ac:dyDescent="0.25">
      <c r="C22" s="41" t="s">
        <v>89</v>
      </c>
      <c r="D22" s="41">
        <v>412</v>
      </c>
      <c r="E22" s="41">
        <f t="shared" si="0"/>
        <v>1311</v>
      </c>
      <c r="F22" s="41">
        <f t="shared" si="1"/>
        <v>843</v>
      </c>
      <c r="G22" s="41">
        <f t="shared" ref="G22:G31" si="3">$D22+G21</f>
        <v>412</v>
      </c>
      <c r="R22" s="62">
        <v>2019</v>
      </c>
      <c r="S22" s="41">
        <v>468.9</v>
      </c>
      <c r="T22" s="41">
        <v>358.1</v>
      </c>
      <c r="U22" s="41">
        <v>361.2</v>
      </c>
      <c r="V22" s="41">
        <v>267.3</v>
      </c>
      <c r="W22" s="41">
        <v>222.6</v>
      </c>
      <c r="X22" s="41">
        <v>40.6</v>
      </c>
      <c r="Y22" s="41">
        <v>46.4</v>
      </c>
      <c r="Z22" s="41">
        <v>20.7</v>
      </c>
      <c r="AA22" s="41">
        <v>108.8</v>
      </c>
      <c r="AB22" s="41">
        <v>235.1</v>
      </c>
      <c r="AC22" s="41">
        <v>337.6</v>
      </c>
      <c r="AD22" s="63">
        <v>379.8</v>
      </c>
      <c r="AE22">
        <f>SUM(S22:AD22)</f>
        <v>2847.1</v>
      </c>
      <c r="AF22">
        <v>2847.3</v>
      </c>
      <c r="AG22">
        <f t="shared" si="2"/>
        <v>-0.20000000000027285</v>
      </c>
    </row>
    <row r="23" spans="3:33" x14ac:dyDescent="0.25">
      <c r="C23" s="41" t="s">
        <v>90</v>
      </c>
      <c r="D23" s="41">
        <v>287</v>
      </c>
      <c r="E23" s="41">
        <f t="shared" si="0"/>
        <v>1598</v>
      </c>
      <c r="F23" s="41">
        <f t="shared" si="1"/>
        <v>1130</v>
      </c>
      <c r="G23" s="41">
        <f t="shared" si="3"/>
        <v>699</v>
      </c>
      <c r="H23" s="41">
        <f t="shared" ref="H23:H31" si="4">$D23+H22</f>
        <v>287</v>
      </c>
      <c r="R23" s="62">
        <v>2020</v>
      </c>
      <c r="S23" s="41">
        <v>356.7</v>
      </c>
      <c r="T23" s="41">
        <v>357.6</v>
      </c>
      <c r="U23" s="41">
        <v>389.8</v>
      </c>
      <c r="V23" s="41">
        <v>280.10000000000002</v>
      </c>
      <c r="W23" s="41">
        <v>213.4</v>
      </c>
      <c r="X23" s="41">
        <v>43.8</v>
      </c>
      <c r="Y23" s="41">
        <v>73.3</v>
      </c>
      <c r="Z23" s="41">
        <v>25.5</v>
      </c>
      <c r="AA23" s="41">
        <v>93.1</v>
      </c>
      <c r="AB23" s="41">
        <v>205.7</v>
      </c>
      <c r="AC23" s="41">
        <v>279.5</v>
      </c>
      <c r="AD23" s="63">
        <v>395.7</v>
      </c>
      <c r="AE23">
        <f>SUM(S23:AD23)</f>
        <v>2714.2</v>
      </c>
      <c r="AF23">
        <v>2714.5</v>
      </c>
      <c r="AG23">
        <f t="shared" si="2"/>
        <v>-0.3000000000001819</v>
      </c>
    </row>
    <row r="24" spans="3:33" x14ac:dyDescent="0.25">
      <c r="C24" s="41" t="s">
        <v>91</v>
      </c>
      <c r="D24" s="41">
        <v>169</v>
      </c>
      <c r="E24" s="41">
        <f t="shared" si="0"/>
        <v>1767</v>
      </c>
      <c r="F24" s="41">
        <f t="shared" si="1"/>
        <v>1299</v>
      </c>
      <c r="G24" s="41">
        <f t="shared" si="3"/>
        <v>868</v>
      </c>
      <c r="H24" s="41">
        <f t="shared" si="4"/>
        <v>456</v>
      </c>
      <c r="I24" s="41">
        <f t="shared" ref="I24:I31" si="5">$D24+I23</f>
        <v>169</v>
      </c>
      <c r="R24" s="62">
        <v>2021</v>
      </c>
      <c r="S24" s="41">
        <v>503.2</v>
      </c>
      <c r="T24" s="41">
        <v>473</v>
      </c>
      <c r="U24" s="41">
        <v>407</v>
      </c>
      <c r="V24" s="41">
        <v>343.3</v>
      </c>
      <c r="W24" s="41">
        <v>222.9</v>
      </c>
      <c r="X24" s="41">
        <v>45</v>
      </c>
      <c r="Y24" s="41">
        <v>8.4</v>
      </c>
      <c r="Z24" s="41">
        <v>44.2</v>
      </c>
      <c r="AA24" s="64">
        <v>78.5</v>
      </c>
      <c r="AB24" s="64">
        <v>202.8</v>
      </c>
      <c r="AC24" s="64">
        <v>307</v>
      </c>
      <c r="AD24" s="65">
        <v>463.2</v>
      </c>
      <c r="AE24">
        <f>SUM(S24:AD24)</f>
        <v>3098.5</v>
      </c>
      <c r="AF24">
        <v>3098.4</v>
      </c>
      <c r="AG24">
        <f t="shared" si="2"/>
        <v>9.9999999999909051E-2</v>
      </c>
    </row>
    <row r="25" spans="3:33" ht="15.75" thickBot="1" x14ac:dyDescent="0.3">
      <c r="C25" s="41" t="s">
        <v>92</v>
      </c>
      <c r="D25" s="41">
        <v>73</v>
      </c>
      <c r="E25" s="41">
        <f t="shared" si="0"/>
        <v>1840</v>
      </c>
      <c r="F25" s="41">
        <f t="shared" si="1"/>
        <v>1372</v>
      </c>
      <c r="G25" s="41">
        <f t="shared" si="3"/>
        <v>941</v>
      </c>
      <c r="H25" s="41">
        <f t="shared" si="4"/>
        <v>529</v>
      </c>
      <c r="I25" s="41">
        <f t="shared" si="5"/>
        <v>242</v>
      </c>
      <c r="J25" s="41">
        <f t="shared" ref="J25:J31" si="6">$D25+J24</f>
        <v>73</v>
      </c>
      <c r="R25" s="66">
        <v>2022</v>
      </c>
      <c r="S25" s="67">
        <v>401.3</v>
      </c>
      <c r="T25" s="67">
        <v>362.8</v>
      </c>
      <c r="U25" s="68">
        <v>412.1</v>
      </c>
      <c r="V25" s="68">
        <v>313.3</v>
      </c>
      <c r="W25" s="68">
        <v>170.7</v>
      </c>
      <c r="X25" s="68">
        <v>72.7</v>
      </c>
      <c r="Y25" s="68">
        <v>38.700000000000003</v>
      </c>
      <c r="Z25" s="68">
        <f>AVERAGE(Z20:Z24)</f>
        <v>30.74</v>
      </c>
      <c r="AA25" s="68">
        <f>AVERAGE(AA20:AA24)</f>
        <v>96.3</v>
      </c>
      <c r="AB25" s="68"/>
      <c r="AC25" s="68"/>
      <c r="AD25" s="69"/>
    </row>
    <row r="26" spans="3:33" x14ac:dyDescent="0.25">
      <c r="C26" s="41" t="s">
        <v>93</v>
      </c>
      <c r="D26" s="41">
        <v>39</v>
      </c>
      <c r="E26" s="41">
        <f t="shared" si="0"/>
        <v>1879</v>
      </c>
      <c r="F26" s="41">
        <f t="shared" si="1"/>
        <v>1411</v>
      </c>
      <c r="G26" s="41">
        <f t="shared" si="3"/>
        <v>980</v>
      </c>
      <c r="H26" s="41">
        <f t="shared" si="4"/>
        <v>568</v>
      </c>
      <c r="I26" s="41">
        <f t="shared" si="5"/>
        <v>281</v>
      </c>
      <c r="J26" s="41">
        <f t="shared" si="6"/>
        <v>112</v>
      </c>
      <c r="K26" s="41">
        <f t="shared" ref="K26:K31" si="7">$D26+K25</f>
        <v>39</v>
      </c>
      <c r="AE26">
        <f>AVERAGE(AE20:AE24)</f>
        <v>2905.9800000000005</v>
      </c>
    </row>
    <row r="27" spans="3:33" x14ac:dyDescent="0.25">
      <c r="C27" s="41" t="s">
        <v>94</v>
      </c>
      <c r="D27" s="41">
        <v>32</v>
      </c>
      <c r="E27" s="41">
        <f>$D27+E26</f>
        <v>1911</v>
      </c>
      <c r="F27" s="41">
        <f t="shared" si="1"/>
        <v>1443</v>
      </c>
      <c r="G27" s="41">
        <f t="shared" si="3"/>
        <v>1012</v>
      </c>
      <c r="H27" s="41">
        <f t="shared" si="4"/>
        <v>600</v>
      </c>
      <c r="I27" s="41">
        <f t="shared" si="5"/>
        <v>313</v>
      </c>
      <c r="J27" s="41">
        <f t="shared" si="6"/>
        <v>144</v>
      </c>
      <c r="K27" s="41">
        <f t="shared" si="7"/>
        <v>71</v>
      </c>
      <c r="L27" s="41">
        <f>$D27+L26</f>
        <v>32</v>
      </c>
    </row>
    <row r="28" spans="3:33" x14ac:dyDescent="0.25">
      <c r="C28" s="41" t="s">
        <v>95</v>
      </c>
      <c r="D28" s="41">
        <v>96</v>
      </c>
      <c r="E28" s="41">
        <f t="shared" si="0"/>
        <v>2007</v>
      </c>
      <c r="F28" s="41">
        <f t="shared" si="1"/>
        <v>1539</v>
      </c>
      <c r="G28" s="41">
        <f t="shared" si="3"/>
        <v>1108</v>
      </c>
      <c r="H28" s="41">
        <f t="shared" si="4"/>
        <v>696</v>
      </c>
      <c r="I28" s="41">
        <f t="shared" si="5"/>
        <v>409</v>
      </c>
      <c r="J28" s="41">
        <f t="shared" si="6"/>
        <v>240</v>
      </c>
      <c r="K28" s="41">
        <f t="shared" si="7"/>
        <v>167</v>
      </c>
      <c r="L28" s="41">
        <f>$D28+L27</f>
        <v>128</v>
      </c>
      <c r="M28" s="41">
        <f>$D28+M27</f>
        <v>96</v>
      </c>
    </row>
    <row r="29" spans="3:33" x14ac:dyDescent="0.25">
      <c r="C29" s="41" t="s">
        <v>96</v>
      </c>
      <c r="D29" s="41">
        <v>213</v>
      </c>
      <c r="E29" s="41">
        <f t="shared" si="0"/>
        <v>2220</v>
      </c>
      <c r="F29" s="41">
        <f t="shared" si="1"/>
        <v>1752</v>
      </c>
      <c r="G29" s="41">
        <f t="shared" si="3"/>
        <v>1321</v>
      </c>
      <c r="H29" s="41">
        <f t="shared" si="4"/>
        <v>909</v>
      </c>
      <c r="I29" s="41">
        <f t="shared" si="5"/>
        <v>622</v>
      </c>
      <c r="J29" s="41">
        <f t="shared" si="6"/>
        <v>453</v>
      </c>
      <c r="K29" s="41">
        <f t="shared" si="7"/>
        <v>380</v>
      </c>
      <c r="L29" s="41">
        <f>$D29+L28</f>
        <v>341</v>
      </c>
      <c r="M29" s="41">
        <f>$D29+M28</f>
        <v>309</v>
      </c>
      <c r="N29" s="41">
        <f>$D29+N28</f>
        <v>213</v>
      </c>
    </row>
    <row r="30" spans="3:33" x14ac:dyDescent="0.25">
      <c r="C30" s="41" t="s">
        <v>97</v>
      </c>
      <c r="D30" s="41">
        <v>323</v>
      </c>
      <c r="E30" s="41">
        <f t="shared" si="0"/>
        <v>2543</v>
      </c>
      <c r="F30" s="41">
        <f t="shared" si="1"/>
        <v>2075</v>
      </c>
      <c r="G30" s="41">
        <f t="shared" si="3"/>
        <v>1644</v>
      </c>
      <c r="H30" s="41">
        <f t="shared" si="4"/>
        <v>1232</v>
      </c>
      <c r="I30" s="41">
        <f t="shared" si="5"/>
        <v>945</v>
      </c>
      <c r="J30" s="41">
        <f t="shared" si="6"/>
        <v>776</v>
      </c>
      <c r="K30" s="41">
        <f t="shared" si="7"/>
        <v>703</v>
      </c>
      <c r="L30" s="41">
        <f>$D30+L29</f>
        <v>664</v>
      </c>
      <c r="M30" s="41">
        <f>$D30+M29</f>
        <v>632</v>
      </c>
      <c r="N30" s="41">
        <f>$D30+N29</f>
        <v>536</v>
      </c>
      <c r="O30" s="41">
        <f>$D30+O29</f>
        <v>323</v>
      </c>
    </row>
    <row r="31" spans="3:33" x14ac:dyDescent="0.25">
      <c r="C31" s="41" t="s">
        <v>98</v>
      </c>
      <c r="D31" s="41">
        <v>398</v>
      </c>
      <c r="E31" s="41">
        <f t="shared" si="0"/>
        <v>2941</v>
      </c>
      <c r="F31" s="41">
        <f t="shared" si="1"/>
        <v>2473</v>
      </c>
      <c r="G31" s="41">
        <f t="shared" si="3"/>
        <v>2042</v>
      </c>
      <c r="H31" s="41">
        <f t="shared" si="4"/>
        <v>1630</v>
      </c>
      <c r="I31" s="41">
        <f t="shared" si="5"/>
        <v>1343</v>
      </c>
      <c r="J31" s="41">
        <f t="shared" si="6"/>
        <v>1174</v>
      </c>
      <c r="K31" s="41">
        <f t="shared" si="7"/>
        <v>1101</v>
      </c>
      <c r="L31" s="41">
        <f>$D31+L30</f>
        <v>1062</v>
      </c>
      <c r="M31" s="41">
        <f>$D31+M30</f>
        <v>1030</v>
      </c>
      <c r="N31" s="41">
        <f>$D31+N30</f>
        <v>934</v>
      </c>
      <c r="O31" s="41">
        <f>$D31+O30</f>
        <v>721</v>
      </c>
      <c r="P31" s="41">
        <f>$D31+AE41</f>
        <v>398</v>
      </c>
    </row>
    <row r="32" spans="3:33" x14ac:dyDescent="0.25">
      <c r="C32" s="70" t="s">
        <v>103</v>
      </c>
      <c r="D32" s="41"/>
      <c r="E32" s="40">
        <v>1</v>
      </c>
      <c r="F32" s="40">
        <v>2</v>
      </c>
      <c r="G32" s="40">
        <v>3</v>
      </c>
      <c r="H32" s="40">
        <v>4</v>
      </c>
      <c r="I32" s="40">
        <v>5</v>
      </c>
      <c r="J32" s="40">
        <v>6</v>
      </c>
      <c r="K32" s="40">
        <v>7</v>
      </c>
      <c r="L32" s="40">
        <v>8</v>
      </c>
      <c r="M32" s="40">
        <v>9</v>
      </c>
      <c r="N32" s="40">
        <v>10</v>
      </c>
      <c r="O32" s="40">
        <v>11</v>
      </c>
      <c r="P32" s="40">
        <v>12</v>
      </c>
    </row>
    <row r="33" spans="3:32" x14ac:dyDescent="0.25">
      <c r="C33" s="38"/>
    </row>
    <row r="34" spans="3:32" x14ac:dyDescent="0.25">
      <c r="C34" s="38">
        <f>J39</f>
        <v>2020</v>
      </c>
      <c r="D34">
        <f>INDEX(E31:P31,MATCH((13-L37),E32:P32))</f>
        <v>2941</v>
      </c>
    </row>
    <row r="35" spans="3:32" x14ac:dyDescent="0.25">
      <c r="P35">
        <f>J51</f>
        <v>2021</v>
      </c>
      <c r="Q35" t="str">
        <f>J63</f>
        <v/>
      </c>
      <c r="R35" t="str">
        <f>J75</f>
        <v/>
      </c>
    </row>
    <row r="36" spans="3:32" x14ac:dyDescent="0.25">
      <c r="L36" s="71" t="str">
        <f>C96</f>
        <v>Januar</v>
      </c>
      <c r="P36" t="str">
        <f>IF(B97-B96&gt;1.9,"Januar",IF(B97-B96&lt;1.1,"Januar"))</f>
        <v>Januar</v>
      </c>
      <c r="Q36" t="str">
        <f>IF(B97-B96&gt;1.9,"Januar",IF(B97-B96&lt;1.1,"Januar"))</f>
        <v>Januar</v>
      </c>
      <c r="R36" t="str">
        <f>Q36</f>
        <v>Januar</v>
      </c>
    </row>
    <row r="37" spans="3:32" x14ac:dyDescent="0.25">
      <c r="L37">
        <f>INDEX(C15:N15,MATCH(L36,C3:N3,0))</f>
        <v>12</v>
      </c>
      <c r="P37">
        <f>INDEX(C15:N15,MATCH(P36,C3:N3,0))</f>
        <v>12</v>
      </c>
      <c r="Q37">
        <f>INDEX(C15:N15,MATCH(Q36,C3:N3,0))</f>
        <v>12</v>
      </c>
      <c r="R37">
        <f>INDEX(C15:N15,MATCH(Q36,C3:N3,0))</f>
        <v>12</v>
      </c>
    </row>
    <row r="38" spans="3:32" x14ac:dyDescent="0.25">
      <c r="N38" t="s">
        <v>104</v>
      </c>
    </row>
    <row r="39" spans="3:32" x14ac:dyDescent="0.25">
      <c r="J39">
        <f>IF(B97-B96&gt;1.9,B100,IF(B97-B96&lt;1.1,B100))</f>
        <v>2020</v>
      </c>
      <c r="K39">
        <f>IF(L39="","",1)</f>
        <v>1</v>
      </c>
      <c r="L39" t="str">
        <f>IF(L37=12,"Januar",IF(L37=11,"Februar",IF(L37=10,"Marts",IF(L37=9,"April",IF(L37=8,"Maj",IF(L37=7,"Juni",IF(L37=6,"Juli",IF(L37=5,"August",IF(L37=4,"September",IF(L37=3,"Oktober",IF(L37=2,"November",IF(L37=1,"December",""))))))))))))</f>
        <v>Januar</v>
      </c>
      <c r="M39">
        <f>IF(L39="","",INDEX(S$20:$AD$25,MATCH($J$39,$R$20:$R$25,0),MATCH(L39,$S$19:$AD$19,0)))</f>
        <v>356.7</v>
      </c>
      <c r="N39">
        <f>M39</f>
        <v>356.7</v>
      </c>
      <c r="O39">
        <f>IF(K39="",O38,IF($G$42=12,IF(K39&lt;12.1,M39+O38),IF($G$42=36,IF(K39&lt;36.1,M39+O38))))</f>
        <v>356.7</v>
      </c>
    </row>
    <row r="40" spans="3:32" x14ac:dyDescent="0.25">
      <c r="K40">
        <f>IF(L40="","",K39+1)</f>
        <v>2</v>
      </c>
      <c r="L40" t="str">
        <f>IF(L37=12,"Februar",IF(L37=11,"Marts",IF(L37=10,"April",IF(L37=9,"Maj",IF(L37=8,"Juni",IF(L37=7,"Juli",IF(L37=6,"August",IF(L37=5,"September",IF(L37=4,"Oktober",IF(L37=3,"November",IF(L37=2,"December","")))))))))))</f>
        <v>Februar</v>
      </c>
      <c r="M40">
        <f>IF(L40="","",INDEX(S$20:$AD$25,MATCH($J$39,$R$20:$R$25,0),MATCH(L40,$S$19:$AD$19,0)))</f>
        <v>357.6</v>
      </c>
      <c r="N40">
        <f>N39+M40</f>
        <v>714.3</v>
      </c>
      <c r="O40">
        <f t="shared" ref="O40:O85" si="8">IF(K40="",O39,IF($G$42=12,IF(K40&lt;12.1,M40+O39),IF($G$42=36,IF(K40&lt;36.1,M40+O39))))</f>
        <v>714.3</v>
      </c>
    </row>
    <row r="41" spans="3:32" x14ac:dyDescent="0.25">
      <c r="K41">
        <f t="shared" ref="K41:K50" si="9">IF(L41="","",K40+1)</f>
        <v>3</v>
      </c>
      <c r="L41" t="str">
        <f>IF(L37=12,"Marts",IF(L37=11,"April",IF(L37=10,"Maj",IF(L37=9,"Juni",IF(L37=8,"Juli",IF(L37=7,"August",IF(L37=6,"September",IF(L37=5,"Oktober",IF(L37=4,"November",IF(L37=3,"December",""))))))))))</f>
        <v>Marts</v>
      </c>
      <c r="M41">
        <f>IF(L41="","",INDEX(S$20:$AD$25,MATCH($J$39,$R$20:$R$25,0),MATCH(L41,$S$19:$AD$19,0)))</f>
        <v>389.8</v>
      </c>
      <c r="N41">
        <f t="shared" ref="N41:N50" si="10">N40+M41</f>
        <v>1104.0999999999999</v>
      </c>
      <c r="O41">
        <f t="shared" si="8"/>
        <v>1104.0999999999999</v>
      </c>
    </row>
    <row r="42" spans="3:32" x14ac:dyDescent="0.25">
      <c r="G42">
        <f>C92</f>
        <v>12</v>
      </c>
      <c r="K42">
        <f t="shared" si="9"/>
        <v>4</v>
      </c>
      <c r="L42" t="str">
        <f>IF(L37=12,"April",IF(L37=11,"Maj",IF(L37=10,"Juni",IF(L37=9,"Juli",IF(L37=8,"August",IF(L37=7,"September",IF(L37=6,"Oktober",IF(L37=5,"November",IF(L37=4,"December","")))))))))</f>
        <v>April</v>
      </c>
      <c r="M42">
        <f>IF(L42="","",INDEX(S$20:$AD$25,MATCH($J$39,$R$20:$R$25,0),MATCH(L42,$S$19:$AD$19,0)))</f>
        <v>280.10000000000002</v>
      </c>
      <c r="N42">
        <f t="shared" si="10"/>
        <v>1384.1999999999998</v>
      </c>
      <c r="O42">
        <f t="shared" si="8"/>
        <v>1384.1999999999998</v>
      </c>
    </row>
    <row r="43" spans="3:32" x14ac:dyDescent="0.25">
      <c r="K43">
        <f t="shared" si="9"/>
        <v>5</v>
      </c>
      <c r="L43" t="str">
        <f>IF(L37=12,"Maj",IF(L37=11,"Juni",IF(L37=10,"Juli",IF(L37=9,"August",IF(L37=8,"September",IF(L37=7,"Oktober",IF(L37=6,"November",IF(L37=5,"December",""))))))))</f>
        <v>Maj</v>
      </c>
      <c r="M43">
        <f>IF(L43="","",INDEX(S$20:$AD$25,MATCH($J$39,$R$20:$R$25,0),MATCH(L43,$S$19:$AD$19,0)))</f>
        <v>213.4</v>
      </c>
      <c r="N43">
        <f t="shared" si="10"/>
        <v>1597.6</v>
      </c>
      <c r="O43">
        <f t="shared" si="8"/>
        <v>1597.6</v>
      </c>
    </row>
    <row r="44" spans="3:32" x14ac:dyDescent="0.25">
      <c r="K44">
        <f t="shared" si="9"/>
        <v>6</v>
      </c>
      <c r="L44" t="str">
        <f>IF(L37=12,"Juni",IF(L37=11,"Juli",IF(L37=10,"August",IF(L37=9,"September",IF(L37=8,"Oktober",IF(L37=7,"November",IF(L37=6,"December","")))))))</f>
        <v>Juni</v>
      </c>
      <c r="M44">
        <f>IF(L44="","",INDEX(S$20:$AD$25,MATCH($J$39,$R$20:$R$25,0),MATCH(L44,$S$19:$AD$19,0)))</f>
        <v>43.8</v>
      </c>
      <c r="N44">
        <f t="shared" si="10"/>
        <v>1641.3999999999999</v>
      </c>
      <c r="O44">
        <f t="shared" si="8"/>
        <v>1641.3999999999999</v>
      </c>
      <c r="AF44" s="38"/>
    </row>
    <row r="45" spans="3:32" x14ac:dyDescent="0.25">
      <c r="K45">
        <f t="shared" si="9"/>
        <v>7</v>
      </c>
      <c r="L45" t="str">
        <f>IF(L37=12,"Juli",IF(L37=11,"August",IF(L37=10,"September",IF(L37=9,"Oktober",IF(L37=8,"November",IF(L37=7,"December",""))))))</f>
        <v>Juli</v>
      </c>
      <c r="M45">
        <f>IF(L45="","",INDEX(S$20:$AD$25,MATCH($J$39,$R$20:$R$25,0),MATCH(L45,$S$19:$AD$19,0)))</f>
        <v>73.3</v>
      </c>
      <c r="N45">
        <f t="shared" si="10"/>
        <v>1714.6999999999998</v>
      </c>
      <c r="O45">
        <f t="shared" si="8"/>
        <v>1714.6999999999998</v>
      </c>
      <c r="AF45" s="38"/>
    </row>
    <row r="46" spans="3:32" x14ac:dyDescent="0.25">
      <c r="K46">
        <f t="shared" si="9"/>
        <v>8</v>
      </c>
      <c r="L46" t="str">
        <f>IF(L37=12,"August",IF(L37=11,"September",IF(L37=10,"Oktober",IF(L37=9,"November",IF(L37=8,"December","")))))</f>
        <v>August</v>
      </c>
      <c r="M46">
        <f>IF(L46="","",INDEX(S$20:$AD$25,MATCH($J$39,$R$20:$R$25,0),MATCH(L46,$S$19:$AD$19,0)))</f>
        <v>25.5</v>
      </c>
      <c r="N46">
        <f t="shared" si="10"/>
        <v>1740.1999999999998</v>
      </c>
      <c r="O46">
        <f t="shared" si="8"/>
        <v>1740.1999999999998</v>
      </c>
      <c r="R46" s="38"/>
      <c r="AF46" s="38"/>
    </row>
    <row r="47" spans="3:32" x14ac:dyDescent="0.25">
      <c r="K47">
        <f t="shared" si="9"/>
        <v>9</v>
      </c>
      <c r="L47" t="str">
        <f>IF(L37=12,"September",IF(L37=11,"Oktober",IF(L37=10,"November",IF(L37=9,"December",""))))</f>
        <v>September</v>
      </c>
      <c r="M47">
        <f>IF(L47="","",INDEX(S$20:$AD$25,MATCH($J$39,$R$20:$R$25,0),MATCH(L47,$S$19:$AD$19,0)))</f>
        <v>93.1</v>
      </c>
      <c r="N47">
        <f t="shared" si="10"/>
        <v>1833.2999999999997</v>
      </c>
      <c r="O47">
        <f t="shared" si="8"/>
        <v>1833.2999999999997</v>
      </c>
      <c r="AD47" s="38"/>
      <c r="AE47" s="38"/>
      <c r="AF47" s="38"/>
    </row>
    <row r="48" spans="3:32" x14ac:dyDescent="0.25">
      <c r="K48">
        <f t="shared" si="9"/>
        <v>10</v>
      </c>
      <c r="L48" t="str">
        <f>IF(L37=12,"Oktober",IF(L37=11,"November",IF(L37=10,"December","")))</f>
        <v>Oktober</v>
      </c>
      <c r="M48">
        <f>IF(L48="","",INDEX(S$20:$AD$25,MATCH($J$39,$R$20:$R$25,0),MATCH(L48,$S$19:$AD$19,0)))</f>
        <v>205.7</v>
      </c>
      <c r="N48">
        <f t="shared" si="10"/>
        <v>2038.9999999999998</v>
      </c>
      <c r="O48">
        <f t="shared" si="8"/>
        <v>2038.9999999999998</v>
      </c>
      <c r="AD48" s="38"/>
      <c r="AE48" s="38"/>
      <c r="AF48" s="38"/>
    </row>
    <row r="49" spans="5:33" x14ac:dyDescent="0.25">
      <c r="K49">
        <f t="shared" si="9"/>
        <v>11</v>
      </c>
      <c r="L49" t="str">
        <f>IF(L37=12,"November",IF(L37=11,"December",""))</f>
        <v>November</v>
      </c>
      <c r="M49">
        <f>IF(L49="","",INDEX(S$20:$AD$25,MATCH($J$39,$R$20:$R$25,0),MATCH(L49,$S$19:$AD$19,0)))</f>
        <v>279.5</v>
      </c>
      <c r="N49">
        <f t="shared" si="10"/>
        <v>2318.5</v>
      </c>
      <c r="O49">
        <f t="shared" si="8"/>
        <v>2318.5</v>
      </c>
      <c r="AD49" s="38"/>
      <c r="AE49" s="38"/>
      <c r="AF49" s="38"/>
    </row>
    <row r="50" spans="5:33" x14ac:dyDescent="0.25">
      <c r="G50" t="s">
        <v>148</v>
      </c>
      <c r="H50">
        <f>COUNT(K39:K50)</f>
        <v>12</v>
      </c>
      <c r="I50">
        <f>SUM(M39:M50)</f>
        <v>2714.2</v>
      </c>
      <c r="K50">
        <f t="shared" si="9"/>
        <v>12</v>
      </c>
      <c r="L50" t="str">
        <f>IF(L37=12,"December","")</f>
        <v>December</v>
      </c>
      <c r="M50">
        <f>IF(L50="","",INDEX(S$20:$AD$25,MATCH($J$39,$R$20:$R$25,0),MATCH(L50,$S$19:$AD$19,0)))</f>
        <v>395.7</v>
      </c>
      <c r="N50">
        <f t="shared" si="10"/>
        <v>2714.2</v>
      </c>
      <c r="O50">
        <f>IF(K50="",O49,IF($G$42=12,IF(K50&lt;12.1,M50+O49),IF($G$42=36,IF(K50&lt;36.1,M50+O49))))</f>
        <v>2714.2</v>
      </c>
      <c r="AD50" s="38"/>
      <c r="AE50" s="38"/>
      <c r="AF50" s="38"/>
    </row>
    <row r="51" spans="5:33" x14ac:dyDescent="0.25">
      <c r="J51">
        <f>B101</f>
        <v>2021</v>
      </c>
      <c r="K51">
        <f>IF(L51="","",H50+1)</f>
        <v>13</v>
      </c>
      <c r="L51" t="str">
        <f>IF(P37=12,"Januar",IF(P37=11,"Februar",IF(P37=10,"Marts",IF(P37=9,"April",IF(P37=8,"Maj",IF(P37=7,"Juni",IF(P37=6,"Juli",IF(P37=5,"August",IF(P37=4,"September",IF(P37=3,"Oktober",IF(P37=2,"November",IF(P37=1,"December",""))))))))))))</f>
        <v>Januar</v>
      </c>
      <c r="M51">
        <f>IF(L51="","",INDEX(S$20:$AD$25,MATCH($J$51,$R$20:$R$25,0),MATCH(L51,$S$19:$AD$19,0)))</f>
        <v>503.2</v>
      </c>
      <c r="N51">
        <f>M51</f>
        <v>503.2</v>
      </c>
      <c r="O51" t="b">
        <f t="shared" si="8"/>
        <v>0</v>
      </c>
      <c r="Y51" s="38"/>
      <c r="Z51" s="38"/>
      <c r="AA51" s="38"/>
      <c r="AB51" s="38"/>
      <c r="AC51" s="38"/>
      <c r="AD51" s="38"/>
      <c r="AE51" s="38"/>
      <c r="AF51" s="38"/>
    </row>
    <row r="52" spans="5:33" x14ac:dyDescent="0.25">
      <c r="I52" s="82"/>
      <c r="K52">
        <f>IF(L52="","",K51+1)</f>
        <v>14</v>
      </c>
      <c r="L52" t="str">
        <f>IF(P37=12,"Februar",IF(P37=11,"Marts",IF(P37=10,"April",IF(P37=9,"Maj",IF(P37=8,"Juni",IF(P37=7,"Juli",IF(P37=6,"August",IF(P37=5,"September",IF(P37=4,"Oktober",IF(P37=3,"November",IF(P37=2,"December","")))))))))))</f>
        <v>Februar</v>
      </c>
      <c r="M52">
        <f>IF(L52="","",INDEX(S$20:$AD$25,MATCH($J$51,$R$20:$R$25,0),MATCH(L52,$S$19:$AD$19,0)))</f>
        <v>473</v>
      </c>
      <c r="N52">
        <f>N51+M52</f>
        <v>976.2</v>
      </c>
      <c r="O52" t="b">
        <f>IF(K52="",O51,IF($G$42=12,IF(K52&lt;12.1,M52+O51),IF($G$42=36,IF(K52&lt;36.1,M52+O51))))</f>
        <v>0</v>
      </c>
      <c r="U52" s="38"/>
      <c r="V52" s="38"/>
      <c r="W52" s="38"/>
      <c r="X52" s="38"/>
      <c r="Y52" s="38"/>
      <c r="Z52" s="38"/>
      <c r="AA52" s="38"/>
      <c r="AB52" s="38"/>
      <c r="AC52" s="38"/>
      <c r="AD52" s="38"/>
      <c r="AE52" s="38"/>
      <c r="AF52" s="38"/>
    </row>
    <row r="53" spans="5:33" x14ac:dyDescent="0.25">
      <c r="E53" s="38"/>
      <c r="G53" t="s">
        <v>149</v>
      </c>
      <c r="I53">
        <f>VLOOKUP(12,K39:O86,5,TRUE)</f>
        <v>2714.2</v>
      </c>
      <c r="K53">
        <f t="shared" ref="K53:K62" si="11">IF(L53="","",K52+1)</f>
        <v>15</v>
      </c>
      <c r="L53" t="str">
        <f>IF(P37=12,"Marts",IF(P37=11,"April",IF(P37=10,"Maj",IF(P37=9,"Juni",IF(P37=8,"Juli",IF(P37=7,"August",IF(P37=6,"September",IF(P37=5,"Oktober",IF(P37=4,"November",IF(P37=3,"December",""))))))))))</f>
        <v>Marts</v>
      </c>
      <c r="M53">
        <f>IF(L53="","",INDEX(S$20:$AD$25,MATCH($J$51,$R$20:$R$25,0),MATCH(L53,$S$19:$AD$19,0)))</f>
        <v>407</v>
      </c>
      <c r="N53">
        <f t="shared" ref="N53:N62" si="12">N52+M53</f>
        <v>1383.2</v>
      </c>
      <c r="O53" t="b">
        <f t="shared" si="8"/>
        <v>0</v>
      </c>
      <c r="T53" s="38"/>
      <c r="U53" s="38"/>
      <c r="V53" s="38"/>
      <c r="W53" s="38"/>
      <c r="X53" s="38"/>
      <c r="Y53" s="38"/>
      <c r="Z53" s="38"/>
      <c r="AA53" s="38"/>
      <c r="AB53" s="38"/>
      <c r="AC53" s="38"/>
      <c r="AD53" s="38"/>
      <c r="AE53" s="38"/>
      <c r="AF53" s="38"/>
    </row>
    <row r="54" spans="5:33" x14ac:dyDescent="0.25">
      <c r="E54" s="38"/>
      <c r="I54" s="38"/>
      <c r="K54">
        <f t="shared" si="11"/>
        <v>16</v>
      </c>
      <c r="L54" t="str">
        <f>IF(P37=12,"April",IF(P37=11,"Maj",IF(P37=10,"Juni",IF(P37=9,"Juli",IF(P37=8,"August",IF(P37=7,"September",IF(P37=6,"Oktober",IF(P37=5,"November",IF(P37=4,"December","")))))))))</f>
        <v>April</v>
      </c>
      <c r="M54">
        <f>IF(L54="","",INDEX(S$20:$AD$25,MATCH($J$51,$R$20:$R$25,0),MATCH(L54,$S$19:$AD$19,0)))</f>
        <v>343.3</v>
      </c>
      <c r="N54">
        <f t="shared" si="12"/>
        <v>1726.5</v>
      </c>
      <c r="O54" t="b">
        <f t="shared" si="8"/>
        <v>0</v>
      </c>
      <c r="T54" s="39"/>
      <c r="U54" s="38"/>
      <c r="V54" s="38"/>
      <c r="W54" s="38"/>
      <c r="X54" s="38"/>
      <c r="Y54" s="38"/>
      <c r="Z54" s="38"/>
      <c r="AA54" s="38"/>
      <c r="AB54" s="38"/>
      <c r="AC54" s="38"/>
      <c r="AD54" s="38"/>
      <c r="AE54" s="38"/>
      <c r="AF54" s="38"/>
    </row>
    <row r="55" spans="5:33" x14ac:dyDescent="0.25">
      <c r="E55" s="38"/>
      <c r="K55">
        <f t="shared" si="11"/>
        <v>17</v>
      </c>
      <c r="L55" t="str">
        <f>IF(P37=12,"Maj",IF(P37=11,"Juni",IF(P37=10,"Juli",IF(P37=9,"August",IF(P37=8,"September",IF(P37=7,"Oktober",IF(P37=6,"November",IF(P37=5,"December",""))))))))</f>
        <v>Maj</v>
      </c>
      <c r="M55">
        <f>IF(L55="","",INDEX(S$20:$AD$25,MATCH($J$51,$R$20:$R$25,0),MATCH(L55,$S$19:$AD$19,0)))</f>
        <v>222.9</v>
      </c>
      <c r="N55">
        <f t="shared" si="12"/>
        <v>1949.4</v>
      </c>
      <c r="O55" t="b">
        <f t="shared" si="8"/>
        <v>0</v>
      </c>
      <c r="T55" s="38"/>
      <c r="U55" s="38"/>
      <c r="V55" s="38"/>
      <c r="W55" s="38"/>
      <c r="X55" s="38"/>
      <c r="Y55" s="38"/>
      <c r="Z55" s="38"/>
      <c r="AA55" s="38"/>
      <c r="AB55" s="38"/>
      <c r="AC55" s="38"/>
      <c r="AD55" s="38"/>
      <c r="AE55" s="38"/>
      <c r="AF55" s="38"/>
    </row>
    <row r="56" spans="5:33" x14ac:dyDescent="0.25">
      <c r="E56" s="38"/>
      <c r="K56">
        <f t="shared" si="11"/>
        <v>18</v>
      </c>
      <c r="L56" t="str">
        <f>IF(P37=12,"Juni",IF(P37=11,"Juli",IF(P37=10,"August",IF(P37=9,"September",IF(P37=8,"Oktober",IF(P37=7,"November",IF(P37=6,"December","")))))))</f>
        <v>Juni</v>
      </c>
      <c r="M56">
        <f>IF(L56="","",INDEX(S$20:$AD$25,MATCH($J$51,$R$20:$R$25,0),MATCH(L56,$S$19:$AD$19,0)))</f>
        <v>45</v>
      </c>
      <c r="N56">
        <f t="shared" si="12"/>
        <v>1994.4</v>
      </c>
      <c r="O56" t="b">
        <f t="shared" si="8"/>
        <v>0</v>
      </c>
      <c r="T56" s="38"/>
      <c r="U56" s="38"/>
      <c r="V56" s="38"/>
      <c r="W56" s="38"/>
      <c r="X56" s="38"/>
      <c r="Y56" s="38"/>
      <c r="Z56" s="38"/>
      <c r="AA56" s="38"/>
      <c r="AB56" s="38"/>
      <c r="AC56" s="38"/>
      <c r="AD56" s="38"/>
      <c r="AE56" s="38"/>
      <c r="AF56" s="38"/>
      <c r="AG56" s="38"/>
    </row>
    <row r="57" spans="5:33" x14ac:dyDescent="0.25">
      <c r="E57" s="38"/>
      <c r="K57">
        <f t="shared" si="11"/>
        <v>19</v>
      </c>
      <c r="L57" t="str">
        <f>IF(P37=12,"Juli",IF(P37=11,"August",IF(P37=10,"September",IF(P37=9,"Oktober",IF(P37=8,"November",IF(P37=7,"December",""))))))</f>
        <v>Juli</v>
      </c>
      <c r="M57">
        <f>IF(L57="","",INDEX(S$20:$AD$25,MATCH($J$51,$R$20:$R$25,0),MATCH(L57,$S$19:$AD$19,0)))</f>
        <v>8.4</v>
      </c>
      <c r="N57">
        <f t="shared" si="12"/>
        <v>2002.8000000000002</v>
      </c>
      <c r="O57" t="b">
        <f t="shared" si="8"/>
        <v>0</v>
      </c>
      <c r="AE57" s="38"/>
      <c r="AF57" s="38"/>
      <c r="AG57" s="38"/>
    </row>
    <row r="58" spans="5:33" x14ac:dyDescent="0.25">
      <c r="E58" s="38"/>
      <c r="F58" s="38"/>
      <c r="G58" s="38"/>
      <c r="H58" s="38"/>
      <c r="I58" s="38"/>
      <c r="J58" s="38"/>
      <c r="K58">
        <f t="shared" si="11"/>
        <v>20</v>
      </c>
      <c r="L58" t="str">
        <f>IF(P37=12,"August",IF(P37=11,"September",IF(P37=10,"Oktober",IF(P37=9,"November",IF(P37=8,"December","")))))</f>
        <v>August</v>
      </c>
      <c r="M58">
        <f>IF(L58="","",INDEX(S$20:$AD$25,MATCH($J$51,$R$20:$R$25,0),MATCH(L58,$S$19:$AD$19,0)))</f>
        <v>44.2</v>
      </c>
      <c r="N58">
        <f t="shared" si="12"/>
        <v>2047.0000000000002</v>
      </c>
      <c r="O58" t="b">
        <f>IF(K58="",O57,IF($G$42=12,IF(K58&lt;12.1,M58+O57),IF($G$42=36,IF(K58&lt;36.1,M58+O57))))</f>
        <v>0</v>
      </c>
      <c r="AE58" s="38"/>
      <c r="AF58" s="38"/>
      <c r="AG58" s="38"/>
    </row>
    <row r="59" spans="5:33" x14ac:dyDescent="0.25">
      <c r="E59" s="38"/>
      <c r="F59" s="38"/>
      <c r="G59" s="38"/>
      <c r="H59" s="38"/>
      <c r="I59" s="38"/>
      <c r="J59" s="38"/>
      <c r="K59">
        <f t="shared" si="11"/>
        <v>21</v>
      </c>
      <c r="L59" t="str">
        <f>IF(P37=12,"September",IF(P37=11,"Oktober",IF(P37=10,"November",IF(P37=9,"December",""))))</f>
        <v>September</v>
      </c>
      <c r="M59">
        <f>IF(L59="","",INDEX(S$20:$AD$25,MATCH($J$51,$R$20:$R$25,0),MATCH(L59,$S$19:$AD$19,0)))</f>
        <v>78.5</v>
      </c>
      <c r="N59">
        <f t="shared" si="12"/>
        <v>2125.5</v>
      </c>
      <c r="O59" t="b">
        <f t="shared" si="8"/>
        <v>0</v>
      </c>
      <c r="AE59" s="38"/>
      <c r="AF59" s="38"/>
      <c r="AG59" s="38"/>
    </row>
    <row r="60" spans="5:33" x14ac:dyDescent="0.25">
      <c r="E60" s="38"/>
      <c r="F60" s="38"/>
      <c r="G60" s="38"/>
      <c r="H60" s="38"/>
      <c r="I60" s="38"/>
      <c r="J60" s="38"/>
      <c r="K60">
        <f t="shared" si="11"/>
        <v>22</v>
      </c>
      <c r="L60" t="str">
        <f>IF(P37=12,"Oktober",IF(P37=11,"November",IF(P37=10,"December","")))</f>
        <v>Oktober</v>
      </c>
      <c r="M60">
        <f>IF(L60="","",INDEX(S$20:$AD$25,MATCH($J$51,$R$20:$R$25,0),MATCH(L60,$S$19:$AD$19,0)))</f>
        <v>202.8</v>
      </c>
      <c r="N60">
        <f t="shared" si="12"/>
        <v>2328.3000000000002</v>
      </c>
      <c r="O60" t="b">
        <f t="shared" si="8"/>
        <v>0</v>
      </c>
      <c r="AE60" s="38"/>
      <c r="AF60" s="38"/>
      <c r="AG60" s="38"/>
    </row>
    <row r="61" spans="5:33" x14ac:dyDescent="0.25">
      <c r="E61" s="38"/>
      <c r="F61" s="38"/>
      <c r="G61" s="38"/>
      <c r="H61" s="38"/>
      <c r="I61" s="38"/>
      <c r="J61" s="38"/>
      <c r="K61">
        <f t="shared" si="11"/>
        <v>23</v>
      </c>
      <c r="L61" t="str">
        <f>IF(P37=12,"November",IF(P37=11,"December",""))</f>
        <v>November</v>
      </c>
      <c r="M61">
        <f>IF(L61="","",INDEX(S$20:$AD$25,MATCH($J$51,$R$20:$R$25,0),MATCH(L61,$S$19:$AD$19,0)))</f>
        <v>307</v>
      </c>
      <c r="N61">
        <f t="shared" si="12"/>
        <v>2635.3</v>
      </c>
      <c r="O61" t="b">
        <f t="shared" si="8"/>
        <v>0</v>
      </c>
      <c r="AE61" s="38"/>
      <c r="AF61" s="38"/>
      <c r="AG61" s="38"/>
    </row>
    <row r="62" spans="5:33" x14ac:dyDescent="0.25">
      <c r="E62" s="38"/>
      <c r="F62" s="38"/>
      <c r="G62" s="38"/>
      <c r="H62">
        <f>COUNT(K51:K62)+H50</f>
        <v>24</v>
      </c>
      <c r="I62">
        <f>SUM(M51:M62)</f>
        <v>3098.5</v>
      </c>
      <c r="K62">
        <f t="shared" si="11"/>
        <v>24</v>
      </c>
      <c r="L62" t="str">
        <f>IF(P37=12,"December","")</f>
        <v>December</v>
      </c>
      <c r="M62">
        <f>IF(L62="","",INDEX(S$20:$AD$25,MATCH($J$51,$R$20:$R$25,0),MATCH(L62,$S$19:$AD$19,0)))</f>
        <v>463.2</v>
      </c>
      <c r="N62">
        <f t="shared" si="12"/>
        <v>3098.5</v>
      </c>
      <c r="O62" t="b">
        <f t="shared" si="8"/>
        <v>0</v>
      </c>
      <c r="AE62" s="38"/>
      <c r="AF62" s="38"/>
      <c r="AG62" s="38"/>
    </row>
    <row r="63" spans="5:33" x14ac:dyDescent="0.25">
      <c r="E63" s="38"/>
      <c r="F63" s="38"/>
      <c r="G63" s="38"/>
      <c r="J63" t="str">
        <f>IF(B97-B96&gt;1.9,B102,"")</f>
        <v/>
      </c>
      <c r="K63">
        <f>IF(L63="","",H62+1)</f>
        <v>25</v>
      </c>
      <c r="L63" t="str">
        <f>IF(Q37=12,"Januar",IF(Q37=11,"Februar",IF(Q37=10,"Marts",IF(Q37=9,"April",IF(Q37=8,"Maj",IF(Q37=7,"Juni",IF(Q37=6,"Juli",IF(Q37=5,"August",IF(Q37=4,"September",IF(Q37=3,"Oktober",IF(Q37=2,"November",IF(Q37=1,"December",""))))))))))))</f>
        <v>Januar</v>
      </c>
      <c r="M63" t="e">
        <f>IF(L63="","",INDEX(S$20:$AD$25,MATCH($J$63,$R$20:$R$25,0),MATCH(L63,$S$19:$AD$19,0)))</f>
        <v>#N/A</v>
      </c>
      <c r="N63" t="e">
        <f>M63</f>
        <v>#N/A</v>
      </c>
      <c r="O63" t="b">
        <f t="shared" si="8"/>
        <v>0</v>
      </c>
      <c r="AE63" s="38"/>
      <c r="AF63" s="38"/>
      <c r="AG63" s="38"/>
    </row>
    <row r="64" spans="5:33" x14ac:dyDescent="0.25">
      <c r="E64" s="38"/>
      <c r="F64" s="38"/>
      <c r="G64" s="38"/>
      <c r="H64" s="38"/>
      <c r="I64" s="81"/>
      <c r="J64" s="38"/>
      <c r="K64">
        <f>IF(L64="","",K63+1)</f>
        <v>26</v>
      </c>
      <c r="L64" t="str">
        <f>IF(Q37=12,"Februar",IF(Q37=11,"Marts",IF(Q37=10,"April",IF(Q37=9,"Maj",IF(Q37=8,"Juni",IF(Q37=7,"Juli",IF(Q37=6,"August",IF(Q37=5,"September",IF(Q37=4,"Oktober",IF(Q37=3,"November",IF(Q37=2,"December","")))))))))))</f>
        <v>Februar</v>
      </c>
      <c r="M64" t="e">
        <f>IF(L64="","",INDEX(S$20:$AD$25,MATCH($J$63,$R$20:$R$25,0),MATCH(L64,$S$19:$AD$19,0)))</f>
        <v>#N/A</v>
      </c>
      <c r="N64" t="e">
        <f>N63+M64</f>
        <v>#N/A</v>
      </c>
      <c r="O64" t="b">
        <f t="shared" si="8"/>
        <v>0</v>
      </c>
    </row>
    <row r="65" spans="5:21" x14ac:dyDescent="0.25">
      <c r="E65" s="38"/>
      <c r="F65" s="38"/>
      <c r="G65" s="38" t="s">
        <v>150</v>
      </c>
      <c r="H65" s="38"/>
      <c r="I65" s="38">
        <f>SUM(VLOOKUP(24,K39:O86,5,TRUE)-I53)</f>
        <v>-2714.2</v>
      </c>
      <c r="J65" s="38"/>
      <c r="K65">
        <f t="shared" ref="K65:K74" si="13">IF(L65="","",K64+1)</f>
        <v>27</v>
      </c>
      <c r="L65" t="str">
        <f>IF(Q37=12,"Marts",IF(Q37=11,"April",IF(Q37=10,"Maj",IF(Q37=9,"Juni",IF(Q37=8,"Juli",IF(Q37=7,"August",IF(Q37=6,"September",IF(Q37=5,"Oktober",IF(Q37=4,"November",IF(Q37=3,"December",""))))))))))</f>
        <v>Marts</v>
      </c>
      <c r="M65" t="e">
        <f>IF(L65="","",INDEX(S$20:$AD$25,MATCH($J$63,$R$20:$R$25,0),MATCH(L65,$S$19:$AD$19,0)))</f>
        <v>#N/A</v>
      </c>
      <c r="N65" t="e">
        <f t="shared" ref="N65:N74" si="14">N64+M65</f>
        <v>#N/A</v>
      </c>
      <c r="O65" t="b">
        <f t="shared" si="8"/>
        <v>0</v>
      </c>
      <c r="P65" s="38"/>
      <c r="Q65" s="38"/>
    </row>
    <row r="66" spans="5:21" x14ac:dyDescent="0.25">
      <c r="E66" s="38"/>
      <c r="F66" s="38"/>
      <c r="G66" s="38"/>
      <c r="H66" s="38"/>
      <c r="I66" s="38"/>
      <c r="J66" s="38"/>
      <c r="K66">
        <f t="shared" si="13"/>
        <v>28</v>
      </c>
      <c r="L66" t="str">
        <f>IF(Q37=12,"April",IF(Q37=11,"Maj",IF(Q37=10,"Juni",IF(Q37=9,"Juli",IF(Q37=8,"August",IF(Q37=7,"September",IF(Q37=6,"Oktober",IF(Q37=5,"November",IF(Q37=4,"December","")))))))))</f>
        <v>April</v>
      </c>
      <c r="M66" t="e">
        <f>IF(L66="","",INDEX(S$20:$AD$25,MATCH($J$63,$R$20:$R$25,0),MATCH(L66,$S$19:$AD$19,0)))</f>
        <v>#N/A</v>
      </c>
      <c r="N66" t="e">
        <f t="shared" si="14"/>
        <v>#N/A</v>
      </c>
      <c r="O66" t="b">
        <f t="shared" si="8"/>
        <v>0</v>
      </c>
      <c r="P66" s="38"/>
      <c r="Q66" s="38"/>
      <c r="R66" s="38"/>
      <c r="S66" s="38"/>
      <c r="T66" s="38"/>
      <c r="U66" s="38"/>
    </row>
    <row r="67" spans="5:21" x14ac:dyDescent="0.25">
      <c r="E67" s="38"/>
      <c r="F67" s="38"/>
      <c r="G67" s="38"/>
      <c r="H67" s="38"/>
      <c r="J67" s="38"/>
      <c r="K67">
        <f t="shared" si="13"/>
        <v>29</v>
      </c>
      <c r="L67" t="str">
        <f>IF(Q37=12,"Maj",IF(Q37=11,"Juni",IF(Q37=10,"Juli",IF(Q37=9,"August",IF(Q37=8,"September",IF(Q37=7,"Oktober",IF(Q37=6,"November",IF(Q37=5,"December",""))))))))</f>
        <v>Maj</v>
      </c>
      <c r="M67" t="e">
        <f>IF(L67="","",INDEX(S$20:$AD$25,MATCH($J$63,$R$20:$R$25,0),MATCH(L67,$S$19:$AD$19,0)))</f>
        <v>#N/A</v>
      </c>
      <c r="N67" t="e">
        <f t="shared" si="14"/>
        <v>#N/A</v>
      </c>
      <c r="O67" t="b">
        <f t="shared" si="8"/>
        <v>0</v>
      </c>
      <c r="P67" s="38"/>
      <c r="Q67" s="38"/>
      <c r="R67" s="38"/>
      <c r="S67" s="38"/>
      <c r="T67" s="38"/>
      <c r="U67" s="38"/>
    </row>
    <row r="68" spans="5:21" x14ac:dyDescent="0.25">
      <c r="K68">
        <f t="shared" si="13"/>
        <v>30</v>
      </c>
      <c r="L68" t="str">
        <f>IF(Q37=12,"Juni",IF(Q37=11,"Juli",IF(Q37=10,"August",IF(Q37=9,"September",IF(Q37=8,"Oktober",IF(Q37=7,"November",IF(Q37=6,"December","")))))))</f>
        <v>Juni</v>
      </c>
      <c r="M68" t="e">
        <f>IF(L68="","",INDEX(S$20:$AD$25,MATCH($J$63,$R$20:$R$25,0),MATCH(L68,$S$19:$AD$19,0)))</f>
        <v>#N/A</v>
      </c>
      <c r="N68" t="e">
        <f t="shared" si="14"/>
        <v>#N/A</v>
      </c>
      <c r="O68" t="b">
        <f t="shared" si="8"/>
        <v>0</v>
      </c>
    </row>
    <row r="69" spans="5:21" x14ac:dyDescent="0.25">
      <c r="K69">
        <f t="shared" si="13"/>
        <v>31</v>
      </c>
      <c r="L69" t="str">
        <f>IF(Q37=12,"Juli",IF(Q37=11,"August",IF(Q37=10,"September",IF(Q37=9,"Oktober",IF(Q37=8,"November",IF(Q37=7,"December",""))))))</f>
        <v>Juli</v>
      </c>
      <c r="M69" t="e">
        <f>IF(L69="","",INDEX(S$20:$AD$25,MATCH($J$63,$R$20:$R$25,0),MATCH(L69,$S$19:$AD$19,0)))</f>
        <v>#N/A</v>
      </c>
      <c r="N69" t="e">
        <f t="shared" si="14"/>
        <v>#N/A</v>
      </c>
      <c r="O69" t="b">
        <f t="shared" si="8"/>
        <v>0</v>
      </c>
    </row>
    <row r="70" spans="5:21" x14ac:dyDescent="0.25">
      <c r="K70">
        <f t="shared" si="13"/>
        <v>32</v>
      </c>
      <c r="L70" t="str">
        <f>IF(Q37=12,"August",IF(Q37=11,"September",IF(Q37=10,"Oktober",IF(Q37=9,"November",IF(Q37=8,"December","")))))</f>
        <v>August</v>
      </c>
      <c r="M70" t="e">
        <f>IF(L70="","",INDEX(S$20:$AD$25,MATCH($J$63,$R$20:$R$25,0),MATCH(L70,$S$19:$AD$19,0)))</f>
        <v>#N/A</v>
      </c>
      <c r="N70" t="e">
        <f t="shared" si="14"/>
        <v>#N/A</v>
      </c>
      <c r="O70" t="b">
        <f t="shared" si="8"/>
        <v>0</v>
      </c>
    </row>
    <row r="71" spans="5:21" x14ac:dyDescent="0.25">
      <c r="K71">
        <f t="shared" si="13"/>
        <v>33</v>
      </c>
      <c r="L71" t="str">
        <f>IF(Q37=12,"September",IF(Q37=11,"Oktober",IF(Q37=10,"November",IF(Q37=9,"December",""))))</f>
        <v>September</v>
      </c>
      <c r="M71" t="e">
        <f>IF(L71="","",INDEX(S$20:$AD$25,MATCH($J$63,$R$20:$R$25,0),MATCH(L71,$S$19:$AD$19,0)))</f>
        <v>#N/A</v>
      </c>
      <c r="N71" t="e">
        <f t="shared" si="14"/>
        <v>#N/A</v>
      </c>
      <c r="O71" t="b">
        <f t="shared" si="8"/>
        <v>0</v>
      </c>
    </row>
    <row r="72" spans="5:21" x14ac:dyDescent="0.25">
      <c r="K72">
        <f t="shared" si="13"/>
        <v>34</v>
      </c>
      <c r="L72" t="str">
        <f>IF(Q37=12,"Oktober",IF(Q37=11,"November",IF(Q37=10,"December","")))</f>
        <v>Oktober</v>
      </c>
      <c r="M72" t="e">
        <f>IF(L72="","",INDEX(S$20:$AD$25,MATCH($J$63,$R$20:$R$25,0),MATCH(L72,$S$19:$AD$19,0)))</f>
        <v>#N/A</v>
      </c>
      <c r="N72" t="e">
        <f t="shared" si="14"/>
        <v>#N/A</v>
      </c>
      <c r="O72" t="b">
        <f t="shared" si="8"/>
        <v>0</v>
      </c>
    </row>
    <row r="73" spans="5:21" x14ac:dyDescent="0.25">
      <c r="K73">
        <f t="shared" si="13"/>
        <v>35</v>
      </c>
      <c r="L73" t="str">
        <f>IF(Q37=12,"November",IF(Q37=11,"December",""))</f>
        <v>November</v>
      </c>
      <c r="M73" t="e">
        <f>IF(L73="","",INDEX(S$20:$AD$25,MATCH($J$63,$R$20:$R$25,0),MATCH(L73,$S$19:$AD$19,0)))</f>
        <v>#N/A</v>
      </c>
      <c r="N73" t="e">
        <f t="shared" si="14"/>
        <v>#N/A</v>
      </c>
      <c r="O73" t="b">
        <f t="shared" si="8"/>
        <v>0</v>
      </c>
    </row>
    <row r="74" spans="5:21" x14ac:dyDescent="0.25">
      <c r="G74" t="s">
        <v>143</v>
      </c>
      <c r="H74">
        <f>COUNT(K63:K74)+H62</f>
        <v>36</v>
      </c>
      <c r="I74" t="e">
        <f>SUM(M63:M74)</f>
        <v>#N/A</v>
      </c>
      <c r="K74">
        <f t="shared" si="13"/>
        <v>36</v>
      </c>
      <c r="L74" t="str">
        <f>IF(Q37=12,"December","")</f>
        <v>December</v>
      </c>
      <c r="M74" t="e">
        <f>IF(L74="","",INDEX(S$20:$AD$25,MATCH($J$63,$R$20:$R$25,0),MATCH(L74,$S$19:$AD$19,0)))</f>
        <v>#N/A</v>
      </c>
      <c r="N74" t="e">
        <f t="shared" si="14"/>
        <v>#N/A</v>
      </c>
      <c r="O74" t="b">
        <f t="shared" si="8"/>
        <v>0</v>
      </c>
    </row>
    <row r="75" spans="5:21" x14ac:dyDescent="0.25">
      <c r="J75" t="str">
        <f>IF(B97-B96&gt;2.9,B103,"")</f>
        <v/>
      </c>
      <c r="K75">
        <f>IF(L75="","",H74+1)</f>
        <v>37</v>
      </c>
      <c r="L75" t="str">
        <f>IF(R37=12,"Januar",IF(R37=11,"Februar",IF(R37=10,"Marts",IF(R37=9,"April",IF(R37=8,"Maj",IF(R37=7,"Juni",IF(R37=6,"Juli",IF(R37=5,"August",IF(R37=4,"September",IF(R37=3,"Oktober",IF(R37=2,"November",IF(R37=1,"December",""))))))))))))</f>
        <v>Januar</v>
      </c>
      <c r="M75" t="e">
        <f>IF(L75="","",INDEX(S$20:$AD$25,MATCH($J$75,$R$20:$R$25,0),MATCH(L75,$S$19:$AD$19,0)))</f>
        <v>#N/A</v>
      </c>
      <c r="N75" t="e">
        <f>M75</f>
        <v>#N/A</v>
      </c>
      <c r="O75" t="b">
        <f t="shared" si="8"/>
        <v>0</v>
      </c>
    </row>
    <row r="76" spans="5:21" x14ac:dyDescent="0.25">
      <c r="K76">
        <f>IF(L76="","",K75+1)</f>
        <v>38</v>
      </c>
      <c r="L76" t="str">
        <f>IF(R37=12,"Februar",IF(R37=11,"Marts",IF(R37=10,"April",IF(R37=9,"Maj",IF(R37=8,"Juni",IF(R37=7,"Juli",IF(R37=6,"August",IF(R37=5,"September",IF(R37=4,"Oktober",IF(R37=3,"November",IF(R37=2,"December","")))))))))))</f>
        <v>Februar</v>
      </c>
      <c r="M76" t="e">
        <f>IF(L76="","",INDEX(S$20:$AD$25,MATCH($J$75,$R$20:$R$25,0),MATCH(L76,$S$19:$AD$19,0)))</f>
        <v>#N/A</v>
      </c>
      <c r="N76" t="e">
        <f>N75+M76</f>
        <v>#N/A</v>
      </c>
      <c r="O76" t="b">
        <f t="shared" si="8"/>
        <v>0</v>
      </c>
    </row>
    <row r="77" spans="5:21" x14ac:dyDescent="0.25">
      <c r="G77" t="s">
        <v>151</v>
      </c>
      <c r="I77" s="82">
        <f>SUM(VLOOKUP(36,K39:O86,5,TRUE)-I65-I53)</f>
        <v>0</v>
      </c>
      <c r="K77">
        <f t="shared" ref="K77:K86" si="15">IF(L77="","",K76+1)</f>
        <v>39</v>
      </c>
      <c r="L77" t="str">
        <f>IF(R37=12,"Marts",IF(R37=11,"April",IF(R37=10,"Maj",IF(R37=9,"Juni",IF(R37=8,"Juli",IF(R37=7,"August",IF(R37=6,"September",IF(R37=5,"Oktober",IF(R37=4,"November",IF(R37=3,"December",""))))))))))</f>
        <v>Marts</v>
      </c>
      <c r="M77" t="e">
        <f>IF(L77="","",INDEX(S$20:$AD$25,MATCH($J$75,$R$20:$R$25,0),MATCH(L77,$S$19:$AD$19,0)))</f>
        <v>#N/A</v>
      </c>
      <c r="N77" t="e">
        <f t="shared" ref="N77:N85" si="16">N76+M77</f>
        <v>#N/A</v>
      </c>
      <c r="O77" t="b">
        <f t="shared" si="8"/>
        <v>0</v>
      </c>
    </row>
    <row r="78" spans="5:21" x14ac:dyDescent="0.25">
      <c r="K78">
        <f t="shared" si="15"/>
        <v>40</v>
      </c>
      <c r="L78" t="str">
        <f>IF(R37=12,"April",IF(R37=11,"Maj",IF(R37=10,"Juni",IF(R37=9,"Juli",IF(R37=8,"August",IF(R37=7,"September",IF(R37=6,"Oktober",IF(R37=5,"November",IF(R37=4,"December","")))))))))</f>
        <v>April</v>
      </c>
      <c r="M78" t="e">
        <f>IF(L78="","",INDEX(S$20:$AD$25,MATCH($J$75,$R$20:$R$25,0),MATCH(L78,$S$19:$AD$19,0)))</f>
        <v>#N/A</v>
      </c>
      <c r="N78" t="e">
        <f t="shared" si="16"/>
        <v>#N/A</v>
      </c>
      <c r="O78" t="b">
        <f t="shared" si="8"/>
        <v>0</v>
      </c>
    </row>
    <row r="79" spans="5:21" x14ac:dyDescent="0.25">
      <c r="K79">
        <f t="shared" si="15"/>
        <v>41</v>
      </c>
      <c r="L79" t="str">
        <f>IF(R37=12,"Maj",IF(R37=11,"Juni",IF(R37=10,"Juli",IF(R37=9,"August",IF(R37=8,"September",IF(R37=7,"Oktober",IF(R37=6,"November",IF(R37=5,"December",""))))))))</f>
        <v>Maj</v>
      </c>
      <c r="M79" t="e">
        <f>IF(L79="","",INDEX(S$20:$AD$25,MATCH($J$75,$R$20:$R$25,0),MATCH(L79,$S$19:$AD$19,0)))</f>
        <v>#N/A</v>
      </c>
      <c r="N79" t="e">
        <f t="shared" si="16"/>
        <v>#N/A</v>
      </c>
      <c r="O79" t="b">
        <f t="shared" si="8"/>
        <v>0</v>
      </c>
    </row>
    <row r="80" spans="5:21" x14ac:dyDescent="0.25">
      <c r="K80">
        <f t="shared" si="15"/>
        <v>42</v>
      </c>
      <c r="L80" t="str">
        <f>IF(R37=12,"Juni",IF(R37=11,"Juli",IF(R37=10,"August",IF(R37=9,"September",IF(R37=8,"Oktober",IF(R37=7,"November",IF(R37=6,"December","")))))))</f>
        <v>Juni</v>
      </c>
      <c r="M80" t="e">
        <f>IF(L80="","",INDEX(S$20:$AD$25,MATCH($J$75,$R$20:$R$25,0),MATCH(L80,$S$19:$AD$19,0)))</f>
        <v>#N/A</v>
      </c>
      <c r="N80" t="e">
        <f t="shared" si="16"/>
        <v>#N/A</v>
      </c>
      <c r="O80" t="b">
        <f t="shared" si="8"/>
        <v>0</v>
      </c>
    </row>
    <row r="81" spans="2:15" x14ac:dyDescent="0.25">
      <c r="K81">
        <f t="shared" si="15"/>
        <v>43</v>
      </c>
      <c r="L81" t="str">
        <f>IF(R37=12,"Juli",IF(R37=11,"August",IF(R37=10,"September",IF(R37=9,"Oktober",IF(R37=8,"November",IF(R37=7,"December",""))))))</f>
        <v>Juli</v>
      </c>
      <c r="M81" t="e">
        <f>IF(L81="","",INDEX(S$20:$AD$25,MATCH($J$75,$R$20:$R$25,0),MATCH(L81,$S$19:$AD$19,0)))</f>
        <v>#N/A</v>
      </c>
      <c r="N81" t="e">
        <f t="shared" si="16"/>
        <v>#N/A</v>
      </c>
      <c r="O81" t="b">
        <f t="shared" si="8"/>
        <v>0</v>
      </c>
    </row>
    <row r="82" spans="2:15" x14ac:dyDescent="0.25">
      <c r="K82">
        <f t="shared" si="15"/>
        <v>44</v>
      </c>
      <c r="L82" t="str">
        <f>IF(R37=12,"August",IF(R37=11,"September",IF(R37=10,"Oktober",IF(R37=9,"November",IF(R37=8,"December","")))))</f>
        <v>August</v>
      </c>
      <c r="M82" t="e">
        <f>IF(L82="","",INDEX(S$20:$AD$25,MATCH($J$75,$R$20:$R$25,0),MATCH(L82,$S$19:$AD$19,0)))</f>
        <v>#N/A</v>
      </c>
      <c r="N82" t="e">
        <f t="shared" si="16"/>
        <v>#N/A</v>
      </c>
      <c r="O82" t="b">
        <f>IF(K82="",O81,IF($G$42=12,IF(K82&lt;12.1,M82+O81),IF($G$42=36,IF(K82&lt;36.1,M82+O81))))</f>
        <v>0</v>
      </c>
    </row>
    <row r="83" spans="2:15" x14ac:dyDescent="0.25">
      <c r="K83">
        <f t="shared" si="15"/>
        <v>45</v>
      </c>
      <c r="L83" t="str">
        <f>IF(R37=12,"September",IF(R37=11,"Oktober",IF(R37=10,"November",IF(R37=9,"December",""))))</f>
        <v>September</v>
      </c>
      <c r="M83" t="e">
        <f>IF(L83="","",INDEX(S$20:$AD$25,MATCH($J$75,$R$20:$R$25,0),MATCH(L83,$S$19:$AD$19,0)))</f>
        <v>#N/A</v>
      </c>
      <c r="N83" t="e">
        <f t="shared" si="16"/>
        <v>#N/A</v>
      </c>
      <c r="O83" t="b">
        <f t="shared" si="8"/>
        <v>0</v>
      </c>
    </row>
    <row r="84" spans="2:15" x14ac:dyDescent="0.25">
      <c r="K84">
        <f t="shared" si="15"/>
        <v>46</v>
      </c>
      <c r="L84" t="str">
        <f>IF(R37=12,"Oktober",IF(R37=11,"November",IF(R37=10,"December","")))</f>
        <v>Oktober</v>
      </c>
      <c r="M84" t="e">
        <f>IF(L84="","",INDEX(S$20:$AD$25,MATCH($J$75,$R$20:$R$25,0),MATCH(L84,$S$19:$AD$19,0)))</f>
        <v>#N/A</v>
      </c>
      <c r="N84" t="e">
        <f t="shared" si="16"/>
        <v>#N/A</v>
      </c>
      <c r="O84" t="b">
        <f t="shared" si="8"/>
        <v>0</v>
      </c>
    </row>
    <row r="85" spans="2:15" x14ac:dyDescent="0.25">
      <c r="K85">
        <f t="shared" si="15"/>
        <v>47</v>
      </c>
      <c r="L85" t="str">
        <f>IF(R37=12,"November",IF(R37=11,"December",""))</f>
        <v>November</v>
      </c>
      <c r="M85" t="e">
        <f>IF(L85="","",INDEX(S$20:$AD$25,MATCH($J$75,$R$20:$R$25,0),MATCH(L85,$S$19:$AD$19,0)))</f>
        <v>#N/A</v>
      </c>
      <c r="N85" t="e">
        <f t="shared" si="16"/>
        <v>#N/A</v>
      </c>
      <c r="O85" t="b">
        <f t="shared" si="8"/>
        <v>0</v>
      </c>
    </row>
    <row r="86" spans="2:15" x14ac:dyDescent="0.25">
      <c r="K86">
        <f t="shared" si="15"/>
        <v>48</v>
      </c>
      <c r="L86" t="str">
        <f>IF(R37=12,"December","")</f>
        <v>December</v>
      </c>
      <c r="M86" t="e">
        <f>IF(L86="","",INDEX(S$20:$AD$25,MATCH($J$75,$R$20:$R$25,0),MATCH(L86,$S$19:$AD$19,0)))</f>
        <v>#N/A</v>
      </c>
      <c r="N86" t="e">
        <f>N85+M86</f>
        <v>#N/A</v>
      </c>
      <c r="O86" t="b">
        <f>IF(K86="",O85,IF($G$42=12,IF(K86&lt;12.1,M86+O85),IF($G$42=36,IF(K86&lt;36.1,M86+O85))))</f>
        <v>0</v>
      </c>
    </row>
    <row r="88" spans="2:15" x14ac:dyDescent="0.25">
      <c r="K88" t="s">
        <v>105</v>
      </c>
      <c r="O88">
        <f>MAX(O39:O87)</f>
        <v>2714.2</v>
      </c>
    </row>
    <row r="91" spans="2:15" x14ac:dyDescent="0.25">
      <c r="B91" t="s">
        <v>106</v>
      </c>
    </row>
    <row r="92" spans="2:15" x14ac:dyDescent="0.25">
      <c r="C92">
        <f>IF('Beregner '!G25=1,12,IF('Beregner '!G25=3,36,""))</f>
        <v>12</v>
      </c>
    </row>
    <row r="95" spans="2:15" x14ac:dyDescent="0.25">
      <c r="B95" t="s">
        <v>107</v>
      </c>
      <c r="C95" t="s">
        <v>108</v>
      </c>
    </row>
    <row r="96" spans="2:15" x14ac:dyDescent="0.25">
      <c r="B96" s="72">
        <f>'Beregner '!G24</f>
        <v>2020</v>
      </c>
      <c r="C96" s="71" t="str">
        <f>'Beregner '!H24</f>
        <v>Januar</v>
      </c>
      <c r="D96" s="71"/>
    </row>
    <row r="97" spans="2:19" x14ac:dyDescent="0.25">
      <c r="B97" s="72">
        <f>B96+'Beregner '!G25</f>
        <v>2021</v>
      </c>
      <c r="C97" s="71" t="str">
        <f>C96</f>
        <v>Januar</v>
      </c>
      <c r="J97" t="str">
        <f ca="1">OFFSET(N105,-1,4)</f>
        <v>Manuel</v>
      </c>
    </row>
    <row r="100" spans="2:19" x14ac:dyDescent="0.25">
      <c r="B100">
        <f>IF(B97-B96&gt;1.9,B96,IF(B97-B96&lt;1.1,B96,""))</f>
        <v>2020</v>
      </c>
    </row>
    <row r="101" spans="2:19" x14ac:dyDescent="0.25">
      <c r="B101">
        <f>IF(B97-B96&gt;1.9,B96+1,IF(B97-B96=1,B97,""))</f>
        <v>2021</v>
      </c>
    </row>
    <row r="102" spans="2:19" x14ac:dyDescent="0.25">
      <c r="B102" t="str">
        <f>IF(B97-B96&gt;1.9,B101+1,"")</f>
        <v/>
      </c>
      <c r="L102" s="38"/>
      <c r="M102" s="38"/>
      <c r="N102" s="38"/>
      <c r="O102" s="38"/>
      <c r="Q102" t="str">
        <f>'Beregner '!G31</f>
        <v>Manuel</v>
      </c>
    </row>
    <row r="103" spans="2:19" ht="15.75" thickBot="1" x14ac:dyDescent="0.3">
      <c r="B103" t="str">
        <f>IF(B97-B96&gt;1.9,B102+1,"")</f>
        <v/>
      </c>
      <c r="L103" s="38"/>
      <c r="N103" s="38"/>
      <c r="O103" s="38"/>
    </row>
    <row r="104" spans="2:19" x14ac:dyDescent="0.25">
      <c r="L104" s="38"/>
      <c r="M104" t="s">
        <v>131</v>
      </c>
      <c r="N104" s="256">
        <v>1</v>
      </c>
      <c r="O104" s="38"/>
      <c r="Q104" s="152" t="s">
        <v>129</v>
      </c>
      <c r="R104" t="s">
        <v>127</v>
      </c>
      <c r="S104" t="s">
        <v>131</v>
      </c>
    </row>
    <row r="105" spans="2:19" x14ac:dyDescent="0.25">
      <c r="L105" s="38"/>
      <c r="M105" s="38" t="s">
        <v>116</v>
      </c>
      <c r="N105" s="255">
        <v>0.18</v>
      </c>
      <c r="O105" s="38"/>
      <c r="Q105" s="153" t="s">
        <v>116</v>
      </c>
      <c r="R105" s="77">
        <v>0</v>
      </c>
      <c r="S105" s="77">
        <v>1</v>
      </c>
    </row>
    <row r="106" spans="2:19" x14ac:dyDescent="0.25">
      <c r="B106" t="s">
        <v>109</v>
      </c>
      <c r="D106" t="s">
        <v>111</v>
      </c>
      <c r="E106" t="s">
        <v>209</v>
      </c>
      <c r="L106" s="38"/>
      <c r="M106" s="38" t="s">
        <v>117</v>
      </c>
      <c r="N106" s="255">
        <v>0.36</v>
      </c>
      <c r="O106" s="38"/>
      <c r="Q106" s="153" t="s">
        <v>117</v>
      </c>
      <c r="R106" s="76">
        <v>0.01</v>
      </c>
    </row>
    <row r="107" spans="2:19" x14ac:dyDescent="0.25">
      <c r="B107">
        <f>B96</f>
        <v>2020</v>
      </c>
      <c r="C107">
        <f>I53</f>
        <v>2714.2</v>
      </c>
      <c r="D107">
        <v>2941</v>
      </c>
      <c r="E107">
        <f>D107/C107</f>
        <v>1.0835605334905314</v>
      </c>
      <c r="H107" s="72"/>
      <c r="L107" s="38"/>
      <c r="M107" s="38" t="s">
        <v>118</v>
      </c>
      <c r="N107" s="255">
        <v>0.17</v>
      </c>
      <c r="O107" s="38"/>
      <c r="Q107" s="153" t="s">
        <v>118</v>
      </c>
      <c r="R107" s="76">
        <v>0.02</v>
      </c>
    </row>
    <row r="108" spans="2:19" x14ac:dyDescent="0.25">
      <c r="B108">
        <f>B107+1</f>
        <v>2021</v>
      </c>
      <c r="C108">
        <f>I65</f>
        <v>-2714.2</v>
      </c>
      <c r="D108">
        <v>2941</v>
      </c>
      <c r="E108">
        <f t="shared" ref="E108:E109" si="17">IF(D108="","",D108/C108)</f>
        <v>-1.0835605334905314</v>
      </c>
      <c r="L108" s="38"/>
      <c r="M108" s="38" t="s">
        <v>119</v>
      </c>
      <c r="N108" s="255">
        <v>0.15</v>
      </c>
      <c r="O108" s="38"/>
      <c r="Q108" s="153" t="s">
        <v>119</v>
      </c>
      <c r="R108" s="76">
        <v>0.03</v>
      </c>
    </row>
    <row r="109" spans="2:19" x14ac:dyDescent="0.25">
      <c r="B109">
        <f>B108+1</f>
        <v>2022</v>
      </c>
      <c r="C109">
        <f>I77</f>
        <v>0</v>
      </c>
      <c r="D109">
        <v>2941</v>
      </c>
      <c r="E109" t="e">
        <f t="shared" si="17"/>
        <v>#DIV/0!</v>
      </c>
      <c r="L109" s="38"/>
      <c r="M109" s="38" t="s">
        <v>120</v>
      </c>
      <c r="N109" s="255">
        <v>0.19</v>
      </c>
      <c r="O109" s="38"/>
      <c r="Q109" s="153" t="s">
        <v>120</v>
      </c>
      <c r="R109" s="76">
        <v>0.04</v>
      </c>
    </row>
    <row r="110" spans="2:19" x14ac:dyDescent="0.25">
      <c r="L110" s="38"/>
      <c r="M110" s="38" t="s">
        <v>121</v>
      </c>
      <c r="N110" s="255">
        <v>0.28000000000000003</v>
      </c>
      <c r="O110" s="38"/>
      <c r="Q110" s="153" t="s">
        <v>121</v>
      </c>
      <c r="R110" s="76">
        <v>0.05</v>
      </c>
    </row>
    <row r="111" spans="2:19" x14ac:dyDescent="0.25">
      <c r="L111" s="38"/>
      <c r="M111" s="38" t="s">
        <v>122</v>
      </c>
      <c r="N111" s="255">
        <v>0.14000000000000001</v>
      </c>
      <c r="O111" s="38"/>
      <c r="Q111" s="153" t="s">
        <v>122</v>
      </c>
      <c r="R111" s="76">
        <v>0.06</v>
      </c>
    </row>
    <row r="112" spans="2:19" x14ac:dyDescent="0.25">
      <c r="L112" s="38"/>
      <c r="M112" s="38" t="s">
        <v>123</v>
      </c>
      <c r="N112" s="255">
        <v>0.28999999999999998</v>
      </c>
      <c r="O112" s="38"/>
      <c r="Q112" s="153" t="s">
        <v>123</v>
      </c>
      <c r="R112" s="76">
        <v>7.0000000000000007E-2</v>
      </c>
    </row>
    <row r="113" spans="2:18" x14ac:dyDescent="0.25">
      <c r="L113" s="38"/>
      <c r="M113" s="38" t="s">
        <v>161</v>
      </c>
      <c r="N113" s="256">
        <v>0</v>
      </c>
      <c r="O113" s="38"/>
      <c r="Q113" s="153" t="s">
        <v>124</v>
      </c>
      <c r="R113" s="76">
        <v>0.08</v>
      </c>
    </row>
    <row r="114" spans="2:18" ht="15.75" thickBot="1" x14ac:dyDescent="0.3">
      <c r="L114" s="38"/>
      <c r="M114" t="s">
        <v>127</v>
      </c>
      <c r="N114" s="256">
        <f>'Beregner '!G32</f>
        <v>0</v>
      </c>
      <c r="O114" s="38"/>
      <c r="Q114" s="154" t="s">
        <v>161</v>
      </c>
      <c r="R114" s="76">
        <v>0.09</v>
      </c>
    </row>
    <row r="115" spans="2:18" x14ac:dyDescent="0.25">
      <c r="L115" s="38"/>
      <c r="M115" s="38"/>
      <c r="N115" s="38"/>
      <c r="O115" s="38"/>
      <c r="R115" s="76">
        <v>0.1</v>
      </c>
    </row>
    <row r="116" spans="2:18" x14ac:dyDescent="0.25">
      <c r="L116" s="38"/>
      <c r="M116" s="38"/>
      <c r="N116" s="38"/>
      <c r="O116" s="38"/>
      <c r="R116" s="76">
        <v>0.11</v>
      </c>
    </row>
    <row r="117" spans="2:18" x14ac:dyDescent="0.25">
      <c r="R117" s="76">
        <v>0.12</v>
      </c>
    </row>
    <row r="118" spans="2:18" x14ac:dyDescent="0.25">
      <c r="R118" s="76">
        <v>0.13</v>
      </c>
    </row>
    <row r="119" spans="2:18" x14ac:dyDescent="0.25">
      <c r="R119" s="76">
        <v>0.14000000000000001</v>
      </c>
    </row>
    <row r="120" spans="2:18" x14ac:dyDescent="0.25">
      <c r="B120" t="s">
        <v>132</v>
      </c>
      <c r="C120" s="74">
        <f>Forbrugsberegner!B70</f>
        <v>0</v>
      </c>
      <c r="R120" s="76">
        <v>0.15</v>
      </c>
    </row>
    <row r="121" spans="2:18" x14ac:dyDescent="0.25">
      <c r="B121" t="s">
        <v>36</v>
      </c>
      <c r="C121" s="74" t="e">
        <f>Forbrugsberegner!B71</f>
        <v>#N/A</v>
      </c>
      <c r="D121" s="74" t="str">
        <f>Forbrugsberegner!C71</f>
        <v>kWh/Kg</v>
      </c>
      <c r="R121" s="76">
        <v>0.15</v>
      </c>
    </row>
    <row r="122" spans="2:18" x14ac:dyDescent="0.25">
      <c r="C122" s="74"/>
      <c r="D122" s="74"/>
      <c r="R122" s="76">
        <v>0.16</v>
      </c>
    </row>
    <row r="123" spans="2:18" x14ac:dyDescent="0.25">
      <c r="B123" t="s">
        <v>125</v>
      </c>
      <c r="C123" s="74"/>
      <c r="D123" s="74"/>
      <c r="R123" s="76">
        <v>0.17</v>
      </c>
    </row>
    <row r="124" spans="2:18" x14ac:dyDescent="0.25">
      <c r="B124" t="s">
        <v>115</v>
      </c>
      <c r="C124" s="77" t="str">
        <f>'Beregner '!G31</f>
        <v>Manuel</v>
      </c>
      <c r="D124" s="74"/>
      <c r="E124" s="76"/>
      <c r="G124" s="76"/>
      <c r="R124" s="76">
        <v>0.18</v>
      </c>
    </row>
    <row r="125" spans="2:18" x14ac:dyDescent="0.25">
      <c r="B125" t="s">
        <v>126</v>
      </c>
      <c r="C125" s="76">
        <f>VLOOKUP('Beregner '!G31,Graddageberegner!M104:N114,2,FALSE)</f>
        <v>0</v>
      </c>
      <c r="D125" s="74"/>
      <c r="R125" s="76">
        <v>0.19</v>
      </c>
    </row>
    <row r="126" spans="2:18" x14ac:dyDescent="0.25">
      <c r="R126" s="76">
        <v>0.2</v>
      </c>
    </row>
    <row r="127" spans="2:18" x14ac:dyDescent="0.25">
      <c r="H127" s="77"/>
      <c r="R127" s="76">
        <v>0.21</v>
      </c>
    </row>
    <row r="128" spans="2:18" x14ac:dyDescent="0.25">
      <c r="B128" t="str">
        <f>"Forbrug "&amp; "["&amp; 'Beregner '!I27 &amp;"]"</f>
        <v>Forbrug []</v>
      </c>
      <c r="R128" s="76">
        <v>0.22</v>
      </c>
    </row>
    <row r="129" spans="2:18" x14ac:dyDescent="0.25">
      <c r="C129" t="str">
        <f>"Forbrug ikke korrigeret "&amp; "["&amp; 'Beregner '!I27 &amp;"]"</f>
        <v>Forbrug ikke korrigeret []</v>
      </c>
      <c r="D129" t="str">
        <f>"Forbrug korrigeret "&amp; "["&amp; 'Beregner '!I27 &amp;"]"</f>
        <v>Forbrug korrigeret []</v>
      </c>
      <c r="G129" s="79"/>
      <c r="R129" s="76">
        <v>0.23</v>
      </c>
    </row>
    <row r="130" spans="2:18" x14ac:dyDescent="0.25">
      <c r="B130" s="72">
        <f>B107</f>
        <v>2020</v>
      </c>
      <c r="C130" s="72">
        <f>'Beregner '!G27</f>
        <v>0</v>
      </c>
      <c r="D130" s="73">
        <f>C130*(1-C125)*E107+C130*C125</f>
        <v>0</v>
      </c>
      <c r="F130" s="72"/>
      <c r="G130" s="84"/>
      <c r="R130" s="76">
        <v>0.24</v>
      </c>
    </row>
    <row r="131" spans="2:18" x14ac:dyDescent="0.25">
      <c r="B131" s="72">
        <f t="shared" ref="B131" si="18">B108</f>
        <v>2021</v>
      </c>
      <c r="C131" s="72">
        <f>'Beregner '!G28</f>
        <v>0</v>
      </c>
      <c r="D131" s="73">
        <f>IFERROR(IF($C$125=100%,C131,C131*E108*(1-$C$125)+C131*$C$125),0)</f>
        <v>0</v>
      </c>
      <c r="F131" s="72"/>
      <c r="R131" s="76">
        <v>0.25</v>
      </c>
    </row>
    <row r="132" spans="2:18" x14ac:dyDescent="0.25">
      <c r="B132" s="72">
        <f>B109</f>
        <v>2022</v>
      </c>
      <c r="C132" s="72">
        <f>'Beregner '!G29</f>
        <v>0</v>
      </c>
      <c r="D132" s="73">
        <f>IFERROR(IF($C$125=100%,C132,C132*E109*(1-$C$125)+C132*$C$125),0)</f>
        <v>0</v>
      </c>
      <c r="F132" s="72"/>
      <c r="R132" s="76">
        <v>0.26</v>
      </c>
    </row>
    <row r="133" spans="2:18" x14ac:dyDescent="0.25">
      <c r="B133" s="72"/>
      <c r="C133" s="72"/>
      <c r="D133" s="73"/>
      <c r="F133" s="72"/>
      <c r="R133" s="76">
        <v>0.27</v>
      </c>
    </row>
    <row r="134" spans="2:18" x14ac:dyDescent="0.25">
      <c r="R134" s="76">
        <v>0.28000000000000003</v>
      </c>
    </row>
    <row r="135" spans="2:18" x14ac:dyDescent="0.25">
      <c r="B135" t="s">
        <v>113</v>
      </c>
      <c r="D135" s="73">
        <f>IF('Beregner '!G25=1,SUM(D130)/'Beregner '!G25,SUM(D130:D132)/'Beregner '!G25)</f>
        <v>0</v>
      </c>
      <c r="R135" s="76">
        <v>0.28999999999999998</v>
      </c>
    </row>
    <row r="136" spans="2:18" x14ac:dyDescent="0.25">
      <c r="D136" s="72"/>
      <c r="R136" s="76">
        <v>0.3</v>
      </c>
    </row>
    <row r="137" spans="2:18" x14ac:dyDescent="0.25">
      <c r="R137" s="76">
        <v>0.31</v>
      </c>
    </row>
    <row r="138" spans="2:18" x14ac:dyDescent="0.25">
      <c r="R138" s="76">
        <v>0.32</v>
      </c>
    </row>
    <row r="139" spans="2:18" x14ac:dyDescent="0.25">
      <c r="B139" t="s">
        <v>112</v>
      </c>
      <c r="R139" s="76">
        <v>0.33</v>
      </c>
    </row>
    <row r="140" spans="2:18" x14ac:dyDescent="0.25">
      <c r="B140" t="s">
        <v>158</v>
      </c>
      <c r="R140" s="76">
        <v>0.34</v>
      </c>
    </row>
    <row r="141" spans="2:18" x14ac:dyDescent="0.25">
      <c r="B141" s="72" t="str">
        <f>C157</f>
        <v>Januar 2020-December 2020</v>
      </c>
      <c r="C141" s="75" t="e">
        <f>$C$121*D130</f>
        <v>#N/A</v>
      </c>
      <c r="R141" s="76">
        <v>0.35</v>
      </c>
    </row>
    <row r="142" spans="2:18" x14ac:dyDescent="0.25">
      <c r="B142" s="72" t="str">
        <f>C158</f>
        <v>Januar 2021-December 2021</v>
      </c>
      <c r="C142" s="75" t="e">
        <f>IF(B142="","",$C$121*D131)</f>
        <v>#N/A</v>
      </c>
      <c r="R142" s="76">
        <v>0.36</v>
      </c>
    </row>
    <row r="143" spans="2:18" x14ac:dyDescent="0.25">
      <c r="B143" s="72" t="str">
        <f>C159</f>
        <v>Januar 2022-December 2022</v>
      </c>
      <c r="C143" s="75" t="e">
        <f>IF(B132="","",$C$121*D132)</f>
        <v>#N/A</v>
      </c>
      <c r="R143" s="76">
        <v>0.37</v>
      </c>
    </row>
    <row r="144" spans="2:18" x14ac:dyDescent="0.25">
      <c r="B144" s="72"/>
      <c r="C144" s="75" t="str">
        <f>IF(B133="","",$C$121*D133)</f>
        <v/>
      </c>
      <c r="R144" s="76">
        <v>0.38</v>
      </c>
    </row>
    <row r="145" spans="2:18" x14ac:dyDescent="0.25">
      <c r="B145" s="72"/>
      <c r="R145" s="76">
        <v>0.39</v>
      </c>
    </row>
    <row r="146" spans="2:18" x14ac:dyDescent="0.25">
      <c r="B146" s="72" t="s">
        <v>113</v>
      </c>
      <c r="C146" s="75" t="e">
        <f>IF('Beregner '!G25=1,SUM(C141),SUM(C141:C144)/'Beregner '!G25)</f>
        <v>#N/A</v>
      </c>
      <c r="R146" s="76">
        <v>0.4</v>
      </c>
    </row>
    <row r="147" spans="2:18" x14ac:dyDescent="0.25">
      <c r="R147" s="76">
        <v>0.41</v>
      </c>
    </row>
    <row r="148" spans="2:18" x14ac:dyDescent="0.25">
      <c r="R148" s="76">
        <v>0.42</v>
      </c>
    </row>
    <row r="149" spans="2:18" x14ac:dyDescent="0.25">
      <c r="G149" s="83" t="b">
        <f>IF(AND(G22=1,H21="Januar"),IF(AND(H21&lt;&gt;"Januar",G22=3),H21&amp;" "&amp;G21+0&amp;"-"&amp;Graddageberegner!G17&amp;" "&amp;'Beregner '!G24+1,H21&amp;" "&amp;G21+1&amp;"-"&amp;Graddageberegner!G17&amp;" "&amp;'Beregner '!G24+2))</f>
        <v>0</v>
      </c>
      <c r="R149" s="76">
        <v>0.43</v>
      </c>
    </row>
    <row r="150" spans="2:18" x14ac:dyDescent="0.25">
      <c r="R150" s="76">
        <v>0.44</v>
      </c>
    </row>
    <row r="151" spans="2:18" ht="15.75" thickBot="1" x14ac:dyDescent="0.3">
      <c r="B151" t="s">
        <v>190</v>
      </c>
      <c r="R151" s="76">
        <v>0.45</v>
      </c>
    </row>
    <row r="152" spans="2:18" x14ac:dyDescent="0.25">
      <c r="B152" s="59"/>
      <c r="C152" s="60" t="s">
        <v>140</v>
      </c>
      <c r="D152" s="60" t="s">
        <v>158</v>
      </c>
      <c r="E152" s="60" t="s">
        <v>162</v>
      </c>
      <c r="F152" s="61" t="s">
        <v>163</v>
      </c>
      <c r="R152" s="76">
        <v>0.46</v>
      </c>
    </row>
    <row r="153" spans="2:18" x14ac:dyDescent="0.25">
      <c r="B153" s="62" t="s">
        <v>164</v>
      </c>
      <c r="C153" s="85" t="str">
        <f>'Beregner '!H24</f>
        <v>Januar</v>
      </c>
      <c r="D153" s="86">
        <f>'Beregner '!G24</f>
        <v>2020</v>
      </c>
      <c r="E153" s="41" t="str">
        <f>R7</f>
        <v>December</v>
      </c>
      <c r="F153" s="63">
        <f>IF(C153&lt;&gt;"Januar",D153+1,D153)</f>
        <v>2020</v>
      </c>
      <c r="R153" s="76">
        <v>0.47</v>
      </c>
    </row>
    <row r="154" spans="2:18" x14ac:dyDescent="0.25">
      <c r="B154" s="62" t="s">
        <v>165</v>
      </c>
      <c r="C154" s="85" t="str">
        <f>C153</f>
        <v>Januar</v>
      </c>
      <c r="D154" s="86">
        <f>D153+1</f>
        <v>2021</v>
      </c>
      <c r="E154" s="41" t="str">
        <f>E153</f>
        <v>December</v>
      </c>
      <c r="F154" s="63">
        <f>F153+1</f>
        <v>2021</v>
      </c>
      <c r="R154" s="76">
        <v>0.48</v>
      </c>
    </row>
    <row r="155" spans="2:18" ht="15.75" thickBot="1" x14ac:dyDescent="0.3">
      <c r="B155" s="87" t="s">
        <v>166</v>
      </c>
      <c r="C155" s="90" t="str">
        <f>C154</f>
        <v>Januar</v>
      </c>
      <c r="D155" s="91">
        <f>D154+1</f>
        <v>2022</v>
      </c>
      <c r="E155" s="68" t="str">
        <f>E154</f>
        <v>December</v>
      </c>
      <c r="F155" s="69">
        <f>F154+1</f>
        <v>2022</v>
      </c>
      <c r="R155" s="76">
        <v>0.49</v>
      </c>
    </row>
    <row r="156" spans="2:18" x14ac:dyDescent="0.25">
      <c r="B156" s="88" t="s">
        <v>200</v>
      </c>
      <c r="C156" s="89"/>
      <c r="D156" s="92"/>
      <c r="E156" s="92"/>
      <c r="F156" s="92"/>
      <c r="G156" s="38"/>
      <c r="R156" s="76">
        <v>0.5</v>
      </c>
    </row>
    <row r="157" spans="2:18" x14ac:dyDescent="0.25">
      <c r="B157" s="62" t="s">
        <v>155</v>
      </c>
      <c r="C157" s="63" t="str">
        <f>C153&amp;" "&amp;D153&amp;"-"&amp;E153&amp;" "&amp;F153</f>
        <v>Januar 2020-December 2020</v>
      </c>
      <c r="D157" s="92"/>
      <c r="E157" s="92"/>
      <c r="F157" s="92"/>
      <c r="G157" s="38"/>
      <c r="R157" s="76">
        <v>0.51</v>
      </c>
    </row>
    <row r="158" spans="2:18" x14ac:dyDescent="0.25">
      <c r="B158" s="62" t="s">
        <v>157</v>
      </c>
      <c r="C158" s="63" t="str">
        <f>C154&amp;" "&amp;D154&amp;"-"&amp;E154&amp;" "&amp;F154</f>
        <v>Januar 2021-December 2021</v>
      </c>
      <c r="D158" s="92"/>
      <c r="E158" s="92"/>
      <c r="F158" s="92"/>
      <c r="G158" s="38"/>
      <c r="R158" s="76">
        <v>0.52</v>
      </c>
    </row>
    <row r="159" spans="2:18" ht="15.75" thickBot="1" x14ac:dyDescent="0.3">
      <c r="B159" s="87" t="s">
        <v>156</v>
      </c>
      <c r="C159" s="69" t="str">
        <f>C155&amp;" "&amp;D155&amp;"-"&amp;E155&amp;" "&amp;F155</f>
        <v>Januar 2022-December 2022</v>
      </c>
      <c r="D159" s="92"/>
      <c r="E159" s="92"/>
      <c r="F159" s="92"/>
      <c r="G159" s="38"/>
      <c r="R159" s="76">
        <v>0.53</v>
      </c>
    </row>
    <row r="160" spans="2:18" x14ac:dyDescent="0.25">
      <c r="D160" s="38"/>
      <c r="E160" s="38"/>
      <c r="F160" s="38"/>
      <c r="R160" s="76">
        <v>0.54</v>
      </c>
    </row>
    <row r="161" spans="18:18" x14ac:dyDescent="0.25">
      <c r="R161" s="76">
        <v>0.55000000000000004</v>
      </c>
    </row>
    <row r="162" spans="18:18" x14ac:dyDescent="0.25">
      <c r="R162" s="76">
        <v>0.56000000000000005</v>
      </c>
    </row>
    <row r="163" spans="18:18" x14ac:dyDescent="0.25">
      <c r="R163" s="76">
        <v>0.56999999999999995</v>
      </c>
    </row>
    <row r="164" spans="18:18" x14ac:dyDescent="0.25">
      <c r="R164" s="76">
        <v>0.57999999999999996</v>
      </c>
    </row>
    <row r="165" spans="18:18" x14ac:dyDescent="0.25">
      <c r="R165" s="76">
        <v>0.59</v>
      </c>
    </row>
    <row r="166" spans="18:18" x14ac:dyDescent="0.25">
      <c r="R166" s="76">
        <v>0.6</v>
      </c>
    </row>
    <row r="167" spans="18:18" x14ac:dyDescent="0.25">
      <c r="R167" s="76">
        <v>0.61</v>
      </c>
    </row>
    <row r="168" spans="18:18" x14ac:dyDescent="0.25">
      <c r="R168" s="76">
        <v>0.62</v>
      </c>
    </row>
    <row r="169" spans="18:18" x14ac:dyDescent="0.25">
      <c r="R169" s="76">
        <v>0.63</v>
      </c>
    </row>
    <row r="170" spans="18:18" x14ac:dyDescent="0.25">
      <c r="R170" s="76">
        <v>0.64</v>
      </c>
    </row>
    <row r="171" spans="18:18" x14ac:dyDescent="0.25">
      <c r="R171" s="76">
        <v>0.65</v>
      </c>
    </row>
    <row r="172" spans="18:18" x14ac:dyDescent="0.25">
      <c r="R172" s="76">
        <v>0.66</v>
      </c>
    </row>
    <row r="173" spans="18:18" x14ac:dyDescent="0.25">
      <c r="R173" s="76">
        <v>0.67</v>
      </c>
    </row>
    <row r="174" spans="18:18" x14ac:dyDescent="0.25">
      <c r="R174" s="76">
        <v>0.68</v>
      </c>
    </row>
    <row r="175" spans="18:18" x14ac:dyDescent="0.25">
      <c r="R175" s="76">
        <v>0.69</v>
      </c>
    </row>
    <row r="176" spans="18:18" x14ac:dyDescent="0.25">
      <c r="R176" s="76">
        <v>0.7</v>
      </c>
    </row>
    <row r="177" spans="18:18" x14ac:dyDescent="0.25">
      <c r="R177" s="76">
        <v>0.71</v>
      </c>
    </row>
    <row r="178" spans="18:18" x14ac:dyDescent="0.25">
      <c r="R178" s="76">
        <v>0.72</v>
      </c>
    </row>
    <row r="179" spans="18:18" x14ac:dyDescent="0.25">
      <c r="R179" s="76">
        <v>0.73</v>
      </c>
    </row>
    <row r="180" spans="18:18" x14ac:dyDescent="0.25">
      <c r="R180" s="76">
        <v>0.74</v>
      </c>
    </row>
    <row r="181" spans="18:18" x14ac:dyDescent="0.25">
      <c r="R181" s="76">
        <v>0.75</v>
      </c>
    </row>
    <row r="182" spans="18:18" x14ac:dyDescent="0.25">
      <c r="R182" s="76">
        <v>0.76</v>
      </c>
    </row>
    <row r="183" spans="18:18" x14ac:dyDescent="0.25">
      <c r="R183" s="76">
        <v>0.77</v>
      </c>
    </row>
    <row r="184" spans="18:18" x14ac:dyDescent="0.25">
      <c r="R184" s="76">
        <v>0.78</v>
      </c>
    </row>
    <row r="185" spans="18:18" x14ac:dyDescent="0.25">
      <c r="R185" s="76">
        <v>0.79</v>
      </c>
    </row>
    <row r="186" spans="18:18" x14ac:dyDescent="0.25">
      <c r="R186" s="76">
        <v>0.8</v>
      </c>
    </row>
    <row r="187" spans="18:18" x14ac:dyDescent="0.25">
      <c r="R187" s="76">
        <v>0.81</v>
      </c>
    </row>
    <row r="188" spans="18:18" x14ac:dyDescent="0.25">
      <c r="R188" s="76">
        <v>0.82</v>
      </c>
    </row>
    <row r="189" spans="18:18" x14ac:dyDescent="0.25">
      <c r="R189" s="76">
        <v>0.83</v>
      </c>
    </row>
    <row r="190" spans="18:18" x14ac:dyDescent="0.25">
      <c r="R190" s="76">
        <v>0.84</v>
      </c>
    </row>
    <row r="191" spans="18:18" x14ac:dyDescent="0.25">
      <c r="R191" s="76">
        <v>0.85</v>
      </c>
    </row>
    <row r="192" spans="18:18" x14ac:dyDescent="0.25">
      <c r="R192" s="76">
        <v>0.86</v>
      </c>
    </row>
    <row r="193" spans="18:18" x14ac:dyDescent="0.25">
      <c r="R193" s="76">
        <v>0.87</v>
      </c>
    </row>
    <row r="194" spans="18:18" x14ac:dyDescent="0.25">
      <c r="R194" s="76">
        <v>0.88</v>
      </c>
    </row>
    <row r="195" spans="18:18" x14ac:dyDescent="0.25">
      <c r="R195" s="76">
        <v>0.89</v>
      </c>
    </row>
    <row r="196" spans="18:18" x14ac:dyDescent="0.25">
      <c r="R196" s="76">
        <v>0.9</v>
      </c>
    </row>
    <row r="197" spans="18:18" x14ac:dyDescent="0.25">
      <c r="R197" s="76">
        <v>0.91</v>
      </c>
    </row>
    <row r="198" spans="18:18" x14ac:dyDescent="0.25">
      <c r="R198" s="76">
        <v>0.92</v>
      </c>
    </row>
    <row r="199" spans="18:18" x14ac:dyDescent="0.25">
      <c r="R199" s="76">
        <v>0.93</v>
      </c>
    </row>
    <row r="200" spans="18:18" x14ac:dyDescent="0.25">
      <c r="R200" s="76">
        <v>0.94</v>
      </c>
    </row>
    <row r="201" spans="18:18" x14ac:dyDescent="0.25">
      <c r="R201" s="76">
        <v>0.95</v>
      </c>
    </row>
    <row r="202" spans="18:18" x14ac:dyDescent="0.25">
      <c r="R202" s="76">
        <v>0.96</v>
      </c>
    </row>
    <row r="203" spans="18:18" x14ac:dyDescent="0.25">
      <c r="R203" s="76">
        <v>0.97</v>
      </c>
    </row>
    <row r="204" spans="18:18" x14ac:dyDescent="0.25">
      <c r="R204" s="76">
        <v>0.98</v>
      </c>
    </row>
    <row r="205" spans="18:18" x14ac:dyDescent="0.25">
      <c r="R205" s="76">
        <v>0.99</v>
      </c>
    </row>
    <row r="206" spans="18:18" x14ac:dyDescent="0.25">
      <c r="R206" s="76">
        <v>1</v>
      </c>
    </row>
  </sheetData>
  <mergeCells count="2">
    <mergeCell ref="R17:AD17"/>
    <mergeCell ref="C18:O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Forside</vt:lpstr>
      <vt:lpstr>Beskrivelse</vt:lpstr>
      <vt:lpstr>Beregner </vt:lpstr>
      <vt:lpstr>Forbrugsberegner</vt:lpstr>
      <vt:lpstr>Virkningsgradsberegner</vt:lpstr>
      <vt:lpstr>Graddageberegner</vt:lpstr>
      <vt:lpstr>Branche</vt:lpstr>
      <vt:lpstr>Kedelliste</vt:lpstr>
      <vt:lpstr>Manuel</vt:lpstr>
      <vt:lpstr>Procesenergi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2022-08-12T08:21:42Z</dcterms:modified>
</cp:coreProperties>
</file>